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и\портфолио\excel\"/>
    </mc:Choice>
  </mc:AlternateContent>
  <xr:revisionPtr revIDLastSave="0" documentId="13_ncr:1_{EBB31971-8B60-48F3-BF4F-E7482DF69EC5}" xr6:coauthVersionLast="47" xr6:coauthVersionMax="47" xr10:uidLastSave="{00000000-0000-0000-0000-000000000000}"/>
  <bookViews>
    <workbookView xWindow="-110" yWindow="-110" windowWidth="19420" windowHeight="10420" firstSheet="6" activeTab="8" xr2:uid="{00000000-000D-0000-FFFF-FFFF00000000}"/>
  </bookViews>
  <sheets>
    <sheet name="Випадковість та аномальність" sheetId="1" r:id="rId1"/>
    <sheet name="Класичні методи згладжування5" sheetId="6" r:id="rId2"/>
    <sheet name="Класичні методи (продовження)4" sheetId="2" r:id="rId3"/>
    <sheet name="Класичні методи (продовження)3" sheetId="3" r:id="rId4"/>
    <sheet name="Класичні методи (продовження)2" sheetId="4" r:id="rId5"/>
    <sheet name="Додаткові методи згладжування" sheetId="5" r:id="rId6"/>
    <sheet name="Проектування тренду" sheetId="7" r:id="rId7"/>
    <sheet name="Кореляційний,регресійний аналіз" sheetId="8" r:id="rId8"/>
    <sheet name="Аналіз сезонних коливань" sheetId="9" r:id="rId9"/>
    <sheet name="Авторегресія" sheetId="10" r:id="rId10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6" l="1"/>
  <c r="E4" i="4"/>
  <c r="E5" i="3"/>
  <c r="E6" i="2"/>
  <c r="G69" i="8"/>
  <c r="I135" i="8"/>
  <c r="F135" i="8"/>
  <c r="G54" i="8"/>
  <c r="J74" i="8"/>
  <c r="J69" i="8"/>
  <c r="G72" i="8"/>
  <c r="G73" i="8"/>
  <c r="G71" i="8"/>
  <c r="G70" i="8"/>
  <c r="G64" i="8"/>
  <c r="G63" i="8"/>
  <c r="M69" i="8"/>
  <c r="G53" i="8"/>
  <c r="P2" i="8"/>
  <c r="Q2" i="8"/>
  <c r="P3" i="8"/>
  <c r="E37" i="8"/>
  <c r="E36" i="8"/>
  <c r="B36" i="8"/>
  <c r="B37" i="8"/>
  <c r="L34" i="8"/>
  <c r="L2" i="8"/>
  <c r="H2" i="8"/>
  <c r="AI2" i="7"/>
  <c r="AH2" i="7"/>
  <c r="G75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43" i="10"/>
  <c r="F37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4" i="10"/>
  <c r="Q7" i="6"/>
  <c r="U7" i="6"/>
  <c r="E37" i="10"/>
  <c r="W35" i="2"/>
  <c r="Q5" i="3"/>
  <c r="U5" i="3"/>
  <c r="F75" i="10"/>
  <c r="F74" i="10"/>
  <c r="F44" i="10"/>
  <c r="F43" i="10"/>
  <c r="E73" i="10"/>
  <c r="E44" i="10"/>
  <c r="E45" i="10"/>
  <c r="F45" i="10"/>
  <c r="E46" i="10"/>
  <c r="E47" i="10"/>
  <c r="F47" i="10"/>
  <c r="E48" i="10"/>
  <c r="E49" i="10"/>
  <c r="F49" i="10"/>
  <c r="E50" i="10"/>
  <c r="E51" i="10"/>
  <c r="F51" i="10"/>
  <c r="E52" i="10"/>
  <c r="E53" i="10"/>
  <c r="F53" i="10"/>
  <c r="E54" i="10"/>
  <c r="E55" i="10"/>
  <c r="F55" i="10"/>
  <c r="E56" i="10"/>
  <c r="E57" i="10"/>
  <c r="F57" i="10"/>
  <c r="E58" i="10"/>
  <c r="E59" i="10"/>
  <c r="F59" i="10"/>
  <c r="E60" i="10"/>
  <c r="E61" i="10"/>
  <c r="F61" i="10"/>
  <c r="E62" i="10"/>
  <c r="E63" i="10"/>
  <c r="F63" i="10"/>
  <c r="E64" i="10"/>
  <c r="E65" i="10"/>
  <c r="F65" i="10"/>
  <c r="E66" i="10"/>
  <c r="E67" i="10"/>
  <c r="F67" i="10"/>
  <c r="E68" i="10"/>
  <c r="E69" i="10"/>
  <c r="F69" i="10"/>
  <c r="E70" i="10"/>
  <c r="E71" i="10"/>
  <c r="F71" i="10"/>
  <c r="E72" i="10"/>
  <c r="E43" i="10"/>
  <c r="F72" i="10"/>
  <c r="F70" i="10"/>
  <c r="F68" i="10"/>
  <c r="F66" i="10"/>
  <c r="F64" i="10"/>
  <c r="F62" i="10"/>
  <c r="F60" i="10"/>
  <c r="F58" i="10"/>
  <c r="F56" i="10"/>
  <c r="F54" i="10"/>
  <c r="F52" i="10"/>
  <c r="F50" i="10"/>
  <c r="F48" i="10"/>
  <c r="F46" i="10"/>
  <c r="E36" i="10"/>
  <c r="D35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4" i="10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C72" i="9"/>
  <c r="B72" i="9"/>
  <c r="B67" i="9"/>
  <c r="E69" i="9"/>
  <c r="E68" i="9"/>
  <c r="B69" i="9"/>
  <c r="B68" i="9"/>
  <c r="C66" i="9"/>
  <c r="D66" i="9"/>
  <c r="E66" i="9"/>
  <c r="F66" i="9"/>
  <c r="B66" i="9"/>
  <c r="C64" i="9"/>
  <c r="E64" i="9"/>
  <c r="F55" i="9"/>
  <c r="F56" i="9"/>
  <c r="F57" i="9"/>
  <c r="F58" i="9"/>
  <c r="F59" i="9"/>
  <c r="F60" i="9"/>
  <c r="F61" i="9"/>
  <c r="F62" i="9"/>
  <c r="F63" i="9"/>
  <c r="F64" i="9"/>
  <c r="F65" i="9"/>
  <c r="F54" i="9"/>
  <c r="E55" i="9"/>
  <c r="E56" i="9"/>
  <c r="E57" i="9"/>
  <c r="E58" i="9"/>
  <c r="E59" i="9"/>
  <c r="E60" i="9"/>
  <c r="E61" i="9"/>
  <c r="E62" i="9"/>
  <c r="E63" i="9"/>
  <c r="E65" i="9"/>
  <c r="E54" i="9"/>
  <c r="D55" i="9"/>
  <c r="D56" i="9"/>
  <c r="D57" i="9"/>
  <c r="D58" i="9"/>
  <c r="D59" i="9"/>
  <c r="D60" i="9"/>
  <c r="D61" i="9"/>
  <c r="D62" i="9"/>
  <c r="D63" i="9"/>
  <c r="D64" i="9"/>
  <c r="D65" i="9"/>
  <c r="D54" i="9"/>
  <c r="C55" i="9"/>
  <c r="C56" i="9"/>
  <c r="C57" i="9"/>
  <c r="C58" i="9"/>
  <c r="C59" i="9"/>
  <c r="C60" i="9"/>
  <c r="C61" i="9"/>
  <c r="C62" i="9"/>
  <c r="C63" i="9"/>
  <c r="C65" i="9"/>
  <c r="C54" i="9"/>
  <c r="D50" i="9"/>
  <c r="D49" i="9"/>
  <c r="B50" i="9"/>
  <c r="B49" i="9"/>
  <c r="B48" i="9"/>
  <c r="D46" i="9"/>
  <c r="E46" i="9"/>
  <c r="F46" i="9"/>
  <c r="G46" i="9"/>
  <c r="C46" i="9"/>
  <c r="G35" i="9"/>
  <c r="G36" i="9"/>
  <c r="G37" i="9"/>
  <c r="G38" i="9"/>
  <c r="G39" i="9"/>
  <c r="G40" i="9"/>
  <c r="G41" i="9"/>
  <c r="G42" i="9"/>
  <c r="G43" i="9"/>
  <c r="G44" i="9"/>
  <c r="G45" i="9"/>
  <c r="G34" i="9"/>
  <c r="E34" i="9"/>
  <c r="F35" i="9"/>
  <c r="F36" i="9"/>
  <c r="F37" i="9"/>
  <c r="F38" i="9"/>
  <c r="F39" i="9"/>
  <c r="F40" i="9"/>
  <c r="F41" i="9"/>
  <c r="F42" i="9"/>
  <c r="F43" i="9"/>
  <c r="F44" i="9"/>
  <c r="F45" i="9"/>
  <c r="F34" i="9"/>
  <c r="D34" i="9"/>
  <c r="E35" i="9"/>
  <c r="E36" i="9"/>
  <c r="E37" i="9"/>
  <c r="E38" i="9"/>
  <c r="E39" i="9"/>
  <c r="E40" i="9"/>
  <c r="E41" i="9"/>
  <c r="E42" i="9"/>
  <c r="E43" i="9"/>
  <c r="E44" i="9"/>
  <c r="E45" i="9"/>
  <c r="D35" i="9"/>
  <c r="D36" i="9"/>
  <c r="D37" i="9"/>
  <c r="D38" i="9"/>
  <c r="D39" i="9"/>
  <c r="D40" i="9"/>
  <c r="D41" i="9"/>
  <c r="D42" i="9"/>
  <c r="D43" i="9"/>
  <c r="D44" i="9"/>
  <c r="D45" i="9"/>
  <c r="B45" i="9"/>
  <c r="B44" i="9"/>
  <c r="B43" i="9"/>
  <c r="B42" i="9"/>
  <c r="B41" i="9"/>
  <c r="B39" i="9"/>
  <c r="B40" i="9"/>
  <c r="B38" i="9"/>
  <c r="B37" i="9"/>
  <c r="B36" i="9"/>
  <c r="B35" i="9"/>
  <c r="B31" i="9"/>
  <c r="F31" i="9"/>
  <c r="F23" i="9"/>
  <c r="F24" i="9"/>
  <c r="F25" i="9"/>
  <c r="F26" i="9"/>
  <c r="F27" i="9"/>
  <c r="F28" i="9"/>
  <c r="F29" i="9"/>
  <c r="F30" i="9"/>
  <c r="E23" i="9"/>
  <c r="E24" i="9"/>
  <c r="E25" i="9"/>
  <c r="E26" i="9"/>
  <c r="E27" i="9"/>
  <c r="E28" i="9"/>
  <c r="E29" i="9"/>
  <c r="E30" i="9"/>
  <c r="E31" i="9"/>
  <c r="D23" i="9"/>
  <c r="D24" i="9"/>
  <c r="D25" i="9"/>
  <c r="D26" i="9"/>
  <c r="D27" i="9"/>
  <c r="D28" i="9"/>
  <c r="D29" i="9"/>
  <c r="D30" i="9"/>
  <c r="D31" i="9"/>
  <c r="C23" i="9"/>
  <c r="C24" i="9"/>
  <c r="C25" i="9"/>
  <c r="C26" i="9"/>
  <c r="C27" i="9"/>
  <c r="C28" i="9"/>
  <c r="C29" i="9"/>
  <c r="C30" i="9"/>
  <c r="C31" i="9"/>
  <c r="B23" i="9"/>
  <c r="B24" i="9"/>
  <c r="B25" i="9"/>
  <c r="B26" i="9"/>
  <c r="B27" i="9"/>
  <c r="B28" i="9"/>
  <c r="B29" i="9"/>
  <c r="B30" i="9"/>
  <c r="F22" i="9"/>
  <c r="E22" i="9"/>
  <c r="D22" i="9"/>
  <c r="C22" i="9"/>
  <c r="B22" i="9"/>
  <c r="F21" i="9"/>
  <c r="C21" i="9"/>
  <c r="D21" i="9"/>
  <c r="E21" i="9"/>
  <c r="B21" i="9"/>
  <c r="F20" i="9"/>
  <c r="F15" i="9"/>
  <c r="H15" i="9"/>
  <c r="I4" i="9"/>
  <c r="I5" i="9"/>
  <c r="I6" i="9"/>
  <c r="I7" i="9"/>
  <c r="I8" i="9"/>
  <c r="I9" i="9"/>
  <c r="I10" i="9"/>
  <c r="I11" i="9"/>
  <c r="I12" i="9"/>
  <c r="I13" i="9"/>
  <c r="I14" i="9"/>
  <c r="I3" i="9"/>
  <c r="I15" i="9"/>
  <c r="H4" i="9"/>
  <c r="H5" i="9"/>
  <c r="H6" i="9"/>
  <c r="H7" i="9"/>
  <c r="H8" i="9"/>
  <c r="H9" i="9"/>
  <c r="H10" i="9"/>
  <c r="H11" i="9"/>
  <c r="H12" i="9"/>
  <c r="H13" i="9"/>
  <c r="H14" i="9"/>
  <c r="H3" i="9"/>
  <c r="G16" i="9"/>
  <c r="G4" i="9"/>
  <c r="G5" i="9"/>
  <c r="G6" i="9"/>
  <c r="G7" i="9"/>
  <c r="G8" i="9"/>
  <c r="G9" i="9"/>
  <c r="G10" i="9"/>
  <c r="G11" i="9"/>
  <c r="G12" i="9"/>
  <c r="G13" i="9"/>
  <c r="G14" i="9"/>
  <c r="G3" i="9"/>
  <c r="F4" i="9"/>
  <c r="F5" i="9"/>
  <c r="F6" i="9"/>
  <c r="F7" i="9"/>
  <c r="F8" i="9"/>
  <c r="F9" i="9"/>
  <c r="F10" i="9"/>
  <c r="F11" i="9"/>
  <c r="F12" i="9"/>
  <c r="F13" i="9"/>
  <c r="F14" i="9"/>
  <c r="F3" i="9"/>
  <c r="C15" i="9"/>
  <c r="D15" i="9"/>
  <c r="E15" i="9"/>
  <c r="B15" i="9"/>
  <c r="M266" i="8"/>
  <c r="N266" i="8"/>
  <c r="M265" i="8"/>
  <c r="N265" i="8"/>
  <c r="D265" i="8"/>
  <c r="D297" i="8"/>
  <c r="C297" i="8"/>
  <c r="B297" i="8"/>
  <c r="A297" i="8"/>
  <c r="H296" i="8"/>
  <c r="G296" i="8"/>
  <c r="F296" i="8"/>
  <c r="E296" i="8"/>
  <c r="D296" i="8"/>
  <c r="H295" i="8"/>
  <c r="G295" i="8"/>
  <c r="F295" i="8"/>
  <c r="E295" i="8"/>
  <c r="D295" i="8"/>
  <c r="H294" i="8"/>
  <c r="G294" i="8"/>
  <c r="F294" i="8"/>
  <c r="E294" i="8"/>
  <c r="D294" i="8"/>
  <c r="H293" i="8"/>
  <c r="G293" i="8"/>
  <c r="F293" i="8"/>
  <c r="E293" i="8"/>
  <c r="D293" i="8"/>
  <c r="H292" i="8"/>
  <c r="G292" i="8"/>
  <c r="F292" i="8"/>
  <c r="E292" i="8"/>
  <c r="D292" i="8"/>
  <c r="H291" i="8"/>
  <c r="G291" i="8"/>
  <c r="F291" i="8"/>
  <c r="E291" i="8"/>
  <c r="D291" i="8"/>
  <c r="H290" i="8"/>
  <c r="G290" i="8"/>
  <c r="F290" i="8"/>
  <c r="E290" i="8"/>
  <c r="D290" i="8"/>
  <c r="H289" i="8"/>
  <c r="G289" i="8"/>
  <c r="F289" i="8"/>
  <c r="E289" i="8"/>
  <c r="D289" i="8"/>
  <c r="H288" i="8"/>
  <c r="G288" i="8"/>
  <c r="F288" i="8"/>
  <c r="E288" i="8"/>
  <c r="D288" i="8"/>
  <c r="H287" i="8"/>
  <c r="G287" i="8"/>
  <c r="F287" i="8"/>
  <c r="E287" i="8"/>
  <c r="D287" i="8"/>
  <c r="H286" i="8"/>
  <c r="G286" i="8"/>
  <c r="F286" i="8"/>
  <c r="E286" i="8"/>
  <c r="D286" i="8"/>
  <c r="H285" i="8"/>
  <c r="G285" i="8"/>
  <c r="F285" i="8"/>
  <c r="E285" i="8"/>
  <c r="D285" i="8"/>
  <c r="H284" i="8"/>
  <c r="G284" i="8"/>
  <c r="F284" i="8"/>
  <c r="E284" i="8"/>
  <c r="D284" i="8"/>
  <c r="H283" i="8"/>
  <c r="G283" i="8"/>
  <c r="F283" i="8"/>
  <c r="E283" i="8"/>
  <c r="D283" i="8"/>
  <c r="H282" i="8"/>
  <c r="G282" i="8"/>
  <c r="F282" i="8"/>
  <c r="E282" i="8"/>
  <c r="D282" i="8"/>
  <c r="H281" i="8"/>
  <c r="G281" i="8"/>
  <c r="F281" i="8"/>
  <c r="E281" i="8"/>
  <c r="D281" i="8"/>
  <c r="H280" i="8"/>
  <c r="G280" i="8"/>
  <c r="F280" i="8"/>
  <c r="E280" i="8"/>
  <c r="D280" i="8"/>
  <c r="H279" i="8"/>
  <c r="G279" i="8"/>
  <c r="F279" i="8"/>
  <c r="E279" i="8"/>
  <c r="D279" i="8"/>
  <c r="H278" i="8"/>
  <c r="G278" i="8"/>
  <c r="F278" i="8"/>
  <c r="E278" i="8"/>
  <c r="D278" i="8"/>
  <c r="H277" i="8"/>
  <c r="G277" i="8"/>
  <c r="F277" i="8"/>
  <c r="E277" i="8"/>
  <c r="D277" i="8"/>
  <c r="H276" i="8"/>
  <c r="G276" i="8"/>
  <c r="F276" i="8"/>
  <c r="E276" i="8"/>
  <c r="D276" i="8"/>
  <c r="H275" i="8"/>
  <c r="G275" i="8"/>
  <c r="F275" i="8"/>
  <c r="E275" i="8"/>
  <c r="D275" i="8"/>
  <c r="H274" i="8"/>
  <c r="G274" i="8"/>
  <c r="F274" i="8"/>
  <c r="E274" i="8"/>
  <c r="D274" i="8"/>
  <c r="H273" i="8"/>
  <c r="G273" i="8"/>
  <c r="F273" i="8"/>
  <c r="E273" i="8"/>
  <c r="D273" i="8"/>
  <c r="H272" i="8"/>
  <c r="G272" i="8"/>
  <c r="F272" i="8"/>
  <c r="E272" i="8"/>
  <c r="D272" i="8"/>
  <c r="H271" i="8"/>
  <c r="G271" i="8"/>
  <c r="F271" i="8"/>
  <c r="E271" i="8"/>
  <c r="D271" i="8"/>
  <c r="H270" i="8"/>
  <c r="G270" i="8"/>
  <c r="F270" i="8"/>
  <c r="E270" i="8"/>
  <c r="D270" i="8"/>
  <c r="H269" i="8"/>
  <c r="G269" i="8"/>
  <c r="F269" i="8"/>
  <c r="E269" i="8"/>
  <c r="D269" i="8"/>
  <c r="H268" i="8"/>
  <c r="G268" i="8"/>
  <c r="F268" i="8"/>
  <c r="E268" i="8"/>
  <c r="D268" i="8"/>
  <c r="H267" i="8"/>
  <c r="G267" i="8"/>
  <c r="F267" i="8"/>
  <c r="E267" i="8"/>
  <c r="D267" i="8"/>
  <c r="H266" i="8"/>
  <c r="G266" i="8"/>
  <c r="F266" i="8"/>
  <c r="E266" i="8"/>
  <c r="D266" i="8"/>
  <c r="H265" i="8"/>
  <c r="G265" i="8"/>
  <c r="F265" i="8"/>
  <c r="E265" i="8"/>
  <c r="E297" i="8"/>
  <c r="E227" i="8"/>
  <c r="B227" i="8"/>
  <c r="H78" i="8"/>
  <c r="G78" i="8"/>
  <c r="E230" i="8" a="1"/>
  <c r="F230" i="8"/>
  <c r="I256" i="8"/>
  <c r="K254" i="8"/>
  <c r="I248" i="8"/>
  <c r="F241" i="8"/>
  <c r="D223" i="8"/>
  <c r="B223" i="8"/>
  <c r="L222" i="8"/>
  <c r="K222" i="8"/>
  <c r="I222" i="8"/>
  <c r="H222" i="8"/>
  <c r="N222" i="8"/>
  <c r="F222" i="8"/>
  <c r="H221" i="8"/>
  <c r="K221" i="8"/>
  <c r="F221" i="8"/>
  <c r="I221" i="8"/>
  <c r="N220" i="8"/>
  <c r="K220" i="8"/>
  <c r="H220" i="8"/>
  <c r="F220" i="8"/>
  <c r="K219" i="8"/>
  <c r="H219" i="8"/>
  <c r="N219" i="8"/>
  <c r="F219" i="8"/>
  <c r="L218" i="8"/>
  <c r="I218" i="8"/>
  <c r="H218" i="8"/>
  <c r="F218" i="8"/>
  <c r="I217" i="8"/>
  <c r="H217" i="8"/>
  <c r="K217" i="8"/>
  <c r="F217" i="8"/>
  <c r="L217" i="8"/>
  <c r="N216" i="8"/>
  <c r="K216" i="8"/>
  <c r="I216" i="8"/>
  <c r="H216" i="8"/>
  <c r="F216" i="8"/>
  <c r="L216" i="8"/>
  <c r="N215" i="8"/>
  <c r="L215" i="8"/>
  <c r="H215" i="8"/>
  <c r="K215" i="8"/>
  <c r="F215" i="8"/>
  <c r="I215" i="8"/>
  <c r="L214" i="8"/>
  <c r="K214" i="8"/>
  <c r="I214" i="8"/>
  <c r="H214" i="8"/>
  <c r="N214" i="8"/>
  <c r="F214" i="8"/>
  <c r="H213" i="8"/>
  <c r="K213" i="8"/>
  <c r="F213" i="8"/>
  <c r="I213" i="8"/>
  <c r="N212" i="8"/>
  <c r="K212" i="8"/>
  <c r="H212" i="8"/>
  <c r="F212" i="8"/>
  <c r="K211" i="8"/>
  <c r="H211" i="8"/>
  <c r="N211" i="8"/>
  <c r="F211" i="8"/>
  <c r="L210" i="8"/>
  <c r="I210" i="8"/>
  <c r="H210" i="8"/>
  <c r="F210" i="8"/>
  <c r="I209" i="8"/>
  <c r="H209" i="8"/>
  <c r="K209" i="8"/>
  <c r="F209" i="8"/>
  <c r="L209" i="8"/>
  <c r="N208" i="8"/>
  <c r="K208" i="8"/>
  <c r="I208" i="8"/>
  <c r="H208" i="8"/>
  <c r="F208" i="8"/>
  <c r="L208" i="8"/>
  <c r="N207" i="8"/>
  <c r="L207" i="8"/>
  <c r="H207" i="8"/>
  <c r="K207" i="8"/>
  <c r="F207" i="8"/>
  <c r="I207" i="8"/>
  <c r="L206" i="8"/>
  <c r="I206" i="8"/>
  <c r="H206" i="8"/>
  <c r="N206" i="8"/>
  <c r="F206" i="8"/>
  <c r="H205" i="8"/>
  <c r="F205" i="8"/>
  <c r="I205" i="8"/>
  <c r="N204" i="8"/>
  <c r="K204" i="8"/>
  <c r="H204" i="8"/>
  <c r="F204" i="8"/>
  <c r="L203" i="8"/>
  <c r="K203" i="8"/>
  <c r="H203" i="8"/>
  <c r="N203" i="8"/>
  <c r="F203" i="8"/>
  <c r="I203" i="8"/>
  <c r="L202" i="8"/>
  <c r="K202" i="8"/>
  <c r="I202" i="8"/>
  <c r="H202" i="8"/>
  <c r="N202" i="8"/>
  <c r="F202" i="8"/>
  <c r="I201" i="8"/>
  <c r="H201" i="8"/>
  <c r="K201" i="8"/>
  <c r="F201" i="8"/>
  <c r="L201" i="8"/>
  <c r="N200" i="8"/>
  <c r="K200" i="8"/>
  <c r="I200" i="8"/>
  <c r="H200" i="8"/>
  <c r="F200" i="8"/>
  <c r="L200" i="8"/>
  <c r="N199" i="8"/>
  <c r="L199" i="8"/>
  <c r="H199" i="8"/>
  <c r="K199" i="8"/>
  <c r="F199" i="8"/>
  <c r="I199" i="8"/>
  <c r="L198" i="8"/>
  <c r="K198" i="8"/>
  <c r="I198" i="8"/>
  <c r="H198" i="8"/>
  <c r="N198" i="8"/>
  <c r="F198" i="8"/>
  <c r="H197" i="8"/>
  <c r="F197" i="8"/>
  <c r="I197" i="8"/>
  <c r="N196" i="8"/>
  <c r="K196" i="8"/>
  <c r="H196" i="8"/>
  <c r="F196" i="8"/>
  <c r="K195" i="8"/>
  <c r="H195" i="8"/>
  <c r="N195" i="8"/>
  <c r="F195" i="8"/>
  <c r="I195" i="8"/>
  <c r="L194" i="8"/>
  <c r="I194" i="8"/>
  <c r="H194" i="8"/>
  <c r="N194" i="8"/>
  <c r="F194" i="8"/>
  <c r="I193" i="8"/>
  <c r="H193" i="8"/>
  <c r="K193" i="8"/>
  <c r="F193" i="8"/>
  <c r="L193" i="8"/>
  <c r="N192" i="8"/>
  <c r="K192" i="8"/>
  <c r="I192" i="8"/>
  <c r="H192" i="8"/>
  <c r="F192" i="8"/>
  <c r="L192" i="8"/>
  <c r="N191" i="8"/>
  <c r="L191" i="8"/>
  <c r="H191" i="8"/>
  <c r="K191" i="8"/>
  <c r="F191" i="8"/>
  <c r="I191" i="8"/>
  <c r="D152" i="8"/>
  <c r="D184" i="8"/>
  <c r="E152" i="8"/>
  <c r="F152" i="8"/>
  <c r="G152" i="8"/>
  <c r="H152" i="8"/>
  <c r="H184" i="8"/>
  <c r="M152" i="8"/>
  <c r="N152" i="8"/>
  <c r="D153" i="8"/>
  <c r="E153" i="8"/>
  <c r="F153" i="8"/>
  <c r="G153" i="8"/>
  <c r="H153" i="8"/>
  <c r="M153" i="8"/>
  <c r="N153" i="8"/>
  <c r="D154" i="8"/>
  <c r="E154" i="8"/>
  <c r="F154" i="8"/>
  <c r="F184" i="8"/>
  <c r="G154" i="8"/>
  <c r="H154" i="8"/>
  <c r="D155" i="8"/>
  <c r="E155" i="8"/>
  <c r="F155" i="8"/>
  <c r="G155" i="8"/>
  <c r="H155" i="8"/>
  <c r="D156" i="8"/>
  <c r="E156" i="8"/>
  <c r="F156" i="8"/>
  <c r="G156" i="8"/>
  <c r="H156" i="8"/>
  <c r="D157" i="8"/>
  <c r="E157" i="8"/>
  <c r="F157" i="8"/>
  <c r="G157" i="8"/>
  <c r="G184" i="8"/>
  <c r="H157" i="8"/>
  <c r="D158" i="8"/>
  <c r="E158" i="8"/>
  <c r="F158" i="8"/>
  <c r="G158" i="8"/>
  <c r="H158" i="8"/>
  <c r="D159" i="8"/>
  <c r="E159" i="8"/>
  <c r="F159" i="8"/>
  <c r="G159" i="8"/>
  <c r="H159" i="8"/>
  <c r="D160" i="8"/>
  <c r="E160" i="8"/>
  <c r="F160" i="8"/>
  <c r="G160" i="8"/>
  <c r="H160" i="8"/>
  <c r="D161" i="8"/>
  <c r="E161" i="8"/>
  <c r="F161" i="8"/>
  <c r="G161" i="8"/>
  <c r="H161" i="8"/>
  <c r="D162" i="8"/>
  <c r="E162" i="8"/>
  <c r="F162" i="8"/>
  <c r="G162" i="8"/>
  <c r="H162" i="8"/>
  <c r="D163" i="8"/>
  <c r="E163" i="8"/>
  <c r="F163" i="8"/>
  <c r="G163" i="8"/>
  <c r="H163" i="8"/>
  <c r="D164" i="8"/>
  <c r="E164" i="8"/>
  <c r="F164" i="8"/>
  <c r="G164" i="8"/>
  <c r="H164" i="8"/>
  <c r="D165" i="8"/>
  <c r="E165" i="8"/>
  <c r="F165" i="8"/>
  <c r="G165" i="8"/>
  <c r="H165" i="8"/>
  <c r="D166" i="8"/>
  <c r="E166" i="8"/>
  <c r="F166" i="8"/>
  <c r="G166" i="8"/>
  <c r="H166" i="8"/>
  <c r="D167" i="8"/>
  <c r="E167" i="8"/>
  <c r="F167" i="8"/>
  <c r="G167" i="8"/>
  <c r="H167" i="8"/>
  <c r="D168" i="8"/>
  <c r="E168" i="8"/>
  <c r="F168" i="8"/>
  <c r="G168" i="8"/>
  <c r="H168" i="8"/>
  <c r="D169" i="8"/>
  <c r="E169" i="8"/>
  <c r="F169" i="8"/>
  <c r="G169" i="8"/>
  <c r="H169" i="8"/>
  <c r="D170" i="8"/>
  <c r="E170" i="8"/>
  <c r="F170" i="8"/>
  <c r="G170" i="8"/>
  <c r="H170" i="8"/>
  <c r="D171" i="8"/>
  <c r="E171" i="8"/>
  <c r="F171" i="8"/>
  <c r="G171" i="8"/>
  <c r="H171" i="8"/>
  <c r="D172" i="8"/>
  <c r="E172" i="8"/>
  <c r="F172" i="8"/>
  <c r="G172" i="8"/>
  <c r="H172" i="8"/>
  <c r="D173" i="8"/>
  <c r="E173" i="8"/>
  <c r="F173" i="8"/>
  <c r="G173" i="8"/>
  <c r="H173" i="8"/>
  <c r="D174" i="8"/>
  <c r="E174" i="8"/>
  <c r="F174" i="8"/>
  <c r="G174" i="8"/>
  <c r="H174" i="8"/>
  <c r="D175" i="8"/>
  <c r="E175" i="8"/>
  <c r="F175" i="8"/>
  <c r="G175" i="8"/>
  <c r="H175" i="8"/>
  <c r="D176" i="8"/>
  <c r="E176" i="8"/>
  <c r="F176" i="8"/>
  <c r="G176" i="8"/>
  <c r="H176" i="8"/>
  <c r="D177" i="8"/>
  <c r="E177" i="8"/>
  <c r="F177" i="8"/>
  <c r="G177" i="8"/>
  <c r="H177" i="8"/>
  <c r="D178" i="8"/>
  <c r="E178" i="8"/>
  <c r="F178" i="8"/>
  <c r="G178" i="8"/>
  <c r="H178" i="8"/>
  <c r="D179" i="8"/>
  <c r="E179" i="8"/>
  <c r="F179" i="8"/>
  <c r="G179" i="8"/>
  <c r="H179" i="8"/>
  <c r="D180" i="8"/>
  <c r="E180" i="8"/>
  <c r="F180" i="8"/>
  <c r="G180" i="8"/>
  <c r="H180" i="8"/>
  <c r="D181" i="8"/>
  <c r="E181" i="8"/>
  <c r="F181" i="8"/>
  <c r="G181" i="8"/>
  <c r="H181" i="8"/>
  <c r="D182" i="8"/>
  <c r="E182" i="8"/>
  <c r="F182" i="8"/>
  <c r="G182" i="8"/>
  <c r="H182" i="8"/>
  <c r="D183" i="8"/>
  <c r="E183" i="8"/>
  <c r="F183" i="8"/>
  <c r="G183" i="8"/>
  <c r="H183" i="8"/>
  <c r="A184" i="8"/>
  <c r="B184" i="8"/>
  <c r="C184" i="8"/>
  <c r="E184" i="8"/>
  <c r="F144" i="8"/>
  <c r="I144" i="8"/>
  <c r="F142" i="8"/>
  <c r="F141" i="8"/>
  <c r="K141" i="8"/>
  <c r="F137" i="8"/>
  <c r="F136" i="8"/>
  <c r="I143" i="8"/>
  <c r="I142" i="8"/>
  <c r="I141" i="8"/>
  <c r="E131" i="8" a="1"/>
  <c r="E131" i="8"/>
  <c r="G55" i="8"/>
  <c r="AI3" i="7"/>
  <c r="F297" i="8"/>
  <c r="G297" i="8"/>
  <c r="H297" i="8"/>
  <c r="C223" i="8"/>
  <c r="AB232" i="8"/>
  <c r="AJ230" i="8"/>
  <c r="AF232" i="8"/>
  <c r="X232" i="8"/>
  <c r="P232" i="8"/>
  <c r="H232" i="8"/>
  <c r="AF231" i="8"/>
  <c r="X231" i="8"/>
  <c r="P231" i="8"/>
  <c r="H231" i="8"/>
  <c r="AF230" i="8"/>
  <c r="X230" i="8"/>
  <c r="P230" i="8"/>
  <c r="H230" i="8"/>
  <c r="AJ232" i="8"/>
  <c r="T232" i="8"/>
  <c r="L232" i="8"/>
  <c r="AJ231" i="8"/>
  <c r="AB231" i="8"/>
  <c r="T231" i="8"/>
  <c r="L231" i="8"/>
  <c r="AB230" i="8"/>
  <c r="T230" i="8"/>
  <c r="L230" i="8"/>
  <c r="AG232" i="8"/>
  <c r="Y232" i="8"/>
  <c r="Q232" i="8"/>
  <c r="I232" i="8"/>
  <c r="AG231" i="8"/>
  <c r="Y231" i="8"/>
  <c r="Q231" i="8"/>
  <c r="I231" i="8"/>
  <c r="AG230" i="8"/>
  <c r="Y230" i="8"/>
  <c r="Q230" i="8"/>
  <c r="I230" i="8"/>
  <c r="AC232" i="8"/>
  <c r="U232" i="8"/>
  <c r="M232" i="8"/>
  <c r="E232" i="8"/>
  <c r="AC231" i="8"/>
  <c r="U231" i="8"/>
  <c r="M231" i="8"/>
  <c r="E231" i="8"/>
  <c r="AC230" i="8"/>
  <c r="U230" i="8"/>
  <c r="M230" i="8"/>
  <c r="E230" i="8"/>
  <c r="AI232" i="8"/>
  <c r="AE232" i="8"/>
  <c r="AA232" i="8"/>
  <c r="W232" i="8"/>
  <c r="S232" i="8"/>
  <c r="O232" i="8"/>
  <c r="K232" i="8"/>
  <c r="G232" i="8"/>
  <c r="AI231" i="8"/>
  <c r="AE231" i="8"/>
  <c r="AA231" i="8"/>
  <c r="W231" i="8"/>
  <c r="S231" i="8"/>
  <c r="O231" i="8"/>
  <c r="K231" i="8"/>
  <c r="G231" i="8"/>
  <c r="AI230" i="8"/>
  <c r="AE230" i="8"/>
  <c r="AA230" i="8"/>
  <c r="W230" i="8"/>
  <c r="S230" i="8"/>
  <c r="O230" i="8"/>
  <c r="K230" i="8"/>
  <c r="G230" i="8"/>
  <c r="AH232" i="8"/>
  <c r="AD232" i="8"/>
  <c r="Z232" i="8"/>
  <c r="V232" i="8"/>
  <c r="R232" i="8"/>
  <c r="N232" i="8"/>
  <c r="J232" i="8"/>
  <c r="F232" i="8"/>
  <c r="AH231" i="8"/>
  <c r="AD231" i="8"/>
  <c r="Z231" i="8"/>
  <c r="V231" i="8"/>
  <c r="R231" i="8"/>
  <c r="N231" i="8"/>
  <c r="J231" i="8"/>
  <c r="F231" i="8"/>
  <c r="AH230" i="8"/>
  <c r="AD230" i="8"/>
  <c r="Z230" i="8"/>
  <c r="V230" i="8"/>
  <c r="R230" i="8"/>
  <c r="N230" i="8"/>
  <c r="J230" i="8"/>
  <c r="K194" i="8"/>
  <c r="L195" i="8"/>
  <c r="L197" i="8"/>
  <c r="K205" i="8"/>
  <c r="N205" i="8"/>
  <c r="K206" i="8"/>
  <c r="N210" i="8"/>
  <c r="K210" i="8"/>
  <c r="I211" i="8"/>
  <c r="L211" i="8"/>
  <c r="L221" i="8"/>
  <c r="K197" i="8"/>
  <c r="N197" i="8"/>
  <c r="L205" i="8"/>
  <c r="N217" i="8"/>
  <c r="L220" i="8"/>
  <c r="I220" i="8"/>
  <c r="I223" i="8"/>
  <c r="B225" i="8"/>
  <c r="E225" i="8"/>
  <c r="N193" i="8"/>
  <c r="L204" i="8"/>
  <c r="I204" i="8"/>
  <c r="L213" i="8"/>
  <c r="K223" i="8"/>
  <c r="L196" i="8"/>
  <c r="I196" i="8"/>
  <c r="N201" i="8"/>
  <c r="N209" i="8"/>
  <c r="L212" i="8"/>
  <c r="I212" i="8"/>
  <c r="N218" i="8"/>
  <c r="K218" i="8"/>
  <c r="I219" i="8"/>
  <c r="L219" i="8"/>
  <c r="N213" i="8"/>
  <c r="N221" i="8"/>
  <c r="E133" i="8"/>
  <c r="G131" i="8"/>
  <c r="E132" i="8"/>
  <c r="G132" i="8"/>
  <c r="F131" i="8"/>
  <c r="F133" i="8"/>
  <c r="G133" i="8"/>
  <c r="F132" i="8"/>
  <c r="F128" i="8"/>
  <c r="F127" i="8"/>
  <c r="F126" i="8"/>
  <c r="E122" i="8" a="1"/>
  <c r="E123" i="8"/>
  <c r="E117" i="8" a="1"/>
  <c r="E117" i="8"/>
  <c r="G117" i="8"/>
  <c r="H117" i="8"/>
  <c r="K117" i="8"/>
  <c r="L117" i="8"/>
  <c r="O117" i="8"/>
  <c r="P117" i="8"/>
  <c r="S117" i="8"/>
  <c r="T117" i="8"/>
  <c r="W117" i="8"/>
  <c r="X117" i="8"/>
  <c r="AA117" i="8"/>
  <c r="AB117" i="8"/>
  <c r="AE117" i="8"/>
  <c r="AF117" i="8"/>
  <c r="AI117" i="8"/>
  <c r="AJ117" i="8"/>
  <c r="G118" i="8"/>
  <c r="H118" i="8"/>
  <c r="K118" i="8"/>
  <c r="L118" i="8"/>
  <c r="O118" i="8"/>
  <c r="P118" i="8"/>
  <c r="S118" i="8"/>
  <c r="T118" i="8"/>
  <c r="W118" i="8"/>
  <c r="X118" i="8"/>
  <c r="AA118" i="8"/>
  <c r="AB118" i="8"/>
  <c r="AE118" i="8"/>
  <c r="AF118" i="8"/>
  <c r="AI118" i="8"/>
  <c r="AJ118" i="8"/>
  <c r="G119" i="8"/>
  <c r="H119" i="8"/>
  <c r="K119" i="8"/>
  <c r="L119" i="8"/>
  <c r="O119" i="8"/>
  <c r="P119" i="8"/>
  <c r="S119" i="8"/>
  <c r="T119" i="8"/>
  <c r="W119" i="8"/>
  <c r="X119" i="8"/>
  <c r="AA119" i="8"/>
  <c r="AB119" i="8"/>
  <c r="AE119" i="8"/>
  <c r="AF119" i="8"/>
  <c r="AI119" i="8"/>
  <c r="AJ119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78" i="8"/>
  <c r="E113" i="8"/>
  <c r="E112" i="8"/>
  <c r="B114" i="8"/>
  <c r="B113" i="8"/>
  <c r="B112" i="8"/>
  <c r="E114" i="8"/>
  <c r="J78" i="8"/>
  <c r="I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G79" i="8"/>
  <c r="G80" i="8"/>
  <c r="G81" i="8"/>
  <c r="G82" i="8"/>
  <c r="G83" i="8"/>
  <c r="G84" i="8"/>
  <c r="G85" i="8"/>
  <c r="G86" i="8"/>
  <c r="J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78" i="8"/>
  <c r="J92" i="8"/>
  <c r="J91" i="8"/>
  <c r="J89" i="8"/>
  <c r="J85" i="8"/>
  <c r="J84" i="8"/>
  <c r="J83" i="8"/>
  <c r="D110" i="8"/>
  <c r="C110" i="8"/>
  <c r="B110" i="8"/>
  <c r="F42" i="8" a="1"/>
  <c r="F4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P5" i="8"/>
  <c r="P7" i="8"/>
  <c r="P13" i="8"/>
  <c r="P15" i="8"/>
  <c r="P21" i="8"/>
  <c r="P23" i="8"/>
  <c r="P29" i="8"/>
  <c r="P31" i="8"/>
  <c r="E38" i="8"/>
  <c r="E39" i="8"/>
  <c r="P11" i="8"/>
  <c r="B39" i="8"/>
  <c r="B38" i="8"/>
  <c r="M34" i="8"/>
  <c r="N34" i="8"/>
  <c r="O34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2" i="8"/>
  <c r="H33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C34" i="8"/>
  <c r="D34" i="8"/>
  <c r="E34" i="8"/>
  <c r="B34" i="8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35" i="7"/>
  <c r="W34" i="7"/>
  <c r="W33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4" i="7"/>
  <c r="W3" i="7"/>
  <c r="AP2" i="7"/>
  <c r="AR4" i="7"/>
  <c r="AR3" i="7"/>
  <c r="AR2" i="7"/>
  <c r="AP4" i="7"/>
  <c r="AP3" i="7"/>
  <c r="AQ3" i="7"/>
  <c r="AN4" i="7"/>
  <c r="AN3" i="7"/>
  <c r="AN2" i="7"/>
  <c r="AL4" i="7"/>
  <c r="AL3" i="7"/>
  <c r="AL2" i="7"/>
  <c r="AJ4" i="7"/>
  <c r="AJ3" i="7"/>
  <c r="AJ2" i="7"/>
  <c r="AK2" i="7"/>
  <c r="AH4" i="7"/>
  <c r="AH3" i="7"/>
  <c r="S41" i="7"/>
  <c r="S40" i="7"/>
  <c r="S35" i="7"/>
  <c r="AS2" i="7"/>
  <c r="AQ2" i="7"/>
  <c r="AO2" i="7"/>
  <c r="AM3" i="7"/>
  <c r="AM2" i="7"/>
  <c r="U5" i="4"/>
  <c r="Q4" i="4"/>
  <c r="U4" i="4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2" i="7"/>
  <c r="AM4" i="7"/>
  <c r="AK4" i="7"/>
  <c r="O6" i="7"/>
  <c r="O5" i="7"/>
  <c r="T6" i="7"/>
  <c r="T10" i="7"/>
  <c r="T14" i="7"/>
  <c r="T18" i="7"/>
  <c r="T22" i="7"/>
  <c r="T26" i="7"/>
  <c r="T30" i="7"/>
  <c r="S34" i="7"/>
  <c r="U33" i="7"/>
  <c r="T33" i="7"/>
  <c r="U32" i="7"/>
  <c r="T32" i="7"/>
  <c r="U31" i="7"/>
  <c r="T31" i="7"/>
  <c r="U30" i="7"/>
  <c r="U29" i="7"/>
  <c r="T29" i="7"/>
  <c r="U28" i="7"/>
  <c r="T28" i="7"/>
  <c r="U27" i="7"/>
  <c r="T27" i="7"/>
  <c r="U26" i="7"/>
  <c r="U25" i="7"/>
  <c r="T25" i="7"/>
  <c r="U24" i="7"/>
  <c r="T24" i="7"/>
  <c r="U23" i="7"/>
  <c r="T23" i="7"/>
  <c r="U22" i="7"/>
  <c r="U21" i="7"/>
  <c r="T21" i="7"/>
  <c r="U20" i="7"/>
  <c r="T20" i="7"/>
  <c r="U19" i="7"/>
  <c r="T19" i="7"/>
  <c r="U18" i="7"/>
  <c r="U17" i="7"/>
  <c r="T17" i="7"/>
  <c r="U16" i="7"/>
  <c r="T16" i="7"/>
  <c r="U15" i="7"/>
  <c r="T15" i="7"/>
  <c r="U14" i="7"/>
  <c r="U13" i="7"/>
  <c r="T13" i="7"/>
  <c r="U12" i="7"/>
  <c r="T12" i="7"/>
  <c r="U11" i="7"/>
  <c r="T11" i="7"/>
  <c r="U10" i="7"/>
  <c r="U9" i="7"/>
  <c r="T9" i="7"/>
  <c r="U8" i="7"/>
  <c r="T8" i="7"/>
  <c r="U7" i="7"/>
  <c r="T7" i="7"/>
  <c r="U6" i="7"/>
  <c r="U5" i="7"/>
  <c r="T5" i="7"/>
  <c r="U4" i="7"/>
  <c r="T4" i="7"/>
  <c r="U3" i="7"/>
  <c r="T3" i="7"/>
  <c r="U2" i="7"/>
  <c r="T2" i="7"/>
  <c r="D33" i="7"/>
  <c r="D3" i="7"/>
  <c r="E2" i="7"/>
  <c r="E34" i="7"/>
  <c r="E3" i="7"/>
  <c r="D2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D4" i="7"/>
  <c r="D5" i="7"/>
  <c r="D6" i="7"/>
  <c r="D7" i="7"/>
  <c r="D34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C34" i="7"/>
  <c r="B34" i="7"/>
  <c r="Y6" i="4"/>
  <c r="W5" i="5"/>
  <c r="W4" i="5"/>
  <c r="S3" i="5"/>
  <c r="R3" i="5"/>
  <c r="S34" i="5"/>
  <c r="S4" i="5"/>
  <c r="R34" i="5"/>
  <c r="U4" i="5"/>
  <c r="U3" i="5"/>
  <c r="R4" i="5"/>
  <c r="Y35" i="5"/>
  <c r="Y3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4" i="5"/>
  <c r="X5" i="5"/>
  <c r="N3" i="5"/>
  <c r="I3" i="5"/>
  <c r="E34" i="5"/>
  <c r="B34" i="5"/>
  <c r="T3" i="5"/>
  <c r="T4" i="5"/>
  <c r="E3" i="5"/>
  <c r="E2" i="5"/>
  <c r="AC6" i="3"/>
  <c r="AC6" i="2"/>
  <c r="Q6" i="2"/>
  <c r="AB6" i="2"/>
  <c r="AC7" i="6"/>
  <c r="AB7" i="6"/>
  <c r="Z7" i="6"/>
  <c r="Y7" i="6"/>
  <c r="X36" i="6"/>
  <c r="W36" i="6"/>
  <c r="T36" i="6"/>
  <c r="S7" i="6"/>
  <c r="S36" i="6"/>
  <c r="Z6" i="2"/>
  <c r="Y6" i="2"/>
  <c r="X35" i="2"/>
  <c r="T35" i="2"/>
  <c r="S6" i="2"/>
  <c r="S35" i="2"/>
  <c r="AB6" i="3"/>
  <c r="Z6" i="3"/>
  <c r="Y6" i="3"/>
  <c r="X35" i="3"/>
  <c r="W35" i="3"/>
  <c r="T35" i="3"/>
  <c r="S5" i="3"/>
  <c r="S35" i="3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T7" i="6"/>
  <c r="R8" i="6"/>
  <c r="R7" i="6"/>
  <c r="Q33" i="6"/>
  <c r="K34" i="6"/>
  <c r="E34" i="6"/>
  <c r="K34" i="2"/>
  <c r="E34" i="2"/>
  <c r="K34" i="4"/>
  <c r="E34" i="4"/>
  <c r="E33" i="4"/>
  <c r="K34" i="3"/>
  <c r="E34" i="3"/>
  <c r="E33" i="2"/>
  <c r="Q33" i="2"/>
  <c r="R10" i="6"/>
  <c r="R11" i="6"/>
  <c r="R14" i="6"/>
  <c r="R15" i="6"/>
  <c r="R18" i="6"/>
  <c r="R19" i="6"/>
  <c r="R22" i="6"/>
  <c r="R23" i="6"/>
  <c r="R26" i="6"/>
  <c r="R27" i="6"/>
  <c r="R30" i="6"/>
  <c r="R31" i="6"/>
  <c r="Q8" i="6"/>
  <c r="Q10" i="6"/>
  <c r="Q11" i="6"/>
  <c r="Q12" i="6"/>
  <c r="Q14" i="6"/>
  <c r="Q15" i="6"/>
  <c r="Q16" i="6"/>
  <c r="Q18" i="6"/>
  <c r="Q19" i="6"/>
  <c r="Q20" i="6"/>
  <c r="Q22" i="6"/>
  <c r="Q23" i="6"/>
  <c r="Q24" i="6"/>
  <c r="Q26" i="6"/>
  <c r="Q27" i="6"/>
  <c r="Q28" i="6"/>
  <c r="Q30" i="6"/>
  <c r="Q31" i="6"/>
  <c r="K7" i="6"/>
  <c r="K33" i="6"/>
  <c r="R33" i="6"/>
  <c r="K8" i="6"/>
  <c r="K9" i="6"/>
  <c r="R9" i="6"/>
  <c r="K10" i="6"/>
  <c r="K11" i="6"/>
  <c r="K12" i="6"/>
  <c r="R12" i="6"/>
  <c r="K13" i="6"/>
  <c r="R13" i="6"/>
  <c r="K14" i="6"/>
  <c r="K15" i="6"/>
  <c r="K16" i="6"/>
  <c r="R16" i="6"/>
  <c r="K17" i="6"/>
  <c r="R17" i="6"/>
  <c r="K18" i="6"/>
  <c r="K19" i="6"/>
  <c r="K20" i="6"/>
  <c r="R20" i="6"/>
  <c r="K21" i="6"/>
  <c r="R21" i="6"/>
  <c r="K22" i="6"/>
  <c r="K23" i="6"/>
  <c r="K24" i="6"/>
  <c r="R24" i="6"/>
  <c r="K25" i="6"/>
  <c r="R25" i="6"/>
  <c r="K26" i="6"/>
  <c r="K27" i="6"/>
  <c r="K28" i="6"/>
  <c r="R28" i="6"/>
  <c r="K29" i="6"/>
  <c r="R29" i="6"/>
  <c r="K30" i="6"/>
  <c r="K31" i="6"/>
  <c r="K32" i="6"/>
  <c r="R32" i="6"/>
  <c r="E32" i="6"/>
  <c r="Q32" i="6"/>
  <c r="E33" i="6"/>
  <c r="E8" i="6"/>
  <c r="E9" i="6"/>
  <c r="Q9" i="6"/>
  <c r="E10" i="6"/>
  <c r="E11" i="6"/>
  <c r="E12" i="6"/>
  <c r="E13" i="6"/>
  <c r="Q13" i="6"/>
  <c r="E14" i="6"/>
  <c r="E15" i="6"/>
  <c r="E16" i="6"/>
  <c r="E17" i="6"/>
  <c r="Q17" i="6"/>
  <c r="E18" i="6"/>
  <c r="E19" i="6"/>
  <c r="E20" i="6"/>
  <c r="E21" i="6"/>
  <c r="Q21" i="6"/>
  <c r="E22" i="6"/>
  <c r="E23" i="6"/>
  <c r="E24" i="6"/>
  <c r="E25" i="6"/>
  <c r="Q25" i="6"/>
  <c r="E26" i="6"/>
  <c r="E27" i="6"/>
  <c r="E28" i="6"/>
  <c r="E29" i="6"/>
  <c r="Q29" i="6"/>
  <c r="E30" i="6"/>
  <c r="E31" i="6"/>
  <c r="Y3" i="5"/>
  <c r="P27" i="8"/>
  <c r="P19" i="8"/>
  <c r="P6" i="8"/>
  <c r="P33" i="8"/>
  <c r="P25" i="8"/>
  <c r="P17" i="8"/>
  <c r="P9" i="8"/>
  <c r="P32" i="8"/>
  <c r="P28" i="8"/>
  <c r="P24" i="8"/>
  <c r="P20" i="8"/>
  <c r="P16" i="8"/>
  <c r="P12" i="8"/>
  <c r="P8" i="8"/>
  <c r="P4" i="8"/>
  <c r="P30" i="8"/>
  <c r="P26" i="8"/>
  <c r="P22" i="8"/>
  <c r="P18" i="8"/>
  <c r="P14" i="8"/>
  <c r="P10" i="8"/>
  <c r="G211" i="8"/>
  <c r="J211" i="8"/>
  <c r="G191" i="8"/>
  <c r="J191" i="8"/>
  <c r="G216" i="8"/>
  <c r="J216" i="8"/>
  <c r="G202" i="8"/>
  <c r="J202" i="8"/>
  <c r="G207" i="8"/>
  <c r="J207" i="8"/>
  <c r="G204" i="8"/>
  <c r="J204" i="8"/>
  <c r="G220" i="8"/>
  <c r="J220" i="8"/>
  <c r="G205" i="8"/>
  <c r="J205" i="8"/>
  <c r="G221" i="8"/>
  <c r="G206" i="8"/>
  <c r="J206" i="8"/>
  <c r="G222" i="8"/>
  <c r="J222" i="8"/>
  <c r="G199" i="8"/>
  <c r="J199" i="8"/>
  <c r="G192" i="8"/>
  <c r="J192" i="8"/>
  <c r="G208" i="8"/>
  <c r="J208" i="8"/>
  <c r="G193" i="8"/>
  <c r="J193" i="8"/>
  <c r="G209" i="8"/>
  <c r="J209" i="8"/>
  <c r="G194" i="8"/>
  <c r="J194" i="8"/>
  <c r="G210" i="8"/>
  <c r="J210" i="8"/>
  <c r="G203" i="8"/>
  <c r="J203" i="8"/>
  <c r="G215" i="8"/>
  <c r="J215" i="8"/>
  <c r="G200" i="8"/>
  <c r="J200" i="8"/>
  <c r="G201" i="8"/>
  <c r="J201" i="8"/>
  <c r="G217" i="8"/>
  <c r="J217" i="8"/>
  <c r="G218" i="8"/>
  <c r="J218" i="8"/>
  <c r="G196" i="8"/>
  <c r="J196" i="8"/>
  <c r="G212" i="8"/>
  <c r="J212" i="8"/>
  <c r="G197" i="8"/>
  <c r="J197" i="8"/>
  <c r="G213" i="8"/>
  <c r="J213" i="8"/>
  <c r="G198" i="8"/>
  <c r="G214" i="8"/>
  <c r="J214" i="8"/>
  <c r="G195" i="8"/>
  <c r="J195" i="8"/>
  <c r="G219" i="8"/>
  <c r="J219" i="8"/>
  <c r="J221" i="8"/>
  <c r="J198" i="8"/>
  <c r="E235" i="8" a="1"/>
  <c r="E236" i="8"/>
  <c r="E124" i="8"/>
  <c r="G122" i="8"/>
  <c r="G123" i="8"/>
  <c r="F122" i="8"/>
  <c r="G124" i="8"/>
  <c r="F123" i="8"/>
  <c r="E122" i="8"/>
  <c r="F124" i="8"/>
  <c r="AH119" i="8"/>
  <c r="AD119" i="8"/>
  <c r="Z119" i="8"/>
  <c r="V119" i="8"/>
  <c r="R119" i="8"/>
  <c r="N119" i="8"/>
  <c r="J119" i="8"/>
  <c r="F119" i="8"/>
  <c r="AH118" i="8"/>
  <c r="AD118" i="8"/>
  <c r="Z118" i="8"/>
  <c r="V118" i="8"/>
  <c r="R118" i="8"/>
  <c r="N118" i="8"/>
  <c r="J118" i="8"/>
  <c r="F118" i="8"/>
  <c r="AH117" i="8"/>
  <c r="AD117" i="8"/>
  <c r="Z117" i="8"/>
  <c r="V117" i="8"/>
  <c r="R117" i="8"/>
  <c r="N117" i="8"/>
  <c r="J117" i="8"/>
  <c r="F117" i="8"/>
  <c r="AG119" i="8"/>
  <c r="AC119" i="8"/>
  <c r="Y119" i="8"/>
  <c r="U119" i="8"/>
  <c r="Q119" i="8"/>
  <c r="M119" i="8"/>
  <c r="I119" i="8"/>
  <c r="E119" i="8"/>
  <c r="AG118" i="8"/>
  <c r="AC118" i="8"/>
  <c r="Y118" i="8"/>
  <c r="U118" i="8"/>
  <c r="Q118" i="8"/>
  <c r="M118" i="8"/>
  <c r="I118" i="8"/>
  <c r="E118" i="8"/>
  <c r="AG117" i="8"/>
  <c r="AC117" i="8"/>
  <c r="Y117" i="8"/>
  <c r="U117" i="8"/>
  <c r="Q117" i="8"/>
  <c r="M117" i="8"/>
  <c r="I117" i="8"/>
  <c r="J79" i="8"/>
  <c r="J80" i="8"/>
  <c r="J81" i="8"/>
  <c r="J82" i="8"/>
  <c r="J8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90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J87" i="8"/>
  <c r="Y45" i="8"/>
  <c r="AK45" i="8"/>
  <c r="AG45" i="8"/>
  <c r="U45" i="8"/>
  <c r="M45" i="8"/>
  <c r="AK44" i="8"/>
  <c r="AC44" i="8"/>
  <c r="U44" i="8"/>
  <c r="M44" i="8"/>
  <c r="AK43" i="8"/>
  <c r="AC43" i="8"/>
  <c r="U43" i="8"/>
  <c r="M43" i="8"/>
  <c r="I43" i="8"/>
  <c r="AG42" i="8"/>
  <c r="Y42" i="8"/>
  <c r="M42" i="8"/>
  <c r="AB45" i="8"/>
  <c r="T45" i="8"/>
  <c r="L45" i="8"/>
  <c r="AJ44" i="8"/>
  <c r="AB44" i="8"/>
  <c r="T44" i="8"/>
  <c r="L44" i="8"/>
  <c r="AJ43" i="8"/>
  <c r="AB43" i="8"/>
  <c r="T43" i="8"/>
  <c r="L43" i="8"/>
  <c r="AJ42" i="8"/>
  <c r="AB42" i="8"/>
  <c r="X42" i="8"/>
  <c r="T42" i="8"/>
  <c r="P42" i="8"/>
  <c r="H42" i="8"/>
  <c r="AI45" i="8"/>
  <c r="AE45" i="8"/>
  <c r="AA45" i="8"/>
  <c r="W45" i="8"/>
  <c r="S45" i="8"/>
  <c r="O45" i="8"/>
  <c r="K45" i="8"/>
  <c r="G45" i="8"/>
  <c r="AI44" i="8"/>
  <c r="AE44" i="8"/>
  <c r="AA44" i="8"/>
  <c r="W44" i="8"/>
  <c r="S44" i="8"/>
  <c r="O44" i="8"/>
  <c r="K44" i="8"/>
  <c r="G44" i="8"/>
  <c r="AI43" i="8"/>
  <c r="AE43" i="8"/>
  <c r="AA43" i="8"/>
  <c r="W43" i="8"/>
  <c r="S43" i="8"/>
  <c r="O43" i="8"/>
  <c r="K43" i="8"/>
  <c r="G43" i="8"/>
  <c r="AI42" i="8"/>
  <c r="AE42" i="8"/>
  <c r="AA42" i="8"/>
  <c r="W42" i="8"/>
  <c r="S42" i="8"/>
  <c r="O42" i="8"/>
  <c r="K42" i="8"/>
  <c r="G42" i="8"/>
  <c r="F48" i="8" a="1"/>
  <c r="AC45" i="8"/>
  <c r="Q45" i="8"/>
  <c r="I45" i="8"/>
  <c r="AG44" i="8"/>
  <c r="Y44" i="8"/>
  <c r="Q44" i="8"/>
  <c r="I44" i="8"/>
  <c r="AG43" i="8"/>
  <c r="Y43" i="8"/>
  <c r="Q43" i="8"/>
  <c r="AK42" i="8"/>
  <c r="AC42" i="8"/>
  <c r="U42" i="8"/>
  <c r="Q42" i="8"/>
  <c r="I42" i="8"/>
  <c r="AJ45" i="8"/>
  <c r="AF45" i="8"/>
  <c r="X45" i="8"/>
  <c r="P45" i="8"/>
  <c r="H45" i="8"/>
  <c r="AF44" i="8"/>
  <c r="X44" i="8"/>
  <c r="P44" i="8"/>
  <c r="H44" i="8"/>
  <c r="AF43" i="8"/>
  <c r="X43" i="8"/>
  <c r="P43" i="8"/>
  <c r="H43" i="8"/>
  <c r="AF42" i="8"/>
  <c r="L42" i="8"/>
  <c r="AH45" i="8"/>
  <c r="AD45" i="8"/>
  <c r="Z45" i="8"/>
  <c r="V45" i="8"/>
  <c r="R45" i="8"/>
  <c r="N45" i="8"/>
  <c r="J45" i="8"/>
  <c r="F45" i="8"/>
  <c r="AH44" i="8"/>
  <c r="AD44" i="8"/>
  <c r="Z44" i="8"/>
  <c r="V44" i="8"/>
  <c r="R44" i="8"/>
  <c r="N44" i="8"/>
  <c r="J44" i="8"/>
  <c r="F44" i="8"/>
  <c r="AH43" i="8"/>
  <c r="AD43" i="8"/>
  <c r="Z43" i="8"/>
  <c r="V43" i="8"/>
  <c r="R43" i="8"/>
  <c r="N43" i="8"/>
  <c r="J43" i="8"/>
  <c r="F43" i="8"/>
  <c r="AH42" i="8"/>
  <c r="AD42" i="8"/>
  <c r="Z42" i="8"/>
  <c r="V42" i="8"/>
  <c r="R42" i="8"/>
  <c r="N42" i="8"/>
  <c r="J42" i="8"/>
  <c r="AS4" i="7"/>
  <c r="AS3" i="7"/>
  <c r="AS5" i="7"/>
  <c r="AQ4" i="7"/>
  <c r="AQ5" i="7"/>
  <c r="AO4" i="7"/>
  <c r="AO3" i="7"/>
  <c r="AO5" i="7"/>
  <c r="AM5" i="7"/>
  <c r="AK3" i="7"/>
  <c r="AK5" i="7"/>
  <c r="AI4" i="7"/>
  <c r="AI5" i="7"/>
  <c r="U34" i="7"/>
  <c r="R34" i="7"/>
  <c r="T34" i="7"/>
  <c r="S8" i="6"/>
  <c r="S10" i="6"/>
  <c r="S12" i="6"/>
  <c r="S14" i="6"/>
  <c r="S16" i="6"/>
  <c r="S18" i="6"/>
  <c r="S20" i="6"/>
  <c r="S22" i="6"/>
  <c r="S24" i="6"/>
  <c r="S26" i="6"/>
  <c r="S28" i="6"/>
  <c r="S30" i="6"/>
  <c r="S32" i="6"/>
  <c r="T8" i="6"/>
  <c r="T10" i="6"/>
  <c r="T12" i="6"/>
  <c r="T14" i="6"/>
  <c r="T16" i="6"/>
  <c r="T18" i="6"/>
  <c r="T20" i="6"/>
  <c r="T22" i="6"/>
  <c r="T24" i="6"/>
  <c r="T26" i="6"/>
  <c r="T28" i="6"/>
  <c r="T30" i="6"/>
  <c r="T32" i="6"/>
  <c r="S9" i="6"/>
  <c r="S11" i="6"/>
  <c r="S13" i="6"/>
  <c r="S15" i="6"/>
  <c r="S17" i="6"/>
  <c r="S19" i="6"/>
  <c r="S21" i="6"/>
  <c r="S23" i="6"/>
  <c r="S25" i="6"/>
  <c r="S27" i="6"/>
  <c r="S29" i="6"/>
  <c r="S31" i="6"/>
  <c r="S33" i="6"/>
  <c r="T9" i="6"/>
  <c r="T11" i="6"/>
  <c r="T13" i="6"/>
  <c r="T15" i="6"/>
  <c r="T17" i="6"/>
  <c r="T19" i="6"/>
  <c r="T21" i="6"/>
  <c r="T23" i="6"/>
  <c r="T25" i="6"/>
  <c r="T27" i="6"/>
  <c r="T29" i="6"/>
  <c r="T31" i="6"/>
  <c r="T33" i="6"/>
  <c r="X4" i="5"/>
  <c r="W3" i="5"/>
  <c r="F48" i="8"/>
  <c r="I51" i="8"/>
  <c r="I48" i="8"/>
  <c r="I49" i="8"/>
  <c r="I50" i="8"/>
  <c r="G51" i="8"/>
  <c r="G50" i="8"/>
  <c r="H49" i="8"/>
  <c r="H48" i="8"/>
  <c r="H51" i="8"/>
  <c r="H50" i="8"/>
  <c r="G49" i="8"/>
  <c r="F51" i="8"/>
  <c r="G48" i="8"/>
  <c r="F50" i="8"/>
  <c r="F49" i="8"/>
  <c r="J223" i="8"/>
  <c r="B226" i="8"/>
  <c r="E226" i="8"/>
  <c r="M192" i="8"/>
  <c r="E237" i="8"/>
  <c r="G237" i="8"/>
  <c r="G235" i="8"/>
  <c r="F235" i="8"/>
  <c r="F236" i="8"/>
  <c r="F237" i="8"/>
  <c r="G236" i="8"/>
  <c r="E235" i="8"/>
  <c r="J110" i="8"/>
  <c r="I110" i="8"/>
  <c r="K110" i="8"/>
  <c r="W6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F58" i="8" a="1"/>
  <c r="M206" i="8"/>
  <c r="M197" i="8"/>
  <c r="M214" i="8"/>
  <c r="M199" i="8"/>
  <c r="M218" i="8"/>
  <c r="M217" i="8"/>
  <c r="M193" i="8"/>
  <c r="M221" i="8"/>
  <c r="M219" i="8"/>
  <c r="M209" i="8"/>
  <c r="M215" i="8"/>
  <c r="M222" i="8"/>
  <c r="M196" i="8"/>
  <c r="M216" i="8"/>
  <c r="M198" i="8"/>
  <c r="M210" i="8"/>
  <c r="M194" i="8"/>
  <c r="M205" i="8"/>
  <c r="M202" i="8"/>
  <c r="M220" i="8"/>
  <c r="M204" i="8"/>
  <c r="M207" i="8"/>
  <c r="M212" i="8"/>
  <c r="M208" i="8"/>
  <c r="M201" i="8"/>
  <c r="M213" i="8"/>
  <c r="M200" i="8"/>
  <c r="M203" i="8"/>
  <c r="M195" i="8"/>
  <c r="M191" i="8"/>
  <c r="M211" i="8"/>
  <c r="F239" i="8"/>
  <c r="F240" i="8"/>
  <c r="E244" i="8" a="1"/>
  <c r="G246" i="8"/>
  <c r="F250" i="8"/>
  <c r="S5" i="5"/>
  <c r="X6" i="5"/>
  <c r="W7" i="5"/>
  <c r="I2" i="5"/>
  <c r="N2" i="5"/>
  <c r="F58" i="8"/>
  <c r="I59" i="8"/>
  <c r="H61" i="8"/>
  <c r="I60" i="8"/>
  <c r="G59" i="8"/>
  <c r="F59" i="8"/>
  <c r="H59" i="8"/>
  <c r="J72" i="8"/>
  <c r="G60" i="8"/>
  <c r="H60" i="8"/>
  <c r="G65" i="8"/>
  <c r="I58" i="8"/>
  <c r="G58" i="8"/>
  <c r="I61" i="8"/>
  <c r="G66" i="8"/>
  <c r="G61" i="8"/>
  <c r="F61" i="8"/>
  <c r="H58" i="8"/>
  <c r="J70" i="8"/>
  <c r="F60" i="8"/>
  <c r="F246" i="8"/>
  <c r="E246" i="8"/>
  <c r="E245" i="8"/>
  <c r="E244" i="8"/>
  <c r="F248" i="8"/>
  <c r="G245" i="8"/>
  <c r="F245" i="8"/>
  <c r="F249" i="8"/>
  <c r="G244" i="8"/>
  <c r="F244" i="8"/>
  <c r="X7" i="5"/>
  <c r="R5" i="5"/>
  <c r="U5" i="5"/>
  <c r="S6" i="5"/>
  <c r="G74" i="8"/>
  <c r="J73" i="8"/>
  <c r="J71" i="8"/>
  <c r="F257" i="8"/>
  <c r="I257" i="8"/>
  <c r="F254" i="8"/>
  <c r="I254" i="8"/>
  <c r="F255" i="8"/>
  <c r="I255" i="8"/>
  <c r="S7" i="5"/>
  <c r="R6" i="5"/>
  <c r="U6" i="5"/>
  <c r="W8" i="5"/>
  <c r="E4" i="5"/>
  <c r="I4" i="5"/>
  <c r="N4" i="5"/>
  <c r="K5" i="4"/>
  <c r="R5" i="4"/>
  <c r="K6" i="4"/>
  <c r="R6" i="4"/>
  <c r="K7" i="4"/>
  <c r="R7" i="4"/>
  <c r="K8" i="4"/>
  <c r="R8" i="4"/>
  <c r="K9" i="4"/>
  <c r="R9" i="4"/>
  <c r="K10" i="4"/>
  <c r="R10" i="4"/>
  <c r="K11" i="4"/>
  <c r="R11" i="4"/>
  <c r="K12" i="4"/>
  <c r="R12" i="4"/>
  <c r="K13" i="4"/>
  <c r="R13" i="4"/>
  <c r="K14" i="4"/>
  <c r="R14" i="4"/>
  <c r="K15" i="4"/>
  <c r="R15" i="4"/>
  <c r="K16" i="4"/>
  <c r="R16" i="4"/>
  <c r="K17" i="4"/>
  <c r="R17" i="4"/>
  <c r="K18" i="4"/>
  <c r="R18" i="4"/>
  <c r="K19" i="4"/>
  <c r="R19" i="4"/>
  <c r="K20" i="4"/>
  <c r="R20" i="4"/>
  <c r="K21" i="4"/>
  <c r="R21" i="4"/>
  <c r="K22" i="4"/>
  <c r="R22" i="4"/>
  <c r="K23" i="4"/>
  <c r="R23" i="4"/>
  <c r="K24" i="4"/>
  <c r="R24" i="4"/>
  <c r="K25" i="4"/>
  <c r="R25" i="4"/>
  <c r="K26" i="4"/>
  <c r="R26" i="4"/>
  <c r="K27" i="4"/>
  <c r="R27" i="4"/>
  <c r="K28" i="4"/>
  <c r="R28" i="4"/>
  <c r="K29" i="4"/>
  <c r="R29" i="4"/>
  <c r="K30" i="4"/>
  <c r="R30" i="4"/>
  <c r="K31" i="4"/>
  <c r="R31" i="4"/>
  <c r="K32" i="4"/>
  <c r="R32" i="4"/>
  <c r="K33" i="4"/>
  <c r="R33" i="4"/>
  <c r="K4" i="4"/>
  <c r="R4" i="4"/>
  <c r="E5" i="4"/>
  <c r="Q5" i="4"/>
  <c r="E6" i="4"/>
  <c r="Q6" i="4"/>
  <c r="E7" i="4"/>
  <c r="Q7" i="4"/>
  <c r="E8" i="4"/>
  <c r="Q8" i="4"/>
  <c r="E9" i="4"/>
  <c r="Q9" i="4"/>
  <c r="E10" i="4"/>
  <c r="Q10" i="4"/>
  <c r="E11" i="4"/>
  <c r="Q11" i="4"/>
  <c r="E12" i="4"/>
  <c r="Q12" i="4"/>
  <c r="E13" i="4"/>
  <c r="Q13" i="4"/>
  <c r="E14" i="4"/>
  <c r="Q14" i="4"/>
  <c r="E15" i="4"/>
  <c r="Q15" i="4"/>
  <c r="E16" i="4"/>
  <c r="Q16" i="4"/>
  <c r="E17" i="4"/>
  <c r="Q17" i="4"/>
  <c r="E18" i="4"/>
  <c r="Q18" i="4"/>
  <c r="E19" i="4"/>
  <c r="Q19" i="4"/>
  <c r="E20" i="4"/>
  <c r="Q20" i="4"/>
  <c r="E21" i="4"/>
  <c r="Q21" i="4"/>
  <c r="E22" i="4"/>
  <c r="Q22" i="4"/>
  <c r="E23" i="4"/>
  <c r="Q23" i="4"/>
  <c r="E24" i="4"/>
  <c r="Q24" i="4"/>
  <c r="E25" i="4"/>
  <c r="Q25" i="4"/>
  <c r="E26" i="4"/>
  <c r="Q26" i="4"/>
  <c r="E27" i="4"/>
  <c r="Q27" i="4"/>
  <c r="E28" i="4"/>
  <c r="Q28" i="4"/>
  <c r="E29" i="4"/>
  <c r="Q29" i="4"/>
  <c r="E30" i="4"/>
  <c r="Q30" i="4"/>
  <c r="E31" i="4"/>
  <c r="Q31" i="4"/>
  <c r="E32" i="4"/>
  <c r="Q32" i="4"/>
  <c r="Q33" i="4"/>
  <c r="X35" i="4"/>
  <c r="W35" i="4"/>
  <c r="U30" i="4"/>
  <c r="S30" i="4"/>
  <c r="U18" i="4"/>
  <c r="S18" i="4"/>
  <c r="U10" i="4"/>
  <c r="S10" i="4"/>
  <c r="V32" i="4"/>
  <c r="T32" i="4"/>
  <c r="V24" i="4"/>
  <c r="T24" i="4"/>
  <c r="V20" i="4"/>
  <c r="T20" i="4"/>
  <c r="V8" i="4"/>
  <c r="T8" i="4"/>
  <c r="U29" i="4"/>
  <c r="S29" i="4"/>
  <c r="U21" i="4"/>
  <c r="S21" i="4"/>
  <c r="U17" i="4"/>
  <c r="S17" i="4"/>
  <c r="U13" i="4"/>
  <c r="S13" i="4"/>
  <c r="U9" i="4"/>
  <c r="S9" i="4"/>
  <c r="S5" i="4"/>
  <c r="V31" i="4"/>
  <c r="T31" i="4"/>
  <c r="V27" i="4"/>
  <c r="T27" i="4"/>
  <c r="V23" i="4"/>
  <c r="T23" i="4"/>
  <c r="V19" i="4"/>
  <c r="T19" i="4"/>
  <c r="V15" i="4"/>
  <c r="T15" i="4"/>
  <c r="V11" i="4"/>
  <c r="T11" i="4"/>
  <c r="V7" i="4"/>
  <c r="T7" i="4"/>
  <c r="U22" i="4"/>
  <c r="S22" i="4"/>
  <c r="U25" i="4"/>
  <c r="S25" i="4"/>
  <c r="S32" i="4"/>
  <c r="U32" i="4"/>
  <c r="U28" i="4"/>
  <c r="S28" i="4"/>
  <c r="S24" i="4"/>
  <c r="U24" i="4"/>
  <c r="U20" i="4"/>
  <c r="S20" i="4"/>
  <c r="S16" i="4"/>
  <c r="U16" i="4"/>
  <c r="U12" i="4"/>
  <c r="S12" i="4"/>
  <c r="U8" i="4"/>
  <c r="S8" i="4"/>
  <c r="V4" i="4"/>
  <c r="T4" i="4"/>
  <c r="V30" i="4"/>
  <c r="T30" i="4"/>
  <c r="V26" i="4"/>
  <c r="T26" i="4"/>
  <c r="V22" i="4"/>
  <c r="T22" i="4"/>
  <c r="V18" i="4"/>
  <c r="T18" i="4"/>
  <c r="V14" i="4"/>
  <c r="T14" i="4"/>
  <c r="V10" i="4"/>
  <c r="T10" i="4"/>
  <c r="V6" i="4"/>
  <c r="T6" i="4"/>
  <c r="AB6" i="4"/>
  <c r="S4" i="4"/>
  <c r="U26" i="4"/>
  <c r="S26" i="4"/>
  <c r="U14" i="4"/>
  <c r="S14" i="4"/>
  <c r="U6" i="4"/>
  <c r="S6" i="4"/>
  <c r="V28" i="4"/>
  <c r="T28" i="4"/>
  <c r="V16" i="4"/>
  <c r="T16" i="4"/>
  <c r="V12" i="4"/>
  <c r="T12" i="4"/>
  <c r="U33" i="4"/>
  <c r="S33" i="4"/>
  <c r="U31" i="4"/>
  <c r="S31" i="4"/>
  <c r="U27" i="4"/>
  <c r="S27" i="4"/>
  <c r="U23" i="4"/>
  <c r="S23" i="4"/>
  <c r="U19" i="4"/>
  <c r="S19" i="4"/>
  <c r="U15" i="4"/>
  <c r="S15" i="4"/>
  <c r="U11" i="4"/>
  <c r="S11" i="4"/>
  <c r="U7" i="4"/>
  <c r="S7" i="4"/>
  <c r="V33" i="4"/>
  <c r="T33" i="4"/>
  <c r="V29" i="4"/>
  <c r="T29" i="4"/>
  <c r="V25" i="4"/>
  <c r="T25" i="4"/>
  <c r="V21" i="4"/>
  <c r="T21" i="4"/>
  <c r="V17" i="4"/>
  <c r="T17" i="4"/>
  <c r="V13" i="4"/>
  <c r="T13" i="4"/>
  <c r="V9" i="4"/>
  <c r="T9" i="4"/>
  <c r="V5" i="4"/>
  <c r="T5" i="4"/>
  <c r="E5" i="5"/>
  <c r="W9" i="5"/>
  <c r="X8" i="5"/>
  <c r="S8" i="5"/>
  <c r="R7" i="5"/>
  <c r="U7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I5" i="5"/>
  <c r="Z6" i="4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5" i="3"/>
  <c r="S9" i="5"/>
  <c r="R8" i="5"/>
  <c r="U8" i="5"/>
  <c r="X9" i="5"/>
  <c r="W10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S35" i="4"/>
  <c r="T35" i="4"/>
  <c r="R9" i="3"/>
  <c r="R7" i="3"/>
  <c r="R8" i="3"/>
  <c r="R6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5" i="3"/>
  <c r="Q9" i="3"/>
  <c r="U9" i="3"/>
  <c r="Q13" i="3"/>
  <c r="U13" i="3"/>
  <c r="Q17" i="3"/>
  <c r="U17" i="3"/>
  <c r="Q21" i="3"/>
  <c r="U21" i="3"/>
  <c r="Q25" i="3"/>
  <c r="U25" i="3"/>
  <c r="Q29" i="3"/>
  <c r="U29" i="3"/>
  <c r="Q33" i="3"/>
  <c r="U33" i="3"/>
  <c r="E6" i="3"/>
  <c r="Q6" i="3"/>
  <c r="E7" i="3"/>
  <c r="Q7" i="3"/>
  <c r="E8" i="3"/>
  <c r="Q8" i="3"/>
  <c r="E9" i="3"/>
  <c r="E10" i="3"/>
  <c r="Q10" i="3"/>
  <c r="E11" i="3"/>
  <c r="Q11" i="3"/>
  <c r="E12" i="3"/>
  <c r="Q12" i="3"/>
  <c r="E13" i="3"/>
  <c r="E14" i="3"/>
  <c r="Q14" i="3"/>
  <c r="E15" i="3"/>
  <c r="Q15" i="3"/>
  <c r="E16" i="3"/>
  <c r="Q16" i="3"/>
  <c r="E17" i="3"/>
  <c r="E18" i="3"/>
  <c r="Q18" i="3"/>
  <c r="E19" i="3"/>
  <c r="Q19" i="3"/>
  <c r="E20" i="3"/>
  <c r="Q20" i="3"/>
  <c r="E21" i="3"/>
  <c r="E22" i="3"/>
  <c r="Q22" i="3"/>
  <c r="E23" i="3"/>
  <c r="Q23" i="3"/>
  <c r="E24" i="3"/>
  <c r="Q24" i="3"/>
  <c r="E25" i="3"/>
  <c r="E26" i="3"/>
  <c r="Q26" i="3"/>
  <c r="E27" i="3"/>
  <c r="Q27" i="3"/>
  <c r="E28" i="3"/>
  <c r="Q28" i="3"/>
  <c r="E29" i="3"/>
  <c r="E30" i="3"/>
  <c r="Q30" i="3"/>
  <c r="E31" i="3"/>
  <c r="Q31" i="3"/>
  <c r="E32" i="3"/>
  <c r="Q32" i="3"/>
  <c r="E33" i="3"/>
  <c r="U30" i="3"/>
  <c r="S30" i="3"/>
  <c r="U22" i="3"/>
  <c r="S22" i="3"/>
  <c r="U32" i="3"/>
  <c r="S32" i="3"/>
  <c r="U28" i="3"/>
  <c r="S28" i="3"/>
  <c r="U24" i="3"/>
  <c r="S24" i="3"/>
  <c r="U20" i="3"/>
  <c r="S20" i="3"/>
  <c r="U16" i="3"/>
  <c r="S16" i="3"/>
  <c r="U12" i="3"/>
  <c r="S12" i="3"/>
  <c r="U8" i="3"/>
  <c r="S8" i="3"/>
  <c r="U31" i="3"/>
  <c r="S31" i="3"/>
  <c r="U27" i="3"/>
  <c r="S27" i="3"/>
  <c r="U23" i="3"/>
  <c r="S23" i="3"/>
  <c r="U19" i="3"/>
  <c r="S19" i="3"/>
  <c r="U15" i="3"/>
  <c r="S15" i="3"/>
  <c r="U11" i="3"/>
  <c r="S11" i="3"/>
  <c r="U7" i="3"/>
  <c r="S7" i="3"/>
  <c r="U26" i="3"/>
  <c r="S26" i="3"/>
  <c r="U18" i="3"/>
  <c r="S18" i="3"/>
  <c r="U14" i="3"/>
  <c r="S14" i="3"/>
  <c r="U10" i="3"/>
  <c r="S10" i="3"/>
  <c r="U6" i="3"/>
  <c r="S6" i="3"/>
  <c r="S33" i="3"/>
  <c r="S29" i="3"/>
  <c r="S25" i="3"/>
  <c r="S21" i="3"/>
  <c r="S17" i="3"/>
  <c r="S13" i="3"/>
  <c r="S9" i="3"/>
  <c r="S10" i="5"/>
  <c r="R9" i="5"/>
  <c r="U9" i="5"/>
  <c r="X10" i="5"/>
  <c r="W11" i="5"/>
  <c r="T33" i="3"/>
  <c r="V33" i="3"/>
  <c r="V32" i="3"/>
  <c r="T32" i="3"/>
  <c r="V30" i="3"/>
  <c r="T30" i="3"/>
  <c r="V28" i="3"/>
  <c r="T28" i="3"/>
  <c r="T26" i="3"/>
  <c r="V26" i="3"/>
  <c r="V24" i="3"/>
  <c r="T24" i="3"/>
  <c r="V22" i="3"/>
  <c r="T22" i="3"/>
  <c r="V20" i="3"/>
  <c r="T20" i="3"/>
  <c r="V18" i="3"/>
  <c r="T18" i="3"/>
  <c r="V16" i="3"/>
  <c r="T16" i="3"/>
  <c r="V14" i="3"/>
  <c r="T14" i="3"/>
  <c r="V12" i="3"/>
  <c r="T12" i="3"/>
  <c r="T10" i="3"/>
  <c r="V10" i="3"/>
  <c r="V8" i="3"/>
  <c r="T8" i="3"/>
  <c r="T9" i="3"/>
  <c r="V9" i="3"/>
  <c r="V31" i="3"/>
  <c r="T31" i="3"/>
  <c r="T29" i="3"/>
  <c r="V29" i="3"/>
  <c r="T27" i="3"/>
  <c r="V27" i="3"/>
  <c r="T25" i="3"/>
  <c r="V25" i="3"/>
  <c r="T23" i="3"/>
  <c r="V23" i="3"/>
  <c r="V21" i="3"/>
  <c r="T21" i="3"/>
  <c r="T19" i="3"/>
  <c r="V19" i="3"/>
  <c r="T17" i="3"/>
  <c r="V17" i="3"/>
  <c r="T15" i="3"/>
  <c r="V15" i="3"/>
  <c r="V13" i="3"/>
  <c r="T13" i="3"/>
  <c r="T11" i="3"/>
  <c r="V11" i="3"/>
  <c r="V6" i="3"/>
  <c r="T6" i="3"/>
  <c r="V7" i="3"/>
  <c r="T7" i="3"/>
  <c r="V5" i="3"/>
  <c r="T5" i="3"/>
  <c r="S11" i="5"/>
  <c r="R10" i="5"/>
  <c r="U10" i="5"/>
  <c r="X11" i="5"/>
  <c r="W12" i="5"/>
  <c r="K7" i="2"/>
  <c r="R7" i="2"/>
  <c r="K8" i="2"/>
  <c r="R8" i="2"/>
  <c r="K9" i="2"/>
  <c r="R9" i="2"/>
  <c r="K10" i="2"/>
  <c r="R10" i="2"/>
  <c r="K11" i="2"/>
  <c r="R11" i="2"/>
  <c r="K12" i="2"/>
  <c r="R12" i="2"/>
  <c r="K13" i="2"/>
  <c r="R13" i="2"/>
  <c r="K14" i="2"/>
  <c r="R14" i="2"/>
  <c r="K15" i="2"/>
  <c r="R15" i="2"/>
  <c r="K16" i="2"/>
  <c r="R16" i="2"/>
  <c r="K17" i="2"/>
  <c r="R17" i="2"/>
  <c r="K18" i="2"/>
  <c r="R18" i="2"/>
  <c r="K19" i="2"/>
  <c r="R19" i="2"/>
  <c r="K20" i="2"/>
  <c r="R20" i="2"/>
  <c r="K21" i="2"/>
  <c r="R21" i="2"/>
  <c r="K22" i="2"/>
  <c r="R22" i="2"/>
  <c r="K23" i="2"/>
  <c r="R23" i="2"/>
  <c r="K24" i="2"/>
  <c r="R24" i="2"/>
  <c r="K25" i="2"/>
  <c r="R25" i="2"/>
  <c r="K26" i="2"/>
  <c r="R26" i="2"/>
  <c r="K27" i="2"/>
  <c r="R27" i="2"/>
  <c r="K28" i="2"/>
  <c r="R28" i="2"/>
  <c r="K29" i="2"/>
  <c r="R29" i="2"/>
  <c r="K30" i="2"/>
  <c r="R30" i="2"/>
  <c r="K31" i="2"/>
  <c r="R31" i="2"/>
  <c r="K32" i="2"/>
  <c r="R32" i="2"/>
  <c r="K33" i="2"/>
  <c r="R33" i="2"/>
  <c r="K6" i="2"/>
  <c r="R6" i="2"/>
  <c r="V6" i="2"/>
  <c r="T6" i="2"/>
  <c r="V22" i="2"/>
  <c r="T22" i="2"/>
  <c r="V29" i="2"/>
  <c r="T29" i="2"/>
  <c r="V21" i="2"/>
  <c r="T21" i="2"/>
  <c r="V17" i="2"/>
  <c r="T17" i="2"/>
  <c r="V13" i="2"/>
  <c r="T13" i="2"/>
  <c r="V9" i="2"/>
  <c r="T9" i="2"/>
  <c r="T26" i="2"/>
  <c r="V26" i="2"/>
  <c r="V14" i="2"/>
  <c r="T14" i="2"/>
  <c r="V25" i="2"/>
  <c r="T25" i="2"/>
  <c r="V32" i="2"/>
  <c r="T32" i="2"/>
  <c r="V28" i="2"/>
  <c r="T28" i="2"/>
  <c r="V24" i="2"/>
  <c r="T24" i="2"/>
  <c r="V20" i="2"/>
  <c r="T20" i="2"/>
  <c r="V16" i="2"/>
  <c r="T16" i="2"/>
  <c r="V12" i="2"/>
  <c r="T12" i="2"/>
  <c r="V8" i="2"/>
  <c r="T8" i="2"/>
  <c r="S12" i="5"/>
  <c r="R11" i="5"/>
  <c r="U11" i="5"/>
  <c r="V30" i="2"/>
  <c r="T30" i="2"/>
  <c r="V18" i="2"/>
  <c r="T18" i="2"/>
  <c r="V10" i="2"/>
  <c r="T10" i="2"/>
  <c r="V33" i="2"/>
  <c r="T33" i="2"/>
  <c r="V31" i="2"/>
  <c r="T31" i="2"/>
  <c r="V27" i="2"/>
  <c r="T27" i="2"/>
  <c r="V23" i="2"/>
  <c r="T23" i="2"/>
  <c r="V19" i="2"/>
  <c r="T19" i="2"/>
  <c r="V15" i="2"/>
  <c r="T15" i="2"/>
  <c r="V11" i="2"/>
  <c r="T11" i="2"/>
  <c r="V7" i="2"/>
  <c r="T7" i="2"/>
  <c r="X12" i="5"/>
  <c r="W13" i="5"/>
  <c r="E7" i="2"/>
  <c r="Q7" i="2"/>
  <c r="E8" i="2"/>
  <c r="Q8" i="2"/>
  <c r="E9" i="2"/>
  <c r="Q9" i="2"/>
  <c r="E10" i="2"/>
  <c r="Q10" i="2"/>
  <c r="E11" i="2"/>
  <c r="Q11" i="2"/>
  <c r="E12" i="2"/>
  <c r="Q12" i="2"/>
  <c r="E13" i="2"/>
  <c r="Q13" i="2"/>
  <c r="E14" i="2"/>
  <c r="Q14" i="2"/>
  <c r="E15" i="2"/>
  <c r="Q15" i="2"/>
  <c r="E16" i="2"/>
  <c r="Q16" i="2"/>
  <c r="E17" i="2"/>
  <c r="Q17" i="2"/>
  <c r="E18" i="2"/>
  <c r="Q18" i="2"/>
  <c r="E19" i="2"/>
  <c r="Q19" i="2"/>
  <c r="E20" i="2"/>
  <c r="Q20" i="2"/>
  <c r="E21" i="2"/>
  <c r="Q21" i="2"/>
  <c r="E22" i="2"/>
  <c r="Q22" i="2"/>
  <c r="E23" i="2"/>
  <c r="Q23" i="2"/>
  <c r="E24" i="2"/>
  <c r="Q24" i="2"/>
  <c r="E25" i="2"/>
  <c r="Q25" i="2"/>
  <c r="E26" i="2"/>
  <c r="Q26" i="2"/>
  <c r="E27" i="2"/>
  <c r="Q27" i="2"/>
  <c r="E28" i="2"/>
  <c r="Q28" i="2"/>
  <c r="E29" i="2"/>
  <c r="Q29" i="2"/>
  <c r="E30" i="2"/>
  <c r="Q30" i="2"/>
  <c r="E31" i="2"/>
  <c r="Q31" i="2"/>
  <c r="E32" i="2"/>
  <c r="Q32" i="2"/>
  <c r="U31" i="2"/>
  <c r="S31" i="2"/>
  <c r="U19" i="2"/>
  <c r="S19" i="2"/>
  <c r="U7" i="2"/>
  <c r="S7" i="2"/>
  <c r="U6" i="2"/>
  <c r="U26" i="2"/>
  <c r="S26" i="2"/>
  <c r="U22" i="2"/>
  <c r="S22" i="2"/>
  <c r="U18" i="2"/>
  <c r="S18" i="2"/>
  <c r="U14" i="2"/>
  <c r="S14" i="2"/>
  <c r="U10" i="2"/>
  <c r="S10" i="2"/>
  <c r="U27" i="2"/>
  <c r="S27" i="2"/>
  <c r="U15" i="2"/>
  <c r="S15" i="2"/>
  <c r="U30" i="2"/>
  <c r="S30" i="2"/>
  <c r="S33" i="2"/>
  <c r="U33" i="2"/>
  <c r="U29" i="2"/>
  <c r="S29" i="2"/>
  <c r="S25" i="2"/>
  <c r="U25" i="2"/>
  <c r="U21" i="2"/>
  <c r="S21" i="2"/>
  <c r="S17" i="2"/>
  <c r="U17" i="2"/>
  <c r="U13" i="2"/>
  <c r="S13" i="2"/>
  <c r="S9" i="2"/>
  <c r="U9" i="2"/>
  <c r="X13" i="5"/>
  <c r="W14" i="5"/>
  <c r="U23" i="2"/>
  <c r="S23" i="2"/>
  <c r="U11" i="2"/>
  <c r="S11" i="2"/>
  <c r="U32" i="2"/>
  <c r="S32" i="2"/>
  <c r="U28" i="2"/>
  <c r="S28" i="2"/>
  <c r="U24" i="2"/>
  <c r="S24" i="2"/>
  <c r="U20" i="2"/>
  <c r="S20" i="2"/>
  <c r="U16" i="2"/>
  <c r="S16" i="2"/>
  <c r="U12" i="2"/>
  <c r="S12" i="2"/>
  <c r="U8" i="2"/>
  <c r="S8" i="2"/>
  <c r="S13" i="5"/>
  <c r="R12" i="5"/>
  <c r="U12" i="5"/>
  <c r="U36" i="1"/>
  <c r="R35" i="1"/>
  <c r="Q35" i="1"/>
  <c r="P35" i="1"/>
  <c r="O35" i="1"/>
  <c r="U37" i="1"/>
  <c r="V35" i="1"/>
  <c r="W3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5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X14" i="5"/>
  <c r="W15" i="5"/>
  <c r="S14" i="5"/>
  <c r="R13" i="5"/>
  <c r="U13" i="5"/>
  <c r="V7" i="1"/>
  <c r="W7" i="1"/>
  <c r="V11" i="1"/>
  <c r="W11" i="1"/>
  <c r="V15" i="1"/>
  <c r="W15" i="1"/>
  <c r="V19" i="1"/>
  <c r="W19" i="1"/>
  <c r="V23" i="1"/>
  <c r="W23" i="1"/>
  <c r="V27" i="1"/>
  <c r="W27" i="1"/>
  <c r="V31" i="1"/>
  <c r="W31" i="1"/>
  <c r="V4" i="1"/>
  <c r="W4" i="1"/>
  <c r="V8" i="1"/>
  <c r="W8" i="1"/>
  <c r="V12" i="1"/>
  <c r="W12" i="1"/>
  <c r="V16" i="1"/>
  <c r="W16" i="1"/>
  <c r="V20" i="1"/>
  <c r="W20" i="1"/>
  <c r="V24" i="1"/>
  <c r="W24" i="1"/>
  <c r="V28" i="1"/>
  <c r="W28" i="1"/>
  <c r="V32" i="1"/>
  <c r="W32" i="1"/>
  <c r="V5" i="1"/>
  <c r="W5" i="1"/>
  <c r="V9" i="1"/>
  <c r="W9" i="1"/>
  <c r="V13" i="1"/>
  <c r="W13" i="1"/>
  <c r="V17" i="1"/>
  <c r="W17" i="1"/>
  <c r="V21" i="1"/>
  <c r="W21" i="1"/>
  <c r="V25" i="1"/>
  <c r="W25" i="1"/>
  <c r="V29" i="1"/>
  <c r="W29" i="1"/>
  <c r="V33" i="1"/>
  <c r="W33" i="1"/>
  <c r="V6" i="1"/>
  <c r="W6" i="1"/>
  <c r="V14" i="1"/>
  <c r="W14" i="1"/>
  <c r="V18" i="1"/>
  <c r="W18" i="1"/>
  <c r="V22" i="1"/>
  <c r="W22" i="1"/>
  <c r="V26" i="1"/>
  <c r="W26" i="1"/>
  <c r="V30" i="1"/>
  <c r="W30" i="1"/>
  <c r="V10" i="1"/>
  <c r="W10" i="1"/>
  <c r="V34" i="1"/>
  <c r="W34" i="1"/>
  <c r="X15" i="5"/>
  <c r="W16" i="5"/>
  <c r="S15" i="5"/>
  <c r="R14" i="5"/>
  <c r="U14" i="5"/>
  <c r="W36" i="1"/>
  <c r="U38" i="1"/>
  <c r="X35" i="1"/>
  <c r="Y35" i="1"/>
  <c r="X16" i="5"/>
  <c r="W17" i="5"/>
  <c r="X5" i="1"/>
  <c r="S16" i="5"/>
  <c r="R15" i="5"/>
  <c r="U15" i="5"/>
  <c r="X6" i="1"/>
  <c r="Y6" i="1"/>
  <c r="X7" i="1"/>
  <c r="Y7" i="1"/>
  <c r="X11" i="1"/>
  <c r="Y11" i="1"/>
  <c r="X15" i="1"/>
  <c r="Y15" i="1"/>
  <c r="X19" i="1"/>
  <c r="Y19" i="1"/>
  <c r="X23" i="1"/>
  <c r="Y23" i="1"/>
  <c r="X27" i="1"/>
  <c r="Y27" i="1"/>
  <c r="X31" i="1"/>
  <c r="Y31" i="1"/>
  <c r="Y5" i="1"/>
  <c r="X12" i="1"/>
  <c r="Y12" i="1"/>
  <c r="X16" i="1"/>
  <c r="Y16" i="1"/>
  <c r="X20" i="1"/>
  <c r="Y20" i="1"/>
  <c r="X24" i="1"/>
  <c r="Y24" i="1"/>
  <c r="X28" i="1"/>
  <c r="Y28" i="1"/>
  <c r="X32" i="1"/>
  <c r="Y32" i="1"/>
  <c r="X13" i="1"/>
  <c r="Y13" i="1"/>
  <c r="X17" i="1"/>
  <c r="Y17" i="1"/>
  <c r="X21" i="1"/>
  <c r="Y21" i="1"/>
  <c r="X25" i="1"/>
  <c r="Y25" i="1"/>
  <c r="X29" i="1"/>
  <c r="Y29" i="1"/>
  <c r="X33" i="1"/>
  <c r="Y33" i="1"/>
  <c r="X10" i="1"/>
  <c r="Y10" i="1"/>
  <c r="X18" i="1"/>
  <c r="Y18" i="1"/>
  <c r="X22" i="1"/>
  <c r="Y22" i="1"/>
  <c r="X26" i="1"/>
  <c r="Y26" i="1"/>
  <c r="X30" i="1"/>
  <c r="Y30" i="1"/>
  <c r="X34" i="1"/>
  <c r="Y34" i="1"/>
  <c r="X8" i="1"/>
  <c r="Y8" i="1"/>
  <c r="X14" i="1"/>
  <c r="Y14" i="1"/>
  <c r="X9" i="1"/>
  <c r="Y9" i="1"/>
  <c r="X17" i="5"/>
  <c r="W18" i="5"/>
  <c r="S17" i="5"/>
  <c r="R16" i="5"/>
  <c r="U16" i="5"/>
  <c r="S18" i="5"/>
  <c r="R17" i="5"/>
  <c r="U17" i="5"/>
  <c r="X18" i="5"/>
  <c r="W19" i="5"/>
  <c r="S19" i="5"/>
  <c r="R18" i="5"/>
  <c r="U18" i="5"/>
  <c r="X19" i="5"/>
  <c r="W20" i="5"/>
  <c r="S20" i="5"/>
  <c r="R19" i="5"/>
  <c r="U19" i="5"/>
  <c r="X20" i="5"/>
  <c r="W21" i="5"/>
  <c r="S21" i="5"/>
  <c r="R20" i="5"/>
  <c r="U20" i="5"/>
  <c r="X21" i="5"/>
  <c r="W22" i="5"/>
  <c r="S22" i="5"/>
  <c r="R21" i="5"/>
  <c r="U21" i="5"/>
  <c r="X22" i="5"/>
  <c r="W23" i="5"/>
  <c r="S23" i="5"/>
  <c r="R22" i="5"/>
  <c r="U22" i="5"/>
  <c r="X23" i="5"/>
  <c r="W24" i="5"/>
  <c r="S24" i="5"/>
  <c r="R23" i="5"/>
  <c r="U23" i="5"/>
  <c r="X24" i="5"/>
  <c r="W25" i="5"/>
  <c r="S25" i="5"/>
  <c r="R24" i="5"/>
  <c r="U24" i="5"/>
  <c r="X25" i="5"/>
  <c r="W26" i="5"/>
  <c r="S26" i="5"/>
  <c r="R25" i="5"/>
  <c r="U25" i="5"/>
  <c r="X26" i="5"/>
  <c r="W27" i="5"/>
  <c r="S27" i="5"/>
  <c r="R26" i="5"/>
  <c r="U26" i="5"/>
  <c r="X27" i="5"/>
  <c r="W28" i="5"/>
  <c r="S28" i="5"/>
  <c r="R27" i="5"/>
  <c r="U27" i="5"/>
  <c r="X28" i="5"/>
  <c r="W29" i="5"/>
  <c r="S29" i="5"/>
  <c r="R28" i="5"/>
  <c r="U28" i="5"/>
  <c r="X29" i="5"/>
  <c r="W30" i="5"/>
  <c r="S30" i="5"/>
  <c r="R29" i="5"/>
  <c r="U29" i="5"/>
  <c r="X30" i="5"/>
  <c r="W31" i="5"/>
  <c r="S31" i="5"/>
  <c r="R30" i="5"/>
  <c r="U30" i="5"/>
  <c r="X31" i="5"/>
  <c r="W32" i="5"/>
  <c r="S32" i="5"/>
  <c r="R31" i="5"/>
  <c r="U31" i="5"/>
  <c r="X32" i="5"/>
  <c r="W33" i="5"/>
  <c r="S33" i="5"/>
  <c r="R32" i="5"/>
  <c r="U32" i="5"/>
  <c r="X33" i="5"/>
  <c r="W34" i="5"/>
  <c r="R33" i="5"/>
  <c r="U33" i="5"/>
  <c r="X34" i="5"/>
  <c r="U34" i="5"/>
  <c r="U35" i="5"/>
</calcChain>
</file>

<file path=xl/sharedStrings.xml><?xml version="1.0" encoding="utf-8"?>
<sst xmlns="http://schemas.openxmlformats.org/spreadsheetml/2006/main" count="491" uniqueCount="222">
  <si>
    <t>Метод поворотних значень</t>
  </si>
  <si>
    <t>Перша умова</t>
  </si>
  <si>
    <t>Друга умова</t>
  </si>
  <si>
    <t>Метод Ірвіна</t>
  </si>
  <si>
    <t xml:space="preserve">∑ = </t>
  </si>
  <si>
    <r>
      <rPr>
        <sz val="11"/>
        <color theme="1"/>
        <rFont val="Calibri"/>
        <family val="2"/>
      </rPr>
      <t>ȳ</t>
    </r>
    <r>
      <rPr>
        <sz val="11"/>
        <color theme="1"/>
        <rFont val="Calibri"/>
        <family val="2"/>
        <charset val="204"/>
      </rPr>
      <t xml:space="preserve"> = </t>
    </r>
  </si>
  <si>
    <r>
      <t xml:space="preserve">yi - </t>
    </r>
    <r>
      <rPr>
        <sz val="11"/>
        <color theme="1"/>
        <rFont val="Calibri"/>
        <family val="2"/>
      </rPr>
      <t>ȳ</t>
    </r>
  </si>
  <si>
    <r>
      <t xml:space="preserve">(yi - </t>
    </r>
    <r>
      <rPr>
        <sz val="11"/>
        <color theme="1"/>
        <rFont val="Calibri"/>
        <family val="2"/>
      </rPr>
      <t>ȳ)^2</t>
    </r>
  </si>
  <si>
    <r>
      <rPr>
        <sz val="11"/>
        <color theme="1"/>
        <rFont val="Calibri"/>
        <family val="2"/>
      </rPr>
      <t>σ</t>
    </r>
    <r>
      <rPr>
        <sz val="11"/>
        <color theme="1"/>
        <rFont val="Calibri"/>
        <family val="2"/>
        <charset val="204"/>
      </rPr>
      <t>y =</t>
    </r>
  </si>
  <si>
    <r>
      <rPr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  <charset val="204"/>
      </rPr>
      <t>i</t>
    </r>
  </si>
  <si>
    <r>
      <rPr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  <charset val="204"/>
      </rPr>
      <t xml:space="preserve"> = 1,2</t>
    </r>
  </si>
  <si>
    <t>yi</t>
  </si>
  <si>
    <t>Час</t>
  </si>
  <si>
    <t>Температура повітря</t>
  </si>
  <si>
    <t>Метод рухомого (ковзного) середнього</t>
  </si>
  <si>
    <t>Метод зваженого (ковзного) середнього</t>
  </si>
  <si>
    <t>Абсолютні показники точності</t>
  </si>
  <si>
    <t>Коефіцієнт розбіжності (коефіцієнт Тейла)</t>
  </si>
  <si>
    <t>Різниця</t>
  </si>
  <si>
    <t>середня</t>
  </si>
  <si>
    <t>відносна</t>
  </si>
  <si>
    <t>сер-відн</t>
  </si>
  <si>
    <t>сер кв аб</t>
  </si>
  <si>
    <t>Експоненційне згладжкування</t>
  </si>
  <si>
    <t>Подвійне експоненційне згладжування</t>
  </si>
  <si>
    <t>Потрійне експоненційне згладжування</t>
  </si>
  <si>
    <t>α =</t>
  </si>
  <si>
    <t>Адаптривне згладжування</t>
  </si>
  <si>
    <t>Модель Холта-Вінтерса</t>
  </si>
  <si>
    <t>β =</t>
  </si>
  <si>
    <t>Et</t>
  </si>
  <si>
    <t>Mt</t>
  </si>
  <si>
    <t>St</t>
  </si>
  <si>
    <t>αt</t>
  </si>
  <si>
    <t>S't</t>
  </si>
  <si>
    <t>S''t</t>
  </si>
  <si>
    <t>yT+p</t>
  </si>
  <si>
    <t>Лінійна</t>
  </si>
  <si>
    <t>сума</t>
  </si>
  <si>
    <t>ti</t>
  </si>
  <si>
    <t>tixi</t>
  </si>
  <si>
    <t>ti^2</t>
  </si>
  <si>
    <t>528a + 32b = 60,2</t>
  </si>
  <si>
    <t>a =</t>
  </si>
  <si>
    <t>b =</t>
  </si>
  <si>
    <t>11440a + 528b = 392,2</t>
  </si>
  <si>
    <t>Лінійний</t>
  </si>
  <si>
    <t>Квадратичний</t>
  </si>
  <si>
    <t>Поліноміальний</t>
  </si>
  <si>
    <t>Експонентний</t>
  </si>
  <si>
    <t>Показниковий</t>
  </si>
  <si>
    <t>Логарифмічний</t>
  </si>
  <si>
    <t>Реальне значення</t>
  </si>
  <si>
    <t>Відносна похибка, %</t>
  </si>
  <si>
    <t>528a + 32b = 273,7</t>
  </si>
  <si>
    <t>11440a + 528b = 4617,4</t>
  </si>
  <si>
    <t>Прогноз</t>
  </si>
  <si>
    <t>y=10^0,8351*10^0,0031x</t>
  </si>
  <si>
    <t>lg(xi)</t>
  </si>
  <si>
    <t>Тиск</t>
  </si>
  <si>
    <t>Швидкість вітру</t>
  </si>
  <si>
    <t>Хмарність</t>
  </si>
  <si>
    <t>average</t>
  </si>
  <si>
    <t>xi1-x1cp</t>
  </si>
  <si>
    <t>xi2-x2cp</t>
  </si>
  <si>
    <t>xi3-x3cp</t>
  </si>
  <si>
    <t>(xi1-x1cp)^2</t>
  </si>
  <si>
    <t>(xi2-x2cp)^2</t>
  </si>
  <si>
    <t>(xi3-x3cp)^2</t>
  </si>
  <si>
    <t>xi1*</t>
  </si>
  <si>
    <t>xi2*</t>
  </si>
  <si>
    <t>xi3*</t>
  </si>
  <si>
    <t>xi4-x4cp</t>
  </si>
  <si>
    <t>(xi4-x4cp)^2</t>
  </si>
  <si>
    <t>xi4*</t>
  </si>
  <si>
    <r>
      <rPr>
        <sz val="11"/>
        <color theme="1"/>
        <rFont val="Calibri"/>
        <family val="2"/>
      </rPr>
      <t>σ1</t>
    </r>
    <r>
      <rPr>
        <sz val="11"/>
        <color theme="1"/>
        <rFont val="Calibri"/>
        <family val="2"/>
        <charset val="204"/>
      </rPr>
      <t>^2</t>
    </r>
  </si>
  <si>
    <r>
      <t>σ2</t>
    </r>
    <r>
      <rPr>
        <sz val="11"/>
        <color theme="1"/>
        <rFont val="Calibri"/>
        <family val="2"/>
        <charset val="204"/>
      </rPr>
      <t>^2</t>
    </r>
  </si>
  <si>
    <r>
      <t>σ3</t>
    </r>
    <r>
      <rPr>
        <sz val="11"/>
        <color theme="1"/>
        <rFont val="Calibri"/>
        <family val="2"/>
        <charset val="204"/>
      </rPr>
      <t>^2</t>
    </r>
  </si>
  <si>
    <r>
      <t>σ4</t>
    </r>
    <r>
      <rPr>
        <sz val="11"/>
        <color theme="1"/>
        <rFont val="Calibri"/>
        <family val="2"/>
        <charset val="204"/>
      </rPr>
      <t>^2</t>
    </r>
  </si>
  <si>
    <t>√nσ1^2</t>
  </si>
  <si>
    <t>√nσ2^2</t>
  </si>
  <si>
    <t>√nσ3^2</t>
  </si>
  <si>
    <t>√nσ4^2</t>
  </si>
  <si>
    <t>X*</t>
  </si>
  <si>
    <t>X*'</t>
  </si>
  <si>
    <t>r</t>
  </si>
  <si>
    <t>D</t>
  </si>
  <si>
    <r>
      <rPr>
        <sz val="11"/>
        <color theme="1"/>
        <rFont val="Calibri"/>
        <family val="2"/>
      </rPr>
      <t>χ</t>
    </r>
    <r>
      <rPr>
        <sz val="11"/>
        <color theme="1"/>
        <rFont val="Calibri"/>
        <family val="2"/>
        <charset val="204"/>
      </rPr>
      <t>^2</t>
    </r>
  </si>
  <si>
    <r>
      <t>χ</t>
    </r>
    <r>
      <rPr>
        <sz val="11"/>
        <color theme="1"/>
        <rFont val="Calibri"/>
        <family val="2"/>
        <charset val="204"/>
      </rPr>
      <t>^2 tab</t>
    </r>
  </si>
  <si>
    <t>C</t>
  </si>
  <si>
    <t>F1</t>
  </si>
  <si>
    <t>F2</t>
  </si>
  <si>
    <t>F3</t>
  </si>
  <si>
    <t>F4</t>
  </si>
  <si>
    <t>Ftab</t>
  </si>
  <si>
    <t>r12,3</t>
  </si>
  <si>
    <t>r13,2</t>
  </si>
  <si>
    <t>r23,1</t>
  </si>
  <si>
    <t>r14,3</t>
  </si>
  <si>
    <t>r24,1</t>
  </si>
  <si>
    <t>r34,2</t>
  </si>
  <si>
    <t>t12</t>
  </si>
  <si>
    <t>t13</t>
  </si>
  <si>
    <t>t14</t>
  </si>
  <si>
    <t>t23</t>
  </si>
  <si>
    <t>t24</t>
  </si>
  <si>
    <t>t34</t>
  </si>
  <si>
    <t>t таб</t>
  </si>
  <si>
    <t>Множинна регресія</t>
  </si>
  <si>
    <t>Y</t>
  </si>
  <si>
    <t>x1</t>
  </si>
  <si>
    <t>x2</t>
  </si>
  <si>
    <t>x1^2</t>
  </si>
  <si>
    <t>x2^2</t>
  </si>
  <si>
    <t>x1x2</t>
  </si>
  <si>
    <t>yx1</t>
  </si>
  <si>
    <t>yx2</t>
  </si>
  <si>
    <t>x=</t>
  </si>
  <si>
    <t>y=-0,419+0,512x1-0,212x2</t>
  </si>
  <si>
    <t>σ1^2</t>
  </si>
  <si>
    <t>σ2^2</t>
  </si>
  <si>
    <t>σ3^2</t>
  </si>
  <si>
    <t>σ4^2</t>
  </si>
  <si>
    <t>Точка роси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</si>
  <si>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</si>
  <si>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</si>
  <si>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</si>
  <si>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</si>
  <si>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</si>
  <si>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</si>
  <si>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</si>
  <si>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</si>
  <si>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</si>
  <si>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 xml:space="preserve">Жовтень </t>
  </si>
  <si>
    <t>Листопад</t>
  </si>
  <si>
    <t>Грудень</t>
  </si>
  <si>
    <t>Середня температура в Дніпрі</t>
  </si>
  <si>
    <t>Разом</t>
  </si>
  <si>
    <t>Середнє</t>
  </si>
  <si>
    <t>Індекс сезонності</t>
  </si>
  <si>
    <t>-</t>
  </si>
  <si>
    <t>Визначення індексів сезонності методом помісячних відносин</t>
  </si>
  <si>
    <t>Помісячні відносини, %</t>
  </si>
  <si>
    <t>Місяць</t>
  </si>
  <si>
    <t>Середні помісячні відносини</t>
  </si>
  <si>
    <t>t</t>
  </si>
  <si>
    <t>y*cos(t)</t>
  </si>
  <si>
    <t>y*cos(2t)</t>
  </si>
  <si>
    <t>y*sin(t)</t>
  </si>
  <si>
    <t>y*sin(2t)</t>
  </si>
  <si>
    <t>a0</t>
  </si>
  <si>
    <t>a1</t>
  </si>
  <si>
    <t>a2</t>
  </si>
  <si>
    <t>b1</t>
  </si>
  <si>
    <t>b2</t>
  </si>
  <si>
    <t>yt</t>
  </si>
  <si>
    <t>yt^</t>
  </si>
  <si>
    <t>yt^^</t>
  </si>
  <si>
    <t>(yt-yt^)^2</t>
  </si>
  <si>
    <t>(yt-yt^^)^2</t>
  </si>
  <si>
    <t>σ^2yt^</t>
  </si>
  <si>
    <t>σ^2yt^^</t>
  </si>
  <si>
    <t>σyt^</t>
  </si>
  <si>
    <t>σyt^^</t>
  </si>
  <si>
    <t>J1</t>
  </si>
  <si>
    <t>J2</t>
  </si>
  <si>
    <t>cp</t>
  </si>
  <si>
    <t>Авторегресія першого порядку</t>
  </si>
  <si>
    <t>Температура повітря (Y)</t>
  </si>
  <si>
    <t>x(Yt-1)</t>
  </si>
  <si>
    <t>Відхилення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</si>
  <si>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</si>
  <si>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</si>
  <si>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</si>
  <si>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</si>
  <si>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</si>
  <si>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</si>
  <si>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</si>
  <si>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</si>
  <si>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</si>
  <si>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</si>
  <si>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</si>
  <si>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</si>
  <si>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</si>
  <si>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</si>
  <si>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</si>
  <si>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</si>
  <si>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</si>
  <si>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</si>
  <si>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</si>
  <si>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</si>
  <si>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</si>
  <si>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</si>
  <si>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</si>
  <si>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</si>
  <si>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</si>
  <si>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Y = 0,31+0,795x</t>
  </si>
  <si>
    <t>∑</t>
  </si>
  <si>
    <t>Авторегресія другого порядку</t>
  </si>
  <si>
    <t>x(Yt-2)</t>
  </si>
  <si>
    <t>X Variable 2</t>
  </si>
  <si>
    <t>Y = 0,434+0,998x1-0,2675х2</t>
  </si>
  <si>
    <t>Y розрахований</t>
  </si>
  <si>
    <t>Похибка</t>
  </si>
  <si>
    <t>X Variable 3</t>
  </si>
  <si>
    <t>X Variable 4</t>
  </si>
  <si>
    <t>X Variable 5</t>
  </si>
  <si>
    <t>X Variable 6</t>
  </si>
  <si>
    <t>X Variable 7</t>
  </si>
  <si>
    <t>Column 1</t>
  </si>
  <si>
    <t>Column 2</t>
  </si>
  <si>
    <t>Column 3</t>
  </si>
  <si>
    <t>Column 4</t>
  </si>
  <si>
    <t>число поворотних точок:</t>
  </si>
  <si>
    <t xml:space="preserve">математичне очікування </t>
  </si>
  <si>
    <t>числа точок повороту:</t>
  </si>
  <si>
    <t>дисперсія:</t>
  </si>
  <si>
    <t>Нерівність виконується, а отже модель можна вважати адекватною</t>
  </si>
  <si>
    <t>Як можна побачити жодний рівень не перевищує 𝜆𝛼, отже в даному часовому ряді аномальних значень немає.</t>
  </si>
  <si>
    <r>
      <t xml:space="preserve">Для ряду довжини n = 31 за значеннями критерію Ірвіна при рівні значимості 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charset val="204"/>
        <scheme val="minor"/>
      </rPr>
      <t xml:space="preserve"> = 0,05 маємо </t>
    </r>
    <r>
      <rPr>
        <sz val="11"/>
        <color theme="1"/>
        <rFont val="Calibri"/>
        <family val="2"/>
      </rPr>
      <t>λα</t>
    </r>
    <r>
      <rPr>
        <sz val="11"/>
        <color theme="1"/>
        <rFont val="Calibri"/>
        <family val="2"/>
        <charset val="204"/>
        <scheme val="minor"/>
      </rPr>
      <t xml:space="preserve"> = 1,2. </t>
    </r>
  </si>
  <si>
    <t xml:space="preserve">Висновок: при дослідженні часового ряду було виявлено, </t>
  </si>
  <si>
    <t>що модель є адекватною та не має аномальних значень.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</si>
</sst>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04"/>
    </font>
    <font>
      <b/>
      <sz val="11"/>
      <color theme="1"/>
      <name val="Arial"/>
      <family val="2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theme="1"/>
      <name val="Arial"/>
      <family val="2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FDFDF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7" xfId="0" applyBorder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0" fontId="0" fillId="0" borderId="0" xfId="0" applyAlignment="1">
      <alignment vertical="center"/>
    </xf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3" xfId="0" applyBorder="1"/>
    <xf numFmtId="0" fontId="0" fillId="0" borderId="2" xfId="0" applyBorder="1"/>
    <xf numFmtId="0" fontId="0" fillId="2" borderId="4" xfId="0" applyFill="1" applyBorder="1"/>
    <xf numFmtId="0" fontId="0" fillId="2" borderId="1" xfId="0" applyFill="1" applyBorder="1"/>
    <xf numFmtId="0" fontId="5" fillId="4" borderId="9" xfId="0" applyFont="1" applyFill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wrapText="1"/>
    </xf>
    <xf numFmtId="0" fontId="0" fillId="0" borderId="10" xfId="0" applyBorder="1" applyAlignment="1">
      <alignment horizontal="right"/>
    </xf>
    <xf numFmtId="0" fontId="0" fillId="2" borderId="0" xfId="0" applyFill="1"/>
    <xf numFmtId="0" fontId="0" fillId="0" borderId="5" xfId="0" applyBorder="1"/>
    <xf numFmtId="0" fontId="3" fillId="0" borderId="5" xfId="0" applyFont="1" applyBorder="1"/>
    <xf numFmtId="164" fontId="0" fillId="0" borderId="5" xfId="0" applyNumberFormat="1" applyBorder="1"/>
    <xf numFmtId="164" fontId="0" fillId="3" borderId="5" xfId="0" applyNumberFormat="1" applyFill="1" applyBorder="1"/>
    <xf numFmtId="0" fontId="6" fillId="4" borderId="9" xfId="0" applyFont="1" applyFill="1" applyBorder="1" applyAlignment="1">
      <alignment horizontal="center" vertical="center" wrapText="1"/>
    </xf>
    <xf numFmtId="0" fontId="4" fillId="0" borderId="0" xfId="0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5" xfId="0" applyBorder="1" applyAlignment="1">
      <alignment horizontal="center" vertical="center"/>
    </xf>
    <xf numFmtId="20" fontId="2" fillId="0" borderId="0" xfId="0" applyNumberFormat="1" applyFont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20" fontId="2" fillId="0" borderId="11" xfId="0" applyNumberFormat="1" applyFont="1" applyBorder="1" applyAlignment="1">
      <alignment horizontal="center" wrapText="1"/>
    </xf>
    <xf numFmtId="0" fontId="0" fillId="0" borderId="11" xfId="0" applyBorder="1"/>
    <xf numFmtId="20" fontId="2" fillId="0" borderId="12" xfId="0" applyNumberFormat="1" applyFont="1" applyBorder="1" applyAlignment="1">
      <alignment horizontal="center" wrapText="1"/>
    </xf>
    <xf numFmtId="0" fontId="0" fillId="0" borderId="12" xfId="0" applyBorder="1"/>
    <xf numFmtId="1" fontId="0" fillId="0" borderId="0" xfId="0" applyNumberFormat="1"/>
    <xf numFmtId="20" fontId="2" fillId="2" borderId="5" xfId="0" applyNumberFormat="1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13" xfId="0" applyBorder="1"/>
    <xf numFmtId="0" fontId="9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Continuous"/>
    </xf>
    <xf numFmtId="0" fontId="0" fillId="2" borderId="5" xfId="0" applyFill="1" applyBorder="1"/>
    <xf numFmtId="0" fontId="0" fillId="2" borderId="5" xfId="0" applyFill="1" applyBorder="1" applyAlignment="1">
      <alignment horizontal="right"/>
    </xf>
    <xf numFmtId="0" fontId="0" fillId="0" borderId="1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'Випадковість та аномальність'!$B$1</c:f>
              <c:strCache>
                <c:ptCount val="1"/>
                <c:pt idx="0">
                  <c:v>Температура повітря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'Випадковість та аномальність'!$A$2:$A$33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'Випадковість та аномальність'!$B$2:$B$33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7-4D20-A99A-23DE6DAF9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45688"/>
        <c:axId val="446547256"/>
      </c:lineChart>
      <c:catAx>
        <c:axId val="4465456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7256"/>
        <c:crosses val="autoZero"/>
        <c:auto val="1"/>
        <c:lblAlgn val="ctr"/>
        <c:lblOffset val="100"/>
        <c:noMultiLvlLbl val="0"/>
      </c:catAx>
      <c:valAx>
        <c:axId val="44654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5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часовий ряд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'Класичні методи згладжування5'!$A$2:$A$33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згладжування5'!$B$2:$B$33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E-4F43-ABCB-F154BFE7CD8A}"/>
            </c:ext>
          </c:extLst>
        </c:ser>
        <c:ser>
          <c:idx val="1"/>
          <c:order val="1"/>
          <c:tx>
            <c:v>прогноз рухомого середнього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'Класичні методи згладжування5'!$A$2:$A$33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згладжування5'!$E$2:$E$34</c:f>
              <c:numCache>
                <c:formatCode>General</c:formatCode>
                <c:ptCount val="33"/>
                <c:pt idx="5">
                  <c:v>3.34</c:v>
                </c:pt>
                <c:pt idx="6">
                  <c:v>4.42</c:v>
                </c:pt>
                <c:pt idx="7">
                  <c:v>4.74</c:v>
                </c:pt>
                <c:pt idx="8">
                  <c:v>5.2</c:v>
                </c:pt>
                <c:pt idx="9">
                  <c:v>5.5</c:v>
                </c:pt>
                <c:pt idx="10">
                  <c:v>4.7799999999999994</c:v>
                </c:pt>
                <c:pt idx="11">
                  <c:v>3.5200000000000005</c:v>
                </c:pt>
                <c:pt idx="12">
                  <c:v>3.5400000000000005</c:v>
                </c:pt>
                <c:pt idx="13">
                  <c:v>3.5</c:v>
                </c:pt>
                <c:pt idx="14">
                  <c:v>3.4200000000000004</c:v>
                </c:pt>
                <c:pt idx="15">
                  <c:v>4</c:v>
                </c:pt>
                <c:pt idx="16">
                  <c:v>4.5400000000000009</c:v>
                </c:pt>
                <c:pt idx="17">
                  <c:v>4</c:v>
                </c:pt>
                <c:pt idx="18">
                  <c:v>3.28</c:v>
                </c:pt>
                <c:pt idx="19">
                  <c:v>2.02</c:v>
                </c:pt>
                <c:pt idx="20">
                  <c:v>1.1800000000000002</c:v>
                </c:pt>
                <c:pt idx="21">
                  <c:v>1.3199999999999998</c:v>
                </c:pt>
                <c:pt idx="22">
                  <c:v>2.02</c:v>
                </c:pt>
                <c:pt idx="23">
                  <c:v>2.34</c:v>
                </c:pt>
                <c:pt idx="24">
                  <c:v>2.2999999999999998</c:v>
                </c:pt>
                <c:pt idx="25">
                  <c:v>1.2000000000000002</c:v>
                </c:pt>
                <c:pt idx="26">
                  <c:v>-0.44000000000000006</c:v>
                </c:pt>
                <c:pt idx="27">
                  <c:v>-2.02</c:v>
                </c:pt>
                <c:pt idx="28">
                  <c:v>-2.9000000000000004</c:v>
                </c:pt>
                <c:pt idx="29">
                  <c:v>-2.92</c:v>
                </c:pt>
                <c:pt idx="30">
                  <c:v>-1.92</c:v>
                </c:pt>
                <c:pt idx="31">
                  <c:v>-1.3999999999999997</c:v>
                </c:pt>
                <c:pt idx="32">
                  <c:v>-1.0999999999999999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E-4F43-ABCB-F154BFE7CD8A}"/>
            </c:ext>
          </c:extLst>
        </c:ser>
        <c:ser>
          <c:idx val="2"/>
          <c:order val="2"/>
          <c:tx>
            <c:v>прогноз зваженого середнього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'Класичні методи згладжування5'!$K$2:$K$34</c:f>
              <c:numCache>
                <c:formatCode>General</c:formatCode>
                <c:ptCount val="33"/>
                <c:pt idx="5">
                  <c:v>3.37</c:v>
                </c:pt>
                <c:pt idx="6">
                  <c:v>4.4450000000000003</c:v>
                </c:pt>
                <c:pt idx="7">
                  <c:v>4.59</c:v>
                </c:pt>
                <c:pt idx="8">
                  <c:v>4.6150000000000002</c:v>
                </c:pt>
                <c:pt idx="9">
                  <c:v>4.78</c:v>
                </c:pt>
                <c:pt idx="10">
                  <c:v>4.01</c:v>
                </c:pt>
                <c:pt idx="11">
                  <c:v>2.9550000000000001</c:v>
                </c:pt>
                <c:pt idx="12">
                  <c:v>3.09</c:v>
                </c:pt>
                <c:pt idx="13">
                  <c:v>2.9350000000000001</c:v>
                </c:pt>
                <c:pt idx="14">
                  <c:v>3.355</c:v>
                </c:pt>
                <c:pt idx="15">
                  <c:v>4</c:v>
                </c:pt>
                <c:pt idx="16">
                  <c:v>4.1100000000000003</c:v>
                </c:pt>
                <c:pt idx="17">
                  <c:v>3.4550000000000001</c:v>
                </c:pt>
                <c:pt idx="18">
                  <c:v>2.4300000000000002</c:v>
                </c:pt>
                <c:pt idx="19">
                  <c:v>1.2150000000000001</c:v>
                </c:pt>
                <c:pt idx="20">
                  <c:v>0.83499999999999996</c:v>
                </c:pt>
                <c:pt idx="21">
                  <c:v>1.375</c:v>
                </c:pt>
                <c:pt idx="22">
                  <c:v>2.3250000000000002</c:v>
                </c:pt>
                <c:pt idx="23">
                  <c:v>2.41</c:v>
                </c:pt>
                <c:pt idx="24">
                  <c:v>1.87</c:v>
                </c:pt>
                <c:pt idx="25">
                  <c:v>0.33500000000000002</c:v>
                </c:pt>
                <c:pt idx="26">
                  <c:v>-1.2250000000000001</c:v>
                </c:pt>
                <c:pt idx="27">
                  <c:v>-2.2599999999999998</c:v>
                </c:pt>
                <c:pt idx="28">
                  <c:v>-2.7549999999999999</c:v>
                </c:pt>
                <c:pt idx="29">
                  <c:v>-2.395</c:v>
                </c:pt>
                <c:pt idx="30">
                  <c:v>-1.32</c:v>
                </c:pt>
                <c:pt idx="31">
                  <c:v>-1.0449999999999999</c:v>
                </c:pt>
                <c:pt idx="32">
                  <c:v>-0.82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E-4F43-ABCB-F154BFE7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543728"/>
        <c:axId val="446546864"/>
      </c:lineChart>
      <c:catAx>
        <c:axId val="4465437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6864"/>
        <c:crosses val="autoZero"/>
        <c:auto val="1"/>
        <c:lblAlgn val="ctr"/>
        <c:lblOffset val="100"/>
        <c:noMultiLvlLbl val="0"/>
      </c:catAx>
      <c:valAx>
        <c:axId val="4465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часовий ряд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'Класичні методи (продовження)4'!$A$2:$A$33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(продовження)4'!$B$2:$B$33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6-4695-821C-9890566EB806}"/>
            </c:ext>
          </c:extLst>
        </c:ser>
        <c:ser>
          <c:idx val="1"/>
          <c:order val="1"/>
          <c:tx>
            <c:v>прогноз рухомого середнього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'Класичні методи (продовження)4'!$A$2:$A$33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(продовження)4'!$E$2:$E$35</c:f>
              <c:numCache>
                <c:formatCode>General</c:formatCode>
                <c:ptCount val="34"/>
                <c:pt idx="4">
                  <c:v>2.5249999999999999</c:v>
                </c:pt>
                <c:pt idx="5">
                  <c:v>3.75</c:v>
                </c:pt>
                <c:pt idx="6">
                  <c:v>4.875</c:v>
                </c:pt>
                <c:pt idx="7">
                  <c:v>5.5750000000000002</c:v>
                </c:pt>
                <c:pt idx="8">
                  <c:v>5.3999999999999995</c:v>
                </c:pt>
                <c:pt idx="9">
                  <c:v>5.2249999999999996</c:v>
                </c:pt>
                <c:pt idx="10">
                  <c:v>4.2</c:v>
                </c:pt>
                <c:pt idx="11">
                  <c:v>3.3500000000000005</c:v>
                </c:pt>
                <c:pt idx="12">
                  <c:v>3.5</c:v>
                </c:pt>
                <c:pt idx="13">
                  <c:v>2.9</c:v>
                </c:pt>
                <c:pt idx="14">
                  <c:v>3.5249999999999999</c:v>
                </c:pt>
                <c:pt idx="15">
                  <c:v>4.8000000000000007</c:v>
                </c:pt>
                <c:pt idx="16">
                  <c:v>4.5999999999999996</c:v>
                </c:pt>
                <c:pt idx="17">
                  <c:v>4.125</c:v>
                </c:pt>
                <c:pt idx="18">
                  <c:v>2.7250000000000001</c:v>
                </c:pt>
                <c:pt idx="19">
                  <c:v>1.05</c:v>
                </c:pt>
                <c:pt idx="20">
                  <c:v>0.6</c:v>
                </c:pt>
                <c:pt idx="21">
                  <c:v>1.25</c:v>
                </c:pt>
                <c:pt idx="22">
                  <c:v>2.5499999999999998</c:v>
                </c:pt>
                <c:pt idx="23">
                  <c:v>3.125</c:v>
                </c:pt>
                <c:pt idx="24">
                  <c:v>2.4500000000000002</c:v>
                </c:pt>
                <c:pt idx="25">
                  <c:v>0.44999999999999996</c:v>
                </c:pt>
                <c:pt idx="26">
                  <c:v>-1.825</c:v>
                </c:pt>
                <c:pt idx="27">
                  <c:v>-2.9000000000000004</c:v>
                </c:pt>
                <c:pt idx="28">
                  <c:v>-3.375</c:v>
                </c:pt>
                <c:pt idx="29">
                  <c:v>-2.6999999999999997</c:v>
                </c:pt>
                <c:pt idx="30">
                  <c:v>-1.3999999999999997</c:v>
                </c:pt>
                <c:pt idx="31">
                  <c:v>-1.0499999999999998</c:v>
                </c:pt>
                <c:pt idx="32">
                  <c:v>-0.65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6-4695-821C-9890566EB806}"/>
            </c:ext>
          </c:extLst>
        </c:ser>
        <c:ser>
          <c:idx val="2"/>
          <c:order val="2"/>
          <c:tx>
            <c:v>прогноз зваженого середнього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'Класичні методи (продовження)4'!$K$2:$K$34</c:f>
              <c:numCache>
                <c:formatCode>General</c:formatCode>
                <c:ptCount val="33"/>
                <c:pt idx="4">
                  <c:v>2.7349999999999999</c:v>
                </c:pt>
                <c:pt idx="5">
                  <c:v>4.3</c:v>
                </c:pt>
                <c:pt idx="6">
                  <c:v>5.5549999999999997</c:v>
                </c:pt>
                <c:pt idx="7">
                  <c:v>5.58</c:v>
                </c:pt>
                <c:pt idx="8">
                  <c:v>4.9649999999999999</c:v>
                </c:pt>
                <c:pt idx="9">
                  <c:v>5.08</c:v>
                </c:pt>
                <c:pt idx="10">
                  <c:v>4.1900000000000004</c:v>
                </c:pt>
                <c:pt idx="11">
                  <c:v>2.915</c:v>
                </c:pt>
                <c:pt idx="12">
                  <c:v>3.23</c:v>
                </c:pt>
                <c:pt idx="13">
                  <c:v>3.125</c:v>
                </c:pt>
                <c:pt idx="14">
                  <c:v>3.9550000000000001</c:v>
                </c:pt>
                <c:pt idx="15">
                  <c:v>5.0599999999999996</c:v>
                </c:pt>
                <c:pt idx="16">
                  <c:v>4.62</c:v>
                </c:pt>
                <c:pt idx="17">
                  <c:v>3.6150000000000002</c:v>
                </c:pt>
                <c:pt idx="18">
                  <c:v>2.0299999999999998</c:v>
                </c:pt>
                <c:pt idx="19">
                  <c:v>0.53500000000000003</c:v>
                </c:pt>
                <c:pt idx="20">
                  <c:v>0.57499999999999996</c:v>
                </c:pt>
                <c:pt idx="21">
                  <c:v>1.8049999999999999</c:v>
                </c:pt>
                <c:pt idx="22">
                  <c:v>3.2650000000000001</c:v>
                </c:pt>
                <c:pt idx="23">
                  <c:v>3.15</c:v>
                </c:pt>
                <c:pt idx="24">
                  <c:v>1.75</c:v>
                </c:pt>
                <c:pt idx="25">
                  <c:v>-0.56499999999999995</c:v>
                </c:pt>
                <c:pt idx="26">
                  <c:v>-2.5150000000000001</c:v>
                </c:pt>
                <c:pt idx="27">
                  <c:v>-3.09</c:v>
                </c:pt>
                <c:pt idx="28">
                  <c:v>-3.2250000000000001</c:v>
                </c:pt>
                <c:pt idx="29">
                  <c:v>-2.415</c:v>
                </c:pt>
                <c:pt idx="30">
                  <c:v>-0.91</c:v>
                </c:pt>
                <c:pt idx="31">
                  <c:v>-0.78500000000000003</c:v>
                </c:pt>
                <c:pt idx="32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6-4695-821C-9890566E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543728"/>
        <c:axId val="446546864"/>
      </c:lineChart>
      <c:catAx>
        <c:axId val="4465437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6864"/>
        <c:crosses val="autoZero"/>
        <c:auto val="1"/>
        <c:lblAlgn val="ctr"/>
        <c:lblOffset val="100"/>
        <c:noMultiLvlLbl val="0"/>
      </c:catAx>
      <c:valAx>
        <c:axId val="4465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часовий ряд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'Класичні методи (продовження)3'!$A$2:$A$33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(продовження)3'!$B$2:$B$33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5-4C68-98CE-BD384D8FA7EE}"/>
            </c:ext>
          </c:extLst>
        </c:ser>
        <c:ser>
          <c:idx val="1"/>
          <c:order val="1"/>
          <c:tx>
            <c:v>прогноз рухомого середнього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'Класичні методи (продовження)3'!$A$2:$A$33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(продовження)3'!$E$2:$E$34</c:f>
              <c:numCache>
                <c:formatCode>General</c:formatCode>
                <c:ptCount val="33"/>
                <c:pt idx="3">
                  <c:v>1.8999999999999997</c:v>
                </c:pt>
                <c:pt idx="4">
                  <c:v>2.8000000000000003</c:v>
                </c:pt>
                <c:pt idx="5">
                  <c:v>4.1333333333333337</c:v>
                </c:pt>
                <c:pt idx="6">
                  <c:v>6.0333333333333341</c:v>
                </c:pt>
                <c:pt idx="7">
                  <c:v>5.9666666666666659</c:v>
                </c:pt>
                <c:pt idx="8">
                  <c:v>5</c:v>
                </c:pt>
                <c:pt idx="9">
                  <c:v>4.6000000000000005</c:v>
                </c:pt>
                <c:pt idx="10">
                  <c:v>4.2</c:v>
                </c:pt>
                <c:pt idx="11">
                  <c:v>3.2333333333333338</c:v>
                </c:pt>
                <c:pt idx="12">
                  <c:v>2.6999999999999997</c:v>
                </c:pt>
                <c:pt idx="13">
                  <c:v>2.8666666666666667</c:v>
                </c:pt>
                <c:pt idx="14">
                  <c:v>4.4333333333333336</c:v>
                </c:pt>
                <c:pt idx="15">
                  <c:v>4.9666666666666668</c:v>
                </c:pt>
                <c:pt idx="16">
                  <c:v>4.9666666666666668</c:v>
                </c:pt>
                <c:pt idx="17">
                  <c:v>3.6666666666666665</c:v>
                </c:pt>
                <c:pt idx="18">
                  <c:v>1.6666666666666667</c:v>
                </c:pt>
                <c:pt idx="19">
                  <c:v>0.23333333333333331</c:v>
                </c:pt>
                <c:pt idx="20">
                  <c:v>0.26666666666666666</c:v>
                </c:pt>
                <c:pt idx="21">
                  <c:v>1.7</c:v>
                </c:pt>
                <c:pt idx="22">
                  <c:v>3.6666666666666665</c:v>
                </c:pt>
                <c:pt idx="23">
                  <c:v>3.6</c:v>
                </c:pt>
                <c:pt idx="24">
                  <c:v>1.8666666666666665</c:v>
                </c:pt>
                <c:pt idx="25">
                  <c:v>-1.0999999999999999</c:v>
                </c:pt>
                <c:pt idx="26">
                  <c:v>-2.9333333333333336</c:v>
                </c:pt>
                <c:pt idx="27">
                  <c:v>-3.5333333333333332</c:v>
                </c:pt>
                <c:pt idx="28">
                  <c:v>-3.2333333333333329</c:v>
                </c:pt>
                <c:pt idx="29">
                  <c:v>-2.2666666666666662</c:v>
                </c:pt>
                <c:pt idx="30">
                  <c:v>-0.93333333333333324</c:v>
                </c:pt>
                <c:pt idx="31">
                  <c:v>-0.43333333333333335</c:v>
                </c:pt>
                <c:pt idx="32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5-4C68-98CE-BD384D8FA7EE}"/>
            </c:ext>
          </c:extLst>
        </c:ser>
        <c:ser>
          <c:idx val="2"/>
          <c:order val="2"/>
          <c:tx>
            <c:v>прогноз зваженого середнього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'Класичні методи (продовження)3'!$K$2:$K$34</c:f>
              <c:numCache>
                <c:formatCode>General</c:formatCode>
                <c:ptCount val="33"/>
                <c:pt idx="3">
                  <c:v>1.82</c:v>
                </c:pt>
                <c:pt idx="4">
                  <c:v>3.14</c:v>
                </c:pt>
                <c:pt idx="5">
                  <c:v>4.9000000000000004</c:v>
                </c:pt>
                <c:pt idx="6">
                  <c:v>6.41</c:v>
                </c:pt>
                <c:pt idx="7">
                  <c:v>5.55</c:v>
                </c:pt>
                <c:pt idx="8">
                  <c:v>4.53</c:v>
                </c:pt>
                <c:pt idx="9">
                  <c:v>4.9000000000000004</c:v>
                </c:pt>
                <c:pt idx="10">
                  <c:v>4.01</c:v>
                </c:pt>
                <c:pt idx="11">
                  <c:v>2.48</c:v>
                </c:pt>
                <c:pt idx="12">
                  <c:v>2.99</c:v>
                </c:pt>
                <c:pt idx="13">
                  <c:v>3.2</c:v>
                </c:pt>
                <c:pt idx="14">
                  <c:v>4.66</c:v>
                </c:pt>
                <c:pt idx="15">
                  <c:v>5.3</c:v>
                </c:pt>
                <c:pt idx="16">
                  <c:v>4.62</c:v>
                </c:pt>
                <c:pt idx="17">
                  <c:v>3.03</c:v>
                </c:pt>
                <c:pt idx="18">
                  <c:v>1.1299999999999999</c:v>
                </c:pt>
                <c:pt idx="19">
                  <c:v>-0.11</c:v>
                </c:pt>
                <c:pt idx="20">
                  <c:v>0.59</c:v>
                </c:pt>
                <c:pt idx="21">
                  <c:v>2.4500000000000002</c:v>
                </c:pt>
                <c:pt idx="22">
                  <c:v>4.1500000000000004</c:v>
                </c:pt>
                <c:pt idx="23">
                  <c:v>3.12</c:v>
                </c:pt>
                <c:pt idx="24">
                  <c:v>0.97</c:v>
                </c:pt>
                <c:pt idx="25">
                  <c:v>-1.9</c:v>
                </c:pt>
                <c:pt idx="26">
                  <c:v>-3.34</c:v>
                </c:pt>
                <c:pt idx="27">
                  <c:v>-3.36</c:v>
                </c:pt>
                <c:pt idx="28">
                  <c:v>-3.09</c:v>
                </c:pt>
                <c:pt idx="29">
                  <c:v>-1.98</c:v>
                </c:pt>
                <c:pt idx="30">
                  <c:v>-0.31</c:v>
                </c:pt>
                <c:pt idx="31">
                  <c:v>-0.56000000000000005</c:v>
                </c:pt>
                <c:pt idx="32">
                  <c:v>-0.83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5-4C68-98CE-BD384D8FA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542944"/>
        <c:axId val="446546080"/>
      </c:lineChart>
      <c:catAx>
        <c:axId val="4465429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6080"/>
        <c:crosses val="autoZero"/>
        <c:auto val="1"/>
        <c:lblAlgn val="ctr"/>
        <c:lblOffset val="100"/>
        <c:noMultiLvlLbl val="0"/>
      </c:catAx>
      <c:valAx>
        <c:axId val="4465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часовий ряд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'Класичні методи (продовження)2'!$A$2:$A$33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(продовження)2'!$B$2:$B$33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5-46EE-A8FE-4089E1B2BF8E}"/>
            </c:ext>
          </c:extLst>
        </c:ser>
        <c:ser>
          <c:idx val="1"/>
          <c:order val="1"/>
          <c:tx>
            <c:v>прогноз рухомого середнього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'Класичні методи (продовження)2'!$A$2:$A$33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'Класичні методи (продовження)2'!$E$2:$E$33</c:f>
              <c:numCache>
                <c:formatCode>General</c:formatCode>
                <c:ptCount val="32"/>
                <c:pt idx="2">
                  <c:v>2.15</c:v>
                </c:pt>
                <c:pt idx="3">
                  <c:v>2</c:v>
                </c:pt>
                <c:pt idx="4">
                  <c:v>2.9000000000000004</c:v>
                </c:pt>
                <c:pt idx="5">
                  <c:v>5.5</c:v>
                </c:pt>
                <c:pt idx="6">
                  <c:v>6.85</c:v>
                </c:pt>
                <c:pt idx="7">
                  <c:v>5.65</c:v>
                </c:pt>
                <c:pt idx="8">
                  <c:v>3.95</c:v>
                </c:pt>
                <c:pt idx="9">
                  <c:v>4.8000000000000007</c:v>
                </c:pt>
                <c:pt idx="10">
                  <c:v>4.45</c:v>
                </c:pt>
                <c:pt idx="11">
                  <c:v>1.9</c:v>
                </c:pt>
                <c:pt idx="12">
                  <c:v>2.5499999999999998</c:v>
                </c:pt>
                <c:pt idx="13">
                  <c:v>3.9</c:v>
                </c:pt>
                <c:pt idx="14">
                  <c:v>4.5</c:v>
                </c:pt>
                <c:pt idx="15">
                  <c:v>5.7</c:v>
                </c:pt>
                <c:pt idx="16">
                  <c:v>4.7</c:v>
                </c:pt>
                <c:pt idx="17">
                  <c:v>2.5499999999999998</c:v>
                </c:pt>
                <c:pt idx="18">
                  <c:v>0.75</c:v>
                </c:pt>
                <c:pt idx="19">
                  <c:v>-0.45</c:v>
                </c:pt>
                <c:pt idx="20">
                  <c:v>0.44999999999999996</c:v>
                </c:pt>
                <c:pt idx="21">
                  <c:v>2.95</c:v>
                </c:pt>
                <c:pt idx="22">
                  <c:v>4.6500000000000004</c:v>
                </c:pt>
                <c:pt idx="23">
                  <c:v>3.3</c:v>
                </c:pt>
                <c:pt idx="24">
                  <c:v>0.25</c:v>
                </c:pt>
                <c:pt idx="25">
                  <c:v>-2.4</c:v>
                </c:pt>
                <c:pt idx="26">
                  <c:v>-3.9</c:v>
                </c:pt>
                <c:pt idx="27">
                  <c:v>-3.4</c:v>
                </c:pt>
                <c:pt idx="28">
                  <c:v>-2.8499999999999996</c:v>
                </c:pt>
                <c:pt idx="29">
                  <c:v>-2</c:v>
                </c:pt>
                <c:pt idx="30">
                  <c:v>4.9999999999999933E-2</c:v>
                </c:pt>
                <c:pt idx="31">
                  <c:v>-9.9999999999999978E-2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5-46EE-A8FE-4089E1B2BF8E}"/>
            </c:ext>
          </c:extLst>
        </c:ser>
        <c:ser>
          <c:idx val="2"/>
          <c:order val="2"/>
          <c:tx>
            <c:v>Прогноз зваженого середнього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'Класичні методи (продовження)2'!$K$2:$K$33</c:f>
              <c:numCache>
                <c:formatCode>General</c:formatCode>
                <c:ptCount val="32"/>
                <c:pt idx="2">
                  <c:v>2.2850000000000001</c:v>
                </c:pt>
                <c:pt idx="3">
                  <c:v>1.82</c:v>
                </c:pt>
                <c:pt idx="4">
                  <c:v>3.35</c:v>
                </c:pt>
                <c:pt idx="5">
                  <c:v>5.83</c:v>
                </c:pt>
                <c:pt idx="6">
                  <c:v>6.9249999999999998</c:v>
                </c:pt>
                <c:pt idx="7">
                  <c:v>5.2149999999999999</c:v>
                </c:pt>
                <c:pt idx="8">
                  <c:v>3.875</c:v>
                </c:pt>
                <c:pt idx="9">
                  <c:v>5.13</c:v>
                </c:pt>
                <c:pt idx="10">
                  <c:v>4.0149999999999997</c:v>
                </c:pt>
                <c:pt idx="11">
                  <c:v>1.57</c:v>
                </c:pt>
                <c:pt idx="12">
                  <c:v>3.0750000000000002</c:v>
                </c:pt>
                <c:pt idx="13">
                  <c:v>3.78</c:v>
                </c:pt>
                <c:pt idx="14">
                  <c:v>4.8</c:v>
                </c:pt>
                <c:pt idx="15">
                  <c:v>5.76</c:v>
                </c:pt>
                <c:pt idx="16">
                  <c:v>4.34</c:v>
                </c:pt>
                <c:pt idx="17">
                  <c:v>2.2650000000000001</c:v>
                </c:pt>
                <c:pt idx="18">
                  <c:v>0.495</c:v>
                </c:pt>
                <c:pt idx="19">
                  <c:v>-0.55500000000000005</c:v>
                </c:pt>
                <c:pt idx="20">
                  <c:v>0.82499999999999996</c:v>
                </c:pt>
                <c:pt idx="21">
                  <c:v>3.3250000000000002</c:v>
                </c:pt>
                <c:pt idx="22">
                  <c:v>4.7850000000000001</c:v>
                </c:pt>
                <c:pt idx="23">
                  <c:v>2.76</c:v>
                </c:pt>
                <c:pt idx="24">
                  <c:v>-0.125</c:v>
                </c:pt>
                <c:pt idx="25">
                  <c:v>-2.82</c:v>
                </c:pt>
                <c:pt idx="26">
                  <c:v>-3.93</c:v>
                </c:pt>
                <c:pt idx="27">
                  <c:v>-3.22</c:v>
                </c:pt>
                <c:pt idx="28">
                  <c:v>-2.8650000000000002</c:v>
                </c:pt>
                <c:pt idx="29">
                  <c:v>-1.73</c:v>
                </c:pt>
                <c:pt idx="30">
                  <c:v>0.39500000000000002</c:v>
                </c:pt>
                <c:pt idx="31">
                  <c:v>-0.49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5-46EE-A8FE-4089E1B2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544120"/>
        <c:axId val="446544512"/>
      </c:lineChart>
      <c:catAx>
        <c:axId val="4465441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4512"/>
        <c:crosses val="autoZero"/>
        <c:auto val="1"/>
        <c:lblAlgn val="ctr"/>
        <c:lblOffset val="100"/>
        <c:noMultiLvlLbl val="0"/>
      </c:catAx>
      <c:valAx>
        <c:axId val="4465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54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Початковий ряд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'Додаткові методи згладжування'!$A$2:$A$34</c:f>
              <c:numCache>
                <c:formatCode>h:mm</c:formatCode>
                <c:ptCount val="33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  <c:pt idx="32">
                  <c:v>4.0833333333333304</c:v>
                </c:pt>
              </c:numCache>
            </c:numRef>
          </c:cat>
          <c:val>
            <c:numRef>
              <c:f>'Додаткові методи згладжування'!$B$2:$B$33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1-4025-8173-E4A4E83A6395}"/>
            </c:ext>
          </c:extLst>
        </c:ser>
        <c:ser>
          <c:idx val="1"/>
          <c:order val="1"/>
          <c:tx>
            <c:v>Експоненційне згладжування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'Додаткові методи згладжування'!$A$2:$A$34</c:f>
              <c:numCache>
                <c:formatCode>h:mm</c:formatCode>
                <c:ptCount val="33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  <c:pt idx="32">
                  <c:v>4.0833333333333304</c:v>
                </c:pt>
              </c:numCache>
            </c:numRef>
          </c:cat>
          <c:val>
            <c:numRef>
              <c:f>'Додаткові методи згладжування'!$E$2:$E$34</c:f>
              <c:numCache>
                <c:formatCode>General</c:formatCode>
                <c:ptCount val="33"/>
                <c:pt idx="0">
                  <c:v>1.7</c:v>
                </c:pt>
                <c:pt idx="1">
                  <c:v>1.97</c:v>
                </c:pt>
                <c:pt idx="2">
                  <c:v>1.7989999999999999</c:v>
                </c:pt>
                <c:pt idx="3">
                  <c:v>2.5792999999999999</c:v>
                </c:pt>
                <c:pt idx="4">
                  <c:v>3.7855099999999995</c:v>
                </c:pt>
                <c:pt idx="5">
                  <c:v>4.7798569999999998</c:v>
                </c:pt>
                <c:pt idx="6">
                  <c:v>4.6058998999999998</c:v>
                </c:pt>
                <c:pt idx="7">
                  <c:v>4.3341299299999996</c:v>
                </c:pt>
                <c:pt idx="8">
                  <c:v>4.8038909509999996</c:v>
                </c:pt>
                <c:pt idx="9">
                  <c:v>4.2627236656999994</c:v>
                </c:pt>
                <c:pt idx="10">
                  <c:v>3.2239065659899993</c:v>
                </c:pt>
                <c:pt idx="11">
                  <c:v>3.5467345961929988</c:v>
                </c:pt>
                <c:pt idx="12">
                  <c:v>3.5327142173350987</c:v>
                </c:pt>
                <c:pt idx="13">
                  <c:v>4.1228999521345688</c:v>
                </c:pt>
                <c:pt idx="14">
                  <c:v>4.6560299664941986</c:v>
                </c:pt>
                <c:pt idx="15">
                  <c:v>4.3092209765459391</c:v>
                </c:pt>
                <c:pt idx="16">
                  <c:v>3.4964546835821571</c:v>
                </c:pt>
                <c:pt idx="17">
                  <c:v>2.4175182785075098</c:v>
                </c:pt>
                <c:pt idx="18">
                  <c:v>1.4522627949552567</c:v>
                </c:pt>
                <c:pt idx="19">
                  <c:v>1.5265839564686796</c:v>
                </c:pt>
                <c:pt idx="20">
                  <c:v>2.3286087695280759</c:v>
                </c:pt>
                <c:pt idx="21">
                  <c:v>3.1600261386696529</c:v>
                </c:pt>
                <c:pt idx="22">
                  <c:v>2.6620182970687569</c:v>
                </c:pt>
                <c:pt idx="23">
                  <c:v>1.5634128079481298</c:v>
                </c:pt>
                <c:pt idx="24">
                  <c:v>-4.5611034436309206E-2</c:v>
                </c:pt>
                <c:pt idx="25">
                  <c:v>-1.2319277241054163</c:v>
                </c:pt>
                <c:pt idx="26">
                  <c:v>-1.7023494068737914</c:v>
                </c:pt>
                <c:pt idx="27">
                  <c:v>-2.061644584811654</c:v>
                </c:pt>
                <c:pt idx="28">
                  <c:v>-1.7731512093681578</c:v>
                </c:pt>
                <c:pt idx="29">
                  <c:v>-0.8812058465577105</c:v>
                </c:pt>
                <c:pt idx="30">
                  <c:v>-1.0368440925903972</c:v>
                </c:pt>
                <c:pt idx="31">
                  <c:v>-1.1157908648132779</c:v>
                </c:pt>
                <c:pt idx="32">
                  <c:v>-1.1157908648132779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1-4025-8173-E4A4E83A6395}"/>
            </c:ext>
          </c:extLst>
        </c:ser>
        <c:ser>
          <c:idx val="2"/>
          <c:order val="2"/>
          <c:tx>
            <c:v>Подвійне згладжування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'Додаткові методи згладжування'!$I$2:$I$34</c:f>
              <c:numCache>
                <c:formatCode>General</c:formatCode>
                <c:ptCount val="33"/>
                <c:pt idx="0">
                  <c:v>1.7</c:v>
                </c:pt>
                <c:pt idx="1">
                  <c:v>1.7809999999999999</c:v>
                </c:pt>
                <c:pt idx="2">
                  <c:v>1.7864</c:v>
                </c:pt>
                <c:pt idx="3">
                  <c:v>2.0242699999999996</c:v>
                </c:pt>
                <c:pt idx="4">
                  <c:v>2.5526419999999996</c:v>
                </c:pt>
                <c:pt idx="5">
                  <c:v>3.2208064999999997</c:v>
                </c:pt>
                <c:pt idx="6">
                  <c:v>3.6363345199999992</c:v>
                </c:pt>
                <c:pt idx="7">
                  <c:v>3.8456731429999991</c:v>
                </c:pt>
                <c:pt idx="8">
                  <c:v>4.1331384853999991</c:v>
                </c:pt>
                <c:pt idx="9">
                  <c:v>4.1720140394899987</c:v>
                </c:pt>
                <c:pt idx="10">
                  <c:v>3.8875817974399984</c:v>
                </c:pt>
                <c:pt idx="11">
                  <c:v>3.7853276370658984</c:v>
                </c:pt>
                <c:pt idx="12">
                  <c:v>3.7095436111466586</c:v>
                </c:pt>
                <c:pt idx="13">
                  <c:v>3.8335505134430314</c:v>
                </c:pt>
                <c:pt idx="14">
                  <c:v>4.0802943493583816</c:v>
                </c:pt>
                <c:pt idx="15">
                  <c:v>4.1489723375146488</c:v>
                </c:pt>
                <c:pt idx="16">
                  <c:v>3.9532170413349008</c:v>
                </c:pt>
                <c:pt idx="17">
                  <c:v>3.4925074124866837</c:v>
                </c:pt>
                <c:pt idx="18">
                  <c:v>2.8804340272272553</c:v>
                </c:pt>
                <c:pt idx="19">
                  <c:v>2.4742790059996822</c:v>
                </c:pt>
                <c:pt idx="20">
                  <c:v>2.4305779350582002</c:v>
                </c:pt>
                <c:pt idx="21">
                  <c:v>2.6494123961416358</c:v>
                </c:pt>
                <c:pt idx="22">
                  <c:v>2.6531941664197718</c:v>
                </c:pt>
                <c:pt idx="23">
                  <c:v>2.3262597588782792</c:v>
                </c:pt>
                <c:pt idx="24">
                  <c:v>1.6146985208839024</c:v>
                </c:pt>
                <c:pt idx="25">
                  <c:v>0.76071064738710659</c:v>
                </c:pt>
                <c:pt idx="26">
                  <c:v>2.1792631108837113E-2</c:v>
                </c:pt>
                <c:pt idx="27">
                  <c:v>-0.60323853366731017</c:v>
                </c:pt>
                <c:pt idx="28">
                  <c:v>-0.95421233637756453</c:v>
                </c:pt>
                <c:pt idx="29">
                  <c:v>-0.93231038943160827</c:v>
                </c:pt>
                <c:pt idx="30">
                  <c:v>-0.96367050037924495</c:v>
                </c:pt>
                <c:pt idx="31">
                  <c:v>-1.0093066097094547</c:v>
                </c:pt>
                <c:pt idx="32">
                  <c:v>-1.0093066097094547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01-4025-8173-E4A4E83A6395}"/>
            </c:ext>
          </c:extLst>
        </c:ser>
        <c:ser>
          <c:idx val="3"/>
          <c:order val="3"/>
          <c:tx>
            <c:v>Потрійне згладжування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'Додаткові методи згладжування'!$N$2:$N$34</c:f>
              <c:numCache>
                <c:formatCode>General</c:formatCode>
                <c:ptCount val="33"/>
                <c:pt idx="0">
                  <c:v>1.7</c:v>
                </c:pt>
                <c:pt idx="1">
                  <c:v>1.7242999999999999</c:v>
                </c:pt>
                <c:pt idx="2">
                  <c:v>1.7429299999999999</c:v>
                </c:pt>
                <c:pt idx="3">
                  <c:v>1.8273319999999997</c:v>
                </c:pt>
                <c:pt idx="4">
                  <c:v>2.0449249999999997</c:v>
                </c:pt>
                <c:pt idx="5">
                  <c:v>2.3976894499999997</c:v>
                </c:pt>
                <c:pt idx="6">
                  <c:v>2.7692829709999991</c:v>
                </c:pt>
                <c:pt idx="7">
                  <c:v>3.0922000225999993</c:v>
                </c:pt>
                <c:pt idx="8">
                  <c:v>3.404481561439999</c:v>
                </c:pt>
                <c:pt idx="9">
                  <c:v>3.634741304854999</c:v>
                </c:pt>
                <c:pt idx="10">
                  <c:v>3.7105934526304987</c:v>
                </c:pt>
                <c:pt idx="11">
                  <c:v>3.7330137079611183</c:v>
                </c:pt>
                <c:pt idx="12">
                  <c:v>3.7259726789167802</c:v>
                </c:pt>
                <c:pt idx="13">
                  <c:v>3.7582460292746553</c:v>
                </c:pt>
                <c:pt idx="14">
                  <c:v>3.854860525299773</c:v>
                </c:pt>
                <c:pt idx="15">
                  <c:v>3.9430940689642355</c:v>
                </c:pt>
                <c:pt idx="16">
                  <c:v>3.9461309606754349</c:v>
                </c:pt>
                <c:pt idx="17">
                  <c:v>3.8100438962188097</c:v>
                </c:pt>
                <c:pt idx="18">
                  <c:v>3.5311609355213429</c:v>
                </c:pt>
                <c:pt idx="19">
                  <c:v>3.2140963566648448</c:v>
                </c:pt>
                <c:pt idx="20">
                  <c:v>2.9790408301828513</c:v>
                </c:pt>
                <c:pt idx="21">
                  <c:v>2.8801522999704865</c:v>
                </c:pt>
                <c:pt idx="22">
                  <c:v>2.8120648599052722</c:v>
                </c:pt>
                <c:pt idx="23">
                  <c:v>2.6663233295971742</c:v>
                </c:pt>
                <c:pt idx="24">
                  <c:v>2.3508358869831927</c:v>
                </c:pt>
                <c:pt idx="25">
                  <c:v>1.8737983151043669</c:v>
                </c:pt>
                <c:pt idx="26">
                  <c:v>1.3181966099057079</c:v>
                </c:pt>
                <c:pt idx="27">
                  <c:v>0.74176606683380242</c:v>
                </c:pt>
                <c:pt idx="28">
                  <c:v>0.23297254587039229</c:v>
                </c:pt>
                <c:pt idx="29">
                  <c:v>-0.11661233472020785</c:v>
                </c:pt>
                <c:pt idx="30">
                  <c:v>-0.37072978441791893</c:v>
                </c:pt>
                <c:pt idx="31">
                  <c:v>-0.56230283200537967</c:v>
                </c:pt>
                <c:pt idx="32">
                  <c:v>-0.56230283200537967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01-4025-8173-E4A4E83A6395}"/>
            </c:ext>
          </c:extLst>
        </c:ser>
        <c:ser>
          <c:idx val="4"/>
          <c:order val="4"/>
          <c:tx>
            <c:v>Адаптивне згладжування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'Додаткові методи згладжування'!$U$3:$U$35</c:f>
              <c:numCache>
                <c:formatCode>General</c:formatCode>
                <c:ptCount val="33"/>
                <c:pt idx="0">
                  <c:v>1.7</c:v>
                </c:pt>
                <c:pt idx="1">
                  <c:v>2.3984555984555982</c:v>
                </c:pt>
                <c:pt idx="2">
                  <c:v>2.2100345243202377</c:v>
                </c:pt>
                <c:pt idx="3">
                  <c:v>4.0106471298844211</c:v>
                </c:pt>
                <c:pt idx="4">
                  <c:v>6.4900369331196579</c:v>
                </c:pt>
                <c:pt idx="5">
                  <c:v>7.0903473713442429</c:v>
                </c:pt>
                <c:pt idx="6">
                  <c:v>4.2293675153129726</c:v>
                </c:pt>
                <c:pt idx="7">
                  <c:v>3.703444519905013</c:v>
                </c:pt>
                <c:pt idx="8">
                  <c:v>5.8944797610897304</c:v>
                </c:pt>
                <c:pt idx="9">
                  <c:v>3.0054215339609507</c:v>
                </c:pt>
                <c:pt idx="10">
                  <c:v>2.2578943134659437</c:v>
                </c:pt>
                <c:pt idx="11">
                  <c:v>3.7547829538530313</c:v>
                </c:pt>
                <c:pt idx="12">
                  <c:v>3.5378351616896038</c:v>
                </c:pt>
                <c:pt idx="13">
                  <c:v>5.4023598957589645</c:v>
                </c:pt>
                <c:pt idx="14">
                  <c:v>5.8900019142007345</c:v>
                </c:pt>
                <c:pt idx="15">
                  <c:v>3.5324367952106588</c:v>
                </c:pt>
                <c:pt idx="16">
                  <c:v>2.0151911456460123</c:v>
                </c:pt>
                <c:pt idx="17">
                  <c:v>1.4554111744848404</c:v>
                </c:pt>
                <c:pt idx="18">
                  <c:v>-0.1600611981824947</c:v>
                </c:pt>
                <c:pt idx="19">
                  <c:v>1.2126975218085863</c:v>
                </c:pt>
                <c:pt idx="20">
                  <c:v>2.446898840375122</c:v>
                </c:pt>
                <c:pt idx="21">
                  <c:v>4.5515482581532538</c:v>
                </c:pt>
                <c:pt idx="22">
                  <c:v>2.8588126549088768</c:v>
                </c:pt>
                <c:pt idx="23">
                  <c:v>0.99263522899522738</c:v>
                </c:pt>
                <c:pt idx="24">
                  <c:v>-3.1189302955256921</c:v>
                </c:pt>
                <c:pt idx="25">
                  <c:v>-3.9499301119526677</c:v>
                </c:pt>
                <c:pt idx="26">
                  <c:v>-2.8334210983911752</c:v>
                </c:pt>
                <c:pt idx="27">
                  <c:v>-2.8990315308994914</c:v>
                </c:pt>
                <c:pt idx="28">
                  <c:v>-1.1161247490299666</c:v>
                </c:pt>
                <c:pt idx="29">
                  <c:v>1.1823386276378407</c:v>
                </c:pt>
                <c:pt idx="30">
                  <c:v>-1.3919218565094911</c:v>
                </c:pt>
                <c:pt idx="31">
                  <c:v>-1.3001341461291314</c:v>
                </c:pt>
                <c:pt idx="32">
                  <c:v>-1.3001341461291314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1-4025-8173-E4A4E83A6395}"/>
            </c:ext>
          </c:extLst>
        </c:ser>
        <c:ser>
          <c:idx val="5"/>
          <c:order val="5"/>
          <c:tx>
            <c:v>Холта-Вінтерса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'Додаткові методи згладжування'!$Y$3:$Y$35</c:f>
              <c:numCache>
                <c:formatCode>General</c:formatCode>
                <c:ptCount val="33"/>
                <c:pt idx="0">
                  <c:v>1.7</c:v>
                </c:pt>
                <c:pt idx="1">
                  <c:v>3.5</c:v>
                </c:pt>
                <c:pt idx="2">
                  <c:v>3.4549999999999996</c:v>
                </c:pt>
                <c:pt idx="3">
                  <c:v>4.4652499999999993</c:v>
                </c:pt>
                <c:pt idx="4">
                  <c:v>6.1526374999999991</c:v>
                </c:pt>
                <c:pt idx="5">
                  <c:v>7.6259131249999985</c:v>
                </c:pt>
                <c:pt idx="6">
                  <c:v>7.2733190937499979</c:v>
                </c:pt>
                <c:pt idx="7">
                  <c:v>6.3405054078124978</c:v>
                </c:pt>
                <c:pt idx="8">
                  <c:v>6.2814600164843739</c:v>
                </c:pt>
                <c:pt idx="9">
                  <c:v>4.8779092400820305</c:v>
                </c:pt>
                <c:pt idx="10">
                  <c:v>2.6237373105880861</c:v>
                </c:pt>
                <c:pt idx="11">
                  <c:v>2.3472563633541119</c:v>
                </c:pt>
                <c:pt idx="12">
                  <c:v>2.0866312457872134</c:v>
                </c:pt>
                <c:pt idx="13">
                  <c:v>3.0161989766223023</c:v>
                </c:pt>
                <c:pt idx="14">
                  <c:v>4.2194665417135191</c:v>
                </c:pt>
                <c:pt idx="15">
                  <c:v>4.2338338560203432</c:v>
                </c:pt>
                <c:pt idx="16">
                  <c:v>3.278815897632068</c:v>
                </c:pt>
                <c:pt idx="17">
                  <c:v>1.5934809421154659</c:v>
                </c:pt>
                <c:pt idx="18">
                  <c:v>-0.1552756680634757</c:v>
                </c:pt>
                <c:pt idx="19">
                  <c:v>-0.35111394497921339</c:v>
                </c:pt>
                <c:pt idx="20">
                  <c:v>0.94446635292665237</c:v>
                </c:pt>
                <c:pt idx="21">
                  <c:v>2.7447026085217603</c:v>
                </c:pt>
                <c:pt idx="22">
                  <c:v>2.7381625961600715</c:v>
                </c:pt>
                <c:pt idx="23">
                  <c:v>1.4228601980828786</c:v>
                </c:pt>
                <c:pt idx="24">
                  <c:v>-1.1212805102835881</c:v>
                </c:pt>
                <c:pt idx="25">
                  <c:v>-3.3939869295975766</c:v>
                </c:pt>
                <c:pt idx="26">
                  <c:v>-4.5357833836777317</c:v>
                </c:pt>
                <c:pt idx="27">
                  <c:v>-5.1196733939821808</c:v>
                </c:pt>
                <c:pt idx="28">
                  <c:v>-4.3854453920979681</c:v>
                </c:pt>
                <c:pt idx="29">
                  <c:v>-2.3436689819643237</c:v>
                </c:pt>
                <c:pt idx="30">
                  <c:v>-1.552875147576124</c:v>
                </c:pt>
                <c:pt idx="31">
                  <c:v>-0.93138819136796558</c:v>
                </c:pt>
                <c:pt idx="32">
                  <c:v>-0.3857637794326445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01-4025-8173-E4A4E83A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088520"/>
        <c:axId val="449084600"/>
      </c:lineChart>
      <c:catAx>
        <c:axId val="4490885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084600"/>
        <c:crosses val="autoZero"/>
        <c:auto val="1"/>
        <c:lblAlgn val="ctr"/>
        <c:lblOffset val="100"/>
        <c:noMultiLvlLbl val="0"/>
      </c:catAx>
      <c:valAx>
        <c:axId val="44908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08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'Проектування тренду'!$B$1</c:f>
              <c:strCache>
                <c:ptCount val="1"/>
                <c:pt idx="0">
                  <c:v>Температура повітря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26249631417432"/>
                  <c:y val="8.98079464204904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'Проектування тренду'!$B$2:$B$33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74-454D-B301-27BCD87CA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246080"/>
        <c:axId val="649243200"/>
      </c:lineChart>
      <c:catAx>
        <c:axId val="6492460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3200"/>
        <c:crosses val="autoZero"/>
        <c:auto val="1"/>
        <c:lblAlgn val="ctr"/>
        <c:lblOffset val="100"/>
        <c:noMultiLvlLbl val="0"/>
      </c:catAx>
      <c:valAx>
        <c:axId val="6492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'Проектування тренду'!$B$1</c:f>
              <c:strCache>
                <c:ptCount val="1"/>
                <c:pt idx="0">
                  <c:v>Температура повітря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2"/>
            <c:dispRSqr val="1"/>
            <c:dispEq val="1"/>
            <c:trendlineLbl>
              <c:layout>
                <c:manualLayout>
                  <c:x val="-0.28059798775153105"/>
                  <c:y val="0.236289370078740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'Проектування тренду'!$B$2:$B$33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55-42A4-A62B-32E0E94DB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246080"/>
        <c:axId val="649243200"/>
      </c:lineChart>
      <c:catAx>
        <c:axId val="6492460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3200"/>
        <c:crosses val="autoZero"/>
        <c:auto val="1"/>
        <c:lblAlgn val="ctr"/>
        <c:lblOffset val="100"/>
        <c:noMultiLvlLbl val="0"/>
      </c:catAx>
      <c:valAx>
        <c:axId val="6492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'Проектування тренду'!$B$1</c:f>
              <c:strCache>
                <c:ptCount val="1"/>
                <c:pt idx="0">
                  <c:v>Температура повітря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2"/>
            <c:dispRSqr val="1"/>
            <c:dispEq val="1"/>
            <c:trendlineLbl>
              <c:layout>
                <c:manualLayout>
                  <c:x val="-0.20759798775153107"/>
                  <c:y val="6.50215077282006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'Проектування тренду'!$B$2:$B$33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1-4BE2-9C9E-6C938A2F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246080"/>
        <c:axId val="649243200"/>
      </c:lineChart>
      <c:catAx>
        <c:axId val="6492460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3200"/>
        <c:crosses val="autoZero"/>
        <c:auto val="1"/>
        <c:lblAlgn val="ctr"/>
        <c:lblOffset val="100"/>
        <c:noMultiLvlLbl val="0"/>
      </c:catAx>
      <c:valAx>
        <c:axId val="6492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'Проектування тренду'!$B$1</c:f>
              <c:strCache>
                <c:ptCount val="1"/>
                <c:pt idx="0">
                  <c:v>Температура повітря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forward val="2"/>
            <c:dispRSqr val="1"/>
            <c:dispEq val="1"/>
            <c:trendlineLbl>
              <c:layout>
                <c:manualLayout>
                  <c:x val="-0.23361548556430445"/>
                  <c:y val="0.169918343540390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cat>
          <c:val>
            <c:numRef>
              <c:f>'Проектування тренду'!$B$2:$B$33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38-4B97-A854-2E0A244BF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246080"/>
        <c:axId val="649243200"/>
      </c:lineChart>
      <c:catAx>
        <c:axId val="6492460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3200"/>
        <c:crosses val="autoZero"/>
        <c:auto val="1"/>
        <c:lblAlgn val="ctr"/>
        <c:lblOffset val="100"/>
        <c:noMultiLvlLbl val="0"/>
      </c:catAx>
      <c:valAx>
        <c:axId val="6492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4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'Проектування тренду'!$B$1</c:f>
              <c:strCache>
                <c:ptCount val="1"/>
                <c:pt idx="0">
                  <c:v>Температура повітря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'Проектування тренду'!$A$2:$A$33</c:f>
              <c:numCache>
                <c:formatCode>h:mm</c:formatCode>
                <c:ptCount val="32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</c:numCache>
            </c:numRef>
          </c:xVal>
          <c:yVal>
            <c:numRef>
              <c:f>'Проектування тренду'!$B$2:$B$33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0-4C2D-85E2-512E106B5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071032"/>
        <c:axId val="979072112"/>
      </c:scatterChart>
      <c:valAx>
        <c:axId val="979071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72112"/>
        <c:crosses val="autoZero"/>
        <c:crossBetween val="midCat"/>
      </c:valAx>
      <c:valAx>
        <c:axId val="9790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71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278171478565181"/>
                  <c:y val="0.196717337416156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тренду'!$R$2:$R$33</c:f>
              <c:numCache>
                <c:formatCode>General</c:formatCode>
                <c:ptCount val="32"/>
                <c:pt idx="0">
                  <c:v>5.3</c:v>
                </c:pt>
                <c:pt idx="1">
                  <c:v>3.8</c:v>
                </c:pt>
                <c:pt idx="2">
                  <c:v>2.4</c:v>
                </c:pt>
                <c:pt idx="3">
                  <c:v>9</c:v>
                </c:pt>
                <c:pt idx="4">
                  <c:v>12.8</c:v>
                </c:pt>
                <c:pt idx="5">
                  <c:v>13.8</c:v>
                </c:pt>
                <c:pt idx="6">
                  <c:v>14.8</c:v>
                </c:pt>
                <c:pt idx="7">
                  <c:v>10.4</c:v>
                </c:pt>
                <c:pt idx="8">
                  <c:v>7</c:v>
                </c:pt>
                <c:pt idx="9">
                  <c:v>3.3</c:v>
                </c:pt>
                <c:pt idx="10">
                  <c:v>5.5</c:v>
                </c:pt>
                <c:pt idx="11">
                  <c:v>7.4</c:v>
                </c:pt>
                <c:pt idx="12">
                  <c:v>12.6</c:v>
                </c:pt>
                <c:pt idx="13">
                  <c:v>13.8</c:v>
                </c:pt>
                <c:pt idx="14">
                  <c:v>13.1</c:v>
                </c:pt>
                <c:pt idx="15">
                  <c:v>11</c:v>
                </c:pt>
                <c:pt idx="16">
                  <c:v>8.1</c:v>
                </c:pt>
                <c:pt idx="17">
                  <c:v>7.4</c:v>
                </c:pt>
                <c:pt idx="18">
                  <c:v>6</c:v>
                </c:pt>
                <c:pt idx="19">
                  <c:v>6.3</c:v>
                </c:pt>
                <c:pt idx="20">
                  <c:v>7</c:v>
                </c:pt>
                <c:pt idx="21">
                  <c:v>7.4</c:v>
                </c:pt>
                <c:pt idx="22">
                  <c:v>6.7</c:v>
                </c:pt>
                <c:pt idx="23">
                  <c:v>5.9</c:v>
                </c:pt>
                <c:pt idx="24">
                  <c:v>6.3</c:v>
                </c:pt>
                <c:pt idx="25">
                  <c:v>5.2</c:v>
                </c:pt>
                <c:pt idx="26">
                  <c:v>3</c:v>
                </c:pt>
                <c:pt idx="27">
                  <c:v>6</c:v>
                </c:pt>
                <c:pt idx="28">
                  <c:v>13</c:v>
                </c:pt>
                <c:pt idx="29">
                  <c:v>14.6</c:v>
                </c:pt>
                <c:pt idx="30">
                  <c:v>13.8</c:v>
                </c:pt>
                <c:pt idx="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C-4F9F-8B8B-1EE8C021D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53584"/>
        <c:axId val="694956824"/>
      </c:lineChart>
      <c:catAx>
        <c:axId val="694953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6824"/>
        <c:crosses val="autoZero"/>
        <c:auto val="1"/>
        <c:lblAlgn val="ctr"/>
        <c:lblOffset val="100"/>
        <c:noMultiLvlLbl val="0"/>
      </c:catAx>
      <c:valAx>
        <c:axId val="69495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4633727034120734"/>
                  <c:y val="0.174367162438028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тренду'!$R$2:$R$33</c:f>
              <c:numCache>
                <c:formatCode>General</c:formatCode>
                <c:ptCount val="32"/>
                <c:pt idx="0">
                  <c:v>5.3</c:v>
                </c:pt>
                <c:pt idx="1">
                  <c:v>3.8</c:v>
                </c:pt>
                <c:pt idx="2">
                  <c:v>2.4</c:v>
                </c:pt>
                <c:pt idx="3">
                  <c:v>9</c:v>
                </c:pt>
                <c:pt idx="4">
                  <c:v>12.8</c:v>
                </c:pt>
                <c:pt idx="5">
                  <c:v>13.8</c:v>
                </c:pt>
                <c:pt idx="6">
                  <c:v>14.8</c:v>
                </c:pt>
                <c:pt idx="7">
                  <c:v>10.4</c:v>
                </c:pt>
                <c:pt idx="8">
                  <c:v>7</c:v>
                </c:pt>
                <c:pt idx="9">
                  <c:v>3.3</c:v>
                </c:pt>
                <c:pt idx="10">
                  <c:v>5.5</c:v>
                </c:pt>
                <c:pt idx="11">
                  <c:v>7.4</c:v>
                </c:pt>
                <c:pt idx="12">
                  <c:v>12.6</c:v>
                </c:pt>
                <c:pt idx="13">
                  <c:v>13.8</c:v>
                </c:pt>
                <c:pt idx="14">
                  <c:v>13.1</c:v>
                </c:pt>
                <c:pt idx="15">
                  <c:v>11</c:v>
                </c:pt>
                <c:pt idx="16">
                  <c:v>8.1</c:v>
                </c:pt>
                <c:pt idx="17">
                  <c:v>7.4</c:v>
                </c:pt>
                <c:pt idx="18">
                  <c:v>6</c:v>
                </c:pt>
                <c:pt idx="19">
                  <c:v>6.3</c:v>
                </c:pt>
                <c:pt idx="20">
                  <c:v>7</c:v>
                </c:pt>
                <c:pt idx="21">
                  <c:v>7.4</c:v>
                </c:pt>
                <c:pt idx="22">
                  <c:v>6.7</c:v>
                </c:pt>
                <c:pt idx="23">
                  <c:v>5.9</c:v>
                </c:pt>
                <c:pt idx="24">
                  <c:v>6.3</c:v>
                </c:pt>
                <c:pt idx="25">
                  <c:v>5.2</c:v>
                </c:pt>
                <c:pt idx="26">
                  <c:v>3</c:v>
                </c:pt>
                <c:pt idx="27">
                  <c:v>6</c:v>
                </c:pt>
                <c:pt idx="28">
                  <c:v>13</c:v>
                </c:pt>
                <c:pt idx="29">
                  <c:v>14.6</c:v>
                </c:pt>
                <c:pt idx="30">
                  <c:v>13.8</c:v>
                </c:pt>
                <c:pt idx="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A-4CCB-B6D2-85F8BB79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53584"/>
        <c:axId val="694956824"/>
      </c:lineChart>
      <c:catAx>
        <c:axId val="694953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6824"/>
        <c:crosses val="autoZero"/>
        <c:auto val="1"/>
        <c:lblAlgn val="ctr"/>
        <c:lblOffset val="100"/>
        <c:noMultiLvlLbl val="0"/>
      </c:catAx>
      <c:valAx>
        <c:axId val="69495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9807349081364831"/>
                  <c:y val="0.210531131525226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тренду'!$R$2:$R$33</c:f>
              <c:numCache>
                <c:formatCode>General</c:formatCode>
                <c:ptCount val="32"/>
                <c:pt idx="0">
                  <c:v>5.3</c:v>
                </c:pt>
                <c:pt idx="1">
                  <c:v>3.8</c:v>
                </c:pt>
                <c:pt idx="2">
                  <c:v>2.4</c:v>
                </c:pt>
                <c:pt idx="3">
                  <c:v>9</c:v>
                </c:pt>
                <c:pt idx="4">
                  <c:v>12.8</c:v>
                </c:pt>
                <c:pt idx="5">
                  <c:v>13.8</c:v>
                </c:pt>
                <c:pt idx="6">
                  <c:v>14.8</c:v>
                </c:pt>
                <c:pt idx="7">
                  <c:v>10.4</c:v>
                </c:pt>
                <c:pt idx="8">
                  <c:v>7</c:v>
                </c:pt>
                <c:pt idx="9">
                  <c:v>3.3</c:v>
                </c:pt>
                <c:pt idx="10">
                  <c:v>5.5</c:v>
                </c:pt>
                <c:pt idx="11">
                  <c:v>7.4</c:v>
                </c:pt>
                <c:pt idx="12">
                  <c:v>12.6</c:v>
                </c:pt>
                <c:pt idx="13">
                  <c:v>13.8</c:v>
                </c:pt>
                <c:pt idx="14">
                  <c:v>13.1</c:v>
                </c:pt>
                <c:pt idx="15">
                  <c:v>11</c:v>
                </c:pt>
                <c:pt idx="16">
                  <c:v>8.1</c:v>
                </c:pt>
                <c:pt idx="17">
                  <c:v>7.4</c:v>
                </c:pt>
                <c:pt idx="18">
                  <c:v>6</c:v>
                </c:pt>
                <c:pt idx="19">
                  <c:v>6.3</c:v>
                </c:pt>
                <c:pt idx="20">
                  <c:v>7</c:v>
                </c:pt>
                <c:pt idx="21">
                  <c:v>7.4</c:v>
                </c:pt>
                <c:pt idx="22">
                  <c:v>6.7</c:v>
                </c:pt>
                <c:pt idx="23">
                  <c:v>5.9</c:v>
                </c:pt>
                <c:pt idx="24">
                  <c:v>6.3</c:v>
                </c:pt>
                <c:pt idx="25">
                  <c:v>5.2</c:v>
                </c:pt>
                <c:pt idx="26">
                  <c:v>3</c:v>
                </c:pt>
                <c:pt idx="27">
                  <c:v>6</c:v>
                </c:pt>
                <c:pt idx="28">
                  <c:v>13</c:v>
                </c:pt>
                <c:pt idx="29">
                  <c:v>14.6</c:v>
                </c:pt>
                <c:pt idx="30">
                  <c:v>13.8</c:v>
                </c:pt>
                <c:pt idx="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33-41A1-905A-A82415C5F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53584"/>
        <c:axId val="694956824"/>
      </c:lineChart>
      <c:catAx>
        <c:axId val="694953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6824"/>
        <c:crosses val="autoZero"/>
        <c:auto val="1"/>
        <c:lblAlgn val="ctr"/>
        <c:lblOffset val="100"/>
        <c:noMultiLvlLbl val="0"/>
      </c:catAx>
      <c:valAx>
        <c:axId val="69495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16765091863517"/>
                  <c:y val="0.242077865266841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тренду'!$R$2:$R$33</c:f>
              <c:numCache>
                <c:formatCode>General</c:formatCode>
                <c:ptCount val="32"/>
                <c:pt idx="0">
                  <c:v>5.3</c:v>
                </c:pt>
                <c:pt idx="1">
                  <c:v>3.8</c:v>
                </c:pt>
                <c:pt idx="2">
                  <c:v>2.4</c:v>
                </c:pt>
                <c:pt idx="3">
                  <c:v>9</c:v>
                </c:pt>
                <c:pt idx="4">
                  <c:v>12.8</c:v>
                </c:pt>
                <c:pt idx="5">
                  <c:v>13.8</c:v>
                </c:pt>
                <c:pt idx="6">
                  <c:v>14.8</c:v>
                </c:pt>
                <c:pt idx="7">
                  <c:v>10.4</c:v>
                </c:pt>
                <c:pt idx="8">
                  <c:v>7</c:v>
                </c:pt>
                <c:pt idx="9">
                  <c:v>3.3</c:v>
                </c:pt>
                <c:pt idx="10">
                  <c:v>5.5</c:v>
                </c:pt>
                <c:pt idx="11">
                  <c:v>7.4</c:v>
                </c:pt>
                <c:pt idx="12">
                  <c:v>12.6</c:v>
                </c:pt>
                <c:pt idx="13">
                  <c:v>13.8</c:v>
                </c:pt>
                <c:pt idx="14">
                  <c:v>13.1</c:v>
                </c:pt>
                <c:pt idx="15">
                  <c:v>11</c:v>
                </c:pt>
                <c:pt idx="16">
                  <c:v>8.1</c:v>
                </c:pt>
                <c:pt idx="17">
                  <c:v>7.4</c:v>
                </c:pt>
                <c:pt idx="18">
                  <c:v>6</c:v>
                </c:pt>
                <c:pt idx="19">
                  <c:v>6.3</c:v>
                </c:pt>
                <c:pt idx="20">
                  <c:v>7</c:v>
                </c:pt>
                <c:pt idx="21">
                  <c:v>7.4</c:v>
                </c:pt>
                <c:pt idx="22">
                  <c:v>6.7</c:v>
                </c:pt>
                <c:pt idx="23">
                  <c:v>5.9</c:v>
                </c:pt>
                <c:pt idx="24">
                  <c:v>6.3</c:v>
                </c:pt>
                <c:pt idx="25">
                  <c:v>5.2</c:v>
                </c:pt>
                <c:pt idx="26">
                  <c:v>3</c:v>
                </c:pt>
                <c:pt idx="27">
                  <c:v>6</c:v>
                </c:pt>
                <c:pt idx="28">
                  <c:v>13</c:v>
                </c:pt>
                <c:pt idx="29">
                  <c:v>14.6</c:v>
                </c:pt>
                <c:pt idx="30">
                  <c:v>13.8</c:v>
                </c:pt>
                <c:pt idx="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D-40D2-89F0-117DEA235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53584"/>
        <c:axId val="694956824"/>
      </c:lineChart>
      <c:catAx>
        <c:axId val="694953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6824"/>
        <c:crosses val="autoZero"/>
        <c:auto val="1"/>
        <c:lblAlgn val="ctr"/>
        <c:lblOffset val="100"/>
        <c:noMultiLvlLbl val="0"/>
      </c:catAx>
      <c:valAx>
        <c:axId val="69495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0.14388350584171236"/>
                  <c:y val="0.506710540231944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тренду'!$R$2:$R$33</c:f>
              <c:numCache>
                <c:formatCode>General</c:formatCode>
                <c:ptCount val="32"/>
                <c:pt idx="0">
                  <c:v>5.3</c:v>
                </c:pt>
                <c:pt idx="1">
                  <c:v>3.8</c:v>
                </c:pt>
                <c:pt idx="2">
                  <c:v>2.4</c:v>
                </c:pt>
                <c:pt idx="3">
                  <c:v>9</c:v>
                </c:pt>
                <c:pt idx="4">
                  <c:v>12.8</c:v>
                </c:pt>
                <c:pt idx="5">
                  <c:v>13.8</c:v>
                </c:pt>
                <c:pt idx="6">
                  <c:v>14.8</c:v>
                </c:pt>
                <c:pt idx="7">
                  <c:v>10.4</c:v>
                </c:pt>
                <c:pt idx="8">
                  <c:v>7</c:v>
                </c:pt>
                <c:pt idx="9">
                  <c:v>3.3</c:v>
                </c:pt>
                <c:pt idx="10">
                  <c:v>5.5</c:v>
                </c:pt>
                <c:pt idx="11">
                  <c:v>7.4</c:v>
                </c:pt>
                <c:pt idx="12">
                  <c:v>12.6</c:v>
                </c:pt>
                <c:pt idx="13">
                  <c:v>13.8</c:v>
                </c:pt>
                <c:pt idx="14">
                  <c:v>13.1</c:v>
                </c:pt>
                <c:pt idx="15">
                  <c:v>11</c:v>
                </c:pt>
                <c:pt idx="16">
                  <c:v>8.1</c:v>
                </c:pt>
                <c:pt idx="17">
                  <c:v>7.4</c:v>
                </c:pt>
                <c:pt idx="18">
                  <c:v>6</c:v>
                </c:pt>
                <c:pt idx="19">
                  <c:v>6.3</c:v>
                </c:pt>
                <c:pt idx="20">
                  <c:v>7</c:v>
                </c:pt>
                <c:pt idx="21">
                  <c:v>7.4</c:v>
                </c:pt>
                <c:pt idx="22">
                  <c:v>6.7</c:v>
                </c:pt>
                <c:pt idx="23">
                  <c:v>5.9</c:v>
                </c:pt>
                <c:pt idx="24">
                  <c:v>6.3</c:v>
                </c:pt>
                <c:pt idx="25">
                  <c:v>5.2</c:v>
                </c:pt>
                <c:pt idx="26">
                  <c:v>3</c:v>
                </c:pt>
                <c:pt idx="27">
                  <c:v>6</c:v>
                </c:pt>
                <c:pt idx="28">
                  <c:v>13</c:v>
                </c:pt>
                <c:pt idx="29">
                  <c:v>14.6</c:v>
                </c:pt>
                <c:pt idx="30">
                  <c:v>13.8</c:v>
                </c:pt>
                <c:pt idx="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4E-4803-ACDA-5A85A591C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53584"/>
        <c:axId val="694956824"/>
      </c:lineChart>
      <c:catAx>
        <c:axId val="694953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6824"/>
        <c:crosses val="autoZero"/>
        <c:auto val="1"/>
        <c:lblAlgn val="ctr"/>
        <c:lblOffset val="100"/>
        <c:noMultiLvlLbl val="0"/>
      </c:catAx>
      <c:valAx>
        <c:axId val="69495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1350393700787401"/>
                  <c:y val="0.182965879265091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тренду'!$R$2:$R$33</c:f>
              <c:numCache>
                <c:formatCode>General</c:formatCode>
                <c:ptCount val="32"/>
                <c:pt idx="0">
                  <c:v>5.3</c:v>
                </c:pt>
                <c:pt idx="1">
                  <c:v>3.8</c:v>
                </c:pt>
                <c:pt idx="2">
                  <c:v>2.4</c:v>
                </c:pt>
                <c:pt idx="3">
                  <c:v>9</c:v>
                </c:pt>
                <c:pt idx="4">
                  <c:v>12.8</c:v>
                </c:pt>
                <c:pt idx="5">
                  <c:v>13.8</c:v>
                </c:pt>
                <c:pt idx="6">
                  <c:v>14.8</c:v>
                </c:pt>
                <c:pt idx="7">
                  <c:v>10.4</c:v>
                </c:pt>
                <c:pt idx="8">
                  <c:v>7</c:v>
                </c:pt>
                <c:pt idx="9">
                  <c:v>3.3</c:v>
                </c:pt>
                <c:pt idx="10">
                  <c:v>5.5</c:v>
                </c:pt>
                <c:pt idx="11">
                  <c:v>7.4</c:v>
                </c:pt>
                <c:pt idx="12">
                  <c:v>12.6</c:v>
                </c:pt>
                <c:pt idx="13">
                  <c:v>13.8</c:v>
                </c:pt>
                <c:pt idx="14">
                  <c:v>13.1</c:v>
                </c:pt>
                <c:pt idx="15">
                  <c:v>11</c:v>
                </c:pt>
                <c:pt idx="16">
                  <c:v>8.1</c:v>
                </c:pt>
                <c:pt idx="17">
                  <c:v>7.4</c:v>
                </c:pt>
                <c:pt idx="18">
                  <c:v>6</c:v>
                </c:pt>
                <c:pt idx="19">
                  <c:v>6.3</c:v>
                </c:pt>
                <c:pt idx="20">
                  <c:v>7</c:v>
                </c:pt>
                <c:pt idx="21">
                  <c:v>7.4</c:v>
                </c:pt>
                <c:pt idx="22">
                  <c:v>6.7</c:v>
                </c:pt>
                <c:pt idx="23">
                  <c:v>5.9</c:v>
                </c:pt>
                <c:pt idx="24">
                  <c:v>6.3</c:v>
                </c:pt>
                <c:pt idx="25">
                  <c:v>5.2</c:v>
                </c:pt>
                <c:pt idx="26">
                  <c:v>3</c:v>
                </c:pt>
                <c:pt idx="27">
                  <c:v>6</c:v>
                </c:pt>
                <c:pt idx="28">
                  <c:v>13</c:v>
                </c:pt>
                <c:pt idx="29">
                  <c:v>14.6</c:v>
                </c:pt>
                <c:pt idx="30">
                  <c:v>13.8</c:v>
                </c:pt>
                <c:pt idx="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CF-45A9-B109-03C4128E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53584"/>
        <c:axId val="694956824"/>
      </c:lineChart>
      <c:catAx>
        <c:axId val="694953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6824"/>
        <c:crosses val="autoZero"/>
        <c:auto val="1"/>
        <c:lblAlgn val="ctr"/>
        <c:lblOffset val="100"/>
        <c:noMultiLvlLbl val="0"/>
      </c:catAx>
      <c:valAx>
        <c:axId val="69495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55317147856518"/>
                  <c:y val="0.233748906386701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'Проектування тренду'!$V$2:$V$33</c:f>
              <c:numCache>
                <c:formatCode>General</c:formatCode>
                <c:ptCount val="32"/>
                <c:pt idx="0">
                  <c:v>0.72427586960078905</c:v>
                </c:pt>
                <c:pt idx="1">
                  <c:v>0.57978359661681012</c:v>
                </c:pt>
                <c:pt idx="2">
                  <c:v>0.38021124171160603</c:v>
                </c:pt>
                <c:pt idx="3">
                  <c:v>0.95424250943932487</c:v>
                </c:pt>
                <c:pt idx="4">
                  <c:v>1.1072099696478683</c:v>
                </c:pt>
                <c:pt idx="5">
                  <c:v>1.1398790864012365</c:v>
                </c:pt>
                <c:pt idx="6">
                  <c:v>1.1702617153949575</c:v>
                </c:pt>
                <c:pt idx="7">
                  <c:v>1.0170333392987803</c:v>
                </c:pt>
                <c:pt idx="8">
                  <c:v>0.84509804001425681</c:v>
                </c:pt>
                <c:pt idx="9">
                  <c:v>0.51851393987788741</c:v>
                </c:pt>
                <c:pt idx="10">
                  <c:v>0.74036268949424389</c:v>
                </c:pt>
                <c:pt idx="11">
                  <c:v>0.86923171973097624</c:v>
                </c:pt>
                <c:pt idx="12">
                  <c:v>1.1003705451175629</c:v>
                </c:pt>
                <c:pt idx="13">
                  <c:v>1.1398790864012365</c:v>
                </c:pt>
                <c:pt idx="14">
                  <c:v>1.1172712956557642</c:v>
                </c:pt>
                <c:pt idx="15">
                  <c:v>1.0413926851582251</c:v>
                </c:pt>
                <c:pt idx="16">
                  <c:v>0.90848501887864974</c:v>
                </c:pt>
                <c:pt idx="17">
                  <c:v>0.86923171973097624</c:v>
                </c:pt>
                <c:pt idx="18">
                  <c:v>0.77815125038364363</c:v>
                </c:pt>
                <c:pt idx="19">
                  <c:v>0.79934054945358168</c:v>
                </c:pt>
                <c:pt idx="20">
                  <c:v>0.84509804001425681</c:v>
                </c:pt>
                <c:pt idx="21">
                  <c:v>0.86923171973097624</c:v>
                </c:pt>
                <c:pt idx="22">
                  <c:v>0.82607480270082645</c:v>
                </c:pt>
                <c:pt idx="23">
                  <c:v>0.77085201164214423</c:v>
                </c:pt>
                <c:pt idx="24">
                  <c:v>0.79934054945358168</c:v>
                </c:pt>
                <c:pt idx="25">
                  <c:v>0.71600334363479923</c:v>
                </c:pt>
                <c:pt idx="26">
                  <c:v>0.47712125471966244</c:v>
                </c:pt>
                <c:pt idx="27">
                  <c:v>0.77815125038364363</c:v>
                </c:pt>
                <c:pt idx="28">
                  <c:v>1.1139433523068367</c:v>
                </c:pt>
                <c:pt idx="29">
                  <c:v>1.1643528557844371</c:v>
                </c:pt>
                <c:pt idx="30">
                  <c:v>1.1398790864012365</c:v>
                </c:pt>
                <c:pt idx="31">
                  <c:v>1.0413926851582251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4-446A-AE44-71C6F0D66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742624"/>
        <c:axId val="945748744"/>
      </c:lineChart>
      <c:catAx>
        <c:axId val="94574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48744"/>
        <c:crosses val="autoZero"/>
        <c:auto val="1"/>
        <c:lblAlgn val="ctr"/>
        <c:lblOffset val="100"/>
        <c:noMultiLvlLbl val="0"/>
      </c:catAx>
      <c:valAx>
        <c:axId val="9457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4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тренду'!$R$2:$R$33</c:f>
              <c:numCache>
                <c:formatCode>General</c:formatCode>
                <c:ptCount val="32"/>
                <c:pt idx="0">
                  <c:v>5.3</c:v>
                </c:pt>
                <c:pt idx="1">
                  <c:v>3.8</c:v>
                </c:pt>
                <c:pt idx="2">
                  <c:v>2.4</c:v>
                </c:pt>
                <c:pt idx="3">
                  <c:v>9</c:v>
                </c:pt>
                <c:pt idx="4">
                  <c:v>12.8</c:v>
                </c:pt>
                <c:pt idx="5">
                  <c:v>13.8</c:v>
                </c:pt>
                <c:pt idx="6">
                  <c:v>14.8</c:v>
                </c:pt>
                <c:pt idx="7">
                  <c:v>10.4</c:v>
                </c:pt>
                <c:pt idx="8">
                  <c:v>7</c:v>
                </c:pt>
                <c:pt idx="9">
                  <c:v>3.3</c:v>
                </c:pt>
                <c:pt idx="10">
                  <c:v>5.5</c:v>
                </c:pt>
                <c:pt idx="11">
                  <c:v>7.4</c:v>
                </c:pt>
                <c:pt idx="12">
                  <c:v>12.6</c:v>
                </c:pt>
                <c:pt idx="13">
                  <c:v>13.8</c:v>
                </c:pt>
                <c:pt idx="14">
                  <c:v>13.1</c:v>
                </c:pt>
                <c:pt idx="15">
                  <c:v>11</c:v>
                </c:pt>
                <c:pt idx="16">
                  <c:v>8.1</c:v>
                </c:pt>
                <c:pt idx="17">
                  <c:v>7.4</c:v>
                </c:pt>
                <c:pt idx="18">
                  <c:v>6</c:v>
                </c:pt>
                <c:pt idx="19">
                  <c:v>6.3</c:v>
                </c:pt>
                <c:pt idx="20">
                  <c:v>7</c:v>
                </c:pt>
                <c:pt idx="21">
                  <c:v>7.4</c:v>
                </c:pt>
                <c:pt idx="22">
                  <c:v>6.7</c:v>
                </c:pt>
                <c:pt idx="23">
                  <c:v>5.9</c:v>
                </c:pt>
                <c:pt idx="24">
                  <c:v>6.3</c:v>
                </c:pt>
                <c:pt idx="25">
                  <c:v>5.2</c:v>
                </c:pt>
                <c:pt idx="26">
                  <c:v>3</c:v>
                </c:pt>
                <c:pt idx="27">
                  <c:v>6</c:v>
                </c:pt>
                <c:pt idx="28">
                  <c:v>13</c:v>
                </c:pt>
                <c:pt idx="29">
                  <c:v>14.6</c:v>
                </c:pt>
                <c:pt idx="30">
                  <c:v>13.8</c:v>
                </c:pt>
                <c:pt idx="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6-4E7D-9545-FFB89A5C4286}"/>
            </c:ext>
          </c:extLst>
        </c:ser>
        <c:ser>
          <c:idx val="1"/>
          <c:order val="1"/>
          <c:tx>
            <c:v>Показниковий тренд</c:v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'Проектування тренду'!$Q$2:$Q$33</c:f>
              <c:numCache>
                <c:formatCode>h:mm</c:formatCode>
                <c:ptCount val="32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1.625</c:v>
                </c:pt>
                <c:pt idx="14">
                  <c:v>1.75</c:v>
                </c:pt>
                <c:pt idx="15">
                  <c:v>1.875</c:v>
                </c:pt>
                <c:pt idx="16">
                  <c:v>2</c:v>
                </c:pt>
                <c:pt idx="17">
                  <c:v>2.125</c:v>
                </c:pt>
                <c:pt idx="18">
                  <c:v>2.25</c:v>
                </c:pt>
                <c:pt idx="19">
                  <c:v>2.375</c:v>
                </c:pt>
                <c:pt idx="20">
                  <c:v>2.5</c:v>
                </c:pt>
                <c:pt idx="21">
                  <c:v>2.625</c:v>
                </c:pt>
                <c:pt idx="22">
                  <c:v>2.75</c:v>
                </c:pt>
                <c:pt idx="23">
                  <c:v>2.875</c:v>
                </c:pt>
                <c:pt idx="24">
                  <c:v>3</c:v>
                </c:pt>
                <c:pt idx="25">
                  <c:v>3.125</c:v>
                </c:pt>
                <c:pt idx="26">
                  <c:v>3.25</c:v>
                </c:pt>
                <c:pt idx="27">
                  <c:v>3.375</c:v>
                </c:pt>
                <c:pt idx="28">
                  <c:v>3.5</c:v>
                </c:pt>
                <c:pt idx="29">
                  <c:v>3.625</c:v>
                </c:pt>
                <c:pt idx="30">
                  <c:v>3.75</c:v>
                </c:pt>
                <c:pt idx="31">
                  <c:v>3.875</c:v>
                </c:pt>
              </c:numCache>
            </c:numRef>
          </c:cat>
          <c:val>
            <c:numRef>
              <c:f>'Проектування тренду'!$X$2:$X$33</c:f>
              <c:numCache>
                <c:formatCode>General</c:formatCode>
                <c:ptCount val="32"/>
                <c:pt idx="1">
                  <c:v>6.8896950548113676</c:v>
                </c:pt>
                <c:pt idx="2">
                  <c:v>6.9390497307316297</c:v>
                </c:pt>
                <c:pt idx="3">
                  <c:v>6.9887579613471029</c:v>
                </c:pt>
                <c:pt idx="4">
                  <c:v>7.0388222793645694</c:v>
                </c:pt>
                <c:pt idx="5">
                  <c:v>7.0892452356339852</c:v>
                </c:pt>
                <c:pt idx="6">
                  <c:v>7.1400293992784478</c:v>
                </c:pt>
                <c:pt idx="7">
                  <c:v>7.1911773578250946</c:v>
                </c:pt>
                <c:pt idx="8">
                  <c:v>7.2426917173369469</c:v>
                </c:pt>
                <c:pt idx="9">
                  <c:v>7.2945751025456884</c:v>
                </c:pt>
                <c:pt idx="10">
                  <c:v>7.3468301569853969</c:v>
                </c:pt>
                <c:pt idx="11">
                  <c:v>7.3994595431272403</c:v>
                </c:pt>
                <c:pt idx="12">
                  <c:v>7.4524659425151372</c:v>
                </c:pt>
                <c:pt idx="13">
                  <c:v>7.5058520559023707</c:v>
                </c:pt>
                <c:pt idx="14">
                  <c:v>7.5596206033892157</c:v>
                </c:pt>
                <c:pt idx="15">
                  <c:v>7.613774324561513</c:v>
                </c:pt>
                <c:pt idx="16">
                  <c:v>7.6683159786302699</c:v>
                </c:pt>
                <c:pt idx="17">
                  <c:v>7.7232483445722382</c:v>
                </c:pt>
                <c:pt idx="18">
                  <c:v>7.7785742212715077</c:v>
                </c:pt>
                <c:pt idx="19">
                  <c:v>7.8342964276621183</c:v>
                </c:pt>
                <c:pt idx="20">
                  <c:v>7.8904178028716814</c:v>
                </c:pt>
                <c:pt idx="21">
                  <c:v>7.9469412063660405</c:v>
                </c:pt>
                <c:pt idx="22">
                  <c:v>8.003869518094973</c:v>
                </c:pt>
                <c:pt idx="23">
                  <c:v>8.0612056386389117</c:v>
                </c:pt>
                <c:pt idx="24">
                  <c:v>8.1189524893567491</c:v>
                </c:pt>
                <c:pt idx="25">
                  <c:v>8.1771130125346758</c:v>
                </c:pt>
                <c:pt idx="26">
                  <c:v>8.2356901715361008</c:v>
                </c:pt>
                <c:pt idx="27">
                  <c:v>8.2946869509526309</c:v>
                </c:pt>
                <c:pt idx="28">
                  <c:v>8.3541063567561444</c:v>
                </c:pt>
                <c:pt idx="29">
                  <c:v>8.4139514164519511</c:v>
                </c:pt>
                <c:pt idx="30">
                  <c:v>8.4742251792330521</c:v>
                </c:pt>
                <c:pt idx="31">
                  <c:v>8.5349307161354879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16-4E7D-9545-FFB89A5C4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626016"/>
        <c:axId val="667626376"/>
      </c:lineChart>
      <c:catAx>
        <c:axId val="6676260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6376"/>
        <c:crosses val="autoZero"/>
        <c:auto val="1"/>
        <c:lblAlgn val="ctr"/>
        <c:lblOffset val="100"/>
        <c:noMultiLvlLbl val="0"/>
      </c:catAx>
      <c:valAx>
        <c:axId val="66762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2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'Аналіз сезонних коливань'!$H$2</c:f>
              <c:strCache>
                <c:ptCount val="1"/>
                <c:pt idx="0">
                  <c:v>Індекс сезонності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'Аналіз сезонних коливань'!$A$3:$A$14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 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'Аналіз сезонних коливань'!$H$3:$H$14</c:f>
              <c:numCache>
                <c:formatCode>General</c:formatCode>
                <c:ptCount val="12"/>
                <c:pt idx="0">
                  <c:v>-24.558768306421328</c:v>
                </c:pt>
                <c:pt idx="1">
                  <c:v>-12.392039053698834</c:v>
                </c:pt>
                <c:pt idx="2">
                  <c:v>56.55276004506193</c:v>
                </c:pt>
                <c:pt idx="3">
                  <c:v>108.82463387157337</c:v>
                </c:pt>
                <c:pt idx="4">
                  <c:v>138.79083740142693</c:v>
                </c:pt>
                <c:pt idx="5">
                  <c:v>209.53811490799845</c:v>
                </c:pt>
                <c:pt idx="6">
                  <c:v>251.44573788959815</c:v>
                </c:pt>
                <c:pt idx="7">
                  <c:v>236.80060082613591</c:v>
                </c:pt>
                <c:pt idx="8">
                  <c:v>145.09951182876452</c:v>
                </c:pt>
                <c:pt idx="9">
                  <c:v>81.562147953435954</c:v>
                </c:pt>
                <c:pt idx="10">
                  <c:v>12.842658655651515</c:v>
                </c:pt>
                <c:pt idx="11">
                  <c:v>-4.5061960195268478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E-4579-989B-3CC4DE9DC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1344"/>
        <c:axId val="627452064"/>
      </c:lineChart>
      <c:catAx>
        <c:axId val="6274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2064"/>
        <c:crosses val="autoZero"/>
        <c:auto val="1"/>
        <c:lblAlgn val="ctr"/>
        <c:lblOffset val="100"/>
        <c:noMultiLvlLbl val="0"/>
      </c:catAx>
      <c:valAx>
        <c:axId val="62745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'Аналіз сезонних коливань'!$F$18</c:f>
              <c:strCache>
                <c:ptCount val="1"/>
                <c:pt idx="0">
                  <c:v>Середні помісячні відносини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'Аналіз сезонних коливань'!$F$20:$F$31</c:f>
              <c:numCache>
                <c:formatCode>0</c:formatCode>
                <c:ptCount val="12"/>
                <c:pt idx="0">
                  <c:v>100</c:v>
                </c:pt>
                <c:pt idx="1">
                  <c:v>593.05406373075539</c:v>
                </c:pt>
                <c:pt idx="2">
                  <c:v>348.82488479262679</c:v>
                </c:pt>
                <c:pt idx="3">
                  <c:v>198.854038118744</c:v>
                </c:pt>
                <c:pt idx="4">
                  <c:v>128.00485464345616</c:v>
                </c:pt>
                <c:pt idx="5">
                  <c:v>175.51092805543269</c:v>
                </c:pt>
                <c:pt idx="6">
                  <c:v>120.98944494628037</c:v>
                </c:pt>
                <c:pt idx="7">
                  <c:v>95.917324445099013</c:v>
                </c:pt>
                <c:pt idx="8">
                  <c:v>62.96907563485999</c:v>
                </c:pt>
                <c:pt idx="9">
                  <c:v>60.362021542565735</c:v>
                </c:pt>
                <c:pt idx="10">
                  <c:v>19.271255663501428</c:v>
                </c:pt>
                <c:pt idx="11">
                  <c:v>199.56395348837208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F-47A1-8E09-4965A1B3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779424"/>
        <c:axId val="683774384"/>
      </c:lineChart>
      <c:catAx>
        <c:axId val="68377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74384"/>
        <c:crosses val="autoZero"/>
        <c:auto val="1"/>
        <c:lblAlgn val="ctr"/>
        <c:lblOffset val="100"/>
        <c:noMultiLvlLbl val="0"/>
      </c:catAx>
      <c:valAx>
        <c:axId val="6837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7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'Аналіз сезонних коливань'!$B$71</c:f>
              <c:strCache>
                <c:ptCount val="1"/>
                <c:pt idx="0">
                  <c:v>J1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'Аналіз сезонних коливань'!$A$72:$A$83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'Аналіз сезонних коливань'!$B$72:$B$83</c:f>
              <c:numCache>
                <c:formatCode>General</c:formatCode>
                <c:ptCount val="12"/>
                <c:pt idx="0">
                  <c:v>7.6278656070393929</c:v>
                </c:pt>
                <c:pt idx="1">
                  <c:v>12.122430738652836</c:v>
                </c:pt>
                <c:pt idx="2">
                  <c:v>55.419450800733095</c:v>
                </c:pt>
                <c:pt idx="3">
                  <c:v>110.66179301889288</c:v>
                </c:pt>
                <c:pt idx="4">
                  <c:v>163.04731640777246</c:v>
                </c:pt>
                <c:pt idx="5">
                  <c:v>198.53936228024006</c:v>
                </c:pt>
                <c:pt idx="6">
                  <c:v>207.62786560703938</c:v>
                </c:pt>
                <c:pt idx="7">
                  <c:v>187.87756926134716</c:v>
                </c:pt>
                <c:pt idx="8">
                  <c:v>144.58054919926693</c:v>
                </c:pt>
                <c:pt idx="9">
                  <c:v>89.338206981107149</c:v>
                </c:pt>
                <c:pt idx="10">
                  <c:v>110.66179301889285</c:v>
                </c:pt>
                <c:pt idx="11">
                  <c:v>1.4606377197599993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A-4EB1-B777-EA2A84BF94A7}"/>
            </c:ext>
          </c:extLst>
        </c:ser>
        <c:ser>
          <c:idx val="1"/>
          <c:order val="1"/>
          <c:tx>
            <c:strRef>
              <c:f>'Аналіз сезонних коливань'!$C$71</c:f>
              <c:strCache>
                <c:ptCount val="1"/>
                <c:pt idx="0">
                  <c:v>J2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'Аналіз сезонних коливань'!$A$72:$A$83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'Аналіз сезонних коливань'!$C$72:$C$83</c:f>
              <c:numCache>
                <c:formatCode>General</c:formatCode>
                <c:ptCount val="12"/>
                <c:pt idx="0">
                  <c:v>6.4027466378586047</c:v>
                </c:pt>
                <c:pt idx="1">
                  <c:v>38.270389922326331</c:v>
                </c:pt>
                <c:pt idx="2">
                  <c:v>67.536797739508586</c:v>
                </c:pt>
                <c:pt idx="3">
                  <c:v>96.631180773994856</c:v>
                </c:pt>
                <c:pt idx="4">
                  <c:v>136.89935722409896</c:v>
                </c:pt>
                <c:pt idx="5">
                  <c:v>186.42201534146454</c:v>
                </c:pt>
                <c:pt idx="6">
                  <c:v>221.65847785193739</c:v>
                </c:pt>
                <c:pt idx="7">
                  <c:v>214.02552844502068</c:v>
                </c:pt>
                <c:pt idx="8">
                  <c:v>156.69789613804247</c:v>
                </c:pt>
                <c:pt idx="9">
                  <c:v>75.307594736209154</c:v>
                </c:pt>
                <c:pt idx="10">
                  <c:v>96.631180773994856</c:v>
                </c:pt>
                <c:pt idx="11">
                  <c:v>10.65670921901552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A-4EB1-B777-EA2A84BF9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442536"/>
        <c:axId val="928449016"/>
      </c:lineChart>
      <c:catAx>
        <c:axId val="92844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49016"/>
        <c:crosses val="autoZero"/>
        <c:auto val="1"/>
        <c:lblAlgn val="ctr"/>
        <c:lblOffset val="100"/>
        <c:noMultiLvlLbl val="0"/>
      </c:catAx>
      <c:valAx>
        <c:axId val="92844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4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Авторегресія!$B$2</c:f>
              <c:strCache>
                <c:ptCount val="1"/>
                <c:pt idx="0">
                  <c:v>Температура повітря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Авторегресія!$A$3:$A$35</c:f>
              <c:numCache>
                <c:formatCode>h:mm</c:formatCode>
                <c:ptCount val="33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  <c:pt idx="32">
                  <c:v>4.0833333333333304</c:v>
                </c:pt>
              </c:numCache>
            </c:numRef>
          </c:cat>
          <c:val>
            <c:numRef>
              <c:f>Авторегресія!$B$3:$B$34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2-47AD-9A5A-3F2AE9DE8E3A}"/>
            </c:ext>
          </c:extLst>
        </c:ser>
        <c:ser>
          <c:idx val="1"/>
          <c:order val="1"/>
          <c:tx>
            <c:strRef>
              <c:f>Авторегресія!$D$2</c:f>
              <c:strCache>
                <c:ptCount val="1"/>
                <c:pt idx="0">
                  <c:v>Y розрахований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Авторегресія!$A$3:$A$35</c:f>
              <c:numCache>
                <c:formatCode>h:mm</c:formatCode>
                <c:ptCount val="33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  <c:pt idx="32">
                  <c:v>4.0833333333333304</c:v>
                </c:pt>
              </c:numCache>
            </c:numRef>
          </c:cat>
          <c:val>
            <c:numRef>
              <c:f>Авторегресія!$D$3:$D$35</c:f>
              <c:numCache>
                <c:formatCode>General</c:formatCode>
                <c:ptCount val="33"/>
                <c:pt idx="1">
                  <c:v>1.6614200281062008</c:v>
                </c:pt>
                <c:pt idx="2">
                  <c:v>2.3769178935422239</c:v>
                </c:pt>
                <c:pt idx="3">
                  <c:v>1.4229207396275263</c:v>
                </c:pt>
                <c:pt idx="4">
                  <c:v>3.8079136244142702</c:v>
                </c:pt>
                <c:pt idx="5">
                  <c:v>5.5569084065912149</c:v>
                </c:pt>
                <c:pt idx="6">
                  <c:v>5.9544072207223389</c:v>
                </c:pt>
                <c:pt idx="7">
                  <c:v>3.6489140987618205</c:v>
                </c:pt>
                <c:pt idx="8">
                  <c:v>3.2514152846306965</c:v>
                </c:pt>
                <c:pt idx="9">
                  <c:v>5.0004100668076417</c:v>
                </c:pt>
                <c:pt idx="10">
                  <c:v>2.6949169448471229</c:v>
                </c:pt>
                <c:pt idx="11">
                  <c:v>0.9459221626701777</c:v>
                </c:pt>
                <c:pt idx="12">
                  <c:v>3.7284138615880451</c:v>
                </c:pt>
                <c:pt idx="13">
                  <c:v>3.0924157589782468</c:v>
                </c:pt>
                <c:pt idx="14">
                  <c:v>4.6824110155027423</c:v>
                </c:pt>
                <c:pt idx="15">
                  <c:v>5.0004100668076417</c:v>
                </c:pt>
                <c:pt idx="16">
                  <c:v>3.0924157589782468</c:v>
                </c:pt>
                <c:pt idx="17">
                  <c:v>1.581920265279976</c:v>
                </c:pt>
                <c:pt idx="18">
                  <c:v>0.23042429723415464</c:v>
                </c:pt>
                <c:pt idx="19">
                  <c:v>-0.32607404254941885</c:v>
                </c:pt>
                <c:pt idx="20">
                  <c:v>1.6614200281062008</c:v>
                </c:pt>
                <c:pt idx="21">
                  <c:v>3.6489140987618205</c:v>
                </c:pt>
                <c:pt idx="22">
                  <c:v>4.3644119641978429</c:v>
                </c:pt>
                <c:pt idx="23">
                  <c:v>1.5024205024537511</c:v>
                </c:pt>
                <c:pt idx="24">
                  <c:v>-0.48507356820186842</c:v>
                </c:pt>
                <c:pt idx="25">
                  <c:v>-2.7110669273361623</c:v>
                </c:pt>
                <c:pt idx="26">
                  <c:v>-2.870066452988612</c:v>
                </c:pt>
                <c:pt idx="27">
                  <c:v>-1.9160692990739143</c:v>
                </c:pt>
                <c:pt idx="28">
                  <c:v>-1.9955690619001394</c:v>
                </c:pt>
                <c:pt idx="29">
                  <c:v>-0.56457333102809326</c:v>
                </c:pt>
                <c:pt idx="30">
                  <c:v>1.2639212139750768</c:v>
                </c:pt>
                <c:pt idx="31">
                  <c:v>-0.80307261950676745</c:v>
                </c:pt>
                <c:pt idx="32">
                  <c:v>-0.72357285668054283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32-47AD-9A5A-3F2AE9DE8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658824"/>
        <c:axId val="687659184"/>
      </c:lineChart>
      <c:catAx>
        <c:axId val="6876588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59184"/>
        <c:crosses val="autoZero"/>
        <c:auto val="1"/>
        <c:lblAlgn val="ctr"/>
        <c:lblOffset val="100"/>
        <c:noMultiLvlLbl val="0"/>
      </c:catAx>
      <c:valAx>
        <c:axId val="6876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5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Авторегресія!$B$40</c:f>
              <c:strCache>
                <c:ptCount val="1"/>
                <c:pt idx="0">
                  <c:v>Температура повітря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Авторегресія!$A$41:$A$73</c:f>
              <c:numCache>
                <c:formatCode>h:mm</c:formatCode>
                <c:ptCount val="33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  <c:pt idx="32">
                  <c:v>4.0833333333333304</c:v>
                </c:pt>
              </c:numCache>
            </c:numRef>
          </c:cat>
          <c:val>
            <c:numRef>
              <c:f>Авторегресія!$B$41:$B$72</c:f>
              <c:numCache>
                <c:formatCode>General</c:formatCode>
                <c:ptCount val="32"/>
                <c:pt idx="0">
                  <c:v>1.7</c:v>
                </c:pt>
                <c:pt idx="1">
                  <c:v>2.6</c:v>
                </c:pt>
                <c:pt idx="2">
                  <c:v>1.4</c:v>
                </c:pt>
                <c:pt idx="3">
                  <c:v>4.4000000000000004</c:v>
                </c:pt>
                <c:pt idx="4">
                  <c:v>6.6</c:v>
                </c:pt>
                <c:pt idx="5">
                  <c:v>7.1</c:v>
                </c:pt>
                <c:pt idx="6">
                  <c:v>4.2</c:v>
                </c:pt>
                <c:pt idx="7">
                  <c:v>3.7</c:v>
                </c:pt>
                <c:pt idx="8">
                  <c:v>5.9</c:v>
                </c:pt>
                <c:pt idx="9">
                  <c:v>3</c:v>
                </c:pt>
                <c:pt idx="10">
                  <c:v>0.8</c:v>
                </c:pt>
                <c:pt idx="11">
                  <c:v>4.3</c:v>
                </c:pt>
                <c:pt idx="12">
                  <c:v>3.5</c:v>
                </c:pt>
                <c:pt idx="13">
                  <c:v>5.5</c:v>
                </c:pt>
                <c:pt idx="14">
                  <c:v>5.9</c:v>
                </c:pt>
                <c:pt idx="15">
                  <c:v>3.5</c:v>
                </c:pt>
                <c:pt idx="16">
                  <c:v>1.6</c:v>
                </c:pt>
                <c:pt idx="17">
                  <c:v>-0.1</c:v>
                </c:pt>
                <c:pt idx="18">
                  <c:v>-0.8</c:v>
                </c:pt>
                <c:pt idx="19">
                  <c:v>1.7</c:v>
                </c:pt>
                <c:pt idx="20">
                  <c:v>4.2</c:v>
                </c:pt>
                <c:pt idx="21">
                  <c:v>5.0999999999999996</c:v>
                </c:pt>
                <c:pt idx="22">
                  <c:v>1.5</c:v>
                </c:pt>
                <c:pt idx="23">
                  <c:v>-1</c:v>
                </c:pt>
                <c:pt idx="24">
                  <c:v>-3.8</c:v>
                </c:pt>
                <c:pt idx="25">
                  <c:v>-4</c:v>
                </c:pt>
                <c:pt idx="26">
                  <c:v>-2.8</c:v>
                </c:pt>
                <c:pt idx="27">
                  <c:v>-2.9</c:v>
                </c:pt>
                <c:pt idx="28">
                  <c:v>-1.1000000000000001</c:v>
                </c:pt>
                <c:pt idx="29">
                  <c:v>1.2</c:v>
                </c:pt>
                <c:pt idx="30">
                  <c:v>-1.4</c:v>
                </c:pt>
                <c:pt idx="31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5-40FF-A3FB-CB166CE2016B}"/>
            </c:ext>
          </c:extLst>
        </c:ser>
        <c:ser>
          <c:idx val="1"/>
          <c:order val="1"/>
          <c:tx>
            <c:strRef>
              <c:f>Авторегресія!$E$40</c:f>
              <c:strCache>
                <c:ptCount val="1"/>
                <c:pt idx="0">
                  <c:v>Y розрахований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Авторегресія!$A$41:$A$73</c:f>
              <c:numCache>
                <c:formatCode>h:mm</c:formatCode>
                <c:ptCount val="33"/>
                <c:pt idx="0">
                  <c:v>8.3333333333333329E-2</c:v>
                </c:pt>
                <c:pt idx="1">
                  <c:v>0.20833333333333334</c:v>
                </c:pt>
                <c:pt idx="2">
                  <c:v>0.33333333333333331</c:v>
                </c:pt>
                <c:pt idx="3">
                  <c:v>0.45833333333333331</c:v>
                </c:pt>
                <c:pt idx="4">
                  <c:v>0.58333333333333337</c:v>
                </c:pt>
                <c:pt idx="5">
                  <c:v>0.70833333333333337</c:v>
                </c:pt>
                <c:pt idx="6">
                  <c:v>0.83333333333333337</c:v>
                </c:pt>
                <c:pt idx="7">
                  <c:v>0.95833333333333337</c:v>
                </c:pt>
                <c:pt idx="8">
                  <c:v>1.0833333333333299</c:v>
                </c:pt>
                <c:pt idx="9">
                  <c:v>1.2083333333333299</c:v>
                </c:pt>
                <c:pt idx="10">
                  <c:v>1.3333333333333299</c:v>
                </c:pt>
                <c:pt idx="11">
                  <c:v>1.4583333333333299</c:v>
                </c:pt>
                <c:pt idx="12">
                  <c:v>1.5833333333333299</c:v>
                </c:pt>
                <c:pt idx="13">
                  <c:v>1.7083333333333299</c:v>
                </c:pt>
                <c:pt idx="14">
                  <c:v>1.8333333333333299</c:v>
                </c:pt>
                <c:pt idx="15">
                  <c:v>1.9583333333333299</c:v>
                </c:pt>
                <c:pt idx="16">
                  <c:v>2.0833333333333299</c:v>
                </c:pt>
                <c:pt idx="17">
                  <c:v>2.2083333333333299</c:v>
                </c:pt>
                <c:pt idx="18">
                  <c:v>2.3333333333333299</c:v>
                </c:pt>
                <c:pt idx="19">
                  <c:v>2.4583333333333299</c:v>
                </c:pt>
                <c:pt idx="20">
                  <c:v>2.5833333333333299</c:v>
                </c:pt>
                <c:pt idx="21">
                  <c:v>2.7083333333333299</c:v>
                </c:pt>
                <c:pt idx="22">
                  <c:v>2.8333333333333299</c:v>
                </c:pt>
                <c:pt idx="23">
                  <c:v>2.9583333333333299</c:v>
                </c:pt>
                <c:pt idx="24">
                  <c:v>3.0833333333333299</c:v>
                </c:pt>
                <c:pt idx="25">
                  <c:v>3.2083333333333299</c:v>
                </c:pt>
                <c:pt idx="26">
                  <c:v>3.3333333333333299</c:v>
                </c:pt>
                <c:pt idx="27">
                  <c:v>3.4583333333333299</c:v>
                </c:pt>
                <c:pt idx="28">
                  <c:v>3.5833333333333299</c:v>
                </c:pt>
                <c:pt idx="29">
                  <c:v>3.7083333333333299</c:v>
                </c:pt>
                <c:pt idx="30">
                  <c:v>3.8333333333333299</c:v>
                </c:pt>
                <c:pt idx="31">
                  <c:v>3.9583333333333299</c:v>
                </c:pt>
                <c:pt idx="32">
                  <c:v>4.0833333333333304</c:v>
                </c:pt>
              </c:numCache>
            </c:numRef>
          </c:cat>
          <c:val>
            <c:numRef>
              <c:f>Авторегресія!$E$41:$E$73</c:f>
              <c:numCache>
                <c:formatCode>General</c:formatCode>
                <c:ptCount val="33"/>
                <c:pt idx="2">
                  <c:v>2.575161414610637</c:v>
                </c:pt>
                <c:pt idx="3">
                  <c:v>1.136282999329371</c:v>
                </c:pt>
                <c:pt idx="4">
                  <c:v>4.4525909214644805</c:v>
                </c:pt>
                <c:pt idx="5">
                  <c:v>5.8466015973692294</c:v>
                </c:pt>
                <c:pt idx="6">
                  <c:v>5.7572896048076254</c:v>
                </c:pt>
                <c:pt idx="7">
                  <c:v>2.7280835244626536</c:v>
                </c:pt>
                <c:pt idx="8">
                  <c:v>3.0046542610696272</c:v>
                </c:pt>
                <c:pt idx="9">
                  <c:v>5.3349586572012218</c:v>
                </c:pt>
                <c:pt idx="10">
                  <c:v>1.8509813413174949</c:v>
                </c:pt>
                <c:pt idx="11">
                  <c:v>0.43021941626340776</c:v>
                </c:pt>
                <c:pt idx="12">
                  <c:v>4.5132553186157427</c:v>
                </c:pt>
                <c:pt idx="13">
                  <c:v>2.7782168164307515</c:v>
                </c:pt>
                <c:pt idx="14">
                  <c:v>4.9890887645208242</c:v>
                </c:pt>
                <c:pt idx="15">
                  <c:v>4.8534361725131303</c:v>
                </c:pt>
                <c:pt idx="16">
                  <c:v>2.3501968300413365</c:v>
                </c:pt>
                <c:pt idx="17">
                  <c:v>1.0952079524748619</c:v>
                </c:pt>
                <c:pt idx="18">
                  <c:v>-9.3850975348768573E-2</c:v>
                </c:pt>
                <c:pt idx="19">
                  <c:v>-0.33798142402339293</c:v>
                </c:pt>
                <c:pt idx="20">
                  <c:v>2.3453547636411836</c:v>
                </c:pt>
                <c:pt idx="21">
                  <c:v>4.1726509785269297</c:v>
                </c:pt>
                <c:pt idx="22">
                  <c:v>4.4024576294963822</c:v>
                </c:pt>
                <c:pt idx="23">
                  <c:v>0.56734486834067832</c:v>
                </c:pt>
                <c:pt idx="24">
                  <c:v>-0.9656876059023447</c:v>
                </c:pt>
                <c:pt idx="25">
                  <c:v>-3.0925131140223949</c:v>
                </c:pt>
                <c:pt idx="26">
                  <c:v>-2.5431643333304552</c:v>
                </c:pt>
                <c:pt idx="27">
                  <c:v>-1.2915446620945588</c:v>
                </c:pt>
                <c:pt idx="28">
                  <c:v>-1.7124027496313885</c:v>
                </c:pt>
                <c:pt idx="29">
                  <c:v>0.11152425892377893</c:v>
                </c:pt>
                <c:pt idx="30">
                  <c:v>1.9263930223653571</c:v>
                </c:pt>
                <c:pt idx="31">
                  <c:v>-1.2848062494334023</c:v>
                </c:pt>
                <c:pt idx="32">
                  <c:v>-0.48943067380583444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5-40FF-A3FB-CB166CE20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788496"/>
        <c:axId val="973789216"/>
      </c:lineChart>
      <c:catAx>
        <c:axId val="9737884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789216"/>
        <c:crosses val="autoZero"/>
        <c:auto val="1"/>
        <c:lblAlgn val="ctr"/>
        <c:lblOffset val="100"/>
        <c:noMultiLvlLbl val="0"/>
      </c:catAx>
      <c:valAx>
        <c:axId val="9737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7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chart" Target="../charts/chart9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3.png"/><Relationship Id="rId11" Type="http://schemas.openxmlformats.org/officeDocument/2006/relationships/chart" Target="../charts/chart16.xml"/><Relationship Id="rId5" Type="http://schemas.openxmlformats.org/officeDocument/2006/relationships/chart" Target="../charts/chart11.xml"/><Relationship Id="rId10" Type="http://schemas.openxmlformats.org/officeDocument/2006/relationships/chart" Target="../charts/chart15.xml"/><Relationship Id="rId4" Type="http://schemas.openxmlformats.org/officeDocument/2006/relationships/chart" Target="../charts/chart10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351118</xdr:colOff>
      <xdr:row>4</xdr:row>
      <xdr:rowOff>112806</xdr:rowOff>
    </xdr:from>
    <xdr:to>
      <xdr:col>11</xdr:col>
      <xdr:colOff>410882</xdr:colOff>
      <xdr:row>21</xdr:row>
      <xdr:rowOff>11206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F5B67D9C-664B-15D6-2527-1DE2F2C1E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47855</xdr:colOff>
      <xdr:row>3</xdr:row>
      <xdr:rowOff>15796</xdr:rowOff>
    </xdr:from>
    <xdr:to>
      <xdr:col>15</xdr:col>
      <xdr:colOff>582339</xdr:colOff>
      <xdr:row>3</xdr:row>
      <xdr:rowOff>176559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140F438-5EE8-4B8E-AEC8-34CF8BB02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475" t="55693" r="71651" b="40840"/>
        <a:stretch/>
      </xdr:blipFill>
      <xdr:spPr>
        <a:xfrm>
          <a:off x="8934757" y="1180479"/>
          <a:ext cx="1144704" cy="160763"/>
        </a:xfrm>
        <a:prstGeom prst="rect">
          <a:avLst/>
        </a:prstGeom>
      </xdr:spPr>
    </xdr:pic>
    <xdr:clientData/>
  </xdr:twoCellAnchor>
  <xdr:twoCellAnchor editAs="oneCell">
    <xdr:from>
      <xdr:col>16</xdr:col>
      <xdr:colOff>18586</xdr:colOff>
      <xdr:row>3</xdr:row>
      <xdr:rowOff>15488</xdr:rowOff>
    </xdr:from>
    <xdr:to>
      <xdr:col>17</xdr:col>
      <xdr:colOff>573049</xdr:colOff>
      <xdr:row>3</xdr:row>
      <xdr:rowOff>189808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6EEE3FA-BBC1-94EB-A73D-B41986AA8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2299" t="51033" r="13587" b="45233"/>
        <a:stretch/>
      </xdr:blipFill>
      <xdr:spPr>
        <a:xfrm>
          <a:off x="10125927" y="1180171"/>
          <a:ext cx="1164683" cy="174320"/>
        </a:xfrm>
        <a:prstGeom prst="rect">
          <a:avLst/>
        </a:prstGeom>
      </xdr:spPr>
    </xdr:pic>
    <xdr:clientData/>
  </xdr:twoCellAnchor>
  <xdr:twoCellAnchor editAs="oneCell">
    <xdr:from>
      <xdr:col>12</xdr:col>
      <xdr:colOff>418354</xdr:colOff>
      <xdr:row>40</xdr:row>
      <xdr:rowOff>59764</xdr:rowOff>
    </xdr:from>
    <xdr:to>
      <xdr:col>15</xdr:col>
      <xdr:colOff>14941</xdr:colOff>
      <xdr:row>44</xdr:row>
      <xdr:rowOff>50729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9860A68-AA12-4796-AC5F-035757E424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6543" t="52657" r="29403" b="34487"/>
        <a:stretch>
          <a:fillRect/>
        </a:stretch>
      </xdr:blipFill>
      <xdr:spPr>
        <a:xfrm>
          <a:off x="8105589" y="8098117"/>
          <a:ext cx="1434352" cy="7380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484716</xdr:colOff>
      <xdr:row>33</xdr:row>
      <xdr:rowOff>156633</xdr:rowOff>
    </xdr:from>
    <xdr:to>
      <xdr:col>9</xdr:col>
      <xdr:colOff>571500</xdr:colOff>
      <xdr:row>52</xdr:row>
      <xdr:rowOff>108478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AB5D585-FD0D-42B0-A73D-BB416F943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484716</xdr:colOff>
      <xdr:row>33</xdr:row>
      <xdr:rowOff>156633</xdr:rowOff>
    </xdr:from>
    <xdr:to>
      <xdr:col>9</xdr:col>
      <xdr:colOff>458611</xdr:colOff>
      <xdr:row>52</xdr:row>
      <xdr:rowOff>108478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484716</xdr:colOff>
      <xdr:row>33</xdr:row>
      <xdr:rowOff>156633</xdr:rowOff>
    </xdr:from>
    <xdr:to>
      <xdr:col>9</xdr:col>
      <xdr:colOff>390525</xdr:colOff>
      <xdr:row>52</xdr:row>
      <xdr:rowOff>108478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484716</xdr:colOff>
      <xdr:row>33</xdr:row>
      <xdr:rowOff>156633</xdr:rowOff>
    </xdr:from>
    <xdr:to>
      <xdr:col>9</xdr:col>
      <xdr:colOff>390525</xdr:colOff>
      <xdr:row>52</xdr:row>
      <xdr:rowOff>108478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34</xdr:row>
      <xdr:rowOff>58736</xdr:rowOff>
    </xdr:from>
    <xdr:to>
      <xdr:col>14</xdr:col>
      <xdr:colOff>428625</xdr:colOff>
      <xdr:row>54</xdr:row>
      <xdr:rowOff>82550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346075</xdr:colOff>
      <xdr:row>13</xdr:row>
      <xdr:rowOff>0</xdr:rowOff>
    </xdr:from>
    <xdr:to>
      <xdr:col>14</xdr:col>
      <xdr:colOff>47625</xdr:colOff>
      <xdr:row>27</xdr:row>
      <xdr:rowOff>6350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8A897B70-445F-878E-AD48-F6C255C8B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365125</xdr:colOff>
      <xdr:row>27</xdr:row>
      <xdr:rowOff>95250</xdr:rowOff>
    </xdr:from>
    <xdr:to>
      <xdr:col>14</xdr:col>
      <xdr:colOff>66675</xdr:colOff>
      <xdr:row>41</xdr:row>
      <xdr:rowOff>88900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74A1072E-3FBD-4B28-B9DA-8FA78FC57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349250</xdr:colOff>
      <xdr:row>42</xdr:row>
      <xdr:rowOff>0</xdr:rowOff>
    </xdr:from>
    <xdr:to>
      <xdr:col>14</xdr:col>
      <xdr:colOff>50800</xdr:colOff>
      <xdr:row>56</xdr:row>
      <xdr:rowOff>139700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8FFCD262-F65A-4CB1-9195-F757DD609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365125</xdr:colOff>
      <xdr:row>57</xdr:row>
      <xdr:rowOff>31750</xdr:rowOff>
    </xdr:from>
    <xdr:to>
      <xdr:col>14</xdr:col>
      <xdr:colOff>66675</xdr:colOff>
      <xdr:row>72</xdr:row>
      <xdr:rowOff>6350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20B11EF3-3757-4C2B-B76F-446633357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349250</xdr:colOff>
      <xdr:row>72</xdr:row>
      <xdr:rowOff>57150</xdr:rowOff>
    </xdr:from>
    <xdr:to>
      <xdr:col>14</xdr:col>
      <xdr:colOff>50800</xdr:colOff>
      <xdr:row>87</xdr:row>
      <xdr:rowOff>38100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26EF8F74-7B9A-D566-5AB1-EBD295D57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174624</xdr:colOff>
      <xdr:row>0</xdr:row>
      <xdr:rowOff>155575</xdr:rowOff>
    </xdr:from>
    <xdr:to>
      <xdr:col>12</xdr:col>
      <xdr:colOff>260193</xdr:colOff>
      <xdr:row>8</xdr:row>
      <xdr:rowOff>135217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D79C3F2-190A-B7FF-88D8-8D850C44B0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1985" t="28626" r="8363" b="16379"/>
        <a:stretch/>
      </xdr:blipFill>
      <xdr:spPr>
        <a:xfrm>
          <a:off x="3381374" y="155575"/>
          <a:ext cx="4352769" cy="2282825"/>
        </a:xfrm>
        <a:prstGeom prst="rect">
          <a:avLst/>
        </a:prstGeom>
      </xdr:spPr>
    </xdr:pic>
    <xdr:clientData/>
  </xdr:twoCellAnchor>
  <xdr:twoCellAnchor>
    <xdr:from>
      <xdr:col>23</xdr:col>
      <xdr:colOff>186204</xdr:colOff>
      <xdr:row>0</xdr:row>
      <xdr:rowOff>272863</xdr:rowOff>
    </xdr:from>
    <xdr:to>
      <xdr:col>30</xdr:col>
      <xdr:colOff>491004</xdr:colOff>
      <xdr:row>13</xdr:row>
      <xdr:rowOff>152213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893B9FA9-16FB-342F-61CF-A662382BE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165100</xdr:colOff>
      <xdr:row>13</xdr:row>
      <xdr:rowOff>184150</xdr:rowOff>
    </xdr:from>
    <xdr:to>
      <xdr:col>30</xdr:col>
      <xdr:colOff>469900</xdr:colOff>
      <xdr:row>27</xdr:row>
      <xdr:rowOff>171450</xdr:rowOff>
    </xdr:to>
    <xdr:graphicFrame macro="">
      <xdr:nvGraphicFramePr>
        <xdr:cNvPr id="11" name="Діаграма 10">
          <a:extLst>
            <a:ext uri="{FF2B5EF4-FFF2-40B4-BE49-F238E27FC236}">
              <a16:creationId xmlns:a16="http://schemas.microsoft.com/office/drawing/2014/main" id="{8881C2B3-213A-4FF1-BAF1-99EA2127F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165100</xdr:colOff>
      <xdr:row>28</xdr:row>
      <xdr:rowOff>120650</xdr:rowOff>
    </xdr:from>
    <xdr:to>
      <xdr:col>30</xdr:col>
      <xdr:colOff>469900</xdr:colOff>
      <xdr:row>43</xdr:row>
      <xdr:rowOff>38100</xdr:rowOff>
    </xdr:to>
    <xdr:graphicFrame macro="">
      <xdr:nvGraphicFramePr>
        <xdr:cNvPr id="12" name="Діаграма 11">
          <a:extLst>
            <a:ext uri="{FF2B5EF4-FFF2-40B4-BE49-F238E27FC236}">
              <a16:creationId xmlns:a16="http://schemas.microsoft.com/office/drawing/2014/main" id="{AB2CC571-0B65-4C84-AD63-9066F779F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152400</xdr:colOff>
      <xdr:row>44</xdr:row>
      <xdr:rowOff>0</xdr:rowOff>
    </xdr:from>
    <xdr:to>
      <xdr:col>30</xdr:col>
      <xdr:colOff>457200</xdr:colOff>
      <xdr:row>58</xdr:row>
      <xdr:rowOff>165100</xdr:rowOff>
    </xdr:to>
    <xdr:graphicFrame macro="">
      <xdr:nvGraphicFramePr>
        <xdr:cNvPr id="13" name="Діаграма 12">
          <a:extLst>
            <a:ext uri="{FF2B5EF4-FFF2-40B4-BE49-F238E27FC236}">
              <a16:creationId xmlns:a16="http://schemas.microsoft.com/office/drawing/2014/main" id="{E2959930-DBA1-4970-A280-5B1360971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152400</xdr:colOff>
      <xdr:row>60</xdr:row>
      <xdr:rowOff>12700</xdr:rowOff>
    </xdr:from>
    <xdr:to>
      <xdr:col>30</xdr:col>
      <xdr:colOff>457200</xdr:colOff>
      <xdr:row>74</xdr:row>
      <xdr:rowOff>177800</xdr:rowOff>
    </xdr:to>
    <xdr:graphicFrame macro="">
      <xdr:nvGraphicFramePr>
        <xdr:cNvPr id="14" name="Діаграма 13">
          <a:extLst>
            <a:ext uri="{FF2B5EF4-FFF2-40B4-BE49-F238E27FC236}">
              <a16:creationId xmlns:a16="http://schemas.microsoft.com/office/drawing/2014/main" id="{9ABA5719-6B01-4BBC-B1FF-0E4E34BB1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158750</xdr:colOff>
      <xdr:row>75</xdr:row>
      <xdr:rowOff>120650</xdr:rowOff>
    </xdr:from>
    <xdr:to>
      <xdr:col>30</xdr:col>
      <xdr:colOff>463550</xdr:colOff>
      <xdr:row>90</xdr:row>
      <xdr:rowOff>101600</xdr:rowOff>
    </xdr:to>
    <xdr:graphicFrame macro="">
      <xdr:nvGraphicFramePr>
        <xdr:cNvPr id="15" name="Діаграма 14">
          <a:extLst>
            <a:ext uri="{FF2B5EF4-FFF2-40B4-BE49-F238E27FC236}">
              <a16:creationId xmlns:a16="http://schemas.microsoft.com/office/drawing/2014/main" id="{DC1C5E21-C4AC-4896-A5E8-B9ADA1D55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530412</xdr:colOff>
      <xdr:row>15</xdr:row>
      <xdr:rowOff>193487</xdr:rowOff>
    </xdr:from>
    <xdr:to>
      <xdr:col>42</xdr:col>
      <xdr:colOff>679824</xdr:colOff>
      <xdr:row>30</xdr:row>
      <xdr:rowOff>23158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1D7D250B-9BB4-6E80-6860-EA4FE9639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545353</xdr:colOff>
      <xdr:row>28</xdr:row>
      <xdr:rowOff>107576</xdr:rowOff>
    </xdr:from>
    <xdr:to>
      <xdr:col>37</xdr:col>
      <xdr:colOff>425823</xdr:colOff>
      <xdr:row>43</xdr:row>
      <xdr:rowOff>52294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40854EDD-31CA-E9A6-703B-CE967BD5E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13</xdr:col>
      <xdr:colOff>152400</xdr:colOff>
      <xdr:row>1</xdr:row>
      <xdr:rowOff>152400</xdr:rowOff>
    </xdr:to>
    <xdr:sp macro="" textlink="">
      <xdr:nvSpPr>
        <xdr:cNvPr id="8193" name="AutoShape 1" descr=".">
          <a:extLst>
            <a:ext uri="{FF2B5EF4-FFF2-40B4-BE49-F238E27FC236}">
              <a16:creationId xmlns:a16="http://schemas.microsoft.com/office/drawing/2014/main" id="{C6D2862B-9759-47D5-9409-5989461C983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152400</xdr:colOff>
      <xdr:row>3</xdr:row>
      <xdr:rowOff>152400</xdr:rowOff>
    </xdr:to>
    <xdr:sp macro="" textlink="">
      <xdr:nvSpPr>
        <xdr:cNvPr id="8194" name="AutoShape 2" descr=".">
          <a:extLst>
            <a:ext uri="{FF2B5EF4-FFF2-40B4-BE49-F238E27FC236}">
              <a16:creationId xmlns:a16="http://schemas.microsoft.com/office/drawing/2014/main" id="{36C88F33-AA15-DEA1-0DA3-9FCF61E2005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6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152400</xdr:colOff>
      <xdr:row>5</xdr:row>
      <xdr:rowOff>152400</xdr:rowOff>
    </xdr:to>
    <xdr:sp macro="" textlink="">
      <xdr:nvSpPr>
        <xdr:cNvPr id="8195" name="AutoShape 3" descr=".">
          <a:extLst>
            <a:ext uri="{FF2B5EF4-FFF2-40B4-BE49-F238E27FC236}">
              <a16:creationId xmlns:a16="http://schemas.microsoft.com/office/drawing/2014/main" id="{A479CA43-A722-31A2-FA26-4D9889C4B1C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3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152400</xdr:colOff>
      <xdr:row>7</xdr:row>
      <xdr:rowOff>152400</xdr:rowOff>
    </xdr:to>
    <xdr:sp macro="" textlink="">
      <xdr:nvSpPr>
        <xdr:cNvPr id="8196" name="AutoShape 4" descr=".">
          <a:extLst>
            <a:ext uri="{FF2B5EF4-FFF2-40B4-BE49-F238E27FC236}">
              <a16:creationId xmlns:a16="http://schemas.microsoft.com/office/drawing/2014/main" id="{C15DD418-30C3-D6D9-DF90-30E5C3BC553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31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152400</xdr:colOff>
      <xdr:row>9</xdr:row>
      <xdr:rowOff>152400</xdr:rowOff>
    </xdr:to>
    <xdr:sp macro="" textlink="">
      <xdr:nvSpPr>
        <xdr:cNvPr id="8197" name="AutoShape 5" descr=".">
          <a:extLst>
            <a:ext uri="{FF2B5EF4-FFF2-40B4-BE49-F238E27FC236}">
              <a16:creationId xmlns:a16="http://schemas.microsoft.com/office/drawing/2014/main" id="{12196AA1-A93C-49F8-97A2-D6C7D3448D5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68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152400</xdr:colOff>
      <xdr:row>11</xdr:row>
      <xdr:rowOff>152400</xdr:rowOff>
    </xdr:to>
    <xdr:sp macro="" textlink="">
      <xdr:nvSpPr>
        <xdr:cNvPr id="8198" name="AutoShape 6" descr=".">
          <a:extLst>
            <a:ext uri="{FF2B5EF4-FFF2-40B4-BE49-F238E27FC236}">
              <a16:creationId xmlns:a16="http://schemas.microsoft.com/office/drawing/2014/main" id="{9FFE3045-163A-E75E-D9AE-BDC4B0F043E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06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152400</xdr:colOff>
      <xdr:row>13</xdr:row>
      <xdr:rowOff>152400</xdr:rowOff>
    </xdr:to>
    <xdr:sp macro="" textlink="">
      <xdr:nvSpPr>
        <xdr:cNvPr id="8199" name="AutoShape 7" descr=".">
          <a:extLst>
            <a:ext uri="{FF2B5EF4-FFF2-40B4-BE49-F238E27FC236}">
              <a16:creationId xmlns:a16="http://schemas.microsoft.com/office/drawing/2014/main" id="{3EDB7A0D-FA4E-A286-563D-55EA0B540A6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4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152400</xdr:colOff>
      <xdr:row>15</xdr:row>
      <xdr:rowOff>152400</xdr:rowOff>
    </xdr:to>
    <xdr:sp macro="" textlink="">
      <xdr:nvSpPr>
        <xdr:cNvPr id="8200" name="AutoShape 8" descr=".">
          <a:extLst>
            <a:ext uri="{FF2B5EF4-FFF2-40B4-BE49-F238E27FC236}">
              <a16:creationId xmlns:a16="http://schemas.microsoft.com/office/drawing/2014/main" id="{EAC9BBFC-AF77-61A5-02FF-4A5206F377C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81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152400</xdr:colOff>
      <xdr:row>17</xdr:row>
      <xdr:rowOff>152400</xdr:rowOff>
    </xdr:to>
    <xdr:sp macro="" textlink="">
      <xdr:nvSpPr>
        <xdr:cNvPr id="8201" name="AutoShape 9" descr=".">
          <a:extLst>
            <a:ext uri="{FF2B5EF4-FFF2-40B4-BE49-F238E27FC236}">
              <a16:creationId xmlns:a16="http://schemas.microsoft.com/office/drawing/2014/main" id="{E7D1EFD4-7AEE-8C51-2BD1-4BC17E3356A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18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152400</xdr:rowOff>
    </xdr:to>
    <xdr:sp macro="" textlink="">
      <xdr:nvSpPr>
        <xdr:cNvPr id="8202" name="AutoShape 10" descr=".">
          <a:extLst>
            <a:ext uri="{FF2B5EF4-FFF2-40B4-BE49-F238E27FC236}">
              <a16:creationId xmlns:a16="http://schemas.microsoft.com/office/drawing/2014/main" id="{F820FC94-B024-F466-8BD5-B7337D17878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56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152400</xdr:colOff>
      <xdr:row>21</xdr:row>
      <xdr:rowOff>152400</xdr:rowOff>
    </xdr:to>
    <xdr:sp macro="" textlink="">
      <xdr:nvSpPr>
        <xdr:cNvPr id="8203" name="AutoShape 11" descr=".">
          <a:extLst>
            <a:ext uri="{FF2B5EF4-FFF2-40B4-BE49-F238E27FC236}">
              <a16:creationId xmlns:a16="http://schemas.microsoft.com/office/drawing/2014/main" id="{3B6C8E35-145E-AFA9-D31B-5FDBD8E07C4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9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152400</xdr:colOff>
      <xdr:row>23</xdr:row>
      <xdr:rowOff>152400</xdr:rowOff>
    </xdr:to>
    <xdr:sp macro="" textlink="">
      <xdr:nvSpPr>
        <xdr:cNvPr id="8204" name="AutoShape 12" descr=".">
          <a:extLst>
            <a:ext uri="{FF2B5EF4-FFF2-40B4-BE49-F238E27FC236}">
              <a16:creationId xmlns:a16="http://schemas.microsoft.com/office/drawing/2014/main" id="{0D00CD4A-DC5D-0343-EEE6-42AD190FB87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31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152400</xdr:colOff>
      <xdr:row>25</xdr:row>
      <xdr:rowOff>152400</xdr:rowOff>
    </xdr:to>
    <xdr:sp macro="" textlink="">
      <xdr:nvSpPr>
        <xdr:cNvPr id="8205" name="AutoShape 13" descr=".">
          <a:extLst>
            <a:ext uri="{FF2B5EF4-FFF2-40B4-BE49-F238E27FC236}">
              <a16:creationId xmlns:a16="http://schemas.microsoft.com/office/drawing/2014/main" id="{ACA14729-9F3E-A226-57EE-A0911FEA787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68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152400</xdr:colOff>
      <xdr:row>27</xdr:row>
      <xdr:rowOff>152400</xdr:rowOff>
    </xdr:to>
    <xdr:sp macro="" textlink="">
      <xdr:nvSpPr>
        <xdr:cNvPr id="8206" name="AutoShape 14" descr=".">
          <a:extLst>
            <a:ext uri="{FF2B5EF4-FFF2-40B4-BE49-F238E27FC236}">
              <a16:creationId xmlns:a16="http://schemas.microsoft.com/office/drawing/2014/main" id="{787E3B37-3BF0-1AF7-D0AE-3B69AD43C7F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6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152400</xdr:colOff>
      <xdr:row>29</xdr:row>
      <xdr:rowOff>152400</xdr:rowOff>
    </xdr:to>
    <xdr:sp macro="" textlink="">
      <xdr:nvSpPr>
        <xdr:cNvPr id="8207" name="AutoShape 15" descr=".">
          <a:extLst>
            <a:ext uri="{FF2B5EF4-FFF2-40B4-BE49-F238E27FC236}">
              <a16:creationId xmlns:a16="http://schemas.microsoft.com/office/drawing/2014/main" id="{428DEC2E-E317-F638-3D1E-000B8E7ED0B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43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152400</xdr:colOff>
      <xdr:row>31</xdr:row>
      <xdr:rowOff>152400</xdr:rowOff>
    </xdr:to>
    <xdr:sp macro="" textlink="">
      <xdr:nvSpPr>
        <xdr:cNvPr id="8208" name="AutoShape 16" descr=".">
          <a:extLst>
            <a:ext uri="{FF2B5EF4-FFF2-40B4-BE49-F238E27FC236}">
              <a16:creationId xmlns:a16="http://schemas.microsoft.com/office/drawing/2014/main" id="{D22360D7-9E70-FF24-0003-C482D92249C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81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152400</xdr:colOff>
      <xdr:row>33</xdr:row>
      <xdr:rowOff>152400</xdr:rowOff>
    </xdr:to>
    <xdr:sp macro="" textlink="">
      <xdr:nvSpPr>
        <xdr:cNvPr id="8209" name="AutoShape 17" descr=".">
          <a:extLst>
            <a:ext uri="{FF2B5EF4-FFF2-40B4-BE49-F238E27FC236}">
              <a16:creationId xmlns:a16="http://schemas.microsoft.com/office/drawing/2014/main" id="{7286B37B-21EA-A16D-84C0-ACE305BA9CF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18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152400</xdr:colOff>
      <xdr:row>35</xdr:row>
      <xdr:rowOff>152400</xdr:rowOff>
    </xdr:to>
    <xdr:sp macro="" textlink="">
      <xdr:nvSpPr>
        <xdr:cNvPr id="8210" name="AutoShape 18" descr=".">
          <a:extLst>
            <a:ext uri="{FF2B5EF4-FFF2-40B4-BE49-F238E27FC236}">
              <a16:creationId xmlns:a16="http://schemas.microsoft.com/office/drawing/2014/main" id="{2C996D05-8A39-796E-F3C8-5F0676628AB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55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152400</xdr:colOff>
      <xdr:row>37</xdr:row>
      <xdr:rowOff>152400</xdr:rowOff>
    </xdr:to>
    <xdr:sp macro="" textlink="">
      <xdr:nvSpPr>
        <xdr:cNvPr id="8211" name="AutoShape 19" descr=".">
          <a:extLst>
            <a:ext uri="{FF2B5EF4-FFF2-40B4-BE49-F238E27FC236}">
              <a16:creationId xmlns:a16="http://schemas.microsoft.com/office/drawing/2014/main" id="{BA2A0E77-81AF-7602-AE64-35DF58DC7E2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9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152400</xdr:colOff>
      <xdr:row>39</xdr:row>
      <xdr:rowOff>152400</xdr:rowOff>
    </xdr:to>
    <xdr:sp macro="" textlink="">
      <xdr:nvSpPr>
        <xdr:cNvPr id="8212" name="AutoShape 20" descr=".">
          <a:extLst>
            <a:ext uri="{FF2B5EF4-FFF2-40B4-BE49-F238E27FC236}">
              <a16:creationId xmlns:a16="http://schemas.microsoft.com/office/drawing/2014/main" id="{D66D3F40-713D-AF5C-2A22-BA97FE5ABF9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30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152400</xdr:colOff>
      <xdr:row>41</xdr:row>
      <xdr:rowOff>152400</xdr:rowOff>
    </xdr:to>
    <xdr:sp macro="" textlink="">
      <xdr:nvSpPr>
        <xdr:cNvPr id="8213" name="AutoShape 21" descr=".">
          <a:extLst>
            <a:ext uri="{FF2B5EF4-FFF2-40B4-BE49-F238E27FC236}">
              <a16:creationId xmlns:a16="http://schemas.microsoft.com/office/drawing/2014/main" id="{9FBE663E-9BF8-E800-8650-F2D77D0A871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68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152400</xdr:colOff>
      <xdr:row>43</xdr:row>
      <xdr:rowOff>152400</xdr:rowOff>
    </xdr:to>
    <xdr:sp macro="" textlink="">
      <xdr:nvSpPr>
        <xdr:cNvPr id="8214" name="AutoShape 22" descr=".">
          <a:extLst>
            <a:ext uri="{FF2B5EF4-FFF2-40B4-BE49-F238E27FC236}">
              <a16:creationId xmlns:a16="http://schemas.microsoft.com/office/drawing/2014/main" id="{970CF63B-27EB-99F8-A0A7-672EBEC7890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05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152400</xdr:colOff>
      <xdr:row>45</xdr:row>
      <xdr:rowOff>152400</xdr:rowOff>
    </xdr:to>
    <xdr:sp macro="" textlink="">
      <xdr:nvSpPr>
        <xdr:cNvPr id="8215" name="AutoShape 23" descr=".">
          <a:extLst>
            <a:ext uri="{FF2B5EF4-FFF2-40B4-BE49-F238E27FC236}">
              <a16:creationId xmlns:a16="http://schemas.microsoft.com/office/drawing/2014/main" id="{2B7C0D7B-6FF1-2227-9A42-31CA0348874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43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152400</xdr:colOff>
      <xdr:row>47</xdr:row>
      <xdr:rowOff>152400</xdr:rowOff>
    </xdr:to>
    <xdr:sp macro="" textlink="">
      <xdr:nvSpPr>
        <xdr:cNvPr id="8216" name="AutoShape 24" descr=".">
          <a:extLst>
            <a:ext uri="{FF2B5EF4-FFF2-40B4-BE49-F238E27FC236}">
              <a16:creationId xmlns:a16="http://schemas.microsoft.com/office/drawing/2014/main" id="{07783386-86E5-8623-A8B5-71C9F2F1686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80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152400</xdr:colOff>
      <xdr:row>49</xdr:row>
      <xdr:rowOff>152400</xdr:rowOff>
    </xdr:to>
    <xdr:sp macro="" textlink="">
      <xdr:nvSpPr>
        <xdr:cNvPr id="8217" name="AutoShape 25" descr=".">
          <a:extLst>
            <a:ext uri="{FF2B5EF4-FFF2-40B4-BE49-F238E27FC236}">
              <a16:creationId xmlns:a16="http://schemas.microsoft.com/office/drawing/2014/main" id="{A44D9B38-12D6-45DB-C65D-A4677618788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18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152400</xdr:colOff>
      <xdr:row>51</xdr:row>
      <xdr:rowOff>152400</xdr:rowOff>
    </xdr:to>
    <xdr:sp macro="" textlink="">
      <xdr:nvSpPr>
        <xdr:cNvPr id="8218" name="AutoShape 26" descr=".">
          <a:extLst>
            <a:ext uri="{FF2B5EF4-FFF2-40B4-BE49-F238E27FC236}">
              <a16:creationId xmlns:a16="http://schemas.microsoft.com/office/drawing/2014/main" id="{8D64F40D-AAF2-056C-EDAC-7D6CD47662E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55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152400</xdr:colOff>
      <xdr:row>53</xdr:row>
      <xdr:rowOff>152400</xdr:rowOff>
    </xdr:to>
    <xdr:sp macro="" textlink="">
      <xdr:nvSpPr>
        <xdr:cNvPr id="8219" name="AutoShape 27" descr=".">
          <a:extLst>
            <a:ext uri="{FF2B5EF4-FFF2-40B4-BE49-F238E27FC236}">
              <a16:creationId xmlns:a16="http://schemas.microsoft.com/office/drawing/2014/main" id="{B2208CB6-090F-FED6-9E6E-C33C1A91424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93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152400</xdr:colOff>
      <xdr:row>55</xdr:row>
      <xdr:rowOff>152400</xdr:rowOff>
    </xdr:to>
    <xdr:sp macro="" textlink="">
      <xdr:nvSpPr>
        <xdr:cNvPr id="8220" name="AutoShape 28" descr=".">
          <a:extLst>
            <a:ext uri="{FF2B5EF4-FFF2-40B4-BE49-F238E27FC236}">
              <a16:creationId xmlns:a16="http://schemas.microsoft.com/office/drawing/2014/main" id="{890DE804-F302-EEBF-3DB0-333F62DB6AB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30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57</xdr:row>
      <xdr:rowOff>0</xdr:rowOff>
    </xdr:from>
    <xdr:to>
      <xdr:col>13</xdr:col>
      <xdr:colOff>152400</xdr:colOff>
      <xdr:row>57</xdr:row>
      <xdr:rowOff>152400</xdr:rowOff>
    </xdr:to>
    <xdr:sp macro="" textlink="">
      <xdr:nvSpPr>
        <xdr:cNvPr id="8221" name="AutoShape 29" descr=".">
          <a:extLst>
            <a:ext uri="{FF2B5EF4-FFF2-40B4-BE49-F238E27FC236}">
              <a16:creationId xmlns:a16="http://schemas.microsoft.com/office/drawing/2014/main" id="{6468D5BC-B3C9-5E1B-8107-6AD953EA882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68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59</xdr:row>
      <xdr:rowOff>0</xdr:rowOff>
    </xdr:from>
    <xdr:to>
      <xdr:col>13</xdr:col>
      <xdr:colOff>152400</xdr:colOff>
      <xdr:row>59</xdr:row>
      <xdr:rowOff>152400</xdr:rowOff>
    </xdr:to>
    <xdr:sp macro="" textlink="">
      <xdr:nvSpPr>
        <xdr:cNvPr id="8222" name="AutoShape 30" descr=".">
          <a:extLst>
            <a:ext uri="{FF2B5EF4-FFF2-40B4-BE49-F238E27FC236}">
              <a16:creationId xmlns:a16="http://schemas.microsoft.com/office/drawing/2014/main" id="{604412E0-7109-8FC3-966E-B4368FC2411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105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61</xdr:row>
      <xdr:rowOff>0</xdr:rowOff>
    </xdr:from>
    <xdr:to>
      <xdr:col>13</xdr:col>
      <xdr:colOff>152400</xdr:colOff>
      <xdr:row>61</xdr:row>
      <xdr:rowOff>152400</xdr:rowOff>
    </xdr:to>
    <xdr:sp macro="" textlink="">
      <xdr:nvSpPr>
        <xdr:cNvPr id="8223" name="AutoShape 31" descr=".">
          <a:extLst>
            <a:ext uri="{FF2B5EF4-FFF2-40B4-BE49-F238E27FC236}">
              <a16:creationId xmlns:a16="http://schemas.microsoft.com/office/drawing/2014/main" id="{E7AFE855-4312-EBFD-AB3A-F0359A998B6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63</xdr:row>
      <xdr:rowOff>0</xdr:rowOff>
    </xdr:from>
    <xdr:to>
      <xdr:col>13</xdr:col>
      <xdr:colOff>152400</xdr:colOff>
      <xdr:row>63</xdr:row>
      <xdr:rowOff>152400</xdr:rowOff>
    </xdr:to>
    <xdr:sp macro="" textlink="">
      <xdr:nvSpPr>
        <xdr:cNvPr id="8224" name="AutoShape 32" descr=".">
          <a:extLst>
            <a:ext uri="{FF2B5EF4-FFF2-40B4-BE49-F238E27FC236}">
              <a16:creationId xmlns:a16="http://schemas.microsoft.com/office/drawing/2014/main" id="{62DC65C5-5B12-2AB0-6759-38CF982EDB3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180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65</xdr:row>
      <xdr:rowOff>0</xdr:rowOff>
    </xdr:from>
    <xdr:to>
      <xdr:col>13</xdr:col>
      <xdr:colOff>152400</xdr:colOff>
      <xdr:row>65</xdr:row>
      <xdr:rowOff>152400</xdr:rowOff>
    </xdr:to>
    <xdr:sp macro="" textlink="">
      <xdr:nvSpPr>
        <xdr:cNvPr id="8225" name="AutoShape 33" descr=".">
          <a:extLst>
            <a:ext uri="{FF2B5EF4-FFF2-40B4-BE49-F238E27FC236}">
              <a16:creationId xmlns:a16="http://schemas.microsoft.com/office/drawing/2014/main" id="{3D51D902-ED55-48E1-22BF-89D73A7ADE2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217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67</xdr:row>
      <xdr:rowOff>0</xdr:rowOff>
    </xdr:from>
    <xdr:to>
      <xdr:col>13</xdr:col>
      <xdr:colOff>152400</xdr:colOff>
      <xdr:row>67</xdr:row>
      <xdr:rowOff>152400</xdr:rowOff>
    </xdr:to>
    <xdr:sp macro="" textlink="">
      <xdr:nvSpPr>
        <xdr:cNvPr id="8226" name="AutoShape 34" descr=".">
          <a:extLst>
            <a:ext uri="{FF2B5EF4-FFF2-40B4-BE49-F238E27FC236}">
              <a16:creationId xmlns:a16="http://schemas.microsoft.com/office/drawing/2014/main" id="{8822140E-214E-CC9E-24EB-A152E597C07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255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69</xdr:row>
      <xdr:rowOff>0</xdr:rowOff>
    </xdr:from>
    <xdr:to>
      <xdr:col>13</xdr:col>
      <xdr:colOff>152400</xdr:colOff>
      <xdr:row>69</xdr:row>
      <xdr:rowOff>152400</xdr:rowOff>
    </xdr:to>
    <xdr:sp macro="" textlink="">
      <xdr:nvSpPr>
        <xdr:cNvPr id="8227" name="AutoShape 35" descr=".">
          <a:extLst>
            <a:ext uri="{FF2B5EF4-FFF2-40B4-BE49-F238E27FC236}">
              <a16:creationId xmlns:a16="http://schemas.microsoft.com/office/drawing/2014/main" id="{25D044E7-8489-72D4-4ECB-88F08D4E215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292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71</xdr:row>
      <xdr:rowOff>0</xdr:rowOff>
    </xdr:from>
    <xdr:to>
      <xdr:col>13</xdr:col>
      <xdr:colOff>152400</xdr:colOff>
      <xdr:row>71</xdr:row>
      <xdr:rowOff>152400</xdr:rowOff>
    </xdr:to>
    <xdr:sp macro="" textlink="">
      <xdr:nvSpPr>
        <xdr:cNvPr id="8228" name="AutoShape 36" descr=".">
          <a:extLst>
            <a:ext uri="{FF2B5EF4-FFF2-40B4-BE49-F238E27FC236}">
              <a16:creationId xmlns:a16="http://schemas.microsoft.com/office/drawing/2014/main" id="{6BB5C102-B3BF-1CCD-76F1-4F96F66D98A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330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73</xdr:row>
      <xdr:rowOff>0</xdr:rowOff>
    </xdr:from>
    <xdr:to>
      <xdr:col>13</xdr:col>
      <xdr:colOff>152400</xdr:colOff>
      <xdr:row>73</xdr:row>
      <xdr:rowOff>152400</xdr:rowOff>
    </xdr:to>
    <xdr:sp macro="" textlink="">
      <xdr:nvSpPr>
        <xdr:cNvPr id="8229" name="AutoShape 37" descr=".">
          <a:extLst>
            <a:ext uri="{FF2B5EF4-FFF2-40B4-BE49-F238E27FC236}">
              <a16:creationId xmlns:a16="http://schemas.microsoft.com/office/drawing/2014/main" id="{B58AE967-ADB9-C5C9-6427-A9EF74BCED9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367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75</xdr:row>
      <xdr:rowOff>0</xdr:rowOff>
    </xdr:from>
    <xdr:to>
      <xdr:col>13</xdr:col>
      <xdr:colOff>152400</xdr:colOff>
      <xdr:row>75</xdr:row>
      <xdr:rowOff>152400</xdr:rowOff>
    </xdr:to>
    <xdr:sp macro="" textlink="">
      <xdr:nvSpPr>
        <xdr:cNvPr id="8230" name="AutoShape 38" descr=".">
          <a:extLst>
            <a:ext uri="{FF2B5EF4-FFF2-40B4-BE49-F238E27FC236}">
              <a16:creationId xmlns:a16="http://schemas.microsoft.com/office/drawing/2014/main" id="{4B79FBD4-E9A1-1B5E-2E7E-5B5F11D383C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405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77</xdr:row>
      <xdr:rowOff>0</xdr:rowOff>
    </xdr:from>
    <xdr:to>
      <xdr:col>13</xdr:col>
      <xdr:colOff>152400</xdr:colOff>
      <xdr:row>77</xdr:row>
      <xdr:rowOff>152400</xdr:rowOff>
    </xdr:to>
    <xdr:sp macro="" textlink="">
      <xdr:nvSpPr>
        <xdr:cNvPr id="8231" name="AutoShape 39" descr=".">
          <a:extLst>
            <a:ext uri="{FF2B5EF4-FFF2-40B4-BE49-F238E27FC236}">
              <a16:creationId xmlns:a16="http://schemas.microsoft.com/office/drawing/2014/main" id="{D9725663-CB2F-4170-5051-BF9C6458C07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442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79</xdr:row>
      <xdr:rowOff>0</xdr:rowOff>
    </xdr:from>
    <xdr:to>
      <xdr:col>13</xdr:col>
      <xdr:colOff>152400</xdr:colOff>
      <xdr:row>79</xdr:row>
      <xdr:rowOff>152400</xdr:rowOff>
    </xdr:to>
    <xdr:sp macro="" textlink="">
      <xdr:nvSpPr>
        <xdr:cNvPr id="8232" name="AutoShape 40" descr=".">
          <a:extLst>
            <a:ext uri="{FF2B5EF4-FFF2-40B4-BE49-F238E27FC236}">
              <a16:creationId xmlns:a16="http://schemas.microsoft.com/office/drawing/2014/main" id="{A08BEF93-0EE7-A6CF-75BF-3F0892BD09B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480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81</xdr:row>
      <xdr:rowOff>0</xdr:rowOff>
    </xdr:from>
    <xdr:to>
      <xdr:col>13</xdr:col>
      <xdr:colOff>152400</xdr:colOff>
      <xdr:row>81</xdr:row>
      <xdr:rowOff>152400</xdr:rowOff>
    </xdr:to>
    <xdr:sp macro="" textlink="">
      <xdr:nvSpPr>
        <xdr:cNvPr id="8233" name="AutoShape 41" descr=".">
          <a:extLst>
            <a:ext uri="{FF2B5EF4-FFF2-40B4-BE49-F238E27FC236}">
              <a16:creationId xmlns:a16="http://schemas.microsoft.com/office/drawing/2014/main" id="{C4D4959F-6937-5F0E-063A-B6BDB229802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51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83</xdr:row>
      <xdr:rowOff>0</xdr:rowOff>
    </xdr:from>
    <xdr:to>
      <xdr:col>13</xdr:col>
      <xdr:colOff>152400</xdr:colOff>
      <xdr:row>83</xdr:row>
      <xdr:rowOff>152400</xdr:rowOff>
    </xdr:to>
    <xdr:sp macro="" textlink="">
      <xdr:nvSpPr>
        <xdr:cNvPr id="8234" name="AutoShape 42" descr=".">
          <a:extLst>
            <a:ext uri="{FF2B5EF4-FFF2-40B4-BE49-F238E27FC236}">
              <a16:creationId xmlns:a16="http://schemas.microsoft.com/office/drawing/2014/main" id="{A0B7BEE9-B220-736C-73A4-C5070178863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555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85</xdr:row>
      <xdr:rowOff>0</xdr:rowOff>
    </xdr:from>
    <xdr:to>
      <xdr:col>13</xdr:col>
      <xdr:colOff>152400</xdr:colOff>
      <xdr:row>85</xdr:row>
      <xdr:rowOff>152400</xdr:rowOff>
    </xdr:to>
    <xdr:sp macro="" textlink="">
      <xdr:nvSpPr>
        <xdr:cNvPr id="8235" name="AutoShape 43" descr=".">
          <a:extLst>
            <a:ext uri="{FF2B5EF4-FFF2-40B4-BE49-F238E27FC236}">
              <a16:creationId xmlns:a16="http://schemas.microsoft.com/office/drawing/2014/main" id="{B8D2D9C1-77FF-E463-49F9-F756526687C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592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87</xdr:row>
      <xdr:rowOff>0</xdr:rowOff>
    </xdr:from>
    <xdr:to>
      <xdr:col>13</xdr:col>
      <xdr:colOff>152400</xdr:colOff>
      <xdr:row>87</xdr:row>
      <xdr:rowOff>152400</xdr:rowOff>
    </xdr:to>
    <xdr:sp macro="" textlink="">
      <xdr:nvSpPr>
        <xdr:cNvPr id="8236" name="AutoShape 44" descr=".">
          <a:extLst>
            <a:ext uri="{FF2B5EF4-FFF2-40B4-BE49-F238E27FC236}">
              <a16:creationId xmlns:a16="http://schemas.microsoft.com/office/drawing/2014/main" id="{DA35F9B8-CFBD-444B-4FA3-3AE6315211D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63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152400</xdr:colOff>
      <xdr:row>89</xdr:row>
      <xdr:rowOff>152400</xdr:rowOff>
    </xdr:to>
    <xdr:sp macro="" textlink="">
      <xdr:nvSpPr>
        <xdr:cNvPr id="8237" name="AutoShape 45" descr=".">
          <a:extLst>
            <a:ext uri="{FF2B5EF4-FFF2-40B4-BE49-F238E27FC236}">
              <a16:creationId xmlns:a16="http://schemas.microsoft.com/office/drawing/2014/main" id="{8F18A065-6914-8809-ADB5-569876B2DCF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667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91</xdr:row>
      <xdr:rowOff>0</xdr:rowOff>
    </xdr:from>
    <xdr:to>
      <xdr:col>13</xdr:col>
      <xdr:colOff>152400</xdr:colOff>
      <xdr:row>91</xdr:row>
      <xdr:rowOff>152400</xdr:rowOff>
    </xdr:to>
    <xdr:sp macro="" textlink="">
      <xdr:nvSpPr>
        <xdr:cNvPr id="8238" name="AutoShape 46" descr=".">
          <a:extLst>
            <a:ext uri="{FF2B5EF4-FFF2-40B4-BE49-F238E27FC236}">
              <a16:creationId xmlns:a16="http://schemas.microsoft.com/office/drawing/2014/main" id="{724FE4B6-F843-CE1F-0D9A-C1BA006F7C6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704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93</xdr:row>
      <xdr:rowOff>0</xdr:rowOff>
    </xdr:from>
    <xdr:to>
      <xdr:col>13</xdr:col>
      <xdr:colOff>152400</xdr:colOff>
      <xdr:row>93</xdr:row>
      <xdr:rowOff>152400</xdr:rowOff>
    </xdr:to>
    <xdr:sp macro="" textlink="">
      <xdr:nvSpPr>
        <xdr:cNvPr id="8239" name="AutoShape 47" descr=".">
          <a:extLst>
            <a:ext uri="{FF2B5EF4-FFF2-40B4-BE49-F238E27FC236}">
              <a16:creationId xmlns:a16="http://schemas.microsoft.com/office/drawing/2014/main" id="{8C5201B2-D40E-4510-19DB-42F7F8BB37B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742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95</xdr:row>
      <xdr:rowOff>0</xdr:rowOff>
    </xdr:from>
    <xdr:to>
      <xdr:col>13</xdr:col>
      <xdr:colOff>152400</xdr:colOff>
      <xdr:row>95</xdr:row>
      <xdr:rowOff>152400</xdr:rowOff>
    </xdr:to>
    <xdr:sp macro="" textlink="">
      <xdr:nvSpPr>
        <xdr:cNvPr id="8240" name="AutoShape 48" descr=".">
          <a:extLst>
            <a:ext uri="{FF2B5EF4-FFF2-40B4-BE49-F238E27FC236}">
              <a16:creationId xmlns:a16="http://schemas.microsoft.com/office/drawing/2014/main" id="{456AC458-2C6F-744B-0A34-A4DD405B00D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779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97</xdr:row>
      <xdr:rowOff>0</xdr:rowOff>
    </xdr:from>
    <xdr:to>
      <xdr:col>13</xdr:col>
      <xdr:colOff>152400</xdr:colOff>
      <xdr:row>97</xdr:row>
      <xdr:rowOff>152400</xdr:rowOff>
    </xdr:to>
    <xdr:sp macro="" textlink="">
      <xdr:nvSpPr>
        <xdr:cNvPr id="8241" name="AutoShape 49" descr=".">
          <a:extLst>
            <a:ext uri="{FF2B5EF4-FFF2-40B4-BE49-F238E27FC236}">
              <a16:creationId xmlns:a16="http://schemas.microsoft.com/office/drawing/2014/main" id="{B615223B-BF16-600E-0C25-D78D2BC7B0D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817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99</xdr:row>
      <xdr:rowOff>0</xdr:rowOff>
    </xdr:from>
    <xdr:to>
      <xdr:col>13</xdr:col>
      <xdr:colOff>152400</xdr:colOff>
      <xdr:row>99</xdr:row>
      <xdr:rowOff>152400</xdr:rowOff>
    </xdr:to>
    <xdr:sp macro="" textlink="">
      <xdr:nvSpPr>
        <xdr:cNvPr id="8242" name="AutoShape 50" descr=".">
          <a:extLst>
            <a:ext uri="{FF2B5EF4-FFF2-40B4-BE49-F238E27FC236}">
              <a16:creationId xmlns:a16="http://schemas.microsoft.com/office/drawing/2014/main" id="{74B9F09D-EE23-1D8D-D5AB-AF6515EF741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854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101</xdr:row>
      <xdr:rowOff>0</xdr:rowOff>
    </xdr:from>
    <xdr:to>
      <xdr:col>13</xdr:col>
      <xdr:colOff>152400</xdr:colOff>
      <xdr:row>101</xdr:row>
      <xdr:rowOff>152400</xdr:rowOff>
    </xdr:to>
    <xdr:sp macro="" textlink="">
      <xdr:nvSpPr>
        <xdr:cNvPr id="8243" name="AutoShape 51" descr=".">
          <a:extLst>
            <a:ext uri="{FF2B5EF4-FFF2-40B4-BE49-F238E27FC236}">
              <a16:creationId xmlns:a16="http://schemas.microsoft.com/office/drawing/2014/main" id="{2116D773-3B8E-DE6D-2029-239F699B509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892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103</xdr:row>
      <xdr:rowOff>0</xdr:rowOff>
    </xdr:from>
    <xdr:to>
      <xdr:col>13</xdr:col>
      <xdr:colOff>152400</xdr:colOff>
      <xdr:row>103</xdr:row>
      <xdr:rowOff>152400</xdr:rowOff>
    </xdr:to>
    <xdr:sp macro="" textlink="">
      <xdr:nvSpPr>
        <xdr:cNvPr id="8244" name="AutoShape 52" descr=".">
          <a:extLst>
            <a:ext uri="{FF2B5EF4-FFF2-40B4-BE49-F238E27FC236}">
              <a16:creationId xmlns:a16="http://schemas.microsoft.com/office/drawing/2014/main" id="{6B2AEDDF-038E-FD8E-8383-A47D0222413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929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105</xdr:row>
      <xdr:rowOff>0</xdr:rowOff>
    </xdr:from>
    <xdr:to>
      <xdr:col>13</xdr:col>
      <xdr:colOff>152400</xdr:colOff>
      <xdr:row>105</xdr:row>
      <xdr:rowOff>152400</xdr:rowOff>
    </xdr:to>
    <xdr:sp macro="" textlink="">
      <xdr:nvSpPr>
        <xdr:cNvPr id="8245" name="AutoShape 53" descr=".">
          <a:extLst>
            <a:ext uri="{FF2B5EF4-FFF2-40B4-BE49-F238E27FC236}">
              <a16:creationId xmlns:a16="http://schemas.microsoft.com/office/drawing/2014/main" id="{E5E7D487-4043-B4AB-26AA-E3DE28C0799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967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107</xdr:row>
      <xdr:rowOff>0</xdr:rowOff>
    </xdr:from>
    <xdr:to>
      <xdr:col>13</xdr:col>
      <xdr:colOff>152400</xdr:colOff>
      <xdr:row>107</xdr:row>
      <xdr:rowOff>152400</xdr:rowOff>
    </xdr:to>
    <xdr:sp macro="" textlink="">
      <xdr:nvSpPr>
        <xdr:cNvPr id="8246" name="AutoShape 54" descr=".">
          <a:extLst>
            <a:ext uri="{FF2B5EF4-FFF2-40B4-BE49-F238E27FC236}">
              <a16:creationId xmlns:a16="http://schemas.microsoft.com/office/drawing/2014/main" id="{382DC45A-14E0-564E-551F-87AF6019DA8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0046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109</xdr:row>
      <xdr:rowOff>0</xdr:rowOff>
    </xdr:from>
    <xdr:to>
      <xdr:col>13</xdr:col>
      <xdr:colOff>152400</xdr:colOff>
      <xdr:row>109</xdr:row>
      <xdr:rowOff>152400</xdr:rowOff>
    </xdr:to>
    <xdr:sp macro="" textlink="">
      <xdr:nvSpPr>
        <xdr:cNvPr id="8247" name="AutoShape 55" descr=".">
          <a:extLst>
            <a:ext uri="{FF2B5EF4-FFF2-40B4-BE49-F238E27FC236}">
              <a16:creationId xmlns:a16="http://schemas.microsoft.com/office/drawing/2014/main" id="{B74FF27E-51E8-66B7-54F8-DD2E030E536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042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111</xdr:row>
      <xdr:rowOff>0</xdr:rowOff>
    </xdr:from>
    <xdr:to>
      <xdr:col>13</xdr:col>
      <xdr:colOff>152400</xdr:colOff>
      <xdr:row>111</xdr:row>
      <xdr:rowOff>152400</xdr:rowOff>
    </xdr:to>
    <xdr:sp macro="" textlink="">
      <xdr:nvSpPr>
        <xdr:cNvPr id="8248" name="AutoShape 56" descr=".">
          <a:extLst>
            <a:ext uri="{FF2B5EF4-FFF2-40B4-BE49-F238E27FC236}">
              <a16:creationId xmlns:a16="http://schemas.microsoft.com/office/drawing/2014/main" id="{841F0402-633C-1FAC-0880-4404F9AD922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0796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113</xdr:row>
      <xdr:rowOff>0</xdr:rowOff>
    </xdr:from>
    <xdr:to>
      <xdr:col>13</xdr:col>
      <xdr:colOff>152400</xdr:colOff>
      <xdr:row>113</xdr:row>
      <xdr:rowOff>152400</xdr:rowOff>
    </xdr:to>
    <xdr:sp macro="" textlink="">
      <xdr:nvSpPr>
        <xdr:cNvPr id="8249" name="AutoShape 57" descr=".">
          <a:extLst>
            <a:ext uri="{FF2B5EF4-FFF2-40B4-BE49-F238E27FC236}">
              <a16:creationId xmlns:a16="http://schemas.microsoft.com/office/drawing/2014/main" id="{9C59DD9A-3EB5-A6F8-6D53-CC676B30FE3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117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115</xdr:row>
      <xdr:rowOff>0</xdr:rowOff>
    </xdr:from>
    <xdr:to>
      <xdr:col>13</xdr:col>
      <xdr:colOff>152400</xdr:colOff>
      <xdr:row>115</xdr:row>
      <xdr:rowOff>152400</xdr:rowOff>
    </xdr:to>
    <xdr:sp macro="" textlink="">
      <xdr:nvSpPr>
        <xdr:cNvPr id="8250" name="AutoShape 58" descr=".">
          <a:extLst>
            <a:ext uri="{FF2B5EF4-FFF2-40B4-BE49-F238E27FC236}">
              <a16:creationId xmlns:a16="http://schemas.microsoft.com/office/drawing/2014/main" id="{CC49DF25-52AA-14CE-04F1-F909668B8FB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154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117</xdr:row>
      <xdr:rowOff>0</xdr:rowOff>
    </xdr:from>
    <xdr:to>
      <xdr:col>13</xdr:col>
      <xdr:colOff>152400</xdr:colOff>
      <xdr:row>117</xdr:row>
      <xdr:rowOff>152400</xdr:rowOff>
    </xdr:to>
    <xdr:sp macro="" textlink="">
      <xdr:nvSpPr>
        <xdr:cNvPr id="8251" name="AutoShape 59" descr=".">
          <a:extLst>
            <a:ext uri="{FF2B5EF4-FFF2-40B4-BE49-F238E27FC236}">
              <a16:creationId xmlns:a16="http://schemas.microsoft.com/office/drawing/2014/main" id="{35116027-B771-F5DC-BCE7-38868E50367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192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119</xdr:row>
      <xdr:rowOff>0</xdr:rowOff>
    </xdr:from>
    <xdr:to>
      <xdr:col>13</xdr:col>
      <xdr:colOff>152400</xdr:colOff>
      <xdr:row>119</xdr:row>
      <xdr:rowOff>152400</xdr:rowOff>
    </xdr:to>
    <xdr:sp macro="" textlink="">
      <xdr:nvSpPr>
        <xdr:cNvPr id="8252" name="AutoShape 60" descr=".">
          <a:extLst>
            <a:ext uri="{FF2B5EF4-FFF2-40B4-BE49-F238E27FC236}">
              <a16:creationId xmlns:a16="http://schemas.microsoft.com/office/drawing/2014/main" id="{A5A8DBE8-3716-FE72-6CC4-3226EE0F46D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229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121</xdr:row>
      <xdr:rowOff>0</xdr:rowOff>
    </xdr:from>
    <xdr:to>
      <xdr:col>13</xdr:col>
      <xdr:colOff>152400</xdr:colOff>
      <xdr:row>121</xdr:row>
      <xdr:rowOff>152400</xdr:rowOff>
    </xdr:to>
    <xdr:sp macro="" textlink="">
      <xdr:nvSpPr>
        <xdr:cNvPr id="8253" name="AutoShape 61" descr=".">
          <a:extLst>
            <a:ext uri="{FF2B5EF4-FFF2-40B4-BE49-F238E27FC236}">
              <a16:creationId xmlns:a16="http://schemas.microsoft.com/office/drawing/2014/main" id="{9A2EC3D6-4EA4-C319-456E-280A06EC0DD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266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123</xdr:row>
      <xdr:rowOff>0</xdr:rowOff>
    </xdr:from>
    <xdr:to>
      <xdr:col>13</xdr:col>
      <xdr:colOff>152400</xdr:colOff>
      <xdr:row>123</xdr:row>
      <xdr:rowOff>152400</xdr:rowOff>
    </xdr:to>
    <xdr:sp macro="" textlink="">
      <xdr:nvSpPr>
        <xdr:cNvPr id="8254" name="AutoShape 62" descr=".">
          <a:extLst>
            <a:ext uri="{FF2B5EF4-FFF2-40B4-BE49-F238E27FC236}">
              <a16:creationId xmlns:a16="http://schemas.microsoft.com/office/drawing/2014/main" id="{BEF70E03-FC50-56DC-EE68-46EB9552ACE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304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125</xdr:row>
      <xdr:rowOff>0</xdr:rowOff>
    </xdr:from>
    <xdr:to>
      <xdr:col>13</xdr:col>
      <xdr:colOff>152400</xdr:colOff>
      <xdr:row>125</xdr:row>
      <xdr:rowOff>152400</xdr:rowOff>
    </xdr:to>
    <xdr:sp macro="" textlink="">
      <xdr:nvSpPr>
        <xdr:cNvPr id="8255" name="AutoShape 63" descr=".">
          <a:extLst>
            <a:ext uri="{FF2B5EF4-FFF2-40B4-BE49-F238E27FC236}">
              <a16:creationId xmlns:a16="http://schemas.microsoft.com/office/drawing/2014/main" id="{2FB3EBB1-C6AD-C7D0-BDF2-D040B7DFBF1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341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127</xdr:row>
      <xdr:rowOff>0</xdr:rowOff>
    </xdr:from>
    <xdr:to>
      <xdr:col>13</xdr:col>
      <xdr:colOff>152400</xdr:colOff>
      <xdr:row>127</xdr:row>
      <xdr:rowOff>152400</xdr:rowOff>
    </xdr:to>
    <xdr:sp macro="" textlink="">
      <xdr:nvSpPr>
        <xdr:cNvPr id="8256" name="AutoShape 64" descr=".">
          <a:extLst>
            <a:ext uri="{FF2B5EF4-FFF2-40B4-BE49-F238E27FC236}">
              <a16:creationId xmlns:a16="http://schemas.microsoft.com/office/drawing/2014/main" id="{98C6123D-6A42-24BD-0CFC-DBF657F6A26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379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129</xdr:row>
      <xdr:rowOff>0</xdr:rowOff>
    </xdr:from>
    <xdr:to>
      <xdr:col>13</xdr:col>
      <xdr:colOff>152400</xdr:colOff>
      <xdr:row>129</xdr:row>
      <xdr:rowOff>152400</xdr:rowOff>
    </xdr:to>
    <xdr:sp macro="" textlink="">
      <xdr:nvSpPr>
        <xdr:cNvPr id="8257" name="AutoShape 65" descr=".">
          <a:extLst>
            <a:ext uri="{FF2B5EF4-FFF2-40B4-BE49-F238E27FC236}">
              <a16:creationId xmlns:a16="http://schemas.microsoft.com/office/drawing/2014/main" id="{F0710893-9EC4-03D4-5858-0FC8C9CB658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416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131</xdr:row>
      <xdr:rowOff>0</xdr:rowOff>
    </xdr:from>
    <xdr:to>
      <xdr:col>13</xdr:col>
      <xdr:colOff>152400</xdr:colOff>
      <xdr:row>131</xdr:row>
      <xdr:rowOff>152400</xdr:rowOff>
    </xdr:to>
    <xdr:sp macro="" textlink="">
      <xdr:nvSpPr>
        <xdr:cNvPr id="8258" name="AutoShape 66" descr=".">
          <a:extLst>
            <a:ext uri="{FF2B5EF4-FFF2-40B4-BE49-F238E27FC236}">
              <a16:creationId xmlns:a16="http://schemas.microsoft.com/office/drawing/2014/main" id="{2349DA8B-A2CF-E243-5DBD-AF222E730AF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454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133</xdr:row>
      <xdr:rowOff>0</xdr:rowOff>
    </xdr:from>
    <xdr:to>
      <xdr:col>13</xdr:col>
      <xdr:colOff>152400</xdr:colOff>
      <xdr:row>133</xdr:row>
      <xdr:rowOff>152400</xdr:rowOff>
    </xdr:to>
    <xdr:sp macro="" textlink="">
      <xdr:nvSpPr>
        <xdr:cNvPr id="8259" name="AutoShape 67" descr=".">
          <a:extLst>
            <a:ext uri="{FF2B5EF4-FFF2-40B4-BE49-F238E27FC236}">
              <a16:creationId xmlns:a16="http://schemas.microsoft.com/office/drawing/2014/main" id="{61AC1508-6F78-7CE6-E951-F08E825105C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491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135</xdr:row>
      <xdr:rowOff>0</xdr:rowOff>
    </xdr:from>
    <xdr:to>
      <xdr:col>13</xdr:col>
      <xdr:colOff>152400</xdr:colOff>
      <xdr:row>135</xdr:row>
      <xdr:rowOff>152400</xdr:rowOff>
    </xdr:to>
    <xdr:sp macro="" textlink="">
      <xdr:nvSpPr>
        <xdr:cNvPr id="8260" name="AutoShape 68" descr=".">
          <a:extLst>
            <a:ext uri="{FF2B5EF4-FFF2-40B4-BE49-F238E27FC236}">
              <a16:creationId xmlns:a16="http://schemas.microsoft.com/office/drawing/2014/main" id="{912804B8-7BAF-F550-6E90-5978F79F582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529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137</xdr:row>
      <xdr:rowOff>0</xdr:rowOff>
    </xdr:from>
    <xdr:to>
      <xdr:col>13</xdr:col>
      <xdr:colOff>152400</xdr:colOff>
      <xdr:row>137</xdr:row>
      <xdr:rowOff>152400</xdr:rowOff>
    </xdr:to>
    <xdr:sp macro="" textlink="">
      <xdr:nvSpPr>
        <xdr:cNvPr id="8261" name="AutoShape 69" descr=".">
          <a:extLst>
            <a:ext uri="{FF2B5EF4-FFF2-40B4-BE49-F238E27FC236}">
              <a16:creationId xmlns:a16="http://schemas.microsoft.com/office/drawing/2014/main" id="{9C1F3CA7-C6BE-170F-D7AE-BA5D0F1F2A7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56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139</xdr:row>
      <xdr:rowOff>0</xdr:rowOff>
    </xdr:from>
    <xdr:to>
      <xdr:col>13</xdr:col>
      <xdr:colOff>152400</xdr:colOff>
      <xdr:row>139</xdr:row>
      <xdr:rowOff>152400</xdr:rowOff>
    </xdr:to>
    <xdr:sp macro="" textlink="">
      <xdr:nvSpPr>
        <xdr:cNvPr id="8262" name="AutoShape 70" descr=".">
          <a:extLst>
            <a:ext uri="{FF2B5EF4-FFF2-40B4-BE49-F238E27FC236}">
              <a16:creationId xmlns:a16="http://schemas.microsoft.com/office/drawing/2014/main" id="{A84EBCDC-DB48-48B7-6D7F-25D7BA6D060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604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141</xdr:row>
      <xdr:rowOff>0</xdr:rowOff>
    </xdr:from>
    <xdr:to>
      <xdr:col>13</xdr:col>
      <xdr:colOff>152400</xdr:colOff>
      <xdr:row>141</xdr:row>
      <xdr:rowOff>152400</xdr:rowOff>
    </xdr:to>
    <xdr:sp macro="" textlink="">
      <xdr:nvSpPr>
        <xdr:cNvPr id="8263" name="AutoShape 71" descr=".">
          <a:extLst>
            <a:ext uri="{FF2B5EF4-FFF2-40B4-BE49-F238E27FC236}">
              <a16:creationId xmlns:a16="http://schemas.microsoft.com/office/drawing/2014/main" id="{544BBC82-0293-C754-5F75-E4BEF5C1795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64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143</xdr:row>
      <xdr:rowOff>0</xdr:rowOff>
    </xdr:from>
    <xdr:to>
      <xdr:col>13</xdr:col>
      <xdr:colOff>152400</xdr:colOff>
      <xdr:row>143</xdr:row>
      <xdr:rowOff>152400</xdr:rowOff>
    </xdr:to>
    <xdr:sp macro="" textlink="">
      <xdr:nvSpPr>
        <xdr:cNvPr id="8264" name="AutoShape 72" descr=".">
          <a:extLst>
            <a:ext uri="{FF2B5EF4-FFF2-40B4-BE49-F238E27FC236}">
              <a16:creationId xmlns:a16="http://schemas.microsoft.com/office/drawing/2014/main" id="{2B28DC8A-3CD3-31D9-776C-B594CD740E0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679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145</xdr:row>
      <xdr:rowOff>0</xdr:rowOff>
    </xdr:from>
    <xdr:to>
      <xdr:col>13</xdr:col>
      <xdr:colOff>152400</xdr:colOff>
      <xdr:row>145</xdr:row>
      <xdr:rowOff>152400</xdr:rowOff>
    </xdr:to>
    <xdr:sp macro="" textlink="">
      <xdr:nvSpPr>
        <xdr:cNvPr id="8265" name="AutoShape 73" descr=".">
          <a:extLst>
            <a:ext uri="{FF2B5EF4-FFF2-40B4-BE49-F238E27FC236}">
              <a16:creationId xmlns:a16="http://schemas.microsoft.com/office/drawing/2014/main" id="{BEDE3F4B-E1D7-493C-E8C8-9266FB1EE2F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716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147</xdr:row>
      <xdr:rowOff>0</xdr:rowOff>
    </xdr:from>
    <xdr:to>
      <xdr:col>13</xdr:col>
      <xdr:colOff>152400</xdr:colOff>
      <xdr:row>147</xdr:row>
      <xdr:rowOff>152400</xdr:rowOff>
    </xdr:to>
    <xdr:sp macro="" textlink="">
      <xdr:nvSpPr>
        <xdr:cNvPr id="8266" name="AutoShape 74" descr=".">
          <a:extLst>
            <a:ext uri="{FF2B5EF4-FFF2-40B4-BE49-F238E27FC236}">
              <a16:creationId xmlns:a16="http://schemas.microsoft.com/office/drawing/2014/main" id="{B28EE37E-E4C4-91FE-48CB-EBF8EB71ED5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753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149</xdr:row>
      <xdr:rowOff>0</xdr:rowOff>
    </xdr:from>
    <xdr:to>
      <xdr:col>13</xdr:col>
      <xdr:colOff>152400</xdr:colOff>
      <xdr:row>149</xdr:row>
      <xdr:rowOff>152400</xdr:rowOff>
    </xdr:to>
    <xdr:sp macro="" textlink="">
      <xdr:nvSpPr>
        <xdr:cNvPr id="8267" name="AutoShape 75" descr=".">
          <a:extLst>
            <a:ext uri="{FF2B5EF4-FFF2-40B4-BE49-F238E27FC236}">
              <a16:creationId xmlns:a16="http://schemas.microsoft.com/office/drawing/2014/main" id="{F929020C-E163-63FA-9DC6-9C400BC5CA3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791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151</xdr:row>
      <xdr:rowOff>0</xdr:rowOff>
    </xdr:from>
    <xdr:to>
      <xdr:col>13</xdr:col>
      <xdr:colOff>152400</xdr:colOff>
      <xdr:row>151</xdr:row>
      <xdr:rowOff>152400</xdr:rowOff>
    </xdr:to>
    <xdr:sp macro="" textlink="">
      <xdr:nvSpPr>
        <xdr:cNvPr id="8268" name="AutoShape 76" descr=".">
          <a:extLst>
            <a:ext uri="{FF2B5EF4-FFF2-40B4-BE49-F238E27FC236}">
              <a16:creationId xmlns:a16="http://schemas.microsoft.com/office/drawing/2014/main" id="{0BCF2A48-7958-F339-C5F4-45A8548D8A2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828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153</xdr:row>
      <xdr:rowOff>0</xdr:rowOff>
    </xdr:from>
    <xdr:to>
      <xdr:col>13</xdr:col>
      <xdr:colOff>152400</xdr:colOff>
      <xdr:row>153</xdr:row>
      <xdr:rowOff>152400</xdr:rowOff>
    </xdr:to>
    <xdr:sp macro="" textlink="">
      <xdr:nvSpPr>
        <xdr:cNvPr id="8269" name="AutoShape 77" descr=".">
          <a:extLst>
            <a:ext uri="{FF2B5EF4-FFF2-40B4-BE49-F238E27FC236}">
              <a16:creationId xmlns:a16="http://schemas.microsoft.com/office/drawing/2014/main" id="{0DEE9722-CEB8-6033-543B-424FA21DFB1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866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155</xdr:row>
      <xdr:rowOff>0</xdr:rowOff>
    </xdr:from>
    <xdr:to>
      <xdr:col>13</xdr:col>
      <xdr:colOff>152400</xdr:colOff>
      <xdr:row>155</xdr:row>
      <xdr:rowOff>152400</xdr:rowOff>
    </xdr:to>
    <xdr:sp macro="" textlink="">
      <xdr:nvSpPr>
        <xdr:cNvPr id="8270" name="AutoShape 78" descr=".">
          <a:extLst>
            <a:ext uri="{FF2B5EF4-FFF2-40B4-BE49-F238E27FC236}">
              <a16:creationId xmlns:a16="http://schemas.microsoft.com/office/drawing/2014/main" id="{E9996B97-41E2-B2C1-565D-06E981C260D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903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157</xdr:row>
      <xdr:rowOff>0</xdr:rowOff>
    </xdr:from>
    <xdr:to>
      <xdr:col>13</xdr:col>
      <xdr:colOff>152400</xdr:colOff>
      <xdr:row>157</xdr:row>
      <xdr:rowOff>152400</xdr:rowOff>
    </xdr:to>
    <xdr:sp macro="" textlink="">
      <xdr:nvSpPr>
        <xdr:cNvPr id="8271" name="AutoShape 79" descr=".">
          <a:extLst>
            <a:ext uri="{FF2B5EF4-FFF2-40B4-BE49-F238E27FC236}">
              <a16:creationId xmlns:a16="http://schemas.microsoft.com/office/drawing/2014/main" id="{8A095489-BFC7-FFA8-6D30-D02A83D41D7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941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159</xdr:row>
      <xdr:rowOff>0</xdr:rowOff>
    </xdr:from>
    <xdr:to>
      <xdr:col>13</xdr:col>
      <xdr:colOff>152400</xdr:colOff>
      <xdr:row>159</xdr:row>
      <xdr:rowOff>152400</xdr:rowOff>
    </xdr:to>
    <xdr:sp macro="" textlink="">
      <xdr:nvSpPr>
        <xdr:cNvPr id="8272" name="AutoShape 80" descr=".">
          <a:extLst>
            <a:ext uri="{FF2B5EF4-FFF2-40B4-BE49-F238E27FC236}">
              <a16:creationId xmlns:a16="http://schemas.microsoft.com/office/drawing/2014/main" id="{596C39B3-96FD-9942-CC11-6EE34BD166C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978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161</xdr:row>
      <xdr:rowOff>0</xdr:rowOff>
    </xdr:from>
    <xdr:to>
      <xdr:col>13</xdr:col>
      <xdr:colOff>152400</xdr:colOff>
      <xdr:row>161</xdr:row>
      <xdr:rowOff>152400</xdr:rowOff>
    </xdr:to>
    <xdr:sp macro="" textlink="">
      <xdr:nvSpPr>
        <xdr:cNvPr id="8273" name="AutoShape 81" descr=".">
          <a:extLst>
            <a:ext uri="{FF2B5EF4-FFF2-40B4-BE49-F238E27FC236}">
              <a16:creationId xmlns:a16="http://schemas.microsoft.com/office/drawing/2014/main" id="{64C79C3A-F79E-5486-576A-C46311030E0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01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163</xdr:row>
      <xdr:rowOff>0</xdr:rowOff>
    </xdr:from>
    <xdr:to>
      <xdr:col>13</xdr:col>
      <xdr:colOff>152400</xdr:colOff>
      <xdr:row>163</xdr:row>
      <xdr:rowOff>152400</xdr:rowOff>
    </xdr:to>
    <xdr:sp macro="" textlink="">
      <xdr:nvSpPr>
        <xdr:cNvPr id="8274" name="AutoShape 82" descr=".">
          <a:extLst>
            <a:ext uri="{FF2B5EF4-FFF2-40B4-BE49-F238E27FC236}">
              <a16:creationId xmlns:a16="http://schemas.microsoft.com/office/drawing/2014/main" id="{4DDCF7DD-7E2E-EED5-4F91-E183711CCB7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053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165</xdr:row>
      <xdr:rowOff>0</xdr:rowOff>
    </xdr:from>
    <xdr:to>
      <xdr:col>13</xdr:col>
      <xdr:colOff>152400</xdr:colOff>
      <xdr:row>165</xdr:row>
      <xdr:rowOff>152400</xdr:rowOff>
    </xdr:to>
    <xdr:sp macro="" textlink="">
      <xdr:nvSpPr>
        <xdr:cNvPr id="8275" name="AutoShape 83" descr=".">
          <a:extLst>
            <a:ext uri="{FF2B5EF4-FFF2-40B4-BE49-F238E27FC236}">
              <a16:creationId xmlns:a16="http://schemas.microsoft.com/office/drawing/2014/main" id="{B6ADB93E-B5A3-6C0F-9693-5BEC005FCD2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091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167</xdr:row>
      <xdr:rowOff>0</xdr:rowOff>
    </xdr:from>
    <xdr:to>
      <xdr:col>13</xdr:col>
      <xdr:colOff>152400</xdr:colOff>
      <xdr:row>167</xdr:row>
      <xdr:rowOff>152400</xdr:rowOff>
    </xdr:to>
    <xdr:sp macro="" textlink="">
      <xdr:nvSpPr>
        <xdr:cNvPr id="8276" name="AutoShape 84" descr=".">
          <a:extLst>
            <a:ext uri="{FF2B5EF4-FFF2-40B4-BE49-F238E27FC236}">
              <a16:creationId xmlns:a16="http://schemas.microsoft.com/office/drawing/2014/main" id="{CAB86FAD-E65A-5CA6-B554-D79BFB26B68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128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169</xdr:row>
      <xdr:rowOff>0</xdr:rowOff>
    </xdr:from>
    <xdr:to>
      <xdr:col>13</xdr:col>
      <xdr:colOff>152400</xdr:colOff>
      <xdr:row>169</xdr:row>
      <xdr:rowOff>152400</xdr:rowOff>
    </xdr:to>
    <xdr:sp macro="" textlink="">
      <xdr:nvSpPr>
        <xdr:cNvPr id="8277" name="AutoShape 85" descr=".">
          <a:extLst>
            <a:ext uri="{FF2B5EF4-FFF2-40B4-BE49-F238E27FC236}">
              <a16:creationId xmlns:a16="http://schemas.microsoft.com/office/drawing/2014/main" id="{557B0B64-5ECE-22D2-B137-CBCFC67D77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166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171</xdr:row>
      <xdr:rowOff>0</xdr:rowOff>
    </xdr:from>
    <xdr:to>
      <xdr:col>13</xdr:col>
      <xdr:colOff>152400</xdr:colOff>
      <xdr:row>171</xdr:row>
      <xdr:rowOff>152400</xdr:rowOff>
    </xdr:to>
    <xdr:sp macro="" textlink="">
      <xdr:nvSpPr>
        <xdr:cNvPr id="8278" name="AutoShape 86" descr=".">
          <a:extLst>
            <a:ext uri="{FF2B5EF4-FFF2-40B4-BE49-F238E27FC236}">
              <a16:creationId xmlns:a16="http://schemas.microsoft.com/office/drawing/2014/main" id="{0F9B4137-8EE5-9692-F132-0B3C72D4350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203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173</xdr:row>
      <xdr:rowOff>0</xdr:rowOff>
    </xdr:from>
    <xdr:to>
      <xdr:col>13</xdr:col>
      <xdr:colOff>152400</xdr:colOff>
      <xdr:row>173</xdr:row>
      <xdr:rowOff>152400</xdr:rowOff>
    </xdr:to>
    <xdr:sp macro="" textlink="">
      <xdr:nvSpPr>
        <xdr:cNvPr id="8279" name="AutoShape 87" descr=".">
          <a:extLst>
            <a:ext uri="{FF2B5EF4-FFF2-40B4-BE49-F238E27FC236}">
              <a16:creationId xmlns:a16="http://schemas.microsoft.com/office/drawing/2014/main" id="{6CED9F28-C585-5BDD-CFA3-8BD0C69B243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241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175</xdr:row>
      <xdr:rowOff>0</xdr:rowOff>
    </xdr:from>
    <xdr:to>
      <xdr:col>13</xdr:col>
      <xdr:colOff>152400</xdr:colOff>
      <xdr:row>175</xdr:row>
      <xdr:rowOff>152400</xdr:rowOff>
    </xdr:to>
    <xdr:sp macro="" textlink="">
      <xdr:nvSpPr>
        <xdr:cNvPr id="8280" name="AutoShape 88" descr=".">
          <a:extLst>
            <a:ext uri="{FF2B5EF4-FFF2-40B4-BE49-F238E27FC236}">
              <a16:creationId xmlns:a16="http://schemas.microsoft.com/office/drawing/2014/main" id="{053447E5-20DF-FA85-971E-F32AC061F6C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278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177</xdr:row>
      <xdr:rowOff>0</xdr:rowOff>
    </xdr:from>
    <xdr:to>
      <xdr:col>13</xdr:col>
      <xdr:colOff>152400</xdr:colOff>
      <xdr:row>177</xdr:row>
      <xdr:rowOff>152400</xdr:rowOff>
    </xdr:to>
    <xdr:sp macro="" textlink="">
      <xdr:nvSpPr>
        <xdr:cNvPr id="8281" name="AutoShape 89" descr=".">
          <a:extLst>
            <a:ext uri="{FF2B5EF4-FFF2-40B4-BE49-F238E27FC236}">
              <a16:creationId xmlns:a16="http://schemas.microsoft.com/office/drawing/2014/main" id="{812ACDCD-DE66-E629-4175-ADFF3258424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315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179</xdr:row>
      <xdr:rowOff>0</xdr:rowOff>
    </xdr:from>
    <xdr:to>
      <xdr:col>13</xdr:col>
      <xdr:colOff>152400</xdr:colOff>
      <xdr:row>179</xdr:row>
      <xdr:rowOff>152400</xdr:rowOff>
    </xdr:to>
    <xdr:sp macro="" textlink="">
      <xdr:nvSpPr>
        <xdr:cNvPr id="8282" name="AutoShape 90" descr=".">
          <a:extLst>
            <a:ext uri="{FF2B5EF4-FFF2-40B4-BE49-F238E27FC236}">
              <a16:creationId xmlns:a16="http://schemas.microsoft.com/office/drawing/2014/main" id="{D87DF227-1797-F5CE-0CD1-CF5C1369457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353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181</xdr:row>
      <xdr:rowOff>0</xdr:rowOff>
    </xdr:from>
    <xdr:to>
      <xdr:col>13</xdr:col>
      <xdr:colOff>152400</xdr:colOff>
      <xdr:row>181</xdr:row>
      <xdr:rowOff>152400</xdr:rowOff>
    </xdr:to>
    <xdr:sp macro="" textlink="">
      <xdr:nvSpPr>
        <xdr:cNvPr id="8283" name="AutoShape 91" descr=".">
          <a:extLst>
            <a:ext uri="{FF2B5EF4-FFF2-40B4-BE49-F238E27FC236}">
              <a16:creationId xmlns:a16="http://schemas.microsoft.com/office/drawing/2014/main" id="{9083D663-E903-3162-5C68-93CFA47BC82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390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183</xdr:row>
      <xdr:rowOff>0</xdr:rowOff>
    </xdr:from>
    <xdr:to>
      <xdr:col>13</xdr:col>
      <xdr:colOff>152400</xdr:colOff>
      <xdr:row>183</xdr:row>
      <xdr:rowOff>152400</xdr:rowOff>
    </xdr:to>
    <xdr:sp macro="" textlink="">
      <xdr:nvSpPr>
        <xdr:cNvPr id="8284" name="AutoShape 92" descr=".">
          <a:extLst>
            <a:ext uri="{FF2B5EF4-FFF2-40B4-BE49-F238E27FC236}">
              <a16:creationId xmlns:a16="http://schemas.microsoft.com/office/drawing/2014/main" id="{37829E27-EB21-40DF-1E7E-677BD7D2431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428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185</xdr:row>
      <xdr:rowOff>0</xdr:rowOff>
    </xdr:from>
    <xdr:to>
      <xdr:col>13</xdr:col>
      <xdr:colOff>152400</xdr:colOff>
      <xdr:row>185</xdr:row>
      <xdr:rowOff>152400</xdr:rowOff>
    </xdr:to>
    <xdr:sp macro="" textlink="">
      <xdr:nvSpPr>
        <xdr:cNvPr id="8285" name="AutoShape 93" descr=".">
          <a:extLst>
            <a:ext uri="{FF2B5EF4-FFF2-40B4-BE49-F238E27FC236}">
              <a16:creationId xmlns:a16="http://schemas.microsoft.com/office/drawing/2014/main" id="{1D5FFF8F-FAB5-DD73-2C7A-C11F3361D94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465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187</xdr:row>
      <xdr:rowOff>0</xdr:rowOff>
    </xdr:from>
    <xdr:to>
      <xdr:col>13</xdr:col>
      <xdr:colOff>152400</xdr:colOff>
      <xdr:row>187</xdr:row>
      <xdr:rowOff>152400</xdr:rowOff>
    </xdr:to>
    <xdr:sp macro="" textlink="">
      <xdr:nvSpPr>
        <xdr:cNvPr id="8286" name="AutoShape 94" descr=".">
          <a:extLst>
            <a:ext uri="{FF2B5EF4-FFF2-40B4-BE49-F238E27FC236}">
              <a16:creationId xmlns:a16="http://schemas.microsoft.com/office/drawing/2014/main" id="{A652A4E1-B680-3581-B14C-44E1472A851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503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189</xdr:row>
      <xdr:rowOff>0</xdr:rowOff>
    </xdr:from>
    <xdr:to>
      <xdr:col>13</xdr:col>
      <xdr:colOff>152400</xdr:colOff>
      <xdr:row>189</xdr:row>
      <xdr:rowOff>152400</xdr:rowOff>
    </xdr:to>
    <xdr:sp macro="" textlink="">
      <xdr:nvSpPr>
        <xdr:cNvPr id="8287" name="AutoShape 95" descr=".">
          <a:extLst>
            <a:ext uri="{FF2B5EF4-FFF2-40B4-BE49-F238E27FC236}">
              <a16:creationId xmlns:a16="http://schemas.microsoft.com/office/drawing/2014/main" id="{47BBEA7D-2488-97CB-1334-B06B9758B56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540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191</xdr:row>
      <xdr:rowOff>0</xdr:rowOff>
    </xdr:from>
    <xdr:to>
      <xdr:col>13</xdr:col>
      <xdr:colOff>152400</xdr:colOff>
      <xdr:row>191</xdr:row>
      <xdr:rowOff>152400</xdr:rowOff>
    </xdr:to>
    <xdr:sp macro="" textlink="">
      <xdr:nvSpPr>
        <xdr:cNvPr id="8288" name="AutoShape 96" descr=".">
          <a:extLst>
            <a:ext uri="{FF2B5EF4-FFF2-40B4-BE49-F238E27FC236}">
              <a16:creationId xmlns:a16="http://schemas.microsoft.com/office/drawing/2014/main" id="{6AB0BC41-972E-83CA-5F9D-E34A0B370EB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578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193</xdr:row>
      <xdr:rowOff>0</xdr:rowOff>
    </xdr:from>
    <xdr:to>
      <xdr:col>13</xdr:col>
      <xdr:colOff>152400</xdr:colOff>
      <xdr:row>193</xdr:row>
      <xdr:rowOff>152400</xdr:rowOff>
    </xdr:to>
    <xdr:sp macro="" textlink="">
      <xdr:nvSpPr>
        <xdr:cNvPr id="8289" name="AutoShape 97" descr=".">
          <a:extLst>
            <a:ext uri="{FF2B5EF4-FFF2-40B4-BE49-F238E27FC236}">
              <a16:creationId xmlns:a16="http://schemas.microsoft.com/office/drawing/2014/main" id="{56F1D388-B386-EBBD-CE14-CD557A70057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615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195</xdr:row>
      <xdr:rowOff>0</xdr:rowOff>
    </xdr:from>
    <xdr:to>
      <xdr:col>13</xdr:col>
      <xdr:colOff>152400</xdr:colOff>
      <xdr:row>195</xdr:row>
      <xdr:rowOff>152400</xdr:rowOff>
    </xdr:to>
    <xdr:sp macro="" textlink="">
      <xdr:nvSpPr>
        <xdr:cNvPr id="8290" name="AutoShape 98" descr=".">
          <a:extLst>
            <a:ext uri="{FF2B5EF4-FFF2-40B4-BE49-F238E27FC236}">
              <a16:creationId xmlns:a16="http://schemas.microsoft.com/office/drawing/2014/main" id="{05814058-D1F9-FC70-69FE-A89C0867893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653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197</xdr:row>
      <xdr:rowOff>0</xdr:rowOff>
    </xdr:from>
    <xdr:to>
      <xdr:col>13</xdr:col>
      <xdr:colOff>152400</xdr:colOff>
      <xdr:row>197</xdr:row>
      <xdr:rowOff>152400</xdr:rowOff>
    </xdr:to>
    <xdr:sp macro="" textlink="">
      <xdr:nvSpPr>
        <xdr:cNvPr id="8291" name="AutoShape 99" descr=".">
          <a:extLst>
            <a:ext uri="{FF2B5EF4-FFF2-40B4-BE49-F238E27FC236}">
              <a16:creationId xmlns:a16="http://schemas.microsoft.com/office/drawing/2014/main" id="{AC7C7970-5BE9-5970-F724-DBC008333F8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69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199</xdr:row>
      <xdr:rowOff>0</xdr:rowOff>
    </xdr:from>
    <xdr:to>
      <xdr:col>13</xdr:col>
      <xdr:colOff>152400</xdr:colOff>
      <xdr:row>199</xdr:row>
      <xdr:rowOff>152400</xdr:rowOff>
    </xdr:to>
    <xdr:sp macro="" textlink="">
      <xdr:nvSpPr>
        <xdr:cNvPr id="8292" name="AutoShape 100" descr=".">
          <a:extLst>
            <a:ext uri="{FF2B5EF4-FFF2-40B4-BE49-F238E27FC236}">
              <a16:creationId xmlns:a16="http://schemas.microsoft.com/office/drawing/2014/main" id="{1F456899-1F76-A6C8-5E30-0B5E2FDD5E5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728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201</xdr:row>
      <xdr:rowOff>0</xdr:rowOff>
    </xdr:from>
    <xdr:to>
      <xdr:col>13</xdr:col>
      <xdr:colOff>152400</xdr:colOff>
      <xdr:row>201</xdr:row>
      <xdr:rowOff>152400</xdr:rowOff>
    </xdr:to>
    <xdr:sp macro="" textlink="">
      <xdr:nvSpPr>
        <xdr:cNvPr id="8293" name="AutoShape 101" descr=".">
          <a:extLst>
            <a:ext uri="{FF2B5EF4-FFF2-40B4-BE49-F238E27FC236}">
              <a16:creationId xmlns:a16="http://schemas.microsoft.com/office/drawing/2014/main" id="{1C1CA465-7F12-BD78-CA23-C5CA89248C9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765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203</xdr:row>
      <xdr:rowOff>0</xdr:rowOff>
    </xdr:from>
    <xdr:to>
      <xdr:col>13</xdr:col>
      <xdr:colOff>152400</xdr:colOff>
      <xdr:row>203</xdr:row>
      <xdr:rowOff>152400</xdr:rowOff>
    </xdr:to>
    <xdr:sp macro="" textlink="">
      <xdr:nvSpPr>
        <xdr:cNvPr id="8294" name="AutoShape 102" descr=".">
          <a:extLst>
            <a:ext uri="{FF2B5EF4-FFF2-40B4-BE49-F238E27FC236}">
              <a16:creationId xmlns:a16="http://schemas.microsoft.com/office/drawing/2014/main" id="{DBDD6E08-827E-5072-A256-E496C4C1C7D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803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205</xdr:row>
      <xdr:rowOff>0</xdr:rowOff>
    </xdr:from>
    <xdr:to>
      <xdr:col>13</xdr:col>
      <xdr:colOff>152400</xdr:colOff>
      <xdr:row>205</xdr:row>
      <xdr:rowOff>152400</xdr:rowOff>
    </xdr:to>
    <xdr:sp macro="" textlink="">
      <xdr:nvSpPr>
        <xdr:cNvPr id="8295" name="AutoShape 103" descr=".">
          <a:extLst>
            <a:ext uri="{FF2B5EF4-FFF2-40B4-BE49-F238E27FC236}">
              <a16:creationId xmlns:a16="http://schemas.microsoft.com/office/drawing/2014/main" id="{209FC8AC-0B2A-17F5-A165-603176DE638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84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207</xdr:row>
      <xdr:rowOff>0</xdr:rowOff>
    </xdr:from>
    <xdr:to>
      <xdr:col>13</xdr:col>
      <xdr:colOff>152400</xdr:colOff>
      <xdr:row>207</xdr:row>
      <xdr:rowOff>152400</xdr:rowOff>
    </xdr:to>
    <xdr:sp macro="" textlink="">
      <xdr:nvSpPr>
        <xdr:cNvPr id="8296" name="AutoShape 104" descr=".">
          <a:extLst>
            <a:ext uri="{FF2B5EF4-FFF2-40B4-BE49-F238E27FC236}">
              <a16:creationId xmlns:a16="http://schemas.microsoft.com/office/drawing/2014/main" id="{F96F696E-A31C-C271-43A3-488BD6AA3CD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877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209</xdr:row>
      <xdr:rowOff>0</xdr:rowOff>
    </xdr:from>
    <xdr:to>
      <xdr:col>13</xdr:col>
      <xdr:colOff>152400</xdr:colOff>
      <xdr:row>209</xdr:row>
      <xdr:rowOff>152400</xdr:rowOff>
    </xdr:to>
    <xdr:sp macro="" textlink="">
      <xdr:nvSpPr>
        <xdr:cNvPr id="8297" name="AutoShape 105" descr=".">
          <a:extLst>
            <a:ext uri="{FF2B5EF4-FFF2-40B4-BE49-F238E27FC236}">
              <a16:creationId xmlns:a16="http://schemas.microsoft.com/office/drawing/2014/main" id="{2B64ADE5-94C1-8516-16A4-B5584C2F4BC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915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211</xdr:row>
      <xdr:rowOff>0</xdr:rowOff>
    </xdr:from>
    <xdr:to>
      <xdr:col>13</xdr:col>
      <xdr:colOff>152400</xdr:colOff>
      <xdr:row>211</xdr:row>
      <xdr:rowOff>152400</xdr:rowOff>
    </xdr:to>
    <xdr:sp macro="" textlink="">
      <xdr:nvSpPr>
        <xdr:cNvPr id="8298" name="AutoShape 106" descr=".">
          <a:extLst>
            <a:ext uri="{FF2B5EF4-FFF2-40B4-BE49-F238E27FC236}">
              <a16:creationId xmlns:a16="http://schemas.microsoft.com/office/drawing/2014/main" id="{C573F273-1119-20B4-4EAB-EE612F5F2F5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952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213</xdr:row>
      <xdr:rowOff>0</xdr:rowOff>
    </xdr:from>
    <xdr:to>
      <xdr:col>13</xdr:col>
      <xdr:colOff>152400</xdr:colOff>
      <xdr:row>213</xdr:row>
      <xdr:rowOff>152400</xdr:rowOff>
    </xdr:to>
    <xdr:sp macro="" textlink="">
      <xdr:nvSpPr>
        <xdr:cNvPr id="8299" name="AutoShape 107" descr=".">
          <a:extLst>
            <a:ext uri="{FF2B5EF4-FFF2-40B4-BE49-F238E27FC236}">
              <a16:creationId xmlns:a16="http://schemas.microsoft.com/office/drawing/2014/main" id="{2D989559-2793-888C-0FE0-6E426891104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990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215</xdr:row>
      <xdr:rowOff>0</xdr:rowOff>
    </xdr:from>
    <xdr:to>
      <xdr:col>13</xdr:col>
      <xdr:colOff>152400</xdr:colOff>
      <xdr:row>215</xdr:row>
      <xdr:rowOff>152400</xdr:rowOff>
    </xdr:to>
    <xdr:sp macro="" textlink="">
      <xdr:nvSpPr>
        <xdr:cNvPr id="8300" name="AutoShape 108" descr=".">
          <a:extLst>
            <a:ext uri="{FF2B5EF4-FFF2-40B4-BE49-F238E27FC236}">
              <a16:creationId xmlns:a16="http://schemas.microsoft.com/office/drawing/2014/main" id="{73D61949-451D-334C-A7B9-7EB722EA0C2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027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217</xdr:row>
      <xdr:rowOff>0</xdr:rowOff>
    </xdr:from>
    <xdr:to>
      <xdr:col>13</xdr:col>
      <xdr:colOff>152400</xdr:colOff>
      <xdr:row>217</xdr:row>
      <xdr:rowOff>152400</xdr:rowOff>
    </xdr:to>
    <xdr:sp macro="" textlink="">
      <xdr:nvSpPr>
        <xdr:cNvPr id="8301" name="AutoShape 109" descr=".">
          <a:extLst>
            <a:ext uri="{FF2B5EF4-FFF2-40B4-BE49-F238E27FC236}">
              <a16:creationId xmlns:a16="http://schemas.microsoft.com/office/drawing/2014/main" id="{F2148B2C-ECCA-7A70-DF18-1E05777E093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065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219</xdr:row>
      <xdr:rowOff>0</xdr:rowOff>
    </xdr:from>
    <xdr:to>
      <xdr:col>13</xdr:col>
      <xdr:colOff>152400</xdr:colOff>
      <xdr:row>219</xdr:row>
      <xdr:rowOff>152400</xdr:rowOff>
    </xdr:to>
    <xdr:sp macro="" textlink="">
      <xdr:nvSpPr>
        <xdr:cNvPr id="8302" name="AutoShape 110" descr=".">
          <a:extLst>
            <a:ext uri="{FF2B5EF4-FFF2-40B4-BE49-F238E27FC236}">
              <a16:creationId xmlns:a16="http://schemas.microsoft.com/office/drawing/2014/main" id="{F7D1EC15-01B9-8E4A-0DA2-3913A39FB24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102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221</xdr:row>
      <xdr:rowOff>0</xdr:rowOff>
    </xdr:from>
    <xdr:to>
      <xdr:col>13</xdr:col>
      <xdr:colOff>152400</xdr:colOff>
      <xdr:row>221</xdr:row>
      <xdr:rowOff>152400</xdr:rowOff>
    </xdr:to>
    <xdr:sp macro="" textlink="">
      <xdr:nvSpPr>
        <xdr:cNvPr id="8303" name="AutoShape 111" descr=".">
          <a:extLst>
            <a:ext uri="{FF2B5EF4-FFF2-40B4-BE49-F238E27FC236}">
              <a16:creationId xmlns:a16="http://schemas.microsoft.com/office/drawing/2014/main" id="{AF48BBD2-82D7-DBB4-9F63-FD2181CB225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14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223</xdr:row>
      <xdr:rowOff>0</xdr:rowOff>
    </xdr:from>
    <xdr:to>
      <xdr:col>13</xdr:col>
      <xdr:colOff>152400</xdr:colOff>
      <xdr:row>223</xdr:row>
      <xdr:rowOff>152400</xdr:rowOff>
    </xdr:to>
    <xdr:sp macro="" textlink="">
      <xdr:nvSpPr>
        <xdr:cNvPr id="8304" name="AutoShape 112" descr=".">
          <a:extLst>
            <a:ext uri="{FF2B5EF4-FFF2-40B4-BE49-F238E27FC236}">
              <a16:creationId xmlns:a16="http://schemas.microsoft.com/office/drawing/2014/main" id="{AF6F14B4-3473-FF38-B4FA-BE60D1FA65C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177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225</xdr:row>
      <xdr:rowOff>0</xdr:rowOff>
    </xdr:from>
    <xdr:to>
      <xdr:col>13</xdr:col>
      <xdr:colOff>152400</xdr:colOff>
      <xdr:row>225</xdr:row>
      <xdr:rowOff>152400</xdr:rowOff>
    </xdr:to>
    <xdr:sp macro="" textlink="">
      <xdr:nvSpPr>
        <xdr:cNvPr id="8305" name="AutoShape 113" descr=".">
          <a:extLst>
            <a:ext uri="{FF2B5EF4-FFF2-40B4-BE49-F238E27FC236}">
              <a16:creationId xmlns:a16="http://schemas.microsoft.com/office/drawing/2014/main" id="{805E73E9-B6B2-C22F-E510-60B8CFB28E2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215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227</xdr:row>
      <xdr:rowOff>0</xdr:rowOff>
    </xdr:from>
    <xdr:to>
      <xdr:col>13</xdr:col>
      <xdr:colOff>152400</xdr:colOff>
      <xdr:row>227</xdr:row>
      <xdr:rowOff>152400</xdr:rowOff>
    </xdr:to>
    <xdr:sp macro="" textlink="">
      <xdr:nvSpPr>
        <xdr:cNvPr id="8306" name="AutoShape 114" descr=".">
          <a:extLst>
            <a:ext uri="{FF2B5EF4-FFF2-40B4-BE49-F238E27FC236}">
              <a16:creationId xmlns:a16="http://schemas.microsoft.com/office/drawing/2014/main" id="{1D2CA0B5-0FFB-FEEF-4AA0-A9505B39272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252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229</xdr:row>
      <xdr:rowOff>0</xdr:rowOff>
    </xdr:from>
    <xdr:to>
      <xdr:col>13</xdr:col>
      <xdr:colOff>152400</xdr:colOff>
      <xdr:row>229</xdr:row>
      <xdr:rowOff>152400</xdr:rowOff>
    </xdr:to>
    <xdr:sp macro="" textlink="">
      <xdr:nvSpPr>
        <xdr:cNvPr id="8307" name="AutoShape 115" descr=".">
          <a:extLst>
            <a:ext uri="{FF2B5EF4-FFF2-40B4-BE49-F238E27FC236}">
              <a16:creationId xmlns:a16="http://schemas.microsoft.com/office/drawing/2014/main" id="{1DFF6C3F-D0DF-24DB-9F9C-E1C840B01C5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29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231</xdr:row>
      <xdr:rowOff>0</xdr:rowOff>
    </xdr:from>
    <xdr:to>
      <xdr:col>13</xdr:col>
      <xdr:colOff>152400</xdr:colOff>
      <xdr:row>231</xdr:row>
      <xdr:rowOff>152400</xdr:rowOff>
    </xdr:to>
    <xdr:sp macro="" textlink="">
      <xdr:nvSpPr>
        <xdr:cNvPr id="8308" name="AutoShape 116" descr=".">
          <a:extLst>
            <a:ext uri="{FF2B5EF4-FFF2-40B4-BE49-F238E27FC236}">
              <a16:creationId xmlns:a16="http://schemas.microsoft.com/office/drawing/2014/main" id="{2C42F792-876F-DDCC-9011-9A6F53BAF40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33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233</xdr:row>
      <xdr:rowOff>0</xdr:rowOff>
    </xdr:from>
    <xdr:to>
      <xdr:col>13</xdr:col>
      <xdr:colOff>152400</xdr:colOff>
      <xdr:row>233</xdr:row>
      <xdr:rowOff>152400</xdr:rowOff>
    </xdr:to>
    <xdr:sp macro="" textlink="">
      <xdr:nvSpPr>
        <xdr:cNvPr id="8309" name="AutoShape 117" descr=".">
          <a:extLst>
            <a:ext uri="{FF2B5EF4-FFF2-40B4-BE49-F238E27FC236}">
              <a16:creationId xmlns:a16="http://schemas.microsoft.com/office/drawing/2014/main" id="{BD06BE6F-727D-540A-5459-A2A12872D5A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368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235</xdr:row>
      <xdr:rowOff>0</xdr:rowOff>
    </xdr:from>
    <xdr:to>
      <xdr:col>13</xdr:col>
      <xdr:colOff>152400</xdr:colOff>
      <xdr:row>235</xdr:row>
      <xdr:rowOff>152400</xdr:rowOff>
    </xdr:to>
    <xdr:sp macro="" textlink="">
      <xdr:nvSpPr>
        <xdr:cNvPr id="8310" name="AutoShape 118" descr=".">
          <a:extLst>
            <a:ext uri="{FF2B5EF4-FFF2-40B4-BE49-F238E27FC236}">
              <a16:creationId xmlns:a16="http://schemas.microsoft.com/office/drawing/2014/main" id="{F991F5B6-B739-3D0B-27BF-BCAA6CB2B3F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405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237</xdr:row>
      <xdr:rowOff>0</xdr:rowOff>
    </xdr:from>
    <xdr:to>
      <xdr:col>13</xdr:col>
      <xdr:colOff>152400</xdr:colOff>
      <xdr:row>237</xdr:row>
      <xdr:rowOff>152400</xdr:rowOff>
    </xdr:to>
    <xdr:sp macro="" textlink="">
      <xdr:nvSpPr>
        <xdr:cNvPr id="8311" name="AutoShape 119" descr=".">
          <a:extLst>
            <a:ext uri="{FF2B5EF4-FFF2-40B4-BE49-F238E27FC236}">
              <a16:creationId xmlns:a16="http://schemas.microsoft.com/office/drawing/2014/main" id="{8D657E42-BEFA-33EB-9F43-58C66279F14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443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239</xdr:row>
      <xdr:rowOff>0</xdr:rowOff>
    </xdr:from>
    <xdr:to>
      <xdr:col>13</xdr:col>
      <xdr:colOff>152400</xdr:colOff>
      <xdr:row>239</xdr:row>
      <xdr:rowOff>152400</xdr:rowOff>
    </xdr:to>
    <xdr:sp macro="" textlink="">
      <xdr:nvSpPr>
        <xdr:cNvPr id="8312" name="AutoShape 120" descr=".">
          <a:extLst>
            <a:ext uri="{FF2B5EF4-FFF2-40B4-BE49-F238E27FC236}">
              <a16:creationId xmlns:a16="http://schemas.microsoft.com/office/drawing/2014/main" id="{D011DA21-D411-9AA7-5283-91783200685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480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241</xdr:row>
      <xdr:rowOff>0</xdr:rowOff>
    </xdr:from>
    <xdr:to>
      <xdr:col>13</xdr:col>
      <xdr:colOff>152400</xdr:colOff>
      <xdr:row>241</xdr:row>
      <xdr:rowOff>152400</xdr:rowOff>
    </xdr:to>
    <xdr:sp macro="" textlink="">
      <xdr:nvSpPr>
        <xdr:cNvPr id="8313" name="AutoShape 121" descr=".">
          <a:extLst>
            <a:ext uri="{FF2B5EF4-FFF2-40B4-BE49-F238E27FC236}">
              <a16:creationId xmlns:a16="http://schemas.microsoft.com/office/drawing/2014/main" id="{F8D36679-5AD8-B60B-E0F9-1C172313C61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518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243</xdr:row>
      <xdr:rowOff>0</xdr:rowOff>
    </xdr:from>
    <xdr:to>
      <xdr:col>13</xdr:col>
      <xdr:colOff>152400</xdr:colOff>
      <xdr:row>243</xdr:row>
      <xdr:rowOff>152400</xdr:rowOff>
    </xdr:to>
    <xdr:sp macro="" textlink="">
      <xdr:nvSpPr>
        <xdr:cNvPr id="8314" name="AutoShape 122" descr=".">
          <a:extLst>
            <a:ext uri="{FF2B5EF4-FFF2-40B4-BE49-F238E27FC236}">
              <a16:creationId xmlns:a16="http://schemas.microsoft.com/office/drawing/2014/main" id="{763042D2-ED81-EDC8-9D69-86C9E7F6C47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555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245</xdr:row>
      <xdr:rowOff>0</xdr:rowOff>
    </xdr:from>
    <xdr:to>
      <xdr:col>13</xdr:col>
      <xdr:colOff>152400</xdr:colOff>
      <xdr:row>245</xdr:row>
      <xdr:rowOff>152400</xdr:rowOff>
    </xdr:to>
    <xdr:sp macro="" textlink="">
      <xdr:nvSpPr>
        <xdr:cNvPr id="8315" name="AutoShape 123" descr=".">
          <a:extLst>
            <a:ext uri="{FF2B5EF4-FFF2-40B4-BE49-F238E27FC236}">
              <a16:creationId xmlns:a16="http://schemas.microsoft.com/office/drawing/2014/main" id="{4844549D-0B62-2C2E-B1C0-1274CD83982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592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247</xdr:row>
      <xdr:rowOff>0</xdr:rowOff>
    </xdr:from>
    <xdr:to>
      <xdr:col>13</xdr:col>
      <xdr:colOff>152400</xdr:colOff>
      <xdr:row>247</xdr:row>
      <xdr:rowOff>152400</xdr:rowOff>
    </xdr:to>
    <xdr:sp macro="" textlink="">
      <xdr:nvSpPr>
        <xdr:cNvPr id="8316" name="AutoShape 124" descr=".">
          <a:extLst>
            <a:ext uri="{FF2B5EF4-FFF2-40B4-BE49-F238E27FC236}">
              <a16:creationId xmlns:a16="http://schemas.microsoft.com/office/drawing/2014/main" id="{8B5D3B9D-B82D-05CE-1B78-62DA6A114DA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630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249</xdr:row>
      <xdr:rowOff>0</xdr:rowOff>
    </xdr:from>
    <xdr:to>
      <xdr:col>13</xdr:col>
      <xdr:colOff>152400</xdr:colOff>
      <xdr:row>249</xdr:row>
      <xdr:rowOff>152400</xdr:rowOff>
    </xdr:to>
    <xdr:sp macro="" textlink="">
      <xdr:nvSpPr>
        <xdr:cNvPr id="8317" name="AutoShape 125" descr=".">
          <a:extLst>
            <a:ext uri="{FF2B5EF4-FFF2-40B4-BE49-F238E27FC236}">
              <a16:creationId xmlns:a16="http://schemas.microsoft.com/office/drawing/2014/main" id="{A88ACEF9-AC0A-5A76-238E-82696A57F5E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667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251</xdr:row>
      <xdr:rowOff>0</xdr:rowOff>
    </xdr:from>
    <xdr:to>
      <xdr:col>13</xdr:col>
      <xdr:colOff>152400</xdr:colOff>
      <xdr:row>251</xdr:row>
      <xdr:rowOff>152400</xdr:rowOff>
    </xdr:to>
    <xdr:sp macro="" textlink="">
      <xdr:nvSpPr>
        <xdr:cNvPr id="8318" name="AutoShape 126" descr=".">
          <a:extLst>
            <a:ext uri="{FF2B5EF4-FFF2-40B4-BE49-F238E27FC236}">
              <a16:creationId xmlns:a16="http://schemas.microsoft.com/office/drawing/2014/main" id="{C78B9798-3C82-B9FE-9903-679EA8B758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70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253</xdr:row>
      <xdr:rowOff>0</xdr:rowOff>
    </xdr:from>
    <xdr:to>
      <xdr:col>13</xdr:col>
      <xdr:colOff>152400</xdr:colOff>
      <xdr:row>253</xdr:row>
      <xdr:rowOff>152400</xdr:rowOff>
    </xdr:to>
    <xdr:sp macro="" textlink="">
      <xdr:nvSpPr>
        <xdr:cNvPr id="8319" name="AutoShape 127" descr=".">
          <a:extLst>
            <a:ext uri="{FF2B5EF4-FFF2-40B4-BE49-F238E27FC236}">
              <a16:creationId xmlns:a16="http://schemas.microsoft.com/office/drawing/2014/main" id="{A9E4CF5D-7BAD-6BE7-6438-192AFC57753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742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255</xdr:row>
      <xdr:rowOff>0</xdr:rowOff>
    </xdr:from>
    <xdr:to>
      <xdr:col>13</xdr:col>
      <xdr:colOff>152400</xdr:colOff>
      <xdr:row>255</xdr:row>
      <xdr:rowOff>152400</xdr:rowOff>
    </xdr:to>
    <xdr:sp macro="" textlink="">
      <xdr:nvSpPr>
        <xdr:cNvPr id="8320" name="AutoShape 128" descr=".">
          <a:extLst>
            <a:ext uri="{FF2B5EF4-FFF2-40B4-BE49-F238E27FC236}">
              <a16:creationId xmlns:a16="http://schemas.microsoft.com/office/drawing/2014/main" id="{BA422A7B-4ED4-BD7E-3930-06D29794741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780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257</xdr:row>
      <xdr:rowOff>0</xdr:rowOff>
    </xdr:from>
    <xdr:to>
      <xdr:col>13</xdr:col>
      <xdr:colOff>152400</xdr:colOff>
      <xdr:row>257</xdr:row>
      <xdr:rowOff>152400</xdr:rowOff>
    </xdr:to>
    <xdr:sp macro="" textlink="">
      <xdr:nvSpPr>
        <xdr:cNvPr id="8321" name="AutoShape 129" descr=".">
          <a:extLst>
            <a:ext uri="{FF2B5EF4-FFF2-40B4-BE49-F238E27FC236}">
              <a16:creationId xmlns:a16="http://schemas.microsoft.com/office/drawing/2014/main" id="{FF9D85D8-DB4B-AB49-912B-DBA0365C04E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817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259</xdr:row>
      <xdr:rowOff>0</xdr:rowOff>
    </xdr:from>
    <xdr:to>
      <xdr:col>13</xdr:col>
      <xdr:colOff>152400</xdr:colOff>
      <xdr:row>259</xdr:row>
      <xdr:rowOff>152400</xdr:rowOff>
    </xdr:to>
    <xdr:sp macro="" textlink="">
      <xdr:nvSpPr>
        <xdr:cNvPr id="8322" name="AutoShape 130" descr=".">
          <a:extLst>
            <a:ext uri="{FF2B5EF4-FFF2-40B4-BE49-F238E27FC236}">
              <a16:creationId xmlns:a16="http://schemas.microsoft.com/office/drawing/2014/main" id="{44C14F10-BFF2-900A-7F90-7C96728E98D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855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261</xdr:row>
      <xdr:rowOff>0</xdr:rowOff>
    </xdr:from>
    <xdr:to>
      <xdr:col>13</xdr:col>
      <xdr:colOff>152400</xdr:colOff>
      <xdr:row>261</xdr:row>
      <xdr:rowOff>152400</xdr:rowOff>
    </xdr:to>
    <xdr:sp macro="" textlink="">
      <xdr:nvSpPr>
        <xdr:cNvPr id="8323" name="AutoShape 131" descr=".">
          <a:extLst>
            <a:ext uri="{FF2B5EF4-FFF2-40B4-BE49-F238E27FC236}">
              <a16:creationId xmlns:a16="http://schemas.microsoft.com/office/drawing/2014/main" id="{A21F571C-AEC8-5237-6DDD-9B860F932E7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892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263</xdr:row>
      <xdr:rowOff>0</xdr:rowOff>
    </xdr:from>
    <xdr:to>
      <xdr:col>13</xdr:col>
      <xdr:colOff>152400</xdr:colOff>
      <xdr:row>263</xdr:row>
      <xdr:rowOff>152400</xdr:rowOff>
    </xdr:to>
    <xdr:sp macro="" textlink="">
      <xdr:nvSpPr>
        <xdr:cNvPr id="8324" name="AutoShape 132" descr=".">
          <a:extLst>
            <a:ext uri="{FF2B5EF4-FFF2-40B4-BE49-F238E27FC236}">
              <a16:creationId xmlns:a16="http://schemas.microsoft.com/office/drawing/2014/main" id="{DFBB5B4F-AFE5-9F30-4772-3669F6CA070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930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265</xdr:row>
      <xdr:rowOff>0</xdr:rowOff>
    </xdr:from>
    <xdr:to>
      <xdr:col>13</xdr:col>
      <xdr:colOff>152400</xdr:colOff>
      <xdr:row>265</xdr:row>
      <xdr:rowOff>152400</xdr:rowOff>
    </xdr:to>
    <xdr:sp macro="" textlink="">
      <xdr:nvSpPr>
        <xdr:cNvPr id="8325" name="AutoShape 133" descr=".">
          <a:extLst>
            <a:ext uri="{FF2B5EF4-FFF2-40B4-BE49-F238E27FC236}">
              <a16:creationId xmlns:a16="http://schemas.microsoft.com/office/drawing/2014/main" id="{5D382A67-16CD-DEF0-1F46-17E1A657D8D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4967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267</xdr:row>
      <xdr:rowOff>0</xdr:rowOff>
    </xdr:from>
    <xdr:to>
      <xdr:col>13</xdr:col>
      <xdr:colOff>152400</xdr:colOff>
      <xdr:row>267</xdr:row>
      <xdr:rowOff>152400</xdr:rowOff>
    </xdr:to>
    <xdr:sp macro="" textlink="">
      <xdr:nvSpPr>
        <xdr:cNvPr id="8326" name="AutoShape 134" descr=".">
          <a:extLst>
            <a:ext uri="{FF2B5EF4-FFF2-40B4-BE49-F238E27FC236}">
              <a16:creationId xmlns:a16="http://schemas.microsoft.com/office/drawing/2014/main" id="{ED6E43F3-03D1-A0BC-1A6A-46A8DD260AF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05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269</xdr:row>
      <xdr:rowOff>0</xdr:rowOff>
    </xdr:from>
    <xdr:to>
      <xdr:col>13</xdr:col>
      <xdr:colOff>152400</xdr:colOff>
      <xdr:row>269</xdr:row>
      <xdr:rowOff>152400</xdr:rowOff>
    </xdr:to>
    <xdr:sp macro="" textlink="">
      <xdr:nvSpPr>
        <xdr:cNvPr id="8327" name="AutoShape 135" descr=".">
          <a:extLst>
            <a:ext uri="{FF2B5EF4-FFF2-40B4-BE49-F238E27FC236}">
              <a16:creationId xmlns:a16="http://schemas.microsoft.com/office/drawing/2014/main" id="{327C2B97-7DC6-CA6F-9D20-75142B2C87A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42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271</xdr:row>
      <xdr:rowOff>0</xdr:rowOff>
    </xdr:from>
    <xdr:to>
      <xdr:col>13</xdr:col>
      <xdr:colOff>152400</xdr:colOff>
      <xdr:row>271</xdr:row>
      <xdr:rowOff>152400</xdr:rowOff>
    </xdr:to>
    <xdr:sp macro="" textlink="">
      <xdr:nvSpPr>
        <xdr:cNvPr id="8328" name="AutoShape 136" descr=".">
          <a:extLst>
            <a:ext uri="{FF2B5EF4-FFF2-40B4-BE49-F238E27FC236}">
              <a16:creationId xmlns:a16="http://schemas.microsoft.com/office/drawing/2014/main" id="{382BE6E4-7BA3-90AE-9433-8891C996C36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80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273</xdr:row>
      <xdr:rowOff>0</xdr:rowOff>
    </xdr:from>
    <xdr:to>
      <xdr:col>13</xdr:col>
      <xdr:colOff>152400</xdr:colOff>
      <xdr:row>273</xdr:row>
      <xdr:rowOff>152400</xdr:rowOff>
    </xdr:to>
    <xdr:sp macro="" textlink="">
      <xdr:nvSpPr>
        <xdr:cNvPr id="8329" name="AutoShape 137" descr=".">
          <a:extLst>
            <a:ext uri="{FF2B5EF4-FFF2-40B4-BE49-F238E27FC236}">
              <a16:creationId xmlns:a16="http://schemas.microsoft.com/office/drawing/2014/main" id="{FE585599-2B89-E668-D287-B400A983518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117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275</xdr:row>
      <xdr:rowOff>0</xdr:rowOff>
    </xdr:from>
    <xdr:to>
      <xdr:col>13</xdr:col>
      <xdr:colOff>152400</xdr:colOff>
      <xdr:row>275</xdr:row>
      <xdr:rowOff>152400</xdr:rowOff>
    </xdr:to>
    <xdr:sp macro="" textlink="">
      <xdr:nvSpPr>
        <xdr:cNvPr id="8330" name="AutoShape 138" descr=".">
          <a:extLst>
            <a:ext uri="{FF2B5EF4-FFF2-40B4-BE49-F238E27FC236}">
              <a16:creationId xmlns:a16="http://schemas.microsoft.com/office/drawing/2014/main" id="{FA82142E-3F1F-D370-12FD-7855235AC10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154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277</xdr:row>
      <xdr:rowOff>0</xdr:rowOff>
    </xdr:from>
    <xdr:to>
      <xdr:col>13</xdr:col>
      <xdr:colOff>152400</xdr:colOff>
      <xdr:row>277</xdr:row>
      <xdr:rowOff>152400</xdr:rowOff>
    </xdr:to>
    <xdr:sp macro="" textlink="">
      <xdr:nvSpPr>
        <xdr:cNvPr id="8331" name="AutoShape 139" descr=".">
          <a:extLst>
            <a:ext uri="{FF2B5EF4-FFF2-40B4-BE49-F238E27FC236}">
              <a16:creationId xmlns:a16="http://schemas.microsoft.com/office/drawing/2014/main" id="{ACF65842-C586-8F8D-8D83-AA86D216D8B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192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279</xdr:row>
      <xdr:rowOff>0</xdr:rowOff>
    </xdr:from>
    <xdr:to>
      <xdr:col>13</xdr:col>
      <xdr:colOff>152400</xdr:colOff>
      <xdr:row>279</xdr:row>
      <xdr:rowOff>152400</xdr:rowOff>
    </xdr:to>
    <xdr:sp macro="" textlink="">
      <xdr:nvSpPr>
        <xdr:cNvPr id="8332" name="AutoShape 140" descr=".">
          <a:extLst>
            <a:ext uri="{FF2B5EF4-FFF2-40B4-BE49-F238E27FC236}">
              <a16:creationId xmlns:a16="http://schemas.microsoft.com/office/drawing/2014/main" id="{10B7BD97-FAA4-D024-5F24-5FB338F637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229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281</xdr:row>
      <xdr:rowOff>0</xdr:rowOff>
    </xdr:from>
    <xdr:to>
      <xdr:col>13</xdr:col>
      <xdr:colOff>152400</xdr:colOff>
      <xdr:row>281</xdr:row>
      <xdr:rowOff>152400</xdr:rowOff>
    </xdr:to>
    <xdr:sp macro="" textlink="">
      <xdr:nvSpPr>
        <xdr:cNvPr id="8333" name="AutoShape 141" descr=".">
          <a:extLst>
            <a:ext uri="{FF2B5EF4-FFF2-40B4-BE49-F238E27FC236}">
              <a16:creationId xmlns:a16="http://schemas.microsoft.com/office/drawing/2014/main" id="{1410150A-428F-B275-527F-2DB08DF5C13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267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283</xdr:row>
      <xdr:rowOff>0</xdr:rowOff>
    </xdr:from>
    <xdr:to>
      <xdr:col>13</xdr:col>
      <xdr:colOff>152400</xdr:colOff>
      <xdr:row>283</xdr:row>
      <xdr:rowOff>152400</xdr:rowOff>
    </xdr:to>
    <xdr:sp macro="" textlink="">
      <xdr:nvSpPr>
        <xdr:cNvPr id="8334" name="AutoShape 142" descr=".">
          <a:extLst>
            <a:ext uri="{FF2B5EF4-FFF2-40B4-BE49-F238E27FC236}">
              <a16:creationId xmlns:a16="http://schemas.microsoft.com/office/drawing/2014/main" id="{ABC21C08-0613-B180-7A3C-E1F08CA4C0D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304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285</xdr:row>
      <xdr:rowOff>0</xdr:rowOff>
    </xdr:from>
    <xdr:to>
      <xdr:col>13</xdr:col>
      <xdr:colOff>152400</xdr:colOff>
      <xdr:row>285</xdr:row>
      <xdr:rowOff>152400</xdr:rowOff>
    </xdr:to>
    <xdr:sp macro="" textlink="">
      <xdr:nvSpPr>
        <xdr:cNvPr id="8335" name="AutoShape 143" descr=".">
          <a:extLst>
            <a:ext uri="{FF2B5EF4-FFF2-40B4-BE49-F238E27FC236}">
              <a16:creationId xmlns:a16="http://schemas.microsoft.com/office/drawing/2014/main" id="{0FB8765A-44D4-9B52-85B4-24632D1539F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342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287</xdr:row>
      <xdr:rowOff>0</xdr:rowOff>
    </xdr:from>
    <xdr:to>
      <xdr:col>13</xdr:col>
      <xdr:colOff>152400</xdr:colOff>
      <xdr:row>287</xdr:row>
      <xdr:rowOff>152400</xdr:rowOff>
    </xdr:to>
    <xdr:sp macro="" textlink="">
      <xdr:nvSpPr>
        <xdr:cNvPr id="8336" name="AutoShape 144" descr=".">
          <a:extLst>
            <a:ext uri="{FF2B5EF4-FFF2-40B4-BE49-F238E27FC236}">
              <a16:creationId xmlns:a16="http://schemas.microsoft.com/office/drawing/2014/main" id="{E3BB754F-472B-6762-0F7D-052E3CF83FC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379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289</xdr:row>
      <xdr:rowOff>0</xdr:rowOff>
    </xdr:from>
    <xdr:to>
      <xdr:col>13</xdr:col>
      <xdr:colOff>152400</xdr:colOff>
      <xdr:row>289</xdr:row>
      <xdr:rowOff>152400</xdr:rowOff>
    </xdr:to>
    <xdr:sp macro="" textlink="">
      <xdr:nvSpPr>
        <xdr:cNvPr id="8337" name="AutoShape 145" descr=".">
          <a:extLst>
            <a:ext uri="{FF2B5EF4-FFF2-40B4-BE49-F238E27FC236}">
              <a16:creationId xmlns:a16="http://schemas.microsoft.com/office/drawing/2014/main" id="{44F980EC-B34D-0CE8-C75A-B986EFBB5BB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417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291</xdr:row>
      <xdr:rowOff>0</xdr:rowOff>
    </xdr:from>
    <xdr:to>
      <xdr:col>13</xdr:col>
      <xdr:colOff>152400</xdr:colOff>
      <xdr:row>291</xdr:row>
      <xdr:rowOff>152400</xdr:rowOff>
    </xdr:to>
    <xdr:sp macro="" textlink="">
      <xdr:nvSpPr>
        <xdr:cNvPr id="8338" name="AutoShape 146" descr=".">
          <a:extLst>
            <a:ext uri="{FF2B5EF4-FFF2-40B4-BE49-F238E27FC236}">
              <a16:creationId xmlns:a16="http://schemas.microsoft.com/office/drawing/2014/main" id="{4417F266-4F0C-94BC-411D-B09332E0744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454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293</xdr:row>
      <xdr:rowOff>0</xdr:rowOff>
    </xdr:from>
    <xdr:to>
      <xdr:col>13</xdr:col>
      <xdr:colOff>152400</xdr:colOff>
      <xdr:row>293</xdr:row>
      <xdr:rowOff>152400</xdr:rowOff>
    </xdr:to>
    <xdr:sp macro="" textlink="">
      <xdr:nvSpPr>
        <xdr:cNvPr id="8339" name="AutoShape 147" descr=".">
          <a:extLst>
            <a:ext uri="{FF2B5EF4-FFF2-40B4-BE49-F238E27FC236}">
              <a16:creationId xmlns:a16="http://schemas.microsoft.com/office/drawing/2014/main" id="{0A85012D-D736-AFCF-DB85-E5CFCE278E2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492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295</xdr:row>
      <xdr:rowOff>0</xdr:rowOff>
    </xdr:from>
    <xdr:to>
      <xdr:col>13</xdr:col>
      <xdr:colOff>152400</xdr:colOff>
      <xdr:row>295</xdr:row>
      <xdr:rowOff>152400</xdr:rowOff>
    </xdr:to>
    <xdr:sp macro="" textlink="">
      <xdr:nvSpPr>
        <xdr:cNvPr id="8340" name="AutoShape 148" descr=".">
          <a:extLst>
            <a:ext uri="{FF2B5EF4-FFF2-40B4-BE49-F238E27FC236}">
              <a16:creationId xmlns:a16="http://schemas.microsoft.com/office/drawing/2014/main" id="{843C79DC-03A1-F27F-D0BB-24BEC6E5623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529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297</xdr:row>
      <xdr:rowOff>0</xdr:rowOff>
    </xdr:from>
    <xdr:to>
      <xdr:col>13</xdr:col>
      <xdr:colOff>152400</xdr:colOff>
      <xdr:row>297</xdr:row>
      <xdr:rowOff>152400</xdr:rowOff>
    </xdr:to>
    <xdr:sp macro="" textlink="">
      <xdr:nvSpPr>
        <xdr:cNvPr id="8341" name="AutoShape 149" descr=".">
          <a:extLst>
            <a:ext uri="{FF2B5EF4-FFF2-40B4-BE49-F238E27FC236}">
              <a16:creationId xmlns:a16="http://schemas.microsoft.com/office/drawing/2014/main" id="{2781A5C9-F2FE-644C-1D5E-4A9F15F86E9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567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299</xdr:row>
      <xdr:rowOff>0</xdr:rowOff>
    </xdr:from>
    <xdr:to>
      <xdr:col>13</xdr:col>
      <xdr:colOff>152400</xdr:colOff>
      <xdr:row>299</xdr:row>
      <xdr:rowOff>152400</xdr:rowOff>
    </xdr:to>
    <xdr:sp macro="" textlink="">
      <xdr:nvSpPr>
        <xdr:cNvPr id="8342" name="AutoShape 150" descr=".">
          <a:extLst>
            <a:ext uri="{FF2B5EF4-FFF2-40B4-BE49-F238E27FC236}">
              <a16:creationId xmlns:a16="http://schemas.microsoft.com/office/drawing/2014/main" id="{8ABC200B-E2C8-71BF-66A7-173D03B9C1B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604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301</xdr:row>
      <xdr:rowOff>0</xdr:rowOff>
    </xdr:from>
    <xdr:to>
      <xdr:col>13</xdr:col>
      <xdr:colOff>152400</xdr:colOff>
      <xdr:row>301</xdr:row>
      <xdr:rowOff>152400</xdr:rowOff>
    </xdr:to>
    <xdr:sp macro="" textlink="">
      <xdr:nvSpPr>
        <xdr:cNvPr id="8343" name="AutoShape 151" descr=".">
          <a:extLst>
            <a:ext uri="{FF2B5EF4-FFF2-40B4-BE49-F238E27FC236}">
              <a16:creationId xmlns:a16="http://schemas.microsoft.com/office/drawing/2014/main" id="{5E36AA49-939C-6D0D-ECD9-1739CEB6A90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641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303</xdr:row>
      <xdr:rowOff>0</xdr:rowOff>
    </xdr:from>
    <xdr:to>
      <xdr:col>13</xdr:col>
      <xdr:colOff>152400</xdr:colOff>
      <xdr:row>303</xdr:row>
      <xdr:rowOff>152400</xdr:rowOff>
    </xdr:to>
    <xdr:sp macro="" textlink="">
      <xdr:nvSpPr>
        <xdr:cNvPr id="8344" name="AutoShape 152" descr=".">
          <a:extLst>
            <a:ext uri="{FF2B5EF4-FFF2-40B4-BE49-F238E27FC236}">
              <a16:creationId xmlns:a16="http://schemas.microsoft.com/office/drawing/2014/main" id="{78195F05-DF96-FEDC-BF0E-48D70A3F407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679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305</xdr:row>
      <xdr:rowOff>0</xdr:rowOff>
    </xdr:from>
    <xdr:to>
      <xdr:col>13</xdr:col>
      <xdr:colOff>152400</xdr:colOff>
      <xdr:row>305</xdr:row>
      <xdr:rowOff>152400</xdr:rowOff>
    </xdr:to>
    <xdr:sp macro="" textlink="">
      <xdr:nvSpPr>
        <xdr:cNvPr id="8345" name="AutoShape 153" descr=".">
          <a:extLst>
            <a:ext uri="{FF2B5EF4-FFF2-40B4-BE49-F238E27FC236}">
              <a16:creationId xmlns:a16="http://schemas.microsoft.com/office/drawing/2014/main" id="{15797747-CDE9-CBE9-B498-10BF33BFC02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716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307</xdr:row>
      <xdr:rowOff>0</xdr:rowOff>
    </xdr:from>
    <xdr:to>
      <xdr:col>13</xdr:col>
      <xdr:colOff>152400</xdr:colOff>
      <xdr:row>307</xdr:row>
      <xdr:rowOff>152400</xdr:rowOff>
    </xdr:to>
    <xdr:sp macro="" textlink="">
      <xdr:nvSpPr>
        <xdr:cNvPr id="8346" name="AutoShape 154" descr=".">
          <a:extLst>
            <a:ext uri="{FF2B5EF4-FFF2-40B4-BE49-F238E27FC236}">
              <a16:creationId xmlns:a16="http://schemas.microsoft.com/office/drawing/2014/main" id="{BF24D811-5302-81D4-6DFD-0464646FEB7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754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309</xdr:row>
      <xdr:rowOff>0</xdr:rowOff>
    </xdr:from>
    <xdr:to>
      <xdr:col>13</xdr:col>
      <xdr:colOff>152400</xdr:colOff>
      <xdr:row>309</xdr:row>
      <xdr:rowOff>152400</xdr:rowOff>
    </xdr:to>
    <xdr:sp macro="" textlink="">
      <xdr:nvSpPr>
        <xdr:cNvPr id="8347" name="AutoShape 155" descr=".">
          <a:extLst>
            <a:ext uri="{FF2B5EF4-FFF2-40B4-BE49-F238E27FC236}">
              <a16:creationId xmlns:a16="http://schemas.microsoft.com/office/drawing/2014/main" id="{B10A5A38-D298-3190-D2DA-C3EC186F3F1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791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311</xdr:row>
      <xdr:rowOff>0</xdr:rowOff>
    </xdr:from>
    <xdr:to>
      <xdr:col>13</xdr:col>
      <xdr:colOff>152400</xdr:colOff>
      <xdr:row>311</xdr:row>
      <xdr:rowOff>152400</xdr:rowOff>
    </xdr:to>
    <xdr:sp macro="" textlink="">
      <xdr:nvSpPr>
        <xdr:cNvPr id="8348" name="AutoShape 156" descr=".">
          <a:extLst>
            <a:ext uri="{FF2B5EF4-FFF2-40B4-BE49-F238E27FC236}">
              <a16:creationId xmlns:a16="http://schemas.microsoft.com/office/drawing/2014/main" id="{091BC84D-1DBD-F4C1-F090-EF5F1A9F703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829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313</xdr:row>
      <xdr:rowOff>0</xdr:rowOff>
    </xdr:from>
    <xdr:to>
      <xdr:col>13</xdr:col>
      <xdr:colOff>152400</xdr:colOff>
      <xdr:row>313</xdr:row>
      <xdr:rowOff>152400</xdr:rowOff>
    </xdr:to>
    <xdr:sp macro="" textlink="">
      <xdr:nvSpPr>
        <xdr:cNvPr id="8349" name="AutoShape 157" descr=".">
          <a:extLst>
            <a:ext uri="{FF2B5EF4-FFF2-40B4-BE49-F238E27FC236}">
              <a16:creationId xmlns:a16="http://schemas.microsoft.com/office/drawing/2014/main" id="{CA228990-622E-9F85-BB99-38CC3579519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866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315</xdr:row>
      <xdr:rowOff>0</xdr:rowOff>
    </xdr:from>
    <xdr:to>
      <xdr:col>13</xdr:col>
      <xdr:colOff>152400</xdr:colOff>
      <xdr:row>315</xdr:row>
      <xdr:rowOff>152400</xdr:rowOff>
    </xdr:to>
    <xdr:sp macro="" textlink="">
      <xdr:nvSpPr>
        <xdr:cNvPr id="8350" name="AutoShape 158" descr=".">
          <a:extLst>
            <a:ext uri="{FF2B5EF4-FFF2-40B4-BE49-F238E27FC236}">
              <a16:creationId xmlns:a16="http://schemas.microsoft.com/office/drawing/2014/main" id="{601AB908-4D0E-BBB9-A6EE-32DB10CF5F3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904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317</xdr:row>
      <xdr:rowOff>0</xdr:rowOff>
    </xdr:from>
    <xdr:to>
      <xdr:col>13</xdr:col>
      <xdr:colOff>152400</xdr:colOff>
      <xdr:row>317</xdr:row>
      <xdr:rowOff>152400</xdr:rowOff>
    </xdr:to>
    <xdr:sp macro="" textlink="">
      <xdr:nvSpPr>
        <xdr:cNvPr id="8351" name="AutoShape 159" descr=".">
          <a:extLst>
            <a:ext uri="{FF2B5EF4-FFF2-40B4-BE49-F238E27FC236}">
              <a16:creationId xmlns:a16="http://schemas.microsoft.com/office/drawing/2014/main" id="{C263B7AC-8B46-51EF-BE5F-E403720C2E4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9416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319</xdr:row>
      <xdr:rowOff>0</xdr:rowOff>
    </xdr:from>
    <xdr:to>
      <xdr:col>13</xdr:col>
      <xdr:colOff>152400</xdr:colOff>
      <xdr:row>319</xdr:row>
      <xdr:rowOff>152400</xdr:rowOff>
    </xdr:to>
    <xdr:sp macro="" textlink="">
      <xdr:nvSpPr>
        <xdr:cNvPr id="8352" name="AutoShape 160" descr=".">
          <a:extLst>
            <a:ext uri="{FF2B5EF4-FFF2-40B4-BE49-F238E27FC236}">
              <a16:creationId xmlns:a16="http://schemas.microsoft.com/office/drawing/2014/main" id="{5F2F3CAF-C2E5-2BF6-DDCD-40FAED3118F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979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321</xdr:row>
      <xdr:rowOff>0</xdr:rowOff>
    </xdr:from>
    <xdr:to>
      <xdr:col>13</xdr:col>
      <xdr:colOff>152400</xdr:colOff>
      <xdr:row>321</xdr:row>
      <xdr:rowOff>152400</xdr:rowOff>
    </xdr:to>
    <xdr:sp macro="" textlink="">
      <xdr:nvSpPr>
        <xdr:cNvPr id="8353" name="AutoShape 161" descr=".">
          <a:extLst>
            <a:ext uri="{FF2B5EF4-FFF2-40B4-BE49-F238E27FC236}">
              <a16:creationId xmlns:a16="http://schemas.microsoft.com/office/drawing/2014/main" id="{88CEE881-A3DE-DFC6-9E64-1369950573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0166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323</xdr:row>
      <xdr:rowOff>0</xdr:rowOff>
    </xdr:from>
    <xdr:to>
      <xdr:col>13</xdr:col>
      <xdr:colOff>152400</xdr:colOff>
      <xdr:row>323</xdr:row>
      <xdr:rowOff>152400</xdr:rowOff>
    </xdr:to>
    <xdr:sp macro="" textlink="">
      <xdr:nvSpPr>
        <xdr:cNvPr id="8354" name="AutoShape 162" descr=".">
          <a:extLst>
            <a:ext uri="{FF2B5EF4-FFF2-40B4-BE49-F238E27FC236}">
              <a16:creationId xmlns:a16="http://schemas.microsoft.com/office/drawing/2014/main" id="{B03CB701-833E-FDCE-1252-19B744B5FF3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054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325</xdr:row>
      <xdr:rowOff>0</xdr:rowOff>
    </xdr:from>
    <xdr:to>
      <xdr:col>13</xdr:col>
      <xdr:colOff>152400</xdr:colOff>
      <xdr:row>325</xdr:row>
      <xdr:rowOff>152400</xdr:rowOff>
    </xdr:to>
    <xdr:sp macro="" textlink="">
      <xdr:nvSpPr>
        <xdr:cNvPr id="8355" name="AutoShape 163" descr=".">
          <a:extLst>
            <a:ext uri="{FF2B5EF4-FFF2-40B4-BE49-F238E27FC236}">
              <a16:creationId xmlns:a16="http://schemas.microsoft.com/office/drawing/2014/main" id="{FEAF1428-D026-E0A3-2D4F-5B1DAA67551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091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327</xdr:row>
      <xdr:rowOff>0</xdr:rowOff>
    </xdr:from>
    <xdr:to>
      <xdr:col>13</xdr:col>
      <xdr:colOff>152400</xdr:colOff>
      <xdr:row>327</xdr:row>
      <xdr:rowOff>152400</xdr:rowOff>
    </xdr:to>
    <xdr:sp macro="" textlink="">
      <xdr:nvSpPr>
        <xdr:cNvPr id="8356" name="AutoShape 164" descr=".">
          <a:extLst>
            <a:ext uri="{FF2B5EF4-FFF2-40B4-BE49-F238E27FC236}">
              <a16:creationId xmlns:a16="http://schemas.microsoft.com/office/drawing/2014/main" id="{4D6E0E93-FDFB-4DD9-971E-C12A6DDDC08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129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329</xdr:row>
      <xdr:rowOff>0</xdr:rowOff>
    </xdr:from>
    <xdr:to>
      <xdr:col>13</xdr:col>
      <xdr:colOff>152400</xdr:colOff>
      <xdr:row>329</xdr:row>
      <xdr:rowOff>152400</xdr:rowOff>
    </xdr:to>
    <xdr:sp macro="" textlink="">
      <xdr:nvSpPr>
        <xdr:cNvPr id="8357" name="AutoShape 165" descr=".">
          <a:extLst>
            <a:ext uri="{FF2B5EF4-FFF2-40B4-BE49-F238E27FC236}">
              <a16:creationId xmlns:a16="http://schemas.microsoft.com/office/drawing/2014/main" id="{51797BE7-A6E6-AF73-9408-15B4AF2816A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166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331</xdr:row>
      <xdr:rowOff>0</xdr:rowOff>
    </xdr:from>
    <xdr:to>
      <xdr:col>13</xdr:col>
      <xdr:colOff>152400</xdr:colOff>
      <xdr:row>331</xdr:row>
      <xdr:rowOff>152400</xdr:rowOff>
    </xdr:to>
    <xdr:sp macro="" textlink="">
      <xdr:nvSpPr>
        <xdr:cNvPr id="8358" name="AutoShape 166" descr=".">
          <a:extLst>
            <a:ext uri="{FF2B5EF4-FFF2-40B4-BE49-F238E27FC236}">
              <a16:creationId xmlns:a16="http://schemas.microsoft.com/office/drawing/2014/main" id="{1858C26D-FB16-DAE4-3F1C-E5F59B9138D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20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333</xdr:row>
      <xdr:rowOff>0</xdr:rowOff>
    </xdr:from>
    <xdr:to>
      <xdr:col>13</xdr:col>
      <xdr:colOff>152400</xdr:colOff>
      <xdr:row>333</xdr:row>
      <xdr:rowOff>152400</xdr:rowOff>
    </xdr:to>
    <xdr:sp macro="" textlink="">
      <xdr:nvSpPr>
        <xdr:cNvPr id="8359" name="AutoShape 167" descr=".">
          <a:extLst>
            <a:ext uri="{FF2B5EF4-FFF2-40B4-BE49-F238E27FC236}">
              <a16:creationId xmlns:a16="http://schemas.microsoft.com/office/drawing/2014/main" id="{8ACE0448-1C5C-84E9-3A48-05CFCC73AE0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241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335</xdr:row>
      <xdr:rowOff>0</xdr:rowOff>
    </xdr:from>
    <xdr:to>
      <xdr:col>13</xdr:col>
      <xdr:colOff>152400</xdr:colOff>
      <xdr:row>335</xdr:row>
      <xdr:rowOff>152400</xdr:rowOff>
    </xdr:to>
    <xdr:sp macro="" textlink="">
      <xdr:nvSpPr>
        <xdr:cNvPr id="8360" name="AutoShape 168" descr=".">
          <a:extLst>
            <a:ext uri="{FF2B5EF4-FFF2-40B4-BE49-F238E27FC236}">
              <a16:creationId xmlns:a16="http://schemas.microsoft.com/office/drawing/2014/main" id="{CFA3616E-5D4A-EE91-C3CB-7004039FA89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278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337</xdr:row>
      <xdr:rowOff>0</xdr:rowOff>
    </xdr:from>
    <xdr:to>
      <xdr:col>13</xdr:col>
      <xdr:colOff>152400</xdr:colOff>
      <xdr:row>337</xdr:row>
      <xdr:rowOff>152400</xdr:rowOff>
    </xdr:to>
    <xdr:sp macro="" textlink="">
      <xdr:nvSpPr>
        <xdr:cNvPr id="8361" name="AutoShape 169" descr=".">
          <a:extLst>
            <a:ext uri="{FF2B5EF4-FFF2-40B4-BE49-F238E27FC236}">
              <a16:creationId xmlns:a16="http://schemas.microsoft.com/office/drawing/2014/main" id="{CA6486DA-13FD-27D4-D5CC-E7404DB5E32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316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339</xdr:row>
      <xdr:rowOff>0</xdr:rowOff>
    </xdr:from>
    <xdr:to>
      <xdr:col>13</xdr:col>
      <xdr:colOff>152400</xdr:colOff>
      <xdr:row>339</xdr:row>
      <xdr:rowOff>152400</xdr:rowOff>
    </xdr:to>
    <xdr:sp macro="" textlink="">
      <xdr:nvSpPr>
        <xdr:cNvPr id="8362" name="AutoShape 170" descr=".">
          <a:extLst>
            <a:ext uri="{FF2B5EF4-FFF2-40B4-BE49-F238E27FC236}">
              <a16:creationId xmlns:a16="http://schemas.microsoft.com/office/drawing/2014/main" id="{F32AF46F-6442-5F3A-7C10-61C3BAFCBE2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353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341</xdr:row>
      <xdr:rowOff>0</xdr:rowOff>
    </xdr:from>
    <xdr:to>
      <xdr:col>13</xdr:col>
      <xdr:colOff>152400</xdr:colOff>
      <xdr:row>341</xdr:row>
      <xdr:rowOff>152400</xdr:rowOff>
    </xdr:to>
    <xdr:sp macro="" textlink="">
      <xdr:nvSpPr>
        <xdr:cNvPr id="8363" name="AutoShape 171" descr=".">
          <a:extLst>
            <a:ext uri="{FF2B5EF4-FFF2-40B4-BE49-F238E27FC236}">
              <a16:creationId xmlns:a16="http://schemas.microsoft.com/office/drawing/2014/main" id="{83FF66C1-AAAD-AE36-FD1B-A4406108D3A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391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343</xdr:row>
      <xdr:rowOff>0</xdr:rowOff>
    </xdr:from>
    <xdr:to>
      <xdr:col>13</xdr:col>
      <xdr:colOff>152400</xdr:colOff>
      <xdr:row>343</xdr:row>
      <xdr:rowOff>152400</xdr:rowOff>
    </xdr:to>
    <xdr:sp macro="" textlink="">
      <xdr:nvSpPr>
        <xdr:cNvPr id="8364" name="AutoShape 172" descr=".">
          <a:extLst>
            <a:ext uri="{FF2B5EF4-FFF2-40B4-BE49-F238E27FC236}">
              <a16:creationId xmlns:a16="http://schemas.microsoft.com/office/drawing/2014/main" id="{46371C6F-DF26-1DEE-2F15-D519BE2CD00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428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345</xdr:row>
      <xdr:rowOff>0</xdr:rowOff>
    </xdr:from>
    <xdr:to>
      <xdr:col>13</xdr:col>
      <xdr:colOff>152400</xdr:colOff>
      <xdr:row>345</xdr:row>
      <xdr:rowOff>152400</xdr:rowOff>
    </xdr:to>
    <xdr:sp macro="" textlink="">
      <xdr:nvSpPr>
        <xdr:cNvPr id="8365" name="AutoShape 173" descr=".">
          <a:extLst>
            <a:ext uri="{FF2B5EF4-FFF2-40B4-BE49-F238E27FC236}">
              <a16:creationId xmlns:a16="http://schemas.microsoft.com/office/drawing/2014/main" id="{714E87B8-0A4C-ECFA-3C17-388B64FC5D5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466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347</xdr:row>
      <xdr:rowOff>0</xdr:rowOff>
    </xdr:from>
    <xdr:to>
      <xdr:col>13</xdr:col>
      <xdr:colOff>152400</xdr:colOff>
      <xdr:row>347</xdr:row>
      <xdr:rowOff>152400</xdr:rowOff>
    </xdr:to>
    <xdr:sp macro="" textlink="">
      <xdr:nvSpPr>
        <xdr:cNvPr id="8366" name="AutoShape 174" descr=".">
          <a:extLst>
            <a:ext uri="{FF2B5EF4-FFF2-40B4-BE49-F238E27FC236}">
              <a16:creationId xmlns:a16="http://schemas.microsoft.com/office/drawing/2014/main" id="{F0A884A7-C2F6-A901-32E5-C6A712089AE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503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349</xdr:row>
      <xdr:rowOff>0</xdr:rowOff>
    </xdr:from>
    <xdr:to>
      <xdr:col>13</xdr:col>
      <xdr:colOff>152400</xdr:colOff>
      <xdr:row>349</xdr:row>
      <xdr:rowOff>152400</xdr:rowOff>
    </xdr:to>
    <xdr:sp macro="" textlink="">
      <xdr:nvSpPr>
        <xdr:cNvPr id="8367" name="AutoShape 175" descr=".">
          <a:extLst>
            <a:ext uri="{FF2B5EF4-FFF2-40B4-BE49-F238E27FC236}">
              <a16:creationId xmlns:a16="http://schemas.microsoft.com/office/drawing/2014/main" id="{DFE4CEFE-1BED-5759-116F-44BD4BE91A5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541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351</xdr:row>
      <xdr:rowOff>0</xdr:rowOff>
    </xdr:from>
    <xdr:to>
      <xdr:col>13</xdr:col>
      <xdr:colOff>152400</xdr:colOff>
      <xdr:row>351</xdr:row>
      <xdr:rowOff>152400</xdr:rowOff>
    </xdr:to>
    <xdr:sp macro="" textlink="">
      <xdr:nvSpPr>
        <xdr:cNvPr id="8368" name="AutoShape 176" descr=".">
          <a:extLst>
            <a:ext uri="{FF2B5EF4-FFF2-40B4-BE49-F238E27FC236}">
              <a16:creationId xmlns:a16="http://schemas.microsoft.com/office/drawing/2014/main" id="{8F0ABFB9-5805-7F97-FDAF-C3B84DE07BD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57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353</xdr:row>
      <xdr:rowOff>0</xdr:rowOff>
    </xdr:from>
    <xdr:to>
      <xdr:col>13</xdr:col>
      <xdr:colOff>152400</xdr:colOff>
      <xdr:row>353</xdr:row>
      <xdr:rowOff>152400</xdr:rowOff>
    </xdr:to>
    <xdr:sp macro="" textlink="">
      <xdr:nvSpPr>
        <xdr:cNvPr id="8369" name="AutoShape 177" descr=".">
          <a:extLst>
            <a:ext uri="{FF2B5EF4-FFF2-40B4-BE49-F238E27FC236}">
              <a16:creationId xmlns:a16="http://schemas.microsoft.com/office/drawing/2014/main" id="{D17F8A8D-1E8F-C860-1A37-D92994A9180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61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355</xdr:row>
      <xdr:rowOff>0</xdr:rowOff>
    </xdr:from>
    <xdr:to>
      <xdr:col>13</xdr:col>
      <xdr:colOff>152400</xdr:colOff>
      <xdr:row>355</xdr:row>
      <xdr:rowOff>152400</xdr:rowOff>
    </xdr:to>
    <xdr:sp macro="" textlink="">
      <xdr:nvSpPr>
        <xdr:cNvPr id="8370" name="AutoShape 178" descr=".">
          <a:extLst>
            <a:ext uri="{FF2B5EF4-FFF2-40B4-BE49-F238E27FC236}">
              <a16:creationId xmlns:a16="http://schemas.microsoft.com/office/drawing/2014/main" id="{B3CA8F79-5685-E75B-41B1-7C742E1364B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65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357</xdr:row>
      <xdr:rowOff>0</xdr:rowOff>
    </xdr:from>
    <xdr:to>
      <xdr:col>13</xdr:col>
      <xdr:colOff>152400</xdr:colOff>
      <xdr:row>357</xdr:row>
      <xdr:rowOff>152400</xdr:rowOff>
    </xdr:to>
    <xdr:sp macro="" textlink="">
      <xdr:nvSpPr>
        <xdr:cNvPr id="8371" name="AutoShape 179" descr=".">
          <a:extLst>
            <a:ext uri="{FF2B5EF4-FFF2-40B4-BE49-F238E27FC236}">
              <a16:creationId xmlns:a16="http://schemas.microsoft.com/office/drawing/2014/main" id="{A1459A4F-0729-5D7C-AE9E-8CA75C502F8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690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359</xdr:row>
      <xdr:rowOff>0</xdr:rowOff>
    </xdr:from>
    <xdr:to>
      <xdr:col>13</xdr:col>
      <xdr:colOff>152400</xdr:colOff>
      <xdr:row>359</xdr:row>
      <xdr:rowOff>152400</xdr:rowOff>
    </xdr:to>
    <xdr:sp macro="" textlink="">
      <xdr:nvSpPr>
        <xdr:cNvPr id="8372" name="AutoShape 180" descr=".">
          <a:extLst>
            <a:ext uri="{FF2B5EF4-FFF2-40B4-BE49-F238E27FC236}">
              <a16:creationId xmlns:a16="http://schemas.microsoft.com/office/drawing/2014/main" id="{03E38CEC-17E2-A374-7E3D-DF727CB1005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728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361</xdr:row>
      <xdr:rowOff>0</xdr:rowOff>
    </xdr:from>
    <xdr:to>
      <xdr:col>13</xdr:col>
      <xdr:colOff>152400</xdr:colOff>
      <xdr:row>361</xdr:row>
      <xdr:rowOff>152400</xdr:rowOff>
    </xdr:to>
    <xdr:sp macro="" textlink="">
      <xdr:nvSpPr>
        <xdr:cNvPr id="8373" name="AutoShape 181" descr=".">
          <a:extLst>
            <a:ext uri="{FF2B5EF4-FFF2-40B4-BE49-F238E27FC236}">
              <a16:creationId xmlns:a16="http://schemas.microsoft.com/office/drawing/2014/main" id="{69342B53-CAED-95FF-9765-C2863E59162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765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363</xdr:row>
      <xdr:rowOff>0</xdr:rowOff>
    </xdr:from>
    <xdr:to>
      <xdr:col>13</xdr:col>
      <xdr:colOff>152400</xdr:colOff>
      <xdr:row>363</xdr:row>
      <xdr:rowOff>152400</xdr:rowOff>
    </xdr:to>
    <xdr:sp macro="" textlink="">
      <xdr:nvSpPr>
        <xdr:cNvPr id="8374" name="AutoShape 182" descr=".">
          <a:extLst>
            <a:ext uri="{FF2B5EF4-FFF2-40B4-BE49-F238E27FC236}">
              <a16:creationId xmlns:a16="http://schemas.microsoft.com/office/drawing/2014/main" id="{7DF7F5B5-5E60-DDFF-A221-9E29932D908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803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365</xdr:row>
      <xdr:rowOff>0</xdr:rowOff>
    </xdr:from>
    <xdr:to>
      <xdr:col>13</xdr:col>
      <xdr:colOff>152400</xdr:colOff>
      <xdr:row>365</xdr:row>
      <xdr:rowOff>152400</xdr:rowOff>
    </xdr:to>
    <xdr:sp macro="" textlink="">
      <xdr:nvSpPr>
        <xdr:cNvPr id="8375" name="AutoShape 183" descr=".">
          <a:extLst>
            <a:ext uri="{FF2B5EF4-FFF2-40B4-BE49-F238E27FC236}">
              <a16:creationId xmlns:a16="http://schemas.microsoft.com/office/drawing/2014/main" id="{48E0D054-ADB4-DC81-7E90-53BF43E23B2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840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367</xdr:row>
      <xdr:rowOff>0</xdr:rowOff>
    </xdr:from>
    <xdr:to>
      <xdr:col>13</xdr:col>
      <xdr:colOff>152400</xdr:colOff>
      <xdr:row>367</xdr:row>
      <xdr:rowOff>152400</xdr:rowOff>
    </xdr:to>
    <xdr:sp macro="" textlink="">
      <xdr:nvSpPr>
        <xdr:cNvPr id="8376" name="AutoShape 184" descr=".">
          <a:extLst>
            <a:ext uri="{FF2B5EF4-FFF2-40B4-BE49-F238E27FC236}">
              <a16:creationId xmlns:a16="http://schemas.microsoft.com/office/drawing/2014/main" id="{1C1157A6-5ECC-61B7-3442-756614F31B0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878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369</xdr:row>
      <xdr:rowOff>0</xdr:rowOff>
    </xdr:from>
    <xdr:to>
      <xdr:col>13</xdr:col>
      <xdr:colOff>152400</xdr:colOff>
      <xdr:row>369</xdr:row>
      <xdr:rowOff>152400</xdr:rowOff>
    </xdr:to>
    <xdr:sp macro="" textlink="">
      <xdr:nvSpPr>
        <xdr:cNvPr id="8377" name="AutoShape 185" descr=".">
          <a:extLst>
            <a:ext uri="{FF2B5EF4-FFF2-40B4-BE49-F238E27FC236}">
              <a16:creationId xmlns:a16="http://schemas.microsoft.com/office/drawing/2014/main" id="{6BF19042-E532-1ED6-CAF9-4C43BC50206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915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371</xdr:row>
      <xdr:rowOff>0</xdr:rowOff>
    </xdr:from>
    <xdr:to>
      <xdr:col>13</xdr:col>
      <xdr:colOff>152400</xdr:colOff>
      <xdr:row>371</xdr:row>
      <xdr:rowOff>152400</xdr:rowOff>
    </xdr:to>
    <xdr:sp macro="" textlink="">
      <xdr:nvSpPr>
        <xdr:cNvPr id="8378" name="AutoShape 186" descr=".">
          <a:extLst>
            <a:ext uri="{FF2B5EF4-FFF2-40B4-BE49-F238E27FC236}">
              <a16:creationId xmlns:a16="http://schemas.microsoft.com/office/drawing/2014/main" id="{9866F7C2-2127-52D7-5AF5-8ECE7C0B6B7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953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373</xdr:row>
      <xdr:rowOff>0</xdr:rowOff>
    </xdr:from>
    <xdr:to>
      <xdr:col>13</xdr:col>
      <xdr:colOff>152400</xdr:colOff>
      <xdr:row>373</xdr:row>
      <xdr:rowOff>152400</xdr:rowOff>
    </xdr:to>
    <xdr:sp macro="" textlink="">
      <xdr:nvSpPr>
        <xdr:cNvPr id="8379" name="AutoShape 187" descr=".">
          <a:extLst>
            <a:ext uri="{FF2B5EF4-FFF2-40B4-BE49-F238E27FC236}">
              <a16:creationId xmlns:a16="http://schemas.microsoft.com/office/drawing/2014/main" id="{AABF4214-B504-4D13-A071-B0D5DC7F558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990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375</xdr:row>
      <xdr:rowOff>0</xdr:rowOff>
    </xdr:from>
    <xdr:to>
      <xdr:col>13</xdr:col>
      <xdr:colOff>152400</xdr:colOff>
      <xdr:row>375</xdr:row>
      <xdr:rowOff>152400</xdr:rowOff>
    </xdr:to>
    <xdr:sp macro="" textlink="">
      <xdr:nvSpPr>
        <xdr:cNvPr id="8380" name="AutoShape 188" descr=".">
          <a:extLst>
            <a:ext uri="{FF2B5EF4-FFF2-40B4-BE49-F238E27FC236}">
              <a16:creationId xmlns:a16="http://schemas.microsoft.com/office/drawing/2014/main" id="{14004769-0C65-C937-F228-FF9C7B13218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028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377</xdr:row>
      <xdr:rowOff>0</xdr:rowOff>
    </xdr:from>
    <xdr:to>
      <xdr:col>13</xdr:col>
      <xdr:colOff>152400</xdr:colOff>
      <xdr:row>377</xdr:row>
      <xdr:rowOff>152400</xdr:rowOff>
    </xdr:to>
    <xdr:sp macro="" textlink="">
      <xdr:nvSpPr>
        <xdr:cNvPr id="8381" name="AutoShape 189" descr=".">
          <a:extLst>
            <a:ext uri="{FF2B5EF4-FFF2-40B4-BE49-F238E27FC236}">
              <a16:creationId xmlns:a16="http://schemas.microsoft.com/office/drawing/2014/main" id="{A6648C10-BD5B-AC15-4E4C-8704A12C284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065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379</xdr:row>
      <xdr:rowOff>0</xdr:rowOff>
    </xdr:from>
    <xdr:to>
      <xdr:col>13</xdr:col>
      <xdr:colOff>152400</xdr:colOff>
      <xdr:row>379</xdr:row>
      <xdr:rowOff>152400</xdr:rowOff>
    </xdr:to>
    <xdr:sp macro="" textlink="">
      <xdr:nvSpPr>
        <xdr:cNvPr id="8382" name="AutoShape 190" descr=".">
          <a:extLst>
            <a:ext uri="{FF2B5EF4-FFF2-40B4-BE49-F238E27FC236}">
              <a16:creationId xmlns:a16="http://schemas.microsoft.com/office/drawing/2014/main" id="{A0B368F7-872C-B4C7-578D-659664DBCE2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103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381</xdr:row>
      <xdr:rowOff>0</xdr:rowOff>
    </xdr:from>
    <xdr:to>
      <xdr:col>13</xdr:col>
      <xdr:colOff>152400</xdr:colOff>
      <xdr:row>381</xdr:row>
      <xdr:rowOff>152400</xdr:rowOff>
    </xdr:to>
    <xdr:sp macro="" textlink="">
      <xdr:nvSpPr>
        <xdr:cNvPr id="8383" name="AutoShape 191" descr=".">
          <a:extLst>
            <a:ext uri="{FF2B5EF4-FFF2-40B4-BE49-F238E27FC236}">
              <a16:creationId xmlns:a16="http://schemas.microsoft.com/office/drawing/2014/main" id="{F2337585-0E12-6D0D-8D28-73AABFA5277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140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383</xdr:row>
      <xdr:rowOff>0</xdr:rowOff>
    </xdr:from>
    <xdr:to>
      <xdr:col>13</xdr:col>
      <xdr:colOff>152400</xdr:colOff>
      <xdr:row>383</xdr:row>
      <xdr:rowOff>152400</xdr:rowOff>
    </xdr:to>
    <xdr:sp macro="" textlink="">
      <xdr:nvSpPr>
        <xdr:cNvPr id="8384" name="AutoShape 192" descr=".">
          <a:extLst>
            <a:ext uri="{FF2B5EF4-FFF2-40B4-BE49-F238E27FC236}">
              <a16:creationId xmlns:a16="http://schemas.microsoft.com/office/drawing/2014/main" id="{0A681D7F-D7C3-6D65-4937-E9F472EC4EA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178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385</xdr:row>
      <xdr:rowOff>0</xdr:rowOff>
    </xdr:from>
    <xdr:to>
      <xdr:col>13</xdr:col>
      <xdr:colOff>152400</xdr:colOff>
      <xdr:row>385</xdr:row>
      <xdr:rowOff>152400</xdr:rowOff>
    </xdr:to>
    <xdr:sp macro="" textlink="">
      <xdr:nvSpPr>
        <xdr:cNvPr id="8385" name="AutoShape 193" descr=".">
          <a:extLst>
            <a:ext uri="{FF2B5EF4-FFF2-40B4-BE49-F238E27FC236}">
              <a16:creationId xmlns:a16="http://schemas.microsoft.com/office/drawing/2014/main" id="{4AF6D1E7-7E28-D413-5F39-BAC99B541B5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215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387</xdr:row>
      <xdr:rowOff>0</xdr:rowOff>
    </xdr:from>
    <xdr:to>
      <xdr:col>13</xdr:col>
      <xdr:colOff>152400</xdr:colOff>
      <xdr:row>387</xdr:row>
      <xdr:rowOff>152400</xdr:rowOff>
    </xdr:to>
    <xdr:sp macro="" textlink="">
      <xdr:nvSpPr>
        <xdr:cNvPr id="8386" name="AutoShape 194" descr=".">
          <a:extLst>
            <a:ext uri="{FF2B5EF4-FFF2-40B4-BE49-F238E27FC236}">
              <a16:creationId xmlns:a16="http://schemas.microsoft.com/office/drawing/2014/main" id="{FEBA3F9E-1EF3-69E9-F762-7E316061674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252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389</xdr:row>
      <xdr:rowOff>0</xdr:rowOff>
    </xdr:from>
    <xdr:to>
      <xdr:col>13</xdr:col>
      <xdr:colOff>152400</xdr:colOff>
      <xdr:row>389</xdr:row>
      <xdr:rowOff>152400</xdr:rowOff>
    </xdr:to>
    <xdr:sp macro="" textlink="">
      <xdr:nvSpPr>
        <xdr:cNvPr id="8387" name="AutoShape 195" descr=".">
          <a:extLst>
            <a:ext uri="{FF2B5EF4-FFF2-40B4-BE49-F238E27FC236}">
              <a16:creationId xmlns:a16="http://schemas.microsoft.com/office/drawing/2014/main" id="{94502D0B-BFA8-FE1B-57E2-1E285071444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290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391</xdr:row>
      <xdr:rowOff>0</xdr:rowOff>
    </xdr:from>
    <xdr:to>
      <xdr:col>13</xdr:col>
      <xdr:colOff>152400</xdr:colOff>
      <xdr:row>391</xdr:row>
      <xdr:rowOff>152400</xdr:rowOff>
    </xdr:to>
    <xdr:sp macro="" textlink="">
      <xdr:nvSpPr>
        <xdr:cNvPr id="8388" name="AutoShape 196" descr=".">
          <a:extLst>
            <a:ext uri="{FF2B5EF4-FFF2-40B4-BE49-F238E27FC236}">
              <a16:creationId xmlns:a16="http://schemas.microsoft.com/office/drawing/2014/main" id="{850F10A4-70C9-E245-44DF-5F090CC7942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327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393</xdr:row>
      <xdr:rowOff>0</xdr:rowOff>
    </xdr:from>
    <xdr:to>
      <xdr:col>13</xdr:col>
      <xdr:colOff>152400</xdr:colOff>
      <xdr:row>393</xdr:row>
      <xdr:rowOff>152400</xdr:rowOff>
    </xdr:to>
    <xdr:sp macro="" textlink="">
      <xdr:nvSpPr>
        <xdr:cNvPr id="8389" name="AutoShape 197" descr=".">
          <a:extLst>
            <a:ext uri="{FF2B5EF4-FFF2-40B4-BE49-F238E27FC236}">
              <a16:creationId xmlns:a16="http://schemas.microsoft.com/office/drawing/2014/main" id="{D7195A72-5027-93C4-8A31-483BCD4702B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365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395</xdr:row>
      <xdr:rowOff>0</xdr:rowOff>
    </xdr:from>
    <xdr:to>
      <xdr:col>13</xdr:col>
      <xdr:colOff>152400</xdr:colOff>
      <xdr:row>395</xdr:row>
      <xdr:rowOff>152400</xdr:rowOff>
    </xdr:to>
    <xdr:sp macro="" textlink="">
      <xdr:nvSpPr>
        <xdr:cNvPr id="8390" name="AutoShape 198" descr=".">
          <a:extLst>
            <a:ext uri="{FF2B5EF4-FFF2-40B4-BE49-F238E27FC236}">
              <a16:creationId xmlns:a16="http://schemas.microsoft.com/office/drawing/2014/main" id="{2E22AA2B-C67E-0F3C-206D-582C3E0C199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402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397</xdr:row>
      <xdr:rowOff>0</xdr:rowOff>
    </xdr:from>
    <xdr:to>
      <xdr:col>13</xdr:col>
      <xdr:colOff>152400</xdr:colOff>
      <xdr:row>397</xdr:row>
      <xdr:rowOff>152400</xdr:rowOff>
    </xdr:to>
    <xdr:sp macro="" textlink="">
      <xdr:nvSpPr>
        <xdr:cNvPr id="8391" name="AutoShape 199" descr=".">
          <a:extLst>
            <a:ext uri="{FF2B5EF4-FFF2-40B4-BE49-F238E27FC236}">
              <a16:creationId xmlns:a16="http://schemas.microsoft.com/office/drawing/2014/main" id="{BB8887F4-A762-4680-09AC-12AE0974BA2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440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399</xdr:row>
      <xdr:rowOff>0</xdr:rowOff>
    </xdr:from>
    <xdr:to>
      <xdr:col>13</xdr:col>
      <xdr:colOff>152400</xdr:colOff>
      <xdr:row>399</xdr:row>
      <xdr:rowOff>152400</xdr:rowOff>
    </xdr:to>
    <xdr:sp macro="" textlink="">
      <xdr:nvSpPr>
        <xdr:cNvPr id="8392" name="AutoShape 200" descr=".">
          <a:extLst>
            <a:ext uri="{FF2B5EF4-FFF2-40B4-BE49-F238E27FC236}">
              <a16:creationId xmlns:a16="http://schemas.microsoft.com/office/drawing/2014/main" id="{F544436F-1756-158D-C4FB-AC61634B979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477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401</xdr:row>
      <xdr:rowOff>0</xdr:rowOff>
    </xdr:from>
    <xdr:to>
      <xdr:col>13</xdr:col>
      <xdr:colOff>152400</xdr:colOff>
      <xdr:row>401</xdr:row>
      <xdr:rowOff>152400</xdr:rowOff>
    </xdr:to>
    <xdr:sp macro="" textlink="">
      <xdr:nvSpPr>
        <xdr:cNvPr id="8393" name="AutoShape 201" descr=".">
          <a:extLst>
            <a:ext uri="{FF2B5EF4-FFF2-40B4-BE49-F238E27FC236}">
              <a16:creationId xmlns:a16="http://schemas.microsoft.com/office/drawing/2014/main" id="{0FB503B8-7C4D-9EAF-1B99-C94908BA0AC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515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403</xdr:row>
      <xdr:rowOff>0</xdr:rowOff>
    </xdr:from>
    <xdr:to>
      <xdr:col>13</xdr:col>
      <xdr:colOff>152400</xdr:colOff>
      <xdr:row>403</xdr:row>
      <xdr:rowOff>152400</xdr:rowOff>
    </xdr:to>
    <xdr:sp macro="" textlink="">
      <xdr:nvSpPr>
        <xdr:cNvPr id="8394" name="AutoShape 202" descr=".">
          <a:extLst>
            <a:ext uri="{FF2B5EF4-FFF2-40B4-BE49-F238E27FC236}">
              <a16:creationId xmlns:a16="http://schemas.microsoft.com/office/drawing/2014/main" id="{B8CE57CA-6FC2-B0F4-5A25-68B23AD952E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552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405</xdr:row>
      <xdr:rowOff>0</xdr:rowOff>
    </xdr:from>
    <xdr:to>
      <xdr:col>13</xdr:col>
      <xdr:colOff>152400</xdr:colOff>
      <xdr:row>405</xdr:row>
      <xdr:rowOff>152400</xdr:rowOff>
    </xdr:to>
    <xdr:sp macro="" textlink="">
      <xdr:nvSpPr>
        <xdr:cNvPr id="8395" name="AutoShape 203" descr=".">
          <a:extLst>
            <a:ext uri="{FF2B5EF4-FFF2-40B4-BE49-F238E27FC236}">
              <a16:creationId xmlns:a16="http://schemas.microsoft.com/office/drawing/2014/main" id="{DBBDC4BD-D7CD-1CB2-1A38-F5D825FE7D4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59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407</xdr:row>
      <xdr:rowOff>0</xdr:rowOff>
    </xdr:from>
    <xdr:to>
      <xdr:col>13</xdr:col>
      <xdr:colOff>152400</xdr:colOff>
      <xdr:row>407</xdr:row>
      <xdr:rowOff>152400</xdr:rowOff>
    </xdr:to>
    <xdr:sp macro="" textlink="">
      <xdr:nvSpPr>
        <xdr:cNvPr id="8396" name="AutoShape 204" descr=".">
          <a:extLst>
            <a:ext uri="{FF2B5EF4-FFF2-40B4-BE49-F238E27FC236}">
              <a16:creationId xmlns:a16="http://schemas.microsoft.com/office/drawing/2014/main" id="{7FB29694-F2E2-6DF0-4844-301FBFE3065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627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409</xdr:row>
      <xdr:rowOff>0</xdr:rowOff>
    </xdr:from>
    <xdr:to>
      <xdr:col>13</xdr:col>
      <xdr:colOff>152400</xdr:colOff>
      <xdr:row>409</xdr:row>
      <xdr:rowOff>152400</xdr:rowOff>
    </xdr:to>
    <xdr:sp macro="" textlink="">
      <xdr:nvSpPr>
        <xdr:cNvPr id="8397" name="AutoShape 205" descr=".">
          <a:extLst>
            <a:ext uri="{FF2B5EF4-FFF2-40B4-BE49-F238E27FC236}">
              <a16:creationId xmlns:a16="http://schemas.microsoft.com/office/drawing/2014/main" id="{4F785C89-0898-8CFC-5ACA-3D0CEC154B3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665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411</xdr:row>
      <xdr:rowOff>0</xdr:rowOff>
    </xdr:from>
    <xdr:to>
      <xdr:col>13</xdr:col>
      <xdr:colOff>152400</xdr:colOff>
      <xdr:row>411</xdr:row>
      <xdr:rowOff>152400</xdr:rowOff>
    </xdr:to>
    <xdr:sp macro="" textlink="">
      <xdr:nvSpPr>
        <xdr:cNvPr id="8398" name="AutoShape 206" descr=".">
          <a:extLst>
            <a:ext uri="{FF2B5EF4-FFF2-40B4-BE49-F238E27FC236}">
              <a16:creationId xmlns:a16="http://schemas.microsoft.com/office/drawing/2014/main" id="{E6F35AED-AD96-4D5D-7D79-85AF000B6C2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70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413</xdr:row>
      <xdr:rowOff>0</xdr:rowOff>
    </xdr:from>
    <xdr:to>
      <xdr:col>13</xdr:col>
      <xdr:colOff>152400</xdr:colOff>
      <xdr:row>413</xdr:row>
      <xdr:rowOff>152400</xdr:rowOff>
    </xdr:to>
    <xdr:sp macro="" textlink="">
      <xdr:nvSpPr>
        <xdr:cNvPr id="8399" name="AutoShape 207" descr=".">
          <a:extLst>
            <a:ext uri="{FF2B5EF4-FFF2-40B4-BE49-F238E27FC236}">
              <a16:creationId xmlns:a16="http://schemas.microsoft.com/office/drawing/2014/main" id="{EF3AF53E-78A6-AE2F-A2DA-13249C592FF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74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415</xdr:row>
      <xdr:rowOff>0</xdr:rowOff>
    </xdr:from>
    <xdr:to>
      <xdr:col>13</xdr:col>
      <xdr:colOff>152400</xdr:colOff>
      <xdr:row>415</xdr:row>
      <xdr:rowOff>152400</xdr:rowOff>
    </xdr:to>
    <xdr:sp macro="" textlink="">
      <xdr:nvSpPr>
        <xdr:cNvPr id="8400" name="AutoShape 208" descr=".">
          <a:extLst>
            <a:ext uri="{FF2B5EF4-FFF2-40B4-BE49-F238E27FC236}">
              <a16:creationId xmlns:a16="http://schemas.microsoft.com/office/drawing/2014/main" id="{FF98D1DB-F8C9-8D43-2BA0-1015C2DC35E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777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417</xdr:row>
      <xdr:rowOff>0</xdr:rowOff>
    </xdr:from>
    <xdr:to>
      <xdr:col>13</xdr:col>
      <xdr:colOff>152400</xdr:colOff>
      <xdr:row>417</xdr:row>
      <xdr:rowOff>152400</xdr:rowOff>
    </xdr:to>
    <xdr:sp macro="" textlink="">
      <xdr:nvSpPr>
        <xdr:cNvPr id="8401" name="AutoShape 209" descr=".">
          <a:extLst>
            <a:ext uri="{FF2B5EF4-FFF2-40B4-BE49-F238E27FC236}">
              <a16:creationId xmlns:a16="http://schemas.microsoft.com/office/drawing/2014/main" id="{2CD6AEF3-9E4C-9C5D-A6A3-C632B4D40BA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814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419</xdr:row>
      <xdr:rowOff>0</xdr:rowOff>
    </xdr:from>
    <xdr:to>
      <xdr:col>13</xdr:col>
      <xdr:colOff>152400</xdr:colOff>
      <xdr:row>419</xdr:row>
      <xdr:rowOff>152400</xdr:rowOff>
    </xdr:to>
    <xdr:sp macro="" textlink="">
      <xdr:nvSpPr>
        <xdr:cNvPr id="8402" name="AutoShape 210" descr=".">
          <a:extLst>
            <a:ext uri="{FF2B5EF4-FFF2-40B4-BE49-F238E27FC236}">
              <a16:creationId xmlns:a16="http://schemas.microsoft.com/office/drawing/2014/main" id="{ED22BF6B-982A-0C08-842C-08011B12FC8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85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421</xdr:row>
      <xdr:rowOff>0</xdr:rowOff>
    </xdr:from>
    <xdr:to>
      <xdr:col>13</xdr:col>
      <xdr:colOff>152400</xdr:colOff>
      <xdr:row>421</xdr:row>
      <xdr:rowOff>152400</xdr:rowOff>
    </xdr:to>
    <xdr:sp macro="" textlink="">
      <xdr:nvSpPr>
        <xdr:cNvPr id="8403" name="AutoShape 211" descr=".">
          <a:extLst>
            <a:ext uri="{FF2B5EF4-FFF2-40B4-BE49-F238E27FC236}">
              <a16:creationId xmlns:a16="http://schemas.microsoft.com/office/drawing/2014/main" id="{50CB0F32-0F6D-2A75-695C-60DB97B7831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889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423</xdr:row>
      <xdr:rowOff>0</xdr:rowOff>
    </xdr:from>
    <xdr:to>
      <xdr:col>13</xdr:col>
      <xdr:colOff>152400</xdr:colOff>
      <xdr:row>423</xdr:row>
      <xdr:rowOff>152400</xdr:rowOff>
    </xdr:to>
    <xdr:sp macro="" textlink="">
      <xdr:nvSpPr>
        <xdr:cNvPr id="8404" name="AutoShape 212" descr=".">
          <a:extLst>
            <a:ext uri="{FF2B5EF4-FFF2-40B4-BE49-F238E27FC236}">
              <a16:creationId xmlns:a16="http://schemas.microsoft.com/office/drawing/2014/main" id="{924B22D9-11F6-0636-148E-52D7357E6EE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927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425</xdr:row>
      <xdr:rowOff>0</xdr:rowOff>
    </xdr:from>
    <xdr:to>
      <xdr:col>13</xdr:col>
      <xdr:colOff>152400</xdr:colOff>
      <xdr:row>425</xdr:row>
      <xdr:rowOff>152400</xdr:rowOff>
    </xdr:to>
    <xdr:sp macro="" textlink="">
      <xdr:nvSpPr>
        <xdr:cNvPr id="8405" name="AutoShape 213" descr=".">
          <a:extLst>
            <a:ext uri="{FF2B5EF4-FFF2-40B4-BE49-F238E27FC236}">
              <a16:creationId xmlns:a16="http://schemas.microsoft.com/office/drawing/2014/main" id="{A89C4FF5-A300-1F1B-D2CA-6495EED87D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7964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427</xdr:row>
      <xdr:rowOff>0</xdr:rowOff>
    </xdr:from>
    <xdr:to>
      <xdr:col>13</xdr:col>
      <xdr:colOff>152400</xdr:colOff>
      <xdr:row>427</xdr:row>
      <xdr:rowOff>152400</xdr:rowOff>
    </xdr:to>
    <xdr:sp macro="" textlink="">
      <xdr:nvSpPr>
        <xdr:cNvPr id="8406" name="AutoShape 214" descr=".">
          <a:extLst>
            <a:ext uri="{FF2B5EF4-FFF2-40B4-BE49-F238E27FC236}">
              <a16:creationId xmlns:a16="http://schemas.microsoft.com/office/drawing/2014/main" id="{3192AE71-FA0D-DCD4-50A1-A5007E70BA9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002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429</xdr:row>
      <xdr:rowOff>0</xdr:rowOff>
    </xdr:from>
    <xdr:to>
      <xdr:col>13</xdr:col>
      <xdr:colOff>152400</xdr:colOff>
      <xdr:row>429</xdr:row>
      <xdr:rowOff>152400</xdr:rowOff>
    </xdr:to>
    <xdr:sp macro="" textlink="">
      <xdr:nvSpPr>
        <xdr:cNvPr id="8407" name="AutoShape 215" descr=".">
          <a:extLst>
            <a:ext uri="{FF2B5EF4-FFF2-40B4-BE49-F238E27FC236}">
              <a16:creationId xmlns:a16="http://schemas.microsoft.com/office/drawing/2014/main" id="{E765C0BD-A12D-5769-AF82-595273E7E4E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039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431</xdr:row>
      <xdr:rowOff>0</xdr:rowOff>
    </xdr:from>
    <xdr:to>
      <xdr:col>13</xdr:col>
      <xdr:colOff>152400</xdr:colOff>
      <xdr:row>431</xdr:row>
      <xdr:rowOff>152400</xdr:rowOff>
    </xdr:to>
    <xdr:sp macro="" textlink="">
      <xdr:nvSpPr>
        <xdr:cNvPr id="8408" name="AutoShape 216" descr=".">
          <a:extLst>
            <a:ext uri="{FF2B5EF4-FFF2-40B4-BE49-F238E27FC236}">
              <a16:creationId xmlns:a16="http://schemas.microsoft.com/office/drawing/2014/main" id="{E0724BE5-A13E-1438-A319-9451D327D10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07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433</xdr:row>
      <xdr:rowOff>0</xdr:rowOff>
    </xdr:from>
    <xdr:to>
      <xdr:col>13</xdr:col>
      <xdr:colOff>152400</xdr:colOff>
      <xdr:row>433</xdr:row>
      <xdr:rowOff>152400</xdr:rowOff>
    </xdr:to>
    <xdr:sp macro="" textlink="">
      <xdr:nvSpPr>
        <xdr:cNvPr id="8409" name="AutoShape 217" descr=".">
          <a:extLst>
            <a:ext uri="{FF2B5EF4-FFF2-40B4-BE49-F238E27FC236}">
              <a16:creationId xmlns:a16="http://schemas.microsoft.com/office/drawing/2014/main" id="{BEDF42C9-8123-AE43-9467-B6F9322E0B5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114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435</xdr:row>
      <xdr:rowOff>0</xdr:rowOff>
    </xdr:from>
    <xdr:to>
      <xdr:col>13</xdr:col>
      <xdr:colOff>152400</xdr:colOff>
      <xdr:row>435</xdr:row>
      <xdr:rowOff>152400</xdr:rowOff>
    </xdr:to>
    <xdr:sp macro="" textlink="">
      <xdr:nvSpPr>
        <xdr:cNvPr id="8410" name="AutoShape 218" descr=".">
          <a:extLst>
            <a:ext uri="{FF2B5EF4-FFF2-40B4-BE49-F238E27FC236}">
              <a16:creationId xmlns:a16="http://schemas.microsoft.com/office/drawing/2014/main" id="{6CB07576-972C-335B-1A7A-F021C0C3C1C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152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437</xdr:row>
      <xdr:rowOff>0</xdr:rowOff>
    </xdr:from>
    <xdr:to>
      <xdr:col>13</xdr:col>
      <xdr:colOff>152400</xdr:colOff>
      <xdr:row>437</xdr:row>
      <xdr:rowOff>152400</xdr:rowOff>
    </xdr:to>
    <xdr:sp macro="" textlink="">
      <xdr:nvSpPr>
        <xdr:cNvPr id="8411" name="AutoShape 219" descr=".">
          <a:extLst>
            <a:ext uri="{FF2B5EF4-FFF2-40B4-BE49-F238E27FC236}">
              <a16:creationId xmlns:a16="http://schemas.microsoft.com/office/drawing/2014/main" id="{3019F3D9-A352-5786-2DA6-3AF6A894428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189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439</xdr:row>
      <xdr:rowOff>0</xdr:rowOff>
    </xdr:from>
    <xdr:to>
      <xdr:col>13</xdr:col>
      <xdr:colOff>152400</xdr:colOff>
      <xdr:row>439</xdr:row>
      <xdr:rowOff>152400</xdr:rowOff>
    </xdr:to>
    <xdr:sp macro="" textlink="">
      <xdr:nvSpPr>
        <xdr:cNvPr id="8412" name="AutoShape 220" descr=".">
          <a:extLst>
            <a:ext uri="{FF2B5EF4-FFF2-40B4-BE49-F238E27FC236}">
              <a16:creationId xmlns:a16="http://schemas.microsoft.com/office/drawing/2014/main" id="{0F6AB008-BC8F-069D-28CF-741057AA6BF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227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441</xdr:row>
      <xdr:rowOff>0</xdr:rowOff>
    </xdr:from>
    <xdr:to>
      <xdr:col>13</xdr:col>
      <xdr:colOff>152400</xdr:colOff>
      <xdr:row>441</xdr:row>
      <xdr:rowOff>152400</xdr:rowOff>
    </xdr:to>
    <xdr:sp macro="" textlink="">
      <xdr:nvSpPr>
        <xdr:cNvPr id="8413" name="AutoShape 221" descr=".">
          <a:extLst>
            <a:ext uri="{FF2B5EF4-FFF2-40B4-BE49-F238E27FC236}">
              <a16:creationId xmlns:a16="http://schemas.microsoft.com/office/drawing/2014/main" id="{1B59657B-3AD0-90E7-36B8-7F095CB694C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264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443</xdr:row>
      <xdr:rowOff>0</xdr:rowOff>
    </xdr:from>
    <xdr:to>
      <xdr:col>13</xdr:col>
      <xdr:colOff>152400</xdr:colOff>
      <xdr:row>443</xdr:row>
      <xdr:rowOff>152400</xdr:rowOff>
    </xdr:to>
    <xdr:sp macro="" textlink="">
      <xdr:nvSpPr>
        <xdr:cNvPr id="8414" name="AutoShape 222" descr=".">
          <a:extLst>
            <a:ext uri="{FF2B5EF4-FFF2-40B4-BE49-F238E27FC236}">
              <a16:creationId xmlns:a16="http://schemas.microsoft.com/office/drawing/2014/main" id="{001EDA1F-DBB6-5B0D-DFF0-998A33B6BC0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301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445</xdr:row>
      <xdr:rowOff>0</xdr:rowOff>
    </xdr:from>
    <xdr:to>
      <xdr:col>13</xdr:col>
      <xdr:colOff>152400</xdr:colOff>
      <xdr:row>445</xdr:row>
      <xdr:rowOff>152400</xdr:rowOff>
    </xdr:to>
    <xdr:sp macro="" textlink="">
      <xdr:nvSpPr>
        <xdr:cNvPr id="8415" name="AutoShape 223" descr=".">
          <a:extLst>
            <a:ext uri="{FF2B5EF4-FFF2-40B4-BE49-F238E27FC236}">
              <a16:creationId xmlns:a16="http://schemas.microsoft.com/office/drawing/2014/main" id="{F77FAB58-A29D-25D6-96AC-3A5EF4528D4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339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447</xdr:row>
      <xdr:rowOff>0</xdr:rowOff>
    </xdr:from>
    <xdr:to>
      <xdr:col>13</xdr:col>
      <xdr:colOff>152400</xdr:colOff>
      <xdr:row>447</xdr:row>
      <xdr:rowOff>152400</xdr:rowOff>
    </xdr:to>
    <xdr:sp macro="" textlink="">
      <xdr:nvSpPr>
        <xdr:cNvPr id="8416" name="AutoShape 224" descr=".">
          <a:extLst>
            <a:ext uri="{FF2B5EF4-FFF2-40B4-BE49-F238E27FC236}">
              <a16:creationId xmlns:a16="http://schemas.microsoft.com/office/drawing/2014/main" id="{881B0717-BFE8-66AC-B34C-35AE66A8D31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376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449</xdr:row>
      <xdr:rowOff>0</xdr:rowOff>
    </xdr:from>
    <xdr:to>
      <xdr:col>13</xdr:col>
      <xdr:colOff>152400</xdr:colOff>
      <xdr:row>449</xdr:row>
      <xdr:rowOff>152400</xdr:rowOff>
    </xdr:to>
    <xdr:sp macro="" textlink="">
      <xdr:nvSpPr>
        <xdr:cNvPr id="8417" name="AutoShape 225" descr=".">
          <a:extLst>
            <a:ext uri="{FF2B5EF4-FFF2-40B4-BE49-F238E27FC236}">
              <a16:creationId xmlns:a16="http://schemas.microsoft.com/office/drawing/2014/main" id="{0B034FE5-4AEE-38F6-B766-F036A20F550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414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451</xdr:row>
      <xdr:rowOff>0</xdr:rowOff>
    </xdr:from>
    <xdr:to>
      <xdr:col>13</xdr:col>
      <xdr:colOff>152400</xdr:colOff>
      <xdr:row>451</xdr:row>
      <xdr:rowOff>152400</xdr:rowOff>
    </xdr:to>
    <xdr:sp macro="" textlink="">
      <xdr:nvSpPr>
        <xdr:cNvPr id="8418" name="AutoShape 226" descr=".">
          <a:extLst>
            <a:ext uri="{FF2B5EF4-FFF2-40B4-BE49-F238E27FC236}">
              <a16:creationId xmlns:a16="http://schemas.microsoft.com/office/drawing/2014/main" id="{3913FCFB-DE6F-09B2-EBB8-3EBAFE17231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451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453</xdr:row>
      <xdr:rowOff>0</xdr:rowOff>
    </xdr:from>
    <xdr:to>
      <xdr:col>13</xdr:col>
      <xdr:colOff>152400</xdr:colOff>
      <xdr:row>453</xdr:row>
      <xdr:rowOff>152400</xdr:rowOff>
    </xdr:to>
    <xdr:sp macro="" textlink="">
      <xdr:nvSpPr>
        <xdr:cNvPr id="8419" name="AutoShape 227" descr=".">
          <a:extLst>
            <a:ext uri="{FF2B5EF4-FFF2-40B4-BE49-F238E27FC236}">
              <a16:creationId xmlns:a16="http://schemas.microsoft.com/office/drawing/2014/main" id="{74F2297B-2983-4F12-EF79-60D5AC8C232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489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455</xdr:row>
      <xdr:rowOff>0</xdr:rowOff>
    </xdr:from>
    <xdr:to>
      <xdr:col>13</xdr:col>
      <xdr:colOff>152400</xdr:colOff>
      <xdr:row>455</xdr:row>
      <xdr:rowOff>152400</xdr:rowOff>
    </xdr:to>
    <xdr:sp macro="" textlink="">
      <xdr:nvSpPr>
        <xdr:cNvPr id="8420" name="AutoShape 228" descr=".">
          <a:extLst>
            <a:ext uri="{FF2B5EF4-FFF2-40B4-BE49-F238E27FC236}">
              <a16:creationId xmlns:a16="http://schemas.microsoft.com/office/drawing/2014/main" id="{A1BD7DEA-3762-441C-D975-09D2E276879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526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457</xdr:row>
      <xdr:rowOff>0</xdr:rowOff>
    </xdr:from>
    <xdr:to>
      <xdr:col>13</xdr:col>
      <xdr:colOff>152400</xdr:colOff>
      <xdr:row>457</xdr:row>
      <xdr:rowOff>152400</xdr:rowOff>
    </xdr:to>
    <xdr:sp macro="" textlink="">
      <xdr:nvSpPr>
        <xdr:cNvPr id="8421" name="AutoShape 229" descr=".">
          <a:extLst>
            <a:ext uri="{FF2B5EF4-FFF2-40B4-BE49-F238E27FC236}">
              <a16:creationId xmlns:a16="http://schemas.microsoft.com/office/drawing/2014/main" id="{A2794BE6-BC7B-F5C8-A6FC-D90AC57F160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564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459</xdr:row>
      <xdr:rowOff>0</xdr:rowOff>
    </xdr:from>
    <xdr:to>
      <xdr:col>13</xdr:col>
      <xdr:colOff>152400</xdr:colOff>
      <xdr:row>459</xdr:row>
      <xdr:rowOff>152400</xdr:rowOff>
    </xdr:to>
    <xdr:sp macro="" textlink="">
      <xdr:nvSpPr>
        <xdr:cNvPr id="8422" name="AutoShape 230" descr=".">
          <a:extLst>
            <a:ext uri="{FF2B5EF4-FFF2-40B4-BE49-F238E27FC236}">
              <a16:creationId xmlns:a16="http://schemas.microsoft.com/office/drawing/2014/main" id="{A92F878C-BA8D-44D1-1315-C84D09E25AE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601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461</xdr:row>
      <xdr:rowOff>0</xdr:rowOff>
    </xdr:from>
    <xdr:to>
      <xdr:col>13</xdr:col>
      <xdr:colOff>152400</xdr:colOff>
      <xdr:row>461</xdr:row>
      <xdr:rowOff>152400</xdr:rowOff>
    </xdr:to>
    <xdr:sp macro="" textlink="">
      <xdr:nvSpPr>
        <xdr:cNvPr id="8423" name="AutoShape 231" descr=".">
          <a:extLst>
            <a:ext uri="{FF2B5EF4-FFF2-40B4-BE49-F238E27FC236}">
              <a16:creationId xmlns:a16="http://schemas.microsoft.com/office/drawing/2014/main" id="{C305DE57-33EC-79C5-A0A1-4DD115CC9F4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639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463</xdr:row>
      <xdr:rowOff>0</xdr:rowOff>
    </xdr:from>
    <xdr:to>
      <xdr:col>13</xdr:col>
      <xdr:colOff>152400</xdr:colOff>
      <xdr:row>463</xdr:row>
      <xdr:rowOff>152400</xdr:rowOff>
    </xdr:to>
    <xdr:sp macro="" textlink="">
      <xdr:nvSpPr>
        <xdr:cNvPr id="8424" name="AutoShape 232" descr=".">
          <a:extLst>
            <a:ext uri="{FF2B5EF4-FFF2-40B4-BE49-F238E27FC236}">
              <a16:creationId xmlns:a16="http://schemas.microsoft.com/office/drawing/2014/main" id="{8639EF3E-07E6-2561-9F41-C40C001FE52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676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465</xdr:row>
      <xdr:rowOff>0</xdr:rowOff>
    </xdr:from>
    <xdr:to>
      <xdr:col>13</xdr:col>
      <xdr:colOff>152400</xdr:colOff>
      <xdr:row>465</xdr:row>
      <xdr:rowOff>152400</xdr:rowOff>
    </xdr:to>
    <xdr:sp macro="" textlink="">
      <xdr:nvSpPr>
        <xdr:cNvPr id="8425" name="AutoShape 233" descr=".">
          <a:extLst>
            <a:ext uri="{FF2B5EF4-FFF2-40B4-BE49-F238E27FC236}">
              <a16:creationId xmlns:a16="http://schemas.microsoft.com/office/drawing/2014/main" id="{355020D7-B91A-0666-EE56-469BA0BB16F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714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467</xdr:row>
      <xdr:rowOff>0</xdr:rowOff>
    </xdr:from>
    <xdr:to>
      <xdr:col>13</xdr:col>
      <xdr:colOff>152400</xdr:colOff>
      <xdr:row>467</xdr:row>
      <xdr:rowOff>152400</xdr:rowOff>
    </xdr:to>
    <xdr:sp macro="" textlink="">
      <xdr:nvSpPr>
        <xdr:cNvPr id="8426" name="AutoShape 234" descr=".">
          <a:extLst>
            <a:ext uri="{FF2B5EF4-FFF2-40B4-BE49-F238E27FC236}">
              <a16:creationId xmlns:a16="http://schemas.microsoft.com/office/drawing/2014/main" id="{B0EAA605-5AB3-4E76-4B5A-4D419399A30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751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469</xdr:row>
      <xdr:rowOff>0</xdr:rowOff>
    </xdr:from>
    <xdr:to>
      <xdr:col>13</xdr:col>
      <xdr:colOff>152400</xdr:colOff>
      <xdr:row>469</xdr:row>
      <xdr:rowOff>152400</xdr:rowOff>
    </xdr:to>
    <xdr:sp macro="" textlink="">
      <xdr:nvSpPr>
        <xdr:cNvPr id="8427" name="AutoShape 235" descr=".">
          <a:extLst>
            <a:ext uri="{FF2B5EF4-FFF2-40B4-BE49-F238E27FC236}">
              <a16:creationId xmlns:a16="http://schemas.microsoft.com/office/drawing/2014/main" id="{171E0A9E-E349-78BB-F19A-CCEF90F043C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789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471</xdr:row>
      <xdr:rowOff>0</xdr:rowOff>
    </xdr:from>
    <xdr:to>
      <xdr:col>13</xdr:col>
      <xdr:colOff>152400</xdr:colOff>
      <xdr:row>471</xdr:row>
      <xdr:rowOff>152400</xdr:rowOff>
    </xdr:to>
    <xdr:sp macro="" textlink="">
      <xdr:nvSpPr>
        <xdr:cNvPr id="8428" name="AutoShape 236" descr=".">
          <a:extLst>
            <a:ext uri="{FF2B5EF4-FFF2-40B4-BE49-F238E27FC236}">
              <a16:creationId xmlns:a16="http://schemas.microsoft.com/office/drawing/2014/main" id="{B36B29AF-DCEA-1A6C-D047-D5B2F08A681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826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473</xdr:row>
      <xdr:rowOff>0</xdr:rowOff>
    </xdr:from>
    <xdr:to>
      <xdr:col>13</xdr:col>
      <xdr:colOff>152400</xdr:colOff>
      <xdr:row>473</xdr:row>
      <xdr:rowOff>152400</xdr:rowOff>
    </xdr:to>
    <xdr:sp macro="" textlink="">
      <xdr:nvSpPr>
        <xdr:cNvPr id="8429" name="AutoShape 237" descr=".">
          <a:extLst>
            <a:ext uri="{FF2B5EF4-FFF2-40B4-BE49-F238E27FC236}">
              <a16:creationId xmlns:a16="http://schemas.microsoft.com/office/drawing/2014/main" id="{6023DB75-FC93-06B7-FED0-420B214436A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863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475</xdr:row>
      <xdr:rowOff>0</xdr:rowOff>
    </xdr:from>
    <xdr:to>
      <xdr:col>13</xdr:col>
      <xdr:colOff>152400</xdr:colOff>
      <xdr:row>475</xdr:row>
      <xdr:rowOff>152400</xdr:rowOff>
    </xdr:to>
    <xdr:sp macro="" textlink="">
      <xdr:nvSpPr>
        <xdr:cNvPr id="8430" name="AutoShape 238" descr=".">
          <a:extLst>
            <a:ext uri="{FF2B5EF4-FFF2-40B4-BE49-F238E27FC236}">
              <a16:creationId xmlns:a16="http://schemas.microsoft.com/office/drawing/2014/main" id="{506AD6D2-F718-681C-AE97-26E2286AB77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901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477</xdr:row>
      <xdr:rowOff>0</xdr:rowOff>
    </xdr:from>
    <xdr:to>
      <xdr:col>13</xdr:col>
      <xdr:colOff>152400</xdr:colOff>
      <xdr:row>477</xdr:row>
      <xdr:rowOff>152400</xdr:rowOff>
    </xdr:to>
    <xdr:sp macro="" textlink="">
      <xdr:nvSpPr>
        <xdr:cNvPr id="8431" name="AutoShape 239" descr=".">
          <a:extLst>
            <a:ext uri="{FF2B5EF4-FFF2-40B4-BE49-F238E27FC236}">
              <a16:creationId xmlns:a16="http://schemas.microsoft.com/office/drawing/2014/main" id="{C29E9C9F-1F3F-EF06-ECBB-38EF061278F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9388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479</xdr:row>
      <xdr:rowOff>0</xdr:rowOff>
    </xdr:from>
    <xdr:to>
      <xdr:col>13</xdr:col>
      <xdr:colOff>152400</xdr:colOff>
      <xdr:row>479</xdr:row>
      <xdr:rowOff>152400</xdr:rowOff>
    </xdr:to>
    <xdr:sp macro="" textlink="">
      <xdr:nvSpPr>
        <xdr:cNvPr id="8432" name="AutoShape 240" descr=".">
          <a:extLst>
            <a:ext uri="{FF2B5EF4-FFF2-40B4-BE49-F238E27FC236}">
              <a16:creationId xmlns:a16="http://schemas.microsoft.com/office/drawing/2014/main" id="{3C4A53AF-0442-CC18-AE42-B8AC3C7D690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8976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481</xdr:row>
      <xdr:rowOff>0</xdr:rowOff>
    </xdr:from>
    <xdr:to>
      <xdr:col>13</xdr:col>
      <xdr:colOff>152400</xdr:colOff>
      <xdr:row>481</xdr:row>
      <xdr:rowOff>152400</xdr:rowOff>
    </xdr:to>
    <xdr:sp macro="" textlink="">
      <xdr:nvSpPr>
        <xdr:cNvPr id="8433" name="AutoShape 241" descr=".">
          <a:extLst>
            <a:ext uri="{FF2B5EF4-FFF2-40B4-BE49-F238E27FC236}">
              <a16:creationId xmlns:a16="http://schemas.microsoft.com/office/drawing/2014/main" id="{0E77EA53-0E00-3403-45DF-DB450C21C6D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0138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483</xdr:row>
      <xdr:rowOff>0</xdr:rowOff>
    </xdr:from>
    <xdr:to>
      <xdr:col>13</xdr:col>
      <xdr:colOff>152400</xdr:colOff>
      <xdr:row>483</xdr:row>
      <xdr:rowOff>152400</xdr:rowOff>
    </xdr:to>
    <xdr:sp macro="" textlink="">
      <xdr:nvSpPr>
        <xdr:cNvPr id="8434" name="AutoShape 242" descr=".">
          <a:extLst>
            <a:ext uri="{FF2B5EF4-FFF2-40B4-BE49-F238E27FC236}">
              <a16:creationId xmlns:a16="http://schemas.microsoft.com/office/drawing/2014/main" id="{5CC7E93E-387C-5986-0F49-99BDCF81BE44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051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485</xdr:row>
      <xdr:rowOff>0</xdr:rowOff>
    </xdr:from>
    <xdr:to>
      <xdr:col>13</xdr:col>
      <xdr:colOff>152400</xdr:colOff>
      <xdr:row>485</xdr:row>
      <xdr:rowOff>152400</xdr:rowOff>
    </xdr:to>
    <xdr:sp macro="" textlink="">
      <xdr:nvSpPr>
        <xdr:cNvPr id="8435" name="AutoShape 243" descr=".">
          <a:extLst>
            <a:ext uri="{FF2B5EF4-FFF2-40B4-BE49-F238E27FC236}">
              <a16:creationId xmlns:a16="http://schemas.microsoft.com/office/drawing/2014/main" id="{4892FD1F-8E9F-307F-6241-609B552BB5E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088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487</xdr:row>
      <xdr:rowOff>0</xdr:rowOff>
    </xdr:from>
    <xdr:to>
      <xdr:col>13</xdr:col>
      <xdr:colOff>152400</xdr:colOff>
      <xdr:row>487</xdr:row>
      <xdr:rowOff>152400</xdr:rowOff>
    </xdr:to>
    <xdr:sp macro="" textlink="">
      <xdr:nvSpPr>
        <xdr:cNvPr id="8436" name="AutoShape 244" descr=".">
          <a:extLst>
            <a:ext uri="{FF2B5EF4-FFF2-40B4-BE49-F238E27FC236}">
              <a16:creationId xmlns:a16="http://schemas.microsoft.com/office/drawing/2014/main" id="{5DFB9AC7-CC68-4194-5812-E6132620948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126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489</xdr:row>
      <xdr:rowOff>0</xdr:rowOff>
    </xdr:from>
    <xdr:to>
      <xdr:col>13</xdr:col>
      <xdr:colOff>152400</xdr:colOff>
      <xdr:row>489</xdr:row>
      <xdr:rowOff>152400</xdr:rowOff>
    </xdr:to>
    <xdr:sp macro="" textlink="">
      <xdr:nvSpPr>
        <xdr:cNvPr id="8437" name="AutoShape 245" descr=".">
          <a:extLst>
            <a:ext uri="{FF2B5EF4-FFF2-40B4-BE49-F238E27FC236}">
              <a16:creationId xmlns:a16="http://schemas.microsoft.com/office/drawing/2014/main" id="{1A65046A-E79F-F51D-22C1-E2D87907625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163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491</xdr:row>
      <xdr:rowOff>0</xdr:rowOff>
    </xdr:from>
    <xdr:to>
      <xdr:col>13</xdr:col>
      <xdr:colOff>152400</xdr:colOff>
      <xdr:row>491</xdr:row>
      <xdr:rowOff>152400</xdr:rowOff>
    </xdr:to>
    <xdr:sp macro="" textlink="">
      <xdr:nvSpPr>
        <xdr:cNvPr id="8438" name="AutoShape 246" descr=".">
          <a:extLst>
            <a:ext uri="{FF2B5EF4-FFF2-40B4-BE49-F238E27FC236}">
              <a16:creationId xmlns:a16="http://schemas.microsoft.com/office/drawing/2014/main" id="{2B78912E-A465-1657-1DAC-DB763C91921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20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493</xdr:row>
      <xdr:rowOff>0</xdr:rowOff>
    </xdr:from>
    <xdr:to>
      <xdr:col>13</xdr:col>
      <xdr:colOff>152400</xdr:colOff>
      <xdr:row>493</xdr:row>
      <xdr:rowOff>152400</xdr:rowOff>
    </xdr:to>
    <xdr:sp macro="" textlink="">
      <xdr:nvSpPr>
        <xdr:cNvPr id="8439" name="AutoShape 247" descr=".">
          <a:extLst>
            <a:ext uri="{FF2B5EF4-FFF2-40B4-BE49-F238E27FC236}">
              <a16:creationId xmlns:a16="http://schemas.microsoft.com/office/drawing/2014/main" id="{85EBD432-17F4-DE02-7619-894855E31E2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238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495</xdr:row>
      <xdr:rowOff>0</xdr:rowOff>
    </xdr:from>
    <xdr:to>
      <xdr:col>13</xdr:col>
      <xdr:colOff>152400</xdr:colOff>
      <xdr:row>495</xdr:row>
      <xdr:rowOff>152400</xdr:rowOff>
    </xdr:to>
    <xdr:sp macro="" textlink="">
      <xdr:nvSpPr>
        <xdr:cNvPr id="8440" name="AutoShape 248" descr=".">
          <a:extLst>
            <a:ext uri="{FF2B5EF4-FFF2-40B4-BE49-F238E27FC236}">
              <a16:creationId xmlns:a16="http://schemas.microsoft.com/office/drawing/2014/main" id="{A954B252-3AC4-2832-8E0B-783CDA3284D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276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152400</xdr:colOff>
      <xdr:row>1</xdr:row>
      <xdr:rowOff>152400</xdr:rowOff>
    </xdr:to>
    <xdr:sp macro="" textlink="">
      <xdr:nvSpPr>
        <xdr:cNvPr id="8441" name="AutoShape 249" descr=".">
          <a:extLst>
            <a:ext uri="{FF2B5EF4-FFF2-40B4-BE49-F238E27FC236}">
              <a16:creationId xmlns:a16="http://schemas.microsoft.com/office/drawing/2014/main" id="{1699FC73-9E8C-1F23-9EB8-B1647F1C68B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152400</xdr:colOff>
      <xdr:row>3</xdr:row>
      <xdr:rowOff>152400</xdr:rowOff>
    </xdr:to>
    <xdr:sp macro="" textlink="">
      <xdr:nvSpPr>
        <xdr:cNvPr id="8442" name="AutoShape 250" descr=".">
          <a:extLst>
            <a:ext uri="{FF2B5EF4-FFF2-40B4-BE49-F238E27FC236}">
              <a16:creationId xmlns:a16="http://schemas.microsoft.com/office/drawing/2014/main" id="{B45CCA73-0663-8E08-A697-FDA4BAC61DE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6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152400</xdr:colOff>
      <xdr:row>5</xdr:row>
      <xdr:rowOff>152400</xdr:rowOff>
    </xdr:to>
    <xdr:sp macro="" textlink="">
      <xdr:nvSpPr>
        <xdr:cNvPr id="8443" name="AutoShape 251" descr=".">
          <a:extLst>
            <a:ext uri="{FF2B5EF4-FFF2-40B4-BE49-F238E27FC236}">
              <a16:creationId xmlns:a16="http://schemas.microsoft.com/office/drawing/2014/main" id="{110832B8-1CC1-3429-A461-38861893074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3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152400</xdr:colOff>
      <xdr:row>7</xdr:row>
      <xdr:rowOff>152400</xdr:rowOff>
    </xdr:to>
    <xdr:sp macro="" textlink="">
      <xdr:nvSpPr>
        <xdr:cNvPr id="8444" name="AutoShape 252" descr=".">
          <a:extLst>
            <a:ext uri="{FF2B5EF4-FFF2-40B4-BE49-F238E27FC236}">
              <a16:creationId xmlns:a16="http://schemas.microsoft.com/office/drawing/2014/main" id="{F5BC7670-4F1E-1EE9-FFE6-F6644FA3E11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31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152400</xdr:colOff>
      <xdr:row>9</xdr:row>
      <xdr:rowOff>152400</xdr:rowOff>
    </xdr:to>
    <xdr:sp macro="" textlink="">
      <xdr:nvSpPr>
        <xdr:cNvPr id="8445" name="AutoShape 253" descr=".">
          <a:extLst>
            <a:ext uri="{FF2B5EF4-FFF2-40B4-BE49-F238E27FC236}">
              <a16:creationId xmlns:a16="http://schemas.microsoft.com/office/drawing/2014/main" id="{B36F9F48-BA34-FD52-6861-12F65CF3182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68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152400</xdr:colOff>
      <xdr:row>11</xdr:row>
      <xdr:rowOff>152400</xdr:rowOff>
    </xdr:to>
    <xdr:sp macro="" textlink="">
      <xdr:nvSpPr>
        <xdr:cNvPr id="8446" name="AutoShape 254" descr=".">
          <a:extLst>
            <a:ext uri="{FF2B5EF4-FFF2-40B4-BE49-F238E27FC236}">
              <a16:creationId xmlns:a16="http://schemas.microsoft.com/office/drawing/2014/main" id="{9B5253DD-9AAC-F661-1AE6-76D9562E2B7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06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152400</xdr:colOff>
      <xdr:row>13</xdr:row>
      <xdr:rowOff>152400</xdr:rowOff>
    </xdr:to>
    <xdr:sp macro="" textlink="">
      <xdr:nvSpPr>
        <xdr:cNvPr id="8447" name="AutoShape 255" descr=".">
          <a:extLst>
            <a:ext uri="{FF2B5EF4-FFF2-40B4-BE49-F238E27FC236}">
              <a16:creationId xmlns:a16="http://schemas.microsoft.com/office/drawing/2014/main" id="{EE828B3B-0430-4EB2-B0B2-70BC5FF4958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4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152400</xdr:colOff>
      <xdr:row>15</xdr:row>
      <xdr:rowOff>152400</xdr:rowOff>
    </xdr:to>
    <xdr:sp macro="" textlink="">
      <xdr:nvSpPr>
        <xdr:cNvPr id="8448" name="AutoShape 256" descr=".">
          <a:extLst>
            <a:ext uri="{FF2B5EF4-FFF2-40B4-BE49-F238E27FC236}">
              <a16:creationId xmlns:a16="http://schemas.microsoft.com/office/drawing/2014/main" id="{B272333B-D35A-0F22-59AB-363084611D4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81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152400</xdr:colOff>
      <xdr:row>17</xdr:row>
      <xdr:rowOff>152400</xdr:rowOff>
    </xdr:to>
    <xdr:sp macro="" textlink="">
      <xdr:nvSpPr>
        <xdr:cNvPr id="8449" name="AutoShape 257" descr=".">
          <a:extLst>
            <a:ext uri="{FF2B5EF4-FFF2-40B4-BE49-F238E27FC236}">
              <a16:creationId xmlns:a16="http://schemas.microsoft.com/office/drawing/2014/main" id="{2DBB56C4-EF43-AF41-657B-586C26A41DA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18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152400</xdr:colOff>
      <xdr:row>19</xdr:row>
      <xdr:rowOff>152400</xdr:rowOff>
    </xdr:to>
    <xdr:sp macro="" textlink="">
      <xdr:nvSpPr>
        <xdr:cNvPr id="8450" name="AutoShape 258" descr=".">
          <a:extLst>
            <a:ext uri="{FF2B5EF4-FFF2-40B4-BE49-F238E27FC236}">
              <a16:creationId xmlns:a16="http://schemas.microsoft.com/office/drawing/2014/main" id="{9D951678-F6F7-BFCF-50B0-39681612896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56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152400</xdr:colOff>
      <xdr:row>21</xdr:row>
      <xdr:rowOff>152400</xdr:rowOff>
    </xdr:to>
    <xdr:sp macro="" textlink="">
      <xdr:nvSpPr>
        <xdr:cNvPr id="8451" name="AutoShape 259" descr=".">
          <a:extLst>
            <a:ext uri="{FF2B5EF4-FFF2-40B4-BE49-F238E27FC236}">
              <a16:creationId xmlns:a16="http://schemas.microsoft.com/office/drawing/2014/main" id="{C31492C8-77DF-3C40-9FEE-489AFEF4EA7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9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152400</xdr:colOff>
      <xdr:row>23</xdr:row>
      <xdr:rowOff>152400</xdr:rowOff>
    </xdr:to>
    <xdr:sp macro="" textlink="">
      <xdr:nvSpPr>
        <xdr:cNvPr id="8452" name="AutoShape 260" descr=".">
          <a:extLst>
            <a:ext uri="{FF2B5EF4-FFF2-40B4-BE49-F238E27FC236}">
              <a16:creationId xmlns:a16="http://schemas.microsoft.com/office/drawing/2014/main" id="{59796C3B-ACC0-B44F-B86B-C193E76C242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31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152400</xdr:colOff>
      <xdr:row>25</xdr:row>
      <xdr:rowOff>152400</xdr:rowOff>
    </xdr:to>
    <xdr:sp macro="" textlink="">
      <xdr:nvSpPr>
        <xdr:cNvPr id="8453" name="AutoShape 261" descr=".">
          <a:extLst>
            <a:ext uri="{FF2B5EF4-FFF2-40B4-BE49-F238E27FC236}">
              <a16:creationId xmlns:a16="http://schemas.microsoft.com/office/drawing/2014/main" id="{3A1C33B5-CA2D-3530-5FD5-809A9282316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68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152400</xdr:colOff>
      <xdr:row>27</xdr:row>
      <xdr:rowOff>152400</xdr:rowOff>
    </xdr:to>
    <xdr:sp macro="" textlink="">
      <xdr:nvSpPr>
        <xdr:cNvPr id="8454" name="AutoShape 262" descr=".">
          <a:extLst>
            <a:ext uri="{FF2B5EF4-FFF2-40B4-BE49-F238E27FC236}">
              <a16:creationId xmlns:a16="http://schemas.microsoft.com/office/drawing/2014/main" id="{2BEB63F1-0A96-8542-EB72-59918C723B2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06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152400</xdr:colOff>
      <xdr:row>29</xdr:row>
      <xdr:rowOff>152400</xdr:rowOff>
    </xdr:to>
    <xdr:sp macro="" textlink="">
      <xdr:nvSpPr>
        <xdr:cNvPr id="8455" name="AutoShape 263" descr=".">
          <a:extLst>
            <a:ext uri="{FF2B5EF4-FFF2-40B4-BE49-F238E27FC236}">
              <a16:creationId xmlns:a16="http://schemas.microsoft.com/office/drawing/2014/main" id="{1E043070-9E5E-61A5-96DA-BF5AF5C56CE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43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152400</xdr:colOff>
      <xdr:row>31</xdr:row>
      <xdr:rowOff>152400</xdr:rowOff>
    </xdr:to>
    <xdr:sp macro="" textlink="">
      <xdr:nvSpPr>
        <xdr:cNvPr id="8456" name="AutoShape 264" descr=".">
          <a:extLst>
            <a:ext uri="{FF2B5EF4-FFF2-40B4-BE49-F238E27FC236}">
              <a16:creationId xmlns:a16="http://schemas.microsoft.com/office/drawing/2014/main" id="{3EBBB5B2-BA59-6358-F626-CF44BE4B33E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81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152400</xdr:colOff>
      <xdr:row>33</xdr:row>
      <xdr:rowOff>152400</xdr:rowOff>
    </xdr:to>
    <xdr:sp macro="" textlink="">
      <xdr:nvSpPr>
        <xdr:cNvPr id="8457" name="AutoShape 265" descr=".">
          <a:extLst>
            <a:ext uri="{FF2B5EF4-FFF2-40B4-BE49-F238E27FC236}">
              <a16:creationId xmlns:a16="http://schemas.microsoft.com/office/drawing/2014/main" id="{49A55BE0-5CEE-2EB5-6FB0-E9EB55421D8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18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152400</xdr:colOff>
      <xdr:row>35</xdr:row>
      <xdr:rowOff>152400</xdr:rowOff>
    </xdr:to>
    <xdr:sp macro="" textlink="">
      <xdr:nvSpPr>
        <xdr:cNvPr id="8458" name="AutoShape 266" descr=".">
          <a:extLst>
            <a:ext uri="{FF2B5EF4-FFF2-40B4-BE49-F238E27FC236}">
              <a16:creationId xmlns:a16="http://schemas.microsoft.com/office/drawing/2014/main" id="{D9B7DFB0-3325-7C60-066E-1FA20A201CF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55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152400</xdr:colOff>
      <xdr:row>37</xdr:row>
      <xdr:rowOff>152400</xdr:rowOff>
    </xdr:to>
    <xdr:sp macro="" textlink="">
      <xdr:nvSpPr>
        <xdr:cNvPr id="8459" name="AutoShape 267" descr=".">
          <a:extLst>
            <a:ext uri="{FF2B5EF4-FFF2-40B4-BE49-F238E27FC236}">
              <a16:creationId xmlns:a16="http://schemas.microsoft.com/office/drawing/2014/main" id="{497ABBBA-31F3-B854-2E04-88CC92F487E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9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39</xdr:row>
      <xdr:rowOff>0</xdr:rowOff>
    </xdr:from>
    <xdr:to>
      <xdr:col>36</xdr:col>
      <xdr:colOff>152400</xdr:colOff>
      <xdr:row>39</xdr:row>
      <xdr:rowOff>152400</xdr:rowOff>
    </xdr:to>
    <xdr:sp macro="" textlink="">
      <xdr:nvSpPr>
        <xdr:cNvPr id="8460" name="AutoShape 268" descr=".">
          <a:extLst>
            <a:ext uri="{FF2B5EF4-FFF2-40B4-BE49-F238E27FC236}">
              <a16:creationId xmlns:a16="http://schemas.microsoft.com/office/drawing/2014/main" id="{C0EEEBAA-A702-5660-C605-9D9DD4C64DE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30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41</xdr:row>
      <xdr:rowOff>0</xdr:rowOff>
    </xdr:from>
    <xdr:to>
      <xdr:col>36</xdr:col>
      <xdr:colOff>152400</xdr:colOff>
      <xdr:row>41</xdr:row>
      <xdr:rowOff>152400</xdr:rowOff>
    </xdr:to>
    <xdr:sp macro="" textlink="">
      <xdr:nvSpPr>
        <xdr:cNvPr id="8461" name="AutoShape 269" descr=".">
          <a:extLst>
            <a:ext uri="{FF2B5EF4-FFF2-40B4-BE49-F238E27FC236}">
              <a16:creationId xmlns:a16="http://schemas.microsoft.com/office/drawing/2014/main" id="{BC7763EF-F3E7-9449-9A19-98B9D2624D5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68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152400</xdr:colOff>
      <xdr:row>43</xdr:row>
      <xdr:rowOff>152400</xdr:rowOff>
    </xdr:to>
    <xdr:sp macro="" textlink="">
      <xdr:nvSpPr>
        <xdr:cNvPr id="8462" name="AutoShape 270" descr=".">
          <a:extLst>
            <a:ext uri="{FF2B5EF4-FFF2-40B4-BE49-F238E27FC236}">
              <a16:creationId xmlns:a16="http://schemas.microsoft.com/office/drawing/2014/main" id="{A1C0EDAE-2E95-7790-AB43-BA999BA290D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05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152400</xdr:colOff>
      <xdr:row>45</xdr:row>
      <xdr:rowOff>152400</xdr:rowOff>
    </xdr:to>
    <xdr:sp macro="" textlink="">
      <xdr:nvSpPr>
        <xdr:cNvPr id="8463" name="AutoShape 271" descr=".">
          <a:extLst>
            <a:ext uri="{FF2B5EF4-FFF2-40B4-BE49-F238E27FC236}">
              <a16:creationId xmlns:a16="http://schemas.microsoft.com/office/drawing/2014/main" id="{1C197EF0-68A9-F9FD-7676-E5D71B9225E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43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47</xdr:row>
      <xdr:rowOff>0</xdr:rowOff>
    </xdr:from>
    <xdr:to>
      <xdr:col>36</xdr:col>
      <xdr:colOff>152400</xdr:colOff>
      <xdr:row>47</xdr:row>
      <xdr:rowOff>152400</xdr:rowOff>
    </xdr:to>
    <xdr:sp macro="" textlink="">
      <xdr:nvSpPr>
        <xdr:cNvPr id="8464" name="AutoShape 272" descr=".">
          <a:extLst>
            <a:ext uri="{FF2B5EF4-FFF2-40B4-BE49-F238E27FC236}">
              <a16:creationId xmlns:a16="http://schemas.microsoft.com/office/drawing/2014/main" id="{4FB85AEA-D1A7-D4C0-835F-E09CA5DD19F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80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49</xdr:row>
      <xdr:rowOff>0</xdr:rowOff>
    </xdr:from>
    <xdr:to>
      <xdr:col>36</xdr:col>
      <xdr:colOff>152400</xdr:colOff>
      <xdr:row>49</xdr:row>
      <xdr:rowOff>152400</xdr:rowOff>
    </xdr:to>
    <xdr:sp macro="" textlink="">
      <xdr:nvSpPr>
        <xdr:cNvPr id="8465" name="AutoShape 273" descr=".">
          <a:extLst>
            <a:ext uri="{FF2B5EF4-FFF2-40B4-BE49-F238E27FC236}">
              <a16:creationId xmlns:a16="http://schemas.microsoft.com/office/drawing/2014/main" id="{98894222-BAF3-32F2-C630-A276BBEB843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18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51</xdr:row>
      <xdr:rowOff>0</xdr:rowOff>
    </xdr:from>
    <xdr:to>
      <xdr:col>36</xdr:col>
      <xdr:colOff>152400</xdr:colOff>
      <xdr:row>51</xdr:row>
      <xdr:rowOff>152400</xdr:rowOff>
    </xdr:to>
    <xdr:sp macro="" textlink="">
      <xdr:nvSpPr>
        <xdr:cNvPr id="8466" name="AutoShape 274" descr=".">
          <a:extLst>
            <a:ext uri="{FF2B5EF4-FFF2-40B4-BE49-F238E27FC236}">
              <a16:creationId xmlns:a16="http://schemas.microsoft.com/office/drawing/2014/main" id="{C9335CB3-9A31-FA7C-E46A-24C119DCFA7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55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53</xdr:row>
      <xdr:rowOff>0</xdr:rowOff>
    </xdr:from>
    <xdr:to>
      <xdr:col>36</xdr:col>
      <xdr:colOff>152400</xdr:colOff>
      <xdr:row>53</xdr:row>
      <xdr:rowOff>152400</xdr:rowOff>
    </xdr:to>
    <xdr:sp macro="" textlink="">
      <xdr:nvSpPr>
        <xdr:cNvPr id="8467" name="AutoShape 275" descr=".">
          <a:extLst>
            <a:ext uri="{FF2B5EF4-FFF2-40B4-BE49-F238E27FC236}">
              <a16:creationId xmlns:a16="http://schemas.microsoft.com/office/drawing/2014/main" id="{8BE31809-69D6-504F-EBAF-B27D3E377D2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93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55</xdr:row>
      <xdr:rowOff>0</xdr:rowOff>
    </xdr:from>
    <xdr:to>
      <xdr:col>36</xdr:col>
      <xdr:colOff>152400</xdr:colOff>
      <xdr:row>55</xdr:row>
      <xdr:rowOff>152400</xdr:rowOff>
    </xdr:to>
    <xdr:sp macro="" textlink="">
      <xdr:nvSpPr>
        <xdr:cNvPr id="8468" name="AutoShape 276" descr=".">
          <a:extLst>
            <a:ext uri="{FF2B5EF4-FFF2-40B4-BE49-F238E27FC236}">
              <a16:creationId xmlns:a16="http://schemas.microsoft.com/office/drawing/2014/main" id="{6F8C432A-17A0-543B-F06A-DE303527FB2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030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57</xdr:row>
      <xdr:rowOff>0</xdr:rowOff>
    </xdr:from>
    <xdr:to>
      <xdr:col>36</xdr:col>
      <xdr:colOff>152400</xdr:colOff>
      <xdr:row>57</xdr:row>
      <xdr:rowOff>152400</xdr:rowOff>
    </xdr:to>
    <xdr:sp macro="" textlink="">
      <xdr:nvSpPr>
        <xdr:cNvPr id="8469" name="AutoShape 277" descr=".">
          <a:extLst>
            <a:ext uri="{FF2B5EF4-FFF2-40B4-BE49-F238E27FC236}">
              <a16:creationId xmlns:a16="http://schemas.microsoft.com/office/drawing/2014/main" id="{1F75AA54-0968-D06E-734D-0A5F5209767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068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59</xdr:row>
      <xdr:rowOff>0</xdr:rowOff>
    </xdr:from>
    <xdr:to>
      <xdr:col>36</xdr:col>
      <xdr:colOff>152400</xdr:colOff>
      <xdr:row>59</xdr:row>
      <xdr:rowOff>152400</xdr:rowOff>
    </xdr:to>
    <xdr:sp macro="" textlink="">
      <xdr:nvSpPr>
        <xdr:cNvPr id="8470" name="AutoShape 278" descr=".">
          <a:extLst>
            <a:ext uri="{FF2B5EF4-FFF2-40B4-BE49-F238E27FC236}">
              <a16:creationId xmlns:a16="http://schemas.microsoft.com/office/drawing/2014/main" id="{AA284B5D-0F49-A300-35AE-2F194A40ADA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105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61</xdr:row>
      <xdr:rowOff>0</xdr:rowOff>
    </xdr:from>
    <xdr:to>
      <xdr:col>36</xdr:col>
      <xdr:colOff>152400</xdr:colOff>
      <xdr:row>61</xdr:row>
      <xdr:rowOff>152400</xdr:rowOff>
    </xdr:to>
    <xdr:sp macro="" textlink="">
      <xdr:nvSpPr>
        <xdr:cNvPr id="8471" name="AutoShape 279" descr=".">
          <a:extLst>
            <a:ext uri="{FF2B5EF4-FFF2-40B4-BE49-F238E27FC236}">
              <a16:creationId xmlns:a16="http://schemas.microsoft.com/office/drawing/2014/main" id="{8F7B2969-212B-0B05-1029-EAC080487BD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63</xdr:row>
      <xdr:rowOff>0</xdr:rowOff>
    </xdr:from>
    <xdr:to>
      <xdr:col>36</xdr:col>
      <xdr:colOff>152400</xdr:colOff>
      <xdr:row>63</xdr:row>
      <xdr:rowOff>152400</xdr:rowOff>
    </xdr:to>
    <xdr:sp macro="" textlink="">
      <xdr:nvSpPr>
        <xdr:cNvPr id="8472" name="AutoShape 280" descr=".">
          <a:extLst>
            <a:ext uri="{FF2B5EF4-FFF2-40B4-BE49-F238E27FC236}">
              <a16:creationId xmlns:a16="http://schemas.microsoft.com/office/drawing/2014/main" id="{4FBA015B-0F04-F72C-E5D0-5DAA0894962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180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65</xdr:row>
      <xdr:rowOff>0</xdr:rowOff>
    </xdr:from>
    <xdr:to>
      <xdr:col>36</xdr:col>
      <xdr:colOff>152400</xdr:colOff>
      <xdr:row>65</xdr:row>
      <xdr:rowOff>152400</xdr:rowOff>
    </xdr:to>
    <xdr:sp macro="" textlink="">
      <xdr:nvSpPr>
        <xdr:cNvPr id="8473" name="AutoShape 281" descr=".">
          <a:extLst>
            <a:ext uri="{FF2B5EF4-FFF2-40B4-BE49-F238E27FC236}">
              <a16:creationId xmlns:a16="http://schemas.microsoft.com/office/drawing/2014/main" id="{4B8C9F09-0FC1-86BF-FB86-F35C5656E6C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217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67</xdr:row>
      <xdr:rowOff>0</xdr:rowOff>
    </xdr:from>
    <xdr:to>
      <xdr:col>36</xdr:col>
      <xdr:colOff>152400</xdr:colOff>
      <xdr:row>67</xdr:row>
      <xdr:rowOff>152400</xdr:rowOff>
    </xdr:to>
    <xdr:sp macro="" textlink="">
      <xdr:nvSpPr>
        <xdr:cNvPr id="8474" name="AutoShape 282" descr=".">
          <a:extLst>
            <a:ext uri="{FF2B5EF4-FFF2-40B4-BE49-F238E27FC236}">
              <a16:creationId xmlns:a16="http://schemas.microsoft.com/office/drawing/2014/main" id="{C3BF09CB-DB73-5D8C-267A-92702F43536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255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69</xdr:row>
      <xdr:rowOff>0</xdr:rowOff>
    </xdr:from>
    <xdr:to>
      <xdr:col>36</xdr:col>
      <xdr:colOff>152400</xdr:colOff>
      <xdr:row>69</xdr:row>
      <xdr:rowOff>152400</xdr:rowOff>
    </xdr:to>
    <xdr:sp macro="" textlink="">
      <xdr:nvSpPr>
        <xdr:cNvPr id="8475" name="AutoShape 283" descr=".">
          <a:extLst>
            <a:ext uri="{FF2B5EF4-FFF2-40B4-BE49-F238E27FC236}">
              <a16:creationId xmlns:a16="http://schemas.microsoft.com/office/drawing/2014/main" id="{279BF333-6D3E-00F6-1D8E-5CD82BEFC3D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292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71</xdr:row>
      <xdr:rowOff>0</xdr:rowOff>
    </xdr:from>
    <xdr:to>
      <xdr:col>36</xdr:col>
      <xdr:colOff>152400</xdr:colOff>
      <xdr:row>71</xdr:row>
      <xdr:rowOff>152400</xdr:rowOff>
    </xdr:to>
    <xdr:sp macro="" textlink="">
      <xdr:nvSpPr>
        <xdr:cNvPr id="8476" name="AutoShape 284" descr=".">
          <a:extLst>
            <a:ext uri="{FF2B5EF4-FFF2-40B4-BE49-F238E27FC236}">
              <a16:creationId xmlns:a16="http://schemas.microsoft.com/office/drawing/2014/main" id="{7C164E45-9429-FC02-9D6C-394BB61B8EE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330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73</xdr:row>
      <xdr:rowOff>0</xdr:rowOff>
    </xdr:from>
    <xdr:to>
      <xdr:col>36</xdr:col>
      <xdr:colOff>152400</xdr:colOff>
      <xdr:row>73</xdr:row>
      <xdr:rowOff>152400</xdr:rowOff>
    </xdr:to>
    <xdr:sp macro="" textlink="">
      <xdr:nvSpPr>
        <xdr:cNvPr id="8477" name="AutoShape 285" descr=".">
          <a:extLst>
            <a:ext uri="{FF2B5EF4-FFF2-40B4-BE49-F238E27FC236}">
              <a16:creationId xmlns:a16="http://schemas.microsoft.com/office/drawing/2014/main" id="{2C083039-D7DE-D867-31EC-44BE299BFD3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367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75</xdr:row>
      <xdr:rowOff>0</xdr:rowOff>
    </xdr:from>
    <xdr:to>
      <xdr:col>36</xdr:col>
      <xdr:colOff>152400</xdr:colOff>
      <xdr:row>75</xdr:row>
      <xdr:rowOff>152400</xdr:rowOff>
    </xdr:to>
    <xdr:sp macro="" textlink="">
      <xdr:nvSpPr>
        <xdr:cNvPr id="8478" name="AutoShape 286" descr=".">
          <a:extLst>
            <a:ext uri="{FF2B5EF4-FFF2-40B4-BE49-F238E27FC236}">
              <a16:creationId xmlns:a16="http://schemas.microsoft.com/office/drawing/2014/main" id="{3EA8D4DA-52B2-C04C-0E9F-0B827D2C84F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405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77</xdr:row>
      <xdr:rowOff>0</xdr:rowOff>
    </xdr:from>
    <xdr:to>
      <xdr:col>36</xdr:col>
      <xdr:colOff>152400</xdr:colOff>
      <xdr:row>77</xdr:row>
      <xdr:rowOff>152400</xdr:rowOff>
    </xdr:to>
    <xdr:sp macro="" textlink="">
      <xdr:nvSpPr>
        <xdr:cNvPr id="8479" name="AutoShape 287" descr=".">
          <a:extLst>
            <a:ext uri="{FF2B5EF4-FFF2-40B4-BE49-F238E27FC236}">
              <a16:creationId xmlns:a16="http://schemas.microsoft.com/office/drawing/2014/main" id="{4C98BB15-4A98-AFF9-41DD-243E2CBE080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442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79</xdr:row>
      <xdr:rowOff>0</xdr:rowOff>
    </xdr:from>
    <xdr:to>
      <xdr:col>36</xdr:col>
      <xdr:colOff>152400</xdr:colOff>
      <xdr:row>79</xdr:row>
      <xdr:rowOff>152400</xdr:rowOff>
    </xdr:to>
    <xdr:sp macro="" textlink="">
      <xdr:nvSpPr>
        <xdr:cNvPr id="8480" name="AutoShape 288" descr=".">
          <a:extLst>
            <a:ext uri="{FF2B5EF4-FFF2-40B4-BE49-F238E27FC236}">
              <a16:creationId xmlns:a16="http://schemas.microsoft.com/office/drawing/2014/main" id="{FC6237A4-4A68-8EA5-2B8D-386915F0BF0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480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81</xdr:row>
      <xdr:rowOff>0</xdr:rowOff>
    </xdr:from>
    <xdr:to>
      <xdr:col>36</xdr:col>
      <xdr:colOff>152400</xdr:colOff>
      <xdr:row>81</xdr:row>
      <xdr:rowOff>152400</xdr:rowOff>
    </xdr:to>
    <xdr:sp macro="" textlink="">
      <xdr:nvSpPr>
        <xdr:cNvPr id="8481" name="AutoShape 289" descr=".">
          <a:extLst>
            <a:ext uri="{FF2B5EF4-FFF2-40B4-BE49-F238E27FC236}">
              <a16:creationId xmlns:a16="http://schemas.microsoft.com/office/drawing/2014/main" id="{F58EB407-CCF0-052F-D244-CB1747D8FFE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51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83</xdr:row>
      <xdr:rowOff>0</xdr:rowOff>
    </xdr:from>
    <xdr:to>
      <xdr:col>36</xdr:col>
      <xdr:colOff>152400</xdr:colOff>
      <xdr:row>83</xdr:row>
      <xdr:rowOff>152400</xdr:rowOff>
    </xdr:to>
    <xdr:sp macro="" textlink="">
      <xdr:nvSpPr>
        <xdr:cNvPr id="8482" name="AutoShape 290" descr=".">
          <a:extLst>
            <a:ext uri="{FF2B5EF4-FFF2-40B4-BE49-F238E27FC236}">
              <a16:creationId xmlns:a16="http://schemas.microsoft.com/office/drawing/2014/main" id="{A4C8C5DE-4402-F819-13D1-AA100E946BD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555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85</xdr:row>
      <xdr:rowOff>0</xdr:rowOff>
    </xdr:from>
    <xdr:to>
      <xdr:col>36</xdr:col>
      <xdr:colOff>152400</xdr:colOff>
      <xdr:row>85</xdr:row>
      <xdr:rowOff>152400</xdr:rowOff>
    </xdr:to>
    <xdr:sp macro="" textlink="">
      <xdr:nvSpPr>
        <xdr:cNvPr id="8483" name="AutoShape 291" descr=".">
          <a:extLst>
            <a:ext uri="{FF2B5EF4-FFF2-40B4-BE49-F238E27FC236}">
              <a16:creationId xmlns:a16="http://schemas.microsoft.com/office/drawing/2014/main" id="{31BADFB8-F343-041A-4E50-7297173E782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592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87</xdr:row>
      <xdr:rowOff>0</xdr:rowOff>
    </xdr:from>
    <xdr:to>
      <xdr:col>36</xdr:col>
      <xdr:colOff>152400</xdr:colOff>
      <xdr:row>87</xdr:row>
      <xdr:rowOff>152400</xdr:rowOff>
    </xdr:to>
    <xdr:sp macro="" textlink="">
      <xdr:nvSpPr>
        <xdr:cNvPr id="8484" name="AutoShape 292" descr=".">
          <a:extLst>
            <a:ext uri="{FF2B5EF4-FFF2-40B4-BE49-F238E27FC236}">
              <a16:creationId xmlns:a16="http://schemas.microsoft.com/office/drawing/2014/main" id="{07E91ED6-0B91-4D0F-68E2-419224884AE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63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89</xdr:row>
      <xdr:rowOff>0</xdr:rowOff>
    </xdr:from>
    <xdr:to>
      <xdr:col>36</xdr:col>
      <xdr:colOff>152400</xdr:colOff>
      <xdr:row>89</xdr:row>
      <xdr:rowOff>152400</xdr:rowOff>
    </xdr:to>
    <xdr:sp macro="" textlink="">
      <xdr:nvSpPr>
        <xdr:cNvPr id="8485" name="AutoShape 293" descr=".">
          <a:extLst>
            <a:ext uri="{FF2B5EF4-FFF2-40B4-BE49-F238E27FC236}">
              <a16:creationId xmlns:a16="http://schemas.microsoft.com/office/drawing/2014/main" id="{0CE5363B-B263-617A-86E4-024A8C7574D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667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91</xdr:row>
      <xdr:rowOff>0</xdr:rowOff>
    </xdr:from>
    <xdr:to>
      <xdr:col>36</xdr:col>
      <xdr:colOff>152400</xdr:colOff>
      <xdr:row>91</xdr:row>
      <xdr:rowOff>152400</xdr:rowOff>
    </xdr:to>
    <xdr:sp macro="" textlink="">
      <xdr:nvSpPr>
        <xdr:cNvPr id="8486" name="AutoShape 294" descr=".">
          <a:extLst>
            <a:ext uri="{FF2B5EF4-FFF2-40B4-BE49-F238E27FC236}">
              <a16:creationId xmlns:a16="http://schemas.microsoft.com/office/drawing/2014/main" id="{E04A260C-C53F-EF8C-ABC1-C1EAD194978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704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93</xdr:row>
      <xdr:rowOff>0</xdr:rowOff>
    </xdr:from>
    <xdr:to>
      <xdr:col>36</xdr:col>
      <xdr:colOff>152400</xdr:colOff>
      <xdr:row>93</xdr:row>
      <xdr:rowOff>152400</xdr:rowOff>
    </xdr:to>
    <xdr:sp macro="" textlink="">
      <xdr:nvSpPr>
        <xdr:cNvPr id="8487" name="AutoShape 295" descr=".">
          <a:extLst>
            <a:ext uri="{FF2B5EF4-FFF2-40B4-BE49-F238E27FC236}">
              <a16:creationId xmlns:a16="http://schemas.microsoft.com/office/drawing/2014/main" id="{642BEF58-E0DE-50A2-5DDC-F58A2FB3AAE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742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95</xdr:row>
      <xdr:rowOff>0</xdr:rowOff>
    </xdr:from>
    <xdr:to>
      <xdr:col>36</xdr:col>
      <xdr:colOff>152400</xdr:colOff>
      <xdr:row>95</xdr:row>
      <xdr:rowOff>152400</xdr:rowOff>
    </xdr:to>
    <xdr:sp macro="" textlink="">
      <xdr:nvSpPr>
        <xdr:cNvPr id="8488" name="AutoShape 296" descr=".">
          <a:extLst>
            <a:ext uri="{FF2B5EF4-FFF2-40B4-BE49-F238E27FC236}">
              <a16:creationId xmlns:a16="http://schemas.microsoft.com/office/drawing/2014/main" id="{34E8A8DA-B538-5F2D-B329-650BA83C6CE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779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97</xdr:row>
      <xdr:rowOff>0</xdr:rowOff>
    </xdr:from>
    <xdr:to>
      <xdr:col>36</xdr:col>
      <xdr:colOff>152400</xdr:colOff>
      <xdr:row>97</xdr:row>
      <xdr:rowOff>152400</xdr:rowOff>
    </xdr:to>
    <xdr:sp macro="" textlink="">
      <xdr:nvSpPr>
        <xdr:cNvPr id="8489" name="AutoShape 297" descr=".">
          <a:extLst>
            <a:ext uri="{FF2B5EF4-FFF2-40B4-BE49-F238E27FC236}">
              <a16:creationId xmlns:a16="http://schemas.microsoft.com/office/drawing/2014/main" id="{3A8A7847-30C7-900A-C028-F2ADAD7901F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817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99</xdr:row>
      <xdr:rowOff>0</xdr:rowOff>
    </xdr:from>
    <xdr:to>
      <xdr:col>36</xdr:col>
      <xdr:colOff>152400</xdr:colOff>
      <xdr:row>99</xdr:row>
      <xdr:rowOff>152400</xdr:rowOff>
    </xdr:to>
    <xdr:sp macro="" textlink="">
      <xdr:nvSpPr>
        <xdr:cNvPr id="8490" name="AutoShape 298" descr=".">
          <a:extLst>
            <a:ext uri="{FF2B5EF4-FFF2-40B4-BE49-F238E27FC236}">
              <a16:creationId xmlns:a16="http://schemas.microsoft.com/office/drawing/2014/main" id="{0C83372A-2DDD-2F4A-7F81-B7D9F1A4F4C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854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101</xdr:row>
      <xdr:rowOff>0</xdr:rowOff>
    </xdr:from>
    <xdr:to>
      <xdr:col>36</xdr:col>
      <xdr:colOff>152400</xdr:colOff>
      <xdr:row>101</xdr:row>
      <xdr:rowOff>152400</xdr:rowOff>
    </xdr:to>
    <xdr:sp macro="" textlink="">
      <xdr:nvSpPr>
        <xdr:cNvPr id="8491" name="AutoShape 299" descr=".">
          <a:extLst>
            <a:ext uri="{FF2B5EF4-FFF2-40B4-BE49-F238E27FC236}">
              <a16:creationId xmlns:a16="http://schemas.microsoft.com/office/drawing/2014/main" id="{7DD728FB-0D23-BBE1-A3FD-7195778999C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892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103</xdr:row>
      <xdr:rowOff>0</xdr:rowOff>
    </xdr:from>
    <xdr:to>
      <xdr:col>36</xdr:col>
      <xdr:colOff>152400</xdr:colOff>
      <xdr:row>103</xdr:row>
      <xdr:rowOff>152400</xdr:rowOff>
    </xdr:to>
    <xdr:sp macro="" textlink="">
      <xdr:nvSpPr>
        <xdr:cNvPr id="8492" name="AutoShape 300" descr=".">
          <a:extLst>
            <a:ext uri="{FF2B5EF4-FFF2-40B4-BE49-F238E27FC236}">
              <a16:creationId xmlns:a16="http://schemas.microsoft.com/office/drawing/2014/main" id="{DD3DE8FA-E8F9-FA90-EE93-98AD4501D7A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929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105</xdr:row>
      <xdr:rowOff>0</xdr:rowOff>
    </xdr:from>
    <xdr:to>
      <xdr:col>36</xdr:col>
      <xdr:colOff>152400</xdr:colOff>
      <xdr:row>105</xdr:row>
      <xdr:rowOff>152400</xdr:rowOff>
    </xdr:to>
    <xdr:sp macro="" textlink="">
      <xdr:nvSpPr>
        <xdr:cNvPr id="8493" name="AutoShape 301" descr=".">
          <a:extLst>
            <a:ext uri="{FF2B5EF4-FFF2-40B4-BE49-F238E27FC236}">
              <a16:creationId xmlns:a16="http://schemas.microsoft.com/office/drawing/2014/main" id="{B7A5A611-E6C6-F75F-7113-C5EB82B3EC6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1967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107</xdr:row>
      <xdr:rowOff>0</xdr:rowOff>
    </xdr:from>
    <xdr:to>
      <xdr:col>36</xdr:col>
      <xdr:colOff>152400</xdr:colOff>
      <xdr:row>107</xdr:row>
      <xdr:rowOff>152400</xdr:rowOff>
    </xdr:to>
    <xdr:sp macro="" textlink="">
      <xdr:nvSpPr>
        <xdr:cNvPr id="8494" name="AutoShape 302" descr=".">
          <a:extLst>
            <a:ext uri="{FF2B5EF4-FFF2-40B4-BE49-F238E27FC236}">
              <a16:creationId xmlns:a16="http://schemas.microsoft.com/office/drawing/2014/main" id="{01D059FE-0DAA-609E-C1C3-4720415C8E0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0046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109</xdr:row>
      <xdr:rowOff>0</xdr:rowOff>
    </xdr:from>
    <xdr:to>
      <xdr:col>36</xdr:col>
      <xdr:colOff>152400</xdr:colOff>
      <xdr:row>109</xdr:row>
      <xdr:rowOff>152400</xdr:rowOff>
    </xdr:to>
    <xdr:sp macro="" textlink="">
      <xdr:nvSpPr>
        <xdr:cNvPr id="8495" name="AutoShape 303" descr=".">
          <a:extLst>
            <a:ext uri="{FF2B5EF4-FFF2-40B4-BE49-F238E27FC236}">
              <a16:creationId xmlns:a16="http://schemas.microsoft.com/office/drawing/2014/main" id="{A7F0814A-42FB-0025-7C9A-0E7CF3C44FF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042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111</xdr:row>
      <xdr:rowOff>0</xdr:rowOff>
    </xdr:from>
    <xdr:to>
      <xdr:col>36</xdr:col>
      <xdr:colOff>152400</xdr:colOff>
      <xdr:row>111</xdr:row>
      <xdr:rowOff>152400</xdr:rowOff>
    </xdr:to>
    <xdr:sp macro="" textlink="">
      <xdr:nvSpPr>
        <xdr:cNvPr id="8496" name="AutoShape 304" descr=".">
          <a:extLst>
            <a:ext uri="{FF2B5EF4-FFF2-40B4-BE49-F238E27FC236}">
              <a16:creationId xmlns:a16="http://schemas.microsoft.com/office/drawing/2014/main" id="{0DCF6C45-A76F-C17F-73F1-4EAE5529998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0796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113</xdr:row>
      <xdr:rowOff>0</xdr:rowOff>
    </xdr:from>
    <xdr:to>
      <xdr:col>36</xdr:col>
      <xdr:colOff>152400</xdr:colOff>
      <xdr:row>113</xdr:row>
      <xdr:rowOff>152400</xdr:rowOff>
    </xdr:to>
    <xdr:sp macro="" textlink="">
      <xdr:nvSpPr>
        <xdr:cNvPr id="8497" name="AutoShape 305" descr=".">
          <a:extLst>
            <a:ext uri="{FF2B5EF4-FFF2-40B4-BE49-F238E27FC236}">
              <a16:creationId xmlns:a16="http://schemas.microsoft.com/office/drawing/2014/main" id="{4F483901-58E9-37C1-D922-D4E2FF6EA6F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117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115</xdr:row>
      <xdr:rowOff>0</xdr:rowOff>
    </xdr:from>
    <xdr:to>
      <xdr:col>36</xdr:col>
      <xdr:colOff>152400</xdr:colOff>
      <xdr:row>115</xdr:row>
      <xdr:rowOff>152400</xdr:rowOff>
    </xdr:to>
    <xdr:sp macro="" textlink="">
      <xdr:nvSpPr>
        <xdr:cNvPr id="8498" name="AutoShape 306" descr=".">
          <a:extLst>
            <a:ext uri="{FF2B5EF4-FFF2-40B4-BE49-F238E27FC236}">
              <a16:creationId xmlns:a16="http://schemas.microsoft.com/office/drawing/2014/main" id="{004F79C5-5707-9662-CB57-955504E7CDA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154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117</xdr:row>
      <xdr:rowOff>0</xdr:rowOff>
    </xdr:from>
    <xdr:to>
      <xdr:col>36</xdr:col>
      <xdr:colOff>152400</xdr:colOff>
      <xdr:row>117</xdr:row>
      <xdr:rowOff>152400</xdr:rowOff>
    </xdr:to>
    <xdr:sp macro="" textlink="">
      <xdr:nvSpPr>
        <xdr:cNvPr id="8499" name="AutoShape 307" descr=".">
          <a:extLst>
            <a:ext uri="{FF2B5EF4-FFF2-40B4-BE49-F238E27FC236}">
              <a16:creationId xmlns:a16="http://schemas.microsoft.com/office/drawing/2014/main" id="{2BF4EEAB-71FB-B383-060E-4FABD03E68A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192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119</xdr:row>
      <xdr:rowOff>0</xdr:rowOff>
    </xdr:from>
    <xdr:to>
      <xdr:col>36</xdr:col>
      <xdr:colOff>152400</xdr:colOff>
      <xdr:row>119</xdr:row>
      <xdr:rowOff>152400</xdr:rowOff>
    </xdr:to>
    <xdr:sp macro="" textlink="">
      <xdr:nvSpPr>
        <xdr:cNvPr id="8500" name="AutoShape 308" descr=".">
          <a:extLst>
            <a:ext uri="{FF2B5EF4-FFF2-40B4-BE49-F238E27FC236}">
              <a16:creationId xmlns:a16="http://schemas.microsoft.com/office/drawing/2014/main" id="{B82E2550-8088-6A50-C097-DAF512DAD6C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229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121</xdr:row>
      <xdr:rowOff>0</xdr:rowOff>
    </xdr:from>
    <xdr:to>
      <xdr:col>36</xdr:col>
      <xdr:colOff>152400</xdr:colOff>
      <xdr:row>121</xdr:row>
      <xdr:rowOff>152400</xdr:rowOff>
    </xdr:to>
    <xdr:sp macro="" textlink="">
      <xdr:nvSpPr>
        <xdr:cNvPr id="8501" name="AutoShape 309" descr=".">
          <a:extLst>
            <a:ext uri="{FF2B5EF4-FFF2-40B4-BE49-F238E27FC236}">
              <a16:creationId xmlns:a16="http://schemas.microsoft.com/office/drawing/2014/main" id="{274C4A56-457F-9D3E-9F93-AC9A0660CB2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266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123</xdr:row>
      <xdr:rowOff>0</xdr:rowOff>
    </xdr:from>
    <xdr:to>
      <xdr:col>36</xdr:col>
      <xdr:colOff>152400</xdr:colOff>
      <xdr:row>123</xdr:row>
      <xdr:rowOff>152400</xdr:rowOff>
    </xdr:to>
    <xdr:sp macro="" textlink="">
      <xdr:nvSpPr>
        <xdr:cNvPr id="8502" name="AutoShape 310" descr=".">
          <a:extLst>
            <a:ext uri="{FF2B5EF4-FFF2-40B4-BE49-F238E27FC236}">
              <a16:creationId xmlns:a16="http://schemas.microsoft.com/office/drawing/2014/main" id="{851723B9-EFDE-45E2-A454-16DA5D57538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304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125</xdr:row>
      <xdr:rowOff>0</xdr:rowOff>
    </xdr:from>
    <xdr:to>
      <xdr:col>36</xdr:col>
      <xdr:colOff>152400</xdr:colOff>
      <xdr:row>125</xdr:row>
      <xdr:rowOff>152400</xdr:rowOff>
    </xdr:to>
    <xdr:sp macro="" textlink="">
      <xdr:nvSpPr>
        <xdr:cNvPr id="8503" name="AutoShape 311" descr=".">
          <a:extLst>
            <a:ext uri="{FF2B5EF4-FFF2-40B4-BE49-F238E27FC236}">
              <a16:creationId xmlns:a16="http://schemas.microsoft.com/office/drawing/2014/main" id="{4D2EA4AB-8E7C-B035-5803-D5423B3592D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341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127</xdr:row>
      <xdr:rowOff>0</xdr:rowOff>
    </xdr:from>
    <xdr:to>
      <xdr:col>36</xdr:col>
      <xdr:colOff>152400</xdr:colOff>
      <xdr:row>127</xdr:row>
      <xdr:rowOff>152400</xdr:rowOff>
    </xdr:to>
    <xdr:sp macro="" textlink="">
      <xdr:nvSpPr>
        <xdr:cNvPr id="8504" name="AutoShape 312" descr=".">
          <a:extLst>
            <a:ext uri="{FF2B5EF4-FFF2-40B4-BE49-F238E27FC236}">
              <a16:creationId xmlns:a16="http://schemas.microsoft.com/office/drawing/2014/main" id="{9DE88BC9-2243-DAC5-D2D1-F5BE03B5F4A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379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129</xdr:row>
      <xdr:rowOff>0</xdr:rowOff>
    </xdr:from>
    <xdr:to>
      <xdr:col>36</xdr:col>
      <xdr:colOff>152400</xdr:colOff>
      <xdr:row>129</xdr:row>
      <xdr:rowOff>152400</xdr:rowOff>
    </xdr:to>
    <xdr:sp macro="" textlink="">
      <xdr:nvSpPr>
        <xdr:cNvPr id="8505" name="AutoShape 313" descr=".">
          <a:extLst>
            <a:ext uri="{FF2B5EF4-FFF2-40B4-BE49-F238E27FC236}">
              <a16:creationId xmlns:a16="http://schemas.microsoft.com/office/drawing/2014/main" id="{DB795A47-7E09-668C-658C-B579854FD65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416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131</xdr:row>
      <xdr:rowOff>0</xdr:rowOff>
    </xdr:from>
    <xdr:to>
      <xdr:col>36</xdr:col>
      <xdr:colOff>152400</xdr:colOff>
      <xdr:row>131</xdr:row>
      <xdr:rowOff>152400</xdr:rowOff>
    </xdr:to>
    <xdr:sp macro="" textlink="">
      <xdr:nvSpPr>
        <xdr:cNvPr id="8506" name="AutoShape 314" descr=".">
          <a:extLst>
            <a:ext uri="{FF2B5EF4-FFF2-40B4-BE49-F238E27FC236}">
              <a16:creationId xmlns:a16="http://schemas.microsoft.com/office/drawing/2014/main" id="{1EF8600F-44AB-8027-6924-C546C9C802A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454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133</xdr:row>
      <xdr:rowOff>0</xdr:rowOff>
    </xdr:from>
    <xdr:to>
      <xdr:col>36</xdr:col>
      <xdr:colOff>152400</xdr:colOff>
      <xdr:row>133</xdr:row>
      <xdr:rowOff>152400</xdr:rowOff>
    </xdr:to>
    <xdr:sp macro="" textlink="">
      <xdr:nvSpPr>
        <xdr:cNvPr id="8507" name="AutoShape 315" descr=".">
          <a:extLst>
            <a:ext uri="{FF2B5EF4-FFF2-40B4-BE49-F238E27FC236}">
              <a16:creationId xmlns:a16="http://schemas.microsoft.com/office/drawing/2014/main" id="{78C3936F-3BE3-8874-BDDF-753110D6CA7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491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135</xdr:row>
      <xdr:rowOff>0</xdr:rowOff>
    </xdr:from>
    <xdr:to>
      <xdr:col>36</xdr:col>
      <xdr:colOff>152400</xdr:colOff>
      <xdr:row>135</xdr:row>
      <xdr:rowOff>152400</xdr:rowOff>
    </xdr:to>
    <xdr:sp macro="" textlink="">
      <xdr:nvSpPr>
        <xdr:cNvPr id="8508" name="AutoShape 316" descr=".">
          <a:extLst>
            <a:ext uri="{FF2B5EF4-FFF2-40B4-BE49-F238E27FC236}">
              <a16:creationId xmlns:a16="http://schemas.microsoft.com/office/drawing/2014/main" id="{9E02D590-E182-53E4-6F33-5854EC12957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529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137</xdr:row>
      <xdr:rowOff>0</xdr:rowOff>
    </xdr:from>
    <xdr:to>
      <xdr:col>36</xdr:col>
      <xdr:colOff>152400</xdr:colOff>
      <xdr:row>137</xdr:row>
      <xdr:rowOff>152400</xdr:rowOff>
    </xdr:to>
    <xdr:sp macro="" textlink="">
      <xdr:nvSpPr>
        <xdr:cNvPr id="8509" name="AutoShape 317" descr=".">
          <a:extLst>
            <a:ext uri="{FF2B5EF4-FFF2-40B4-BE49-F238E27FC236}">
              <a16:creationId xmlns:a16="http://schemas.microsoft.com/office/drawing/2014/main" id="{24A814EB-CE3E-FBED-1B11-16EA2539EAF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56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139</xdr:row>
      <xdr:rowOff>0</xdr:rowOff>
    </xdr:from>
    <xdr:to>
      <xdr:col>36</xdr:col>
      <xdr:colOff>152400</xdr:colOff>
      <xdr:row>139</xdr:row>
      <xdr:rowOff>152400</xdr:rowOff>
    </xdr:to>
    <xdr:sp macro="" textlink="">
      <xdr:nvSpPr>
        <xdr:cNvPr id="8510" name="AutoShape 318" descr=".">
          <a:extLst>
            <a:ext uri="{FF2B5EF4-FFF2-40B4-BE49-F238E27FC236}">
              <a16:creationId xmlns:a16="http://schemas.microsoft.com/office/drawing/2014/main" id="{E2228430-01A3-E9D1-CC31-DEB0DC44AB0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604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141</xdr:row>
      <xdr:rowOff>0</xdr:rowOff>
    </xdr:from>
    <xdr:to>
      <xdr:col>36</xdr:col>
      <xdr:colOff>152400</xdr:colOff>
      <xdr:row>141</xdr:row>
      <xdr:rowOff>152400</xdr:rowOff>
    </xdr:to>
    <xdr:sp macro="" textlink="">
      <xdr:nvSpPr>
        <xdr:cNvPr id="8511" name="AutoShape 319" descr=".">
          <a:extLst>
            <a:ext uri="{FF2B5EF4-FFF2-40B4-BE49-F238E27FC236}">
              <a16:creationId xmlns:a16="http://schemas.microsoft.com/office/drawing/2014/main" id="{8716DFB7-D865-5104-1A45-57F42C21D4D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64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143</xdr:row>
      <xdr:rowOff>0</xdr:rowOff>
    </xdr:from>
    <xdr:to>
      <xdr:col>36</xdr:col>
      <xdr:colOff>152400</xdr:colOff>
      <xdr:row>143</xdr:row>
      <xdr:rowOff>152400</xdr:rowOff>
    </xdr:to>
    <xdr:sp macro="" textlink="">
      <xdr:nvSpPr>
        <xdr:cNvPr id="8512" name="AutoShape 320" descr=".">
          <a:extLst>
            <a:ext uri="{FF2B5EF4-FFF2-40B4-BE49-F238E27FC236}">
              <a16:creationId xmlns:a16="http://schemas.microsoft.com/office/drawing/2014/main" id="{D8F96E7A-F2EE-5A6A-B878-3EFED788C57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679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145</xdr:row>
      <xdr:rowOff>0</xdr:rowOff>
    </xdr:from>
    <xdr:to>
      <xdr:col>36</xdr:col>
      <xdr:colOff>152400</xdr:colOff>
      <xdr:row>145</xdr:row>
      <xdr:rowOff>152400</xdr:rowOff>
    </xdr:to>
    <xdr:sp macro="" textlink="">
      <xdr:nvSpPr>
        <xdr:cNvPr id="8513" name="AutoShape 321" descr=".">
          <a:extLst>
            <a:ext uri="{FF2B5EF4-FFF2-40B4-BE49-F238E27FC236}">
              <a16:creationId xmlns:a16="http://schemas.microsoft.com/office/drawing/2014/main" id="{61213C88-C1B2-57B1-3102-F6B16A5C1EB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716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147</xdr:row>
      <xdr:rowOff>0</xdr:rowOff>
    </xdr:from>
    <xdr:to>
      <xdr:col>36</xdr:col>
      <xdr:colOff>152400</xdr:colOff>
      <xdr:row>147</xdr:row>
      <xdr:rowOff>152400</xdr:rowOff>
    </xdr:to>
    <xdr:sp macro="" textlink="">
      <xdr:nvSpPr>
        <xdr:cNvPr id="8514" name="AutoShape 322" descr=".">
          <a:extLst>
            <a:ext uri="{FF2B5EF4-FFF2-40B4-BE49-F238E27FC236}">
              <a16:creationId xmlns:a16="http://schemas.microsoft.com/office/drawing/2014/main" id="{963DF05D-A541-D344-F6C2-5DE2DE73255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753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149</xdr:row>
      <xdr:rowOff>0</xdr:rowOff>
    </xdr:from>
    <xdr:to>
      <xdr:col>36</xdr:col>
      <xdr:colOff>152400</xdr:colOff>
      <xdr:row>149</xdr:row>
      <xdr:rowOff>152400</xdr:rowOff>
    </xdr:to>
    <xdr:sp macro="" textlink="">
      <xdr:nvSpPr>
        <xdr:cNvPr id="8515" name="AutoShape 323" descr=".">
          <a:extLst>
            <a:ext uri="{FF2B5EF4-FFF2-40B4-BE49-F238E27FC236}">
              <a16:creationId xmlns:a16="http://schemas.microsoft.com/office/drawing/2014/main" id="{40972565-B531-FD41-DD1B-35325D8581D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791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151</xdr:row>
      <xdr:rowOff>0</xdr:rowOff>
    </xdr:from>
    <xdr:to>
      <xdr:col>36</xdr:col>
      <xdr:colOff>152400</xdr:colOff>
      <xdr:row>151</xdr:row>
      <xdr:rowOff>152400</xdr:rowOff>
    </xdr:to>
    <xdr:sp macro="" textlink="">
      <xdr:nvSpPr>
        <xdr:cNvPr id="8516" name="AutoShape 324" descr=".">
          <a:extLst>
            <a:ext uri="{FF2B5EF4-FFF2-40B4-BE49-F238E27FC236}">
              <a16:creationId xmlns:a16="http://schemas.microsoft.com/office/drawing/2014/main" id="{DFADCAB9-AA33-BB46-8265-1AEA5662B8D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828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153</xdr:row>
      <xdr:rowOff>0</xdr:rowOff>
    </xdr:from>
    <xdr:to>
      <xdr:col>36</xdr:col>
      <xdr:colOff>152400</xdr:colOff>
      <xdr:row>153</xdr:row>
      <xdr:rowOff>152400</xdr:rowOff>
    </xdr:to>
    <xdr:sp macro="" textlink="">
      <xdr:nvSpPr>
        <xdr:cNvPr id="8517" name="AutoShape 325" descr=".">
          <a:extLst>
            <a:ext uri="{FF2B5EF4-FFF2-40B4-BE49-F238E27FC236}">
              <a16:creationId xmlns:a16="http://schemas.microsoft.com/office/drawing/2014/main" id="{824B383C-B513-C855-68B2-0120D6B52D2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866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155</xdr:row>
      <xdr:rowOff>0</xdr:rowOff>
    </xdr:from>
    <xdr:to>
      <xdr:col>36</xdr:col>
      <xdr:colOff>152400</xdr:colOff>
      <xdr:row>155</xdr:row>
      <xdr:rowOff>152400</xdr:rowOff>
    </xdr:to>
    <xdr:sp macro="" textlink="">
      <xdr:nvSpPr>
        <xdr:cNvPr id="8518" name="AutoShape 326" descr=".">
          <a:extLst>
            <a:ext uri="{FF2B5EF4-FFF2-40B4-BE49-F238E27FC236}">
              <a16:creationId xmlns:a16="http://schemas.microsoft.com/office/drawing/2014/main" id="{56801E1D-AF18-CF27-1804-A7653269C4D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903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157</xdr:row>
      <xdr:rowOff>0</xdr:rowOff>
    </xdr:from>
    <xdr:to>
      <xdr:col>36</xdr:col>
      <xdr:colOff>152400</xdr:colOff>
      <xdr:row>157</xdr:row>
      <xdr:rowOff>152400</xdr:rowOff>
    </xdr:to>
    <xdr:sp macro="" textlink="">
      <xdr:nvSpPr>
        <xdr:cNvPr id="8519" name="AutoShape 327" descr=".">
          <a:extLst>
            <a:ext uri="{FF2B5EF4-FFF2-40B4-BE49-F238E27FC236}">
              <a16:creationId xmlns:a16="http://schemas.microsoft.com/office/drawing/2014/main" id="{C58971C0-7384-CD8E-4C55-FD2D0640C0A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941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159</xdr:row>
      <xdr:rowOff>0</xdr:rowOff>
    </xdr:from>
    <xdr:to>
      <xdr:col>36</xdr:col>
      <xdr:colOff>152400</xdr:colOff>
      <xdr:row>159</xdr:row>
      <xdr:rowOff>152400</xdr:rowOff>
    </xdr:to>
    <xdr:sp macro="" textlink="">
      <xdr:nvSpPr>
        <xdr:cNvPr id="8520" name="AutoShape 328" descr=".">
          <a:extLst>
            <a:ext uri="{FF2B5EF4-FFF2-40B4-BE49-F238E27FC236}">
              <a16:creationId xmlns:a16="http://schemas.microsoft.com/office/drawing/2014/main" id="{3735B579-3122-1B17-672C-EE393D9250C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2978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161</xdr:row>
      <xdr:rowOff>0</xdr:rowOff>
    </xdr:from>
    <xdr:to>
      <xdr:col>36</xdr:col>
      <xdr:colOff>152400</xdr:colOff>
      <xdr:row>161</xdr:row>
      <xdr:rowOff>152400</xdr:rowOff>
    </xdr:to>
    <xdr:sp macro="" textlink="">
      <xdr:nvSpPr>
        <xdr:cNvPr id="8521" name="AutoShape 329" descr=".">
          <a:extLst>
            <a:ext uri="{FF2B5EF4-FFF2-40B4-BE49-F238E27FC236}">
              <a16:creationId xmlns:a16="http://schemas.microsoft.com/office/drawing/2014/main" id="{C5F6FCC3-BA45-8FEE-EF0F-B07B0C992A7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01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163</xdr:row>
      <xdr:rowOff>0</xdr:rowOff>
    </xdr:from>
    <xdr:to>
      <xdr:col>36</xdr:col>
      <xdr:colOff>152400</xdr:colOff>
      <xdr:row>163</xdr:row>
      <xdr:rowOff>152400</xdr:rowOff>
    </xdr:to>
    <xdr:sp macro="" textlink="">
      <xdr:nvSpPr>
        <xdr:cNvPr id="8522" name="AutoShape 330" descr=".">
          <a:extLst>
            <a:ext uri="{FF2B5EF4-FFF2-40B4-BE49-F238E27FC236}">
              <a16:creationId xmlns:a16="http://schemas.microsoft.com/office/drawing/2014/main" id="{97E3CCFA-8A3C-048F-EBBA-905F6CAF030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053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165</xdr:row>
      <xdr:rowOff>0</xdr:rowOff>
    </xdr:from>
    <xdr:to>
      <xdr:col>36</xdr:col>
      <xdr:colOff>152400</xdr:colOff>
      <xdr:row>165</xdr:row>
      <xdr:rowOff>152400</xdr:rowOff>
    </xdr:to>
    <xdr:sp macro="" textlink="">
      <xdr:nvSpPr>
        <xdr:cNvPr id="8523" name="AutoShape 331" descr=".">
          <a:extLst>
            <a:ext uri="{FF2B5EF4-FFF2-40B4-BE49-F238E27FC236}">
              <a16:creationId xmlns:a16="http://schemas.microsoft.com/office/drawing/2014/main" id="{A6585A53-74F9-1069-AC00-BB3630678BC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091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167</xdr:row>
      <xdr:rowOff>0</xdr:rowOff>
    </xdr:from>
    <xdr:to>
      <xdr:col>36</xdr:col>
      <xdr:colOff>152400</xdr:colOff>
      <xdr:row>167</xdr:row>
      <xdr:rowOff>152400</xdr:rowOff>
    </xdr:to>
    <xdr:sp macro="" textlink="">
      <xdr:nvSpPr>
        <xdr:cNvPr id="8524" name="AutoShape 332" descr=".">
          <a:extLst>
            <a:ext uri="{FF2B5EF4-FFF2-40B4-BE49-F238E27FC236}">
              <a16:creationId xmlns:a16="http://schemas.microsoft.com/office/drawing/2014/main" id="{1D37C767-B3E8-DE24-3F31-D4ADDDD56FB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128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169</xdr:row>
      <xdr:rowOff>0</xdr:rowOff>
    </xdr:from>
    <xdr:to>
      <xdr:col>36</xdr:col>
      <xdr:colOff>152400</xdr:colOff>
      <xdr:row>169</xdr:row>
      <xdr:rowOff>152400</xdr:rowOff>
    </xdr:to>
    <xdr:sp macro="" textlink="">
      <xdr:nvSpPr>
        <xdr:cNvPr id="8525" name="AutoShape 333" descr=".">
          <a:extLst>
            <a:ext uri="{FF2B5EF4-FFF2-40B4-BE49-F238E27FC236}">
              <a16:creationId xmlns:a16="http://schemas.microsoft.com/office/drawing/2014/main" id="{F69D729B-EFB0-82B4-16AD-68B331F7814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166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171</xdr:row>
      <xdr:rowOff>0</xdr:rowOff>
    </xdr:from>
    <xdr:to>
      <xdr:col>36</xdr:col>
      <xdr:colOff>152400</xdr:colOff>
      <xdr:row>171</xdr:row>
      <xdr:rowOff>152400</xdr:rowOff>
    </xdr:to>
    <xdr:sp macro="" textlink="">
      <xdr:nvSpPr>
        <xdr:cNvPr id="8526" name="AutoShape 334" descr=".">
          <a:extLst>
            <a:ext uri="{FF2B5EF4-FFF2-40B4-BE49-F238E27FC236}">
              <a16:creationId xmlns:a16="http://schemas.microsoft.com/office/drawing/2014/main" id="{DF8CB200-67F7-C308-61A4-16451950EA7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203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173</xdr:row>
      <xdr:rowOff>0</xdr:rowOff>
    </xdr:from>
    <xdr:to>
      <xdr:col>36</xdr:col>
      <xdr:colOff>152400</xdr:colOff>
      <xdr:row>173</xdr:row>
      <xdr:rowOff>152400</xdr:rowOff>
    </xdr:to>
    <xdr:sp macro="" textlink="">
      <xdr:nvSpPr>
        <xdr:cNvPr id="8527" name="AutoShape 335" descr=".">
          <a:extLst>
            <a:ext uri="{FF2B5EF4-FFF2-40B4-BE49-F238E27FC236}">
              <a16:creationId xmlns:a16="http://schemas.microsoft.com/office/drawing/2014/main" id="{3ABEE26D-E068-1A85-7104-C599FBC9393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241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175</xdr:row>
      <xdr:rowOff>0</xdr:rowOff>
    </xdr:from>
    <xdr:to>
      <xdr:col>36</xdr:col>
      <xdr:colOff>152400</xdr:colOff>
      <xdr:row>175</xdr:row>
      <xdr:rowOff>152400</xdr:rowOff>
    </xdr:to>
    <xdr:sp macro="" textlink="">
      <xdr:nvSpPr>
        <xdr:cNvPr id="8528" name="AutoShape 336" descr=".">
          <a:extLst>
            <a:ext uri="{FF2B5EF4-FFF2-40B4-BE49-F238E27FC236}">
              <a16:creationId xmlns:a16="http://schemas.microsoft.com/office/drawing/2014/main" id="{AA55E083-4BD1-FFD4-4B48-18093F4CC22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278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177</xdr:row>
      <xdr:rowOff>0</xdr:rowOff>
    </xdr:from>
    <xdr:to>
      <xdr:col>36</xdr:col>
      <xdr:colOff>152400</xdr:colOff>
      <xdr:row>177</xdr:row>
      <xdr:rowOff>152400</xdr:rowOff>
    </xdr:to>
    <xdr:sp macro="" textlink="">
      <xdr:nvSpPr>
        <xdr:cNvPr id="8529" name="AutoShape 337" descr=".">
          <a:extLst>
            <a:ext uri="{FF2B5EF4-FFF2-40B4-BE49-F238E27FC236}">
              <a16:creationId xmlns:a16="http://schemas.microsoft.com/office/drawing/2014/main" id="{ECBD8BA3-F063-BAAB-F0D2-A4A09CF85F9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315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179</xdr:row>
      <xdr:rowOff>0</xdr:rowOff>
    </xdr:from>
    <xdr:to>
      <xdr:col>36</xdr:col>
      <xdr:colOff>152400</xdr:colOff>
      <xdr:row>179</xdr:row>
      <xdr:rowOff>152400</xdr:rowOff>
    </xdr:to>
    <xdr:sp macro="" textlink="">
      <xdr:nvSpPr>
        <xdr:cNvPr id="8530" name="AutoShape 338" descr=".">
          <a:extLst>
            <a:ext uri="{FF2B5EF4-FFF2-40B4-BE49-F238E27FC236}">
              <a16:creationId xmlns:a16="http://schemas.microsoft.com/office/drawing/2014/main" id="{B7F3C7ED-A82F-9F76-5797-B9B01F461A9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353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181</xdr:row>
      <xdr:rowOff>0</xdr:rowOff>
    </xdr:from>
    <xdr:to>
      <xdr:col>36</xdr:col>
      <xdr:colOff>152400</xdr:colOff>
      <xdr:row>181</xdr:row>
      <xdr:rowOff>152400</xdr:rowOff>
    </xdr:to>
    <xdr:sp macro="" textlink="">
      <xdr:nvSpPr>
        <xdr:cNvPr id="8531" name="AutoShape 339" descr=".">
          <a:extLst>
            <a:ext uri="{FF2B5EF4-FFF2-40B4-BE49-F238E27FC236}">
              <a16:creationId xmlns:a16="http://schemas.microsoft.com/office/drawing/2014/main" id="{EFDD5D29-1A42-28E5-3B9B-BCCC5CE1D2B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390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183</xdr:row>
      <xdr:rowOff>0</xdr:rowOff>
    </xdr:from>
    <xdr:to>
      <xdr:col>36</xdr:col>
      <xdr:colOff>152400</xdr:colOff>
      <xdr:row>183</xdr:row>
      <xdr:rowOff>152400</xdr:rowOff>
    </xdr:to>
    <xdr:sp macro="" textlink="">
      <xdr:nvSpPr>
        <xdr:cNvPr id="8532" name="AutoShape 340" descr=".">
          <a:extLst>
            <a:ext uri="{FF2B5EF4-FFF2-40B4-BE49-F238E27FC236}">
              <a16:creationId xmlns:a16="http://schemas.microsoft.com/office/drawing/2014/main" id="{47944272-6BCC-5F6B-C4EA-2EB956A3955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428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185</xdr:row>
      <xdr:rowOff>0</xdr:rowOff>
    </xdr:from>
    <xdr:to>
      <xdr:col>36</xdr:col>
      <xdr:colOff>152400</xdr:colOff>
      <xdr:row>185</xdr:row>
      <xdr:rowOff>152400</xdr:rowOff>
    </xdr:to>
    <xdr:sp macro="" textlink="">
      <xdr:nvSpPr>
        <xdr:cNvPr id="8533" name="AutoShape 341" descr=".">
          <a:extLst>
            <a:ext uri="{FF2B5EF4-FFF2-40B4-BE49-F238E27FC236}">
              <a16:creationId xmlns:a16="http://schemas.microsoft.com/office/drawing/2014/main" id="{091D5ACE-9E05-53E0-7902-5C3BDB2954E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465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187</xdr:row>
      <xdr:rowOff>0</xdr:rowOff>
    </xdr:from>
    <xdr:to>
      <xdr:col>36</xdr:col>
      <xdr:colOff>152400</xdr:colOff>
      <xdr:row>187</xdr:row>
      <xdr:rowOff>152400</xdr:rowOff>
    </xdr:to>
    <xdr:sp macro="" textlink="">
      <xdr:nvSpPr>
        <xdr:cNvPr id="8534" name="AutoShape 342" descr=".">
          <a:extLst>
            <a:ext uri="{FF2B5EF4-FFF2-40B4-BE49-F238E27FC236}">
              <a16:creationId xmlns:a16="http://schemas.microsoft.com/office/drawing/2014/main" id="{25C058AB-E06A-DDC6-F5C4-4008F7A739C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503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189</xdr:row>
      <xdr:rowOff>0</xdr:rowOff>
    </xdr:from>
    <xdr:to>
      <xdr:col>36</xdr:col>
      <xdr:colOff>152400</xdr:colOff>
      <xdr:row>189</xdr:row>
      <xdr:rowOff>152400</xdr:rowOff>
    </xdr:to>
    <xdr:sp macro="" textlink="">
      <xdr:nvSpPr>
        <xdr:cNvPr id="8535" name="AutoShape 343" descr=".">
          <a:extLst>
            <a:ext uri="{FF2B5EF4-FFF2-40B4-BE49-F238E27FC236}">
              <a16:creationId xmlns:a16="http://schemas.microsoft.com/office/drawing/2014/main" id="{50141B38-C669-AFA7-1F2D-33246AED2B9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540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191</xdr:row>
      <xdr:rowOff>0</xdr:rowOff>
    </xdr:from>
    <xdr:to>
      <xdr:col>36</xdr:col>
      <xdr:colOff>152400</xdr:colOff>
      <xdr:row>191</xdr:row>
      <xdr:rowOff>152400</xdr:rowOff>
    </xdr:to>
    <xdr:sp macro="" textlink="">
      <xdr:nvSpPr>
        <xdr:cNvPr id="8536" name="AutoShape 344" descr=".">
          <a:extLst>
            <a:ext uri="{FF2B5EF4-FFF2-40B4-BE49-F238E27FC236}">
              <a16:creationId xmlns:a16="http://schemas.microsoft.com/office/drawing/2014/main" id="{0BE4BBEF-E9A4-47BB-2850-36E9870F57D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578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193</xdr:row>
      <xdr:rowOff>0</xdr:rowOff>
    </xdr:from>
    <xdr:to>
      <xdr:col>36</xdr:col>
      <xdr:colOff>152400</xdr:colOff>
      <xdr:row>193</xdr:row>
      <xdr:rowOff>152400</xdr:rowOff>
    </xdr:to>
    <xdr:sp macro="" textlink="">
      <xdr:nvSpPr>
        <xdr:cNvPr id="8537" name="AutoShape 345" descr=".">
          <a:extLst>
            <a:ext uri="{FF2B5EF4-FFF2-40B4-BE49-F238E27FC236}">
              <a16:creationId xmlns:a16="http://schemas.microsoft.com/office/drawing/2014/main" id="{75380440-AA9E-268E-2938-90820E38F6E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615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195</xdr:row>
      <xdr:rowOff>0</xdr:rowOff>
    </xdr:from>
    <xdr:to>
      <xdr:col>36</xdr:col>
      <xdr:colOff>152400</xdr:colOff>
      <xdr:row>195</xdr:row>
      <xdr:rowOff>152400</xdr:rowOff>
    </xdr:to>
    <xdr:sp macro="" textlink="">
      <xdr:nvSpPr>
        <xdr:cNvPr id="8538" name="AutoShape 346" descr=".">
          <a:extLst>
            <a:ext uri="{FF2B5EF4-FFF2-40B4-BE49-F238E27FC236}">
              <a16:creationId xmlns:a16="http://schemas.microsoft.com/office/drawing/2014/main" id="{A9746649-4DA0-E70F-8D55-49FBD1AB00C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653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197</xdr:row>
      <xdr:rowOff>0</xdr:rowOff>
    </xdr:from>
    <xdr:to>
      <xdr:col>36</xdr:col>
      <xdr:colOff>152400</xdr:colOff>
      <xdr:row>197</xdr:row>
      <xdr:rowOff>152400</xdr:rowOff>
    </xdr:to>
    <xdr:sp macro="" textlink="">
      <xdr:nvSpPr>
        <xdr:cNvPr id="8539" name="AutoShape 347" descr=".">
          <a:extLst>
            <a:ext uri="{FF2B5EF4-FFF2-40B4-BE49-F238E27FC236}">
              <a16:creationId xmlns:a16="http://schemas.microsoft.com/office/drawing/2014/main" id="{2B06DAAA-B7DB-C5DF-B1BE-4A021C20374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69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199</xdr:row>
      <xdr:rowOff>0</xdr:rowOff>
    </xdr:from>
    <xdr:to>
      <xdr:col>36</xdr:col>
      <xdr:colOff>152400</xdr:colOff>
      <xdr:row>199</xdr:row>
      <xdr:rowOff>152400</xdr:rowOff>
    </xdr:to>
    <xdr:sp macro="" textlink="">
      <xdr:nvSpPr>
        <xdr:cNvPr id="8540" name="AutoShape 348" descr=".">
          <a:extLst>
            <a:ext uri="{FF2B5EF4-FFF2-40B4-BE49-F238E27FC236}">
              <a16:creationId xmlns:a16="http://schemas.microsoft.com/office/drawing/2014/main" id="{4E31A89A-5D40-5C04-1DC5-A1947A7BE4C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728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201</xdr:row>
      <xdr:rowOff>0</xdr:rowOff>
    </xdr:from>
    <xdr:to>
      <xdr:col>36</xdr:col>
      <xdr:colOff>152400</xdr:colOff>
      <xdr:row>201</xdr:row>
      <xdr:rowOff>152400</xdr:rowOff>
    </xdr:to>
    <xdr:sp macro="" textlink="">
      <xdr:nvSpPr>
        <xdr:cNvPr id="8541" name="AutoShape 349" descr=".">
          <a:extLst>
            <a:ext uri="{FF2B5EF4-FFF2-40B4-BE49-F238E27FC236}">
              <a16:creationId xmlns:a16="http://schemas.microsoft.com/office/drawing/2014/main" id="{B5C87A62-E34C-2B24-919D-D9D7E1F9F16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765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203</xdr:row>
      <xdr:rowOff>0</xdr:rowOff>
    </xdr:from>
    <xdr:to>
      <xdr:col>36</xdr:col>
      <xdr:colOff>152400</xdr:colOff>
      <xdr:row>203</xdr:row>
      <xdr:rowOff>152400</xdr:rowOff>
    </xdr:to>
    <xdr:sp macro="" textlink="">
      <xdr:nvSpPr>
        <xdr:cNvPr id="8542" name="AutoShape 350" descr=".">
          <a:extLst>
            <a:ext uri="{FF2B5EF4-FFF2-40B4-BE49-F238E27FC236}">
              <a16:creationId xmlns:a16="http://schemas.microsoft.com/office/drawing/2014/main" id="{B296F943-E3BC-80A5-41B4-65980A197E5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803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205</xdr:row>
      <xdr:rowOff>0</xdr:rowOff>
    </xdr:from>
    <xdr:to>
      <xdr:col>36</xdr:col>
      <xdr:colOff>152400</xdr:colOff>
      <xdr:row>205</xdr:row>
      <xdr:rowOff>152400</xdr:rowOff>
    </xdr:to>
    <xdr:sp macro="" textlink="">
      <xdr:nvSpPr>
        <xdr:cNvPr id="8543" name="AutoShape 351" descr=".">
          <a:extLst>
            <a:ext uri="{FF2B5EF4-FFF2-40B4-BE49-F238E27FC236}">
              <a16:creationId xmlns:a16="http://schemas.microsoft.com/office/drawing/2014/main" id="{697850B4-4390-593E-E329-6E06BEF7128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84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207</xdr:row>
      <xdr:rowOff>0</xdr:rowOff>
    </xdr:from>
    <xdr:to>
      <xdr:col>36</xdr:col>
      <xdr:colOff>152400</xdr:colOff>
      <xdr:row>207</xdr:row>
      <xdr:rowOff>152400</xdr:rowOff>
    </xdr:to>
    <xdr:sp macro="" textlink="">
      <xdr:nvSpPr>
        <xdr:cNvPr id="8544" name="AutoShape 352" descr=".">
          <a:extLst>
            <a:ext uri="{FF2B5EF4-FFF2-40B4-BE49-F238E27FC236}">
              <a16:creationId xmlns:a16="http://schemas.microsoft.com/office/drawing/2014/main" id="{356BEF3B-7B47-BD00-60A5-A244591C09E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877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209</xdr:row>
      <xdr:rowOff>0</xdr:rowOff>
    </xdr:from>
    <xdr:to>
      <xdr:col>36</xdr:col>
      <xdr:colOff>152400</xdr:colOff>
      <xdr:row>209</xdr:row>
      <xdr:rowOff>152400</xdr:rowOff>
    </xdr:to>
    <xdr:sp macro="" textlink="">
      <xdr:nvSpPr>
        <xdr:cNvPr id="8545" name="AutoShape 353" descr=".">
          <a:extLst>
            <a:ext uri="{FF2B5EF4-FFF2-40B4-BE49-F238E27FC236}">
              <a16:creationId xmlns:a16="http://schemas.microsoft.com/office/drawing/2014/main" id="{F8DA0D6F-7EB2-CAF0-02B2-6A0225FE994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915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211</xdr:row>
      <xdr:rowOff>0</xdr:rowOff>
    </xdr:from>
    <xdr:to>
      <xdr:col>36</xdr:col>
      <xdr:colOff>152400</xdr:colOff>
      <xdr:row>211</xdr:row>
      <xdr:rowOff>152400</xdr:rowOff>
    </xdr:to>
    <xdr:sp macro="" textlink="">
      <xdr:nvSpPr>
        <xdr:cNvPr id="8546" name="AutoShape 354" descr=".">
          <a:extLst>
            <a:ext uri="{FF2B5EF4-FFF2-40B4-BE49-F238E27FC236}">
              <a16:creationId xmlns:a16="http://schemas.microsoft.com/office/drawing/2014/main" id="{E96E8734-DC1F-F910-DB27-CE28B0658B0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952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213</xdr:row>
      <xdr:rowOff>0</xdr:rowOff>
    </xdr:from>
    <xdr:to>
      <xdr:col>36</xdr:col>
      <xdr:colOff>152400</xdr:colOff>
      <xdr:row>213</xdr:row>
      <xdr:rowOff>152400</xdr:rowOff>
    </xdr:to>
    <xdr:sp macro="" textlink="">
      <xdr:nvSpPr>
        <xdr:cNvPr id="8547" name="AutoShape 355" descr=".">
          <a:extLst>
            <a:ext uri="{FF2B5EF4-FFF2-40B4-BE49-F238E27FC236}">
              <a16:creationId xmlns:a16="http://schemas.microsoft.com/office/drawing/2014/main" id="{874F3902-B8E2-E7F3-8A0C-D86DA6275B9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3990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215</xdr:row>
      <xdr:rowOff>0</xdr:rowOff>
    </xdr:from>
    <xdr:to>
      <xdr:col>36</xdr:col>
      <xdr:colOff>152400</xdr:colOff>
      <xdr:row>215</xdr:row>
      <xdr:rowOff>152400</xdr:rowOff>
    </xdr:to>
    <xdr:sp macro="" textlink="">
      <xdr:nvSpPr>
        <xdr:cNvPr id="8548" name="AutoShape 356" descr=".">
          <a:extLst>
            <a:ext uri="{FF2B5EF4-FFF2-40B4-BE49-F238E27FC236}">
              <a16:creationId xmlns:a16="http://schemas.microsoft.com/office/drawing/2014/main" id="{1CB9A82A-2B23-724C-51F8-18ECB95A8D9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027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217</xdr:row>
      <xdr:rowOff>0</xdr:rowOff>
    </xdr:from>
    <xdr:to>
      <xdr:col>36</xdr:col>
      <xdr:colOff>152400</xdr:colOff>
      <xdr:row>217</xdr:row>
      <xdr:rowOff>152400</xdr:rowOff>
    </xdr:to>
    <xdr:sp macro="" textlink="">
      <xdr:nvSpPr>
        <xdr:cNvPr id="8549" name="AutoShape 357" descr=".">
          <a:extLst>
            <a:ext uri="{FF2B5EF4-FFF2-40B4-BE49-F238E27FC236}">
              <a16:creationId xmlns:a16="http://schemas.microsoft.com/office/drawing/2014/main" id="{B216178D-A2B2-D167-7C23-8DC6261D1FE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065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219</xdr:row>
      <xdr:rowOff>0</xdr:rowOff>
    </xdr:from>
    <xdr:to>
      <xdr:col>36</xdr:col>
      <xdr:colOff>152400</xdr:colOff>
      <xdr:row>219</xdr:row>
      <xdr:rowOff>152400</xdr:rowOff>
    </xdr:to>
    <xdr:sp macro="" textlink="">
      <xdr:nvSpPr>
        <xdr:cNvPr id="8550" name="AutoShape 358" descr=".">
          <a:extLst>
            <a:ext uri="{FF2B5EF4-FFF2-40B4-BE49-F238E27FC236}">
              <a16:creationId xmlns:a16="http://schemas.microsoft.com/office/drawing/2014/main" id="{57D8E215-0F3B-F2A0-B24E-D41CAA0718C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102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221</xdr:row>
      <xdr:rowOff>0</xdr:rowOff>
    </xdr:from>
    <xdr:to>
      <xdr:col>36</xdr:col>
      <xdr:colOff>152400</xdr:colOff>
      <xdr:row>221</xdr:row>
      <xdr:rowOff>152400</xdr:rowOff>
    </xdr:to>
    <xdr:sp macro="" textlink="">
      <xdr:nvSpPr>
        <xdr:cNvPr id="8551" name="AutoShape 359" descr=".">
          <a:extLst>
            <a:ext uri="{FF2B5EF4-FFF2-40B4-BE49-F238E27FC236}">
              <a16:creationId xmlns:a16="http://schemas.microsoft.com/office/drawing/2014/main" id="{FF229860-EE94-ABFC-5E82-4EB3761BBD4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14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223</xdr:row>
      <xdr:rowOff>0</xdr:rowOff>
    </xdr:from>
    <xdr:to>
      <xdr:col>36</xdr:col>
      <xdr:colOff>152400</xdr:colOff>
      <xdr:row>223</xdr:row>
      <xdr:rowOff>152400</xdr:rowOff>
    </xdr:to>
    <xdr:sp macro="" textlink="">
      <xdr:nvSpPr>
        <xdr:cNvPr id="8552" name="AutoShape 360" descr=".">
          <a:extLst>
            <a:ext uri="{FF2B5EF4-FFF2-40B4-BE49-F238E27FC236}">
              <a16:creationId xmlns:a16="http://schemas.microsoft.com/office/drawing/2014/main" id="{05D3611D-9BBE-DE12-B749-045311F478E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177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225</xdr:row>
      <xdr:rowOff>0</xdr:rowOff>
    </xdr:from>
    <xdr:to>
      <xdr:col>36</xdr:col>
      <xdr:colOff>152400</xdr:colOff>
      <xdr:row>225</xdr:row>
      <xdr:rowOff>152400</xdr:rowOff>
    </xdr:to>
    <xdr:sp macro="" textlink="">
      <xdr:nvSpPr>
        <xdr:cNvPr id="8553" name="AutoShape 361" descr=".">
          <a:extLst>
            <a:ext uri="{FF2B5EF4-FFF2-40B4-BE49-F238E27FC236}">
              <a16:creationId xmlns:a16="http://schemas.microsoft.com/office/drawing/2014/main" id="{F73AE80B-391D-A2D2-C047-F6CAB4181EB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215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227</xdr:row>
      <xdr:rowOff>0</xdr:rowOff>
    </xdr:from>
    <xdr:to>
      <xdr:col>36</xdr:col>
      <xdr:colOff>152400</xdr:colOff>
      <xdr:row>227</xdr:row>
      <xdr:rowOff>152400</xdr:rowOff>
    </xdr:to>
    <xdr:sp macro="" textlink="">
      <xdr:nvSpPr>
        <xdr:cNvPr id="8554" name="AutoShape 362" descr=".">
          <a:extLst>
            <a:ext uri="{FF2B5EF4-FFF2-40B4-BE49-F238E27FC236}">
              <a16:creationId xmlns:a16="http://schemas.microsoft.com/office/drawing/2014/main" id="{80634DF1-60C8-2DD8-A4B4-35DE629C791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252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229</xdr:row>
      <xdr:rowOff>0</xdr:rowOff>
    </xdr:from>
    <xdr:to>
      <xdr:col>36</xdr:col>
      <xdr:colOff>152400</xdr:colOff>
      <xdr:row>229</xdr:row>
      <xdr:rowOff>152400</xdr:rowOff>
    </xdr:to>
    <xdr:sp macro="" textlink="">
      <xdr:nvSpPr>
        <xdr:cNvPr id="8555" name="AutoShape 363" descr=".">
          <a:extLst>
            <a:ext uri="{FF2B5EF4-FFF2-40B4-BE49-F238E27FC236}">
              <a16:creationId xmlns:a16="http://schemas.microsoft.com/office/drawing/2014/main" id="{4E9801BF-5941-6175-0611-0C76F926065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29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231</xdr:row>
      <xdr:rowOff>0</xdr:rowOff>
    </xdr:from>
    <xdr:to>
      <xdr:col>36</xdr:col>
      <xdr:colOff>152400</xdr:colOff>
      <xdr:row>231</xdr:row>
      <xdr:rowOff>152400</xdr:rowOff>
    </xdr:to>
    <xdr:sp macro="" textlink="">
      <xdr:nvSpPr>
        <xdr:cNvPr id="8556" name="AutoShape 364" descr=".">
          <a:extLst>
            <a:ext uri="{FF2B5EF4-FFF2-40B4-BE49-F238E27FC236}">
              <a16:creationId xmlns:a16="http://schemas.microsoft.com/office/drawing/2014/main" id="{B36D6475-1237-9579-22D8-EB27FF6E59E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33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233</xdr:row>
      <xdr:rowOff>0</xdr:rowOff>
    </xdr:from>
    <xdr:to>
      <xdr:col>36</xdr:col>
      <xdr:colOff>152400</xdr:colOff>
      <xdr:row>233</xdr:row>
      <xdr:rowOff>152400</xdr:rowOff>
    </xdr:to>
    <xdr:sp macro="" textlink="">
      <xdr:nvSpPr>
        <xdr:cNvPr id="8557" name="AutoShape 365" descr=".">
          <a:extLst>
            <a:ext uri="{FF2B5EF4-FFF2-40B4-BE49-F238E27FC236}">
              <a16:creationId xmlns:a16="http://schemas.microsoft.com/office/drawing/2014/main" id="{EBF30204-52D3-AB21-37DF-64D940DF039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368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235</xdr:row>
      <xdr:rowOff>0</xdr:rowOff>
    </xdr:from>
    <xdr:to>
      <xdr:col>36</xdr:col>
      <xdr:colOff>152400</xdr:colOff>
      <xdr:row>235</xdr:row>
      <xdr:rowOff>152400</xdr:rowOff>
    </xdr:to>
    <xdr:sp macro="" textlink="">
      <xdr:nvSpPr>
        <xdr:cNvPr id="8558" name="AutoShape 366" descr=".">
          <a:extLst>
            <a:ext uri="{FF2B5EF4-FFF2-40B4-BE49-F238E27FC236}">
              <a16:creationId xmlns:a16="http://schemas.microsoft.com/office/drawing/2014/main" id="{2AFCC27C-E018-FE78-C3F8-7E06B72B0A6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405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237</xdr:row>
      <xdr:rowOff>0</xdr:rowOff>
    </xdr:from>
    <xdr:to>
      <xdr:col>36</xdr:col>
      <xdr:colOff>152400</xdr:colOff>
      <xdr:row>237</xdr:row>
      <xdr:rowOff>152400</xdr:rowOff>
    </xdr:to>
    <xdr:sp macro="" textlink="">
      <xdr:nvSpPr>
        <xdr:cNvPr id="8559" name="AutoShape 367" descr=".">
          <a:extLst>
            <a:ext uri="{FF2B5EF4-FFF2-40B4-BE49-F238E27FC236}">
              <a16:creationId xmlns:a16="http://schemas.microsoft.com/office/drawing/2014/main" id="{2EF510C7-18D7-40C9-07F5-1532E66A69A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443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239</xdr:row>
      <xdr:rowOff>0</xdr:rowOff>
    </xdr:from>
    <xdr:to>
      <xdr:col>36</xdr:col>
      <xdr:colOff>152400</xdr:colOff>
      <xdr:row>239</xdr:row>
      <xdr:rowOff>152400</xdr:rowOff>
    </xdr:to>
    <xdr:sp macro="" textlink="">
      <xdr:nvSpPr>
        <xdr:cNvPr id="8560" name="AutoShape 368" descr=".">
          <a:extLst>
            <a:ext uri="{FF2B5EF4-FFF2-40B4-BE49-F238E27FC236}">
              <a16:creationId xmlns:a16="http://schemas.microsoft.com/office/drawing/2014/main" id="{2D77B2AF-00F2-6048-600E-1E2DE72B5E0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480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241</xdr:row>
      <xdr:rowOff>0</xdr:rowOff>
    </xdr:from>
    <xdr:to>
      <xdr:col>36</xdr:col>
      <xdr:colOff>152400</xdr:colOff>
      <xdr:row>241</xdr:row>
      <xdr:rowOff>152400</xdr:rowOff>
    </xdr:to>
    <xdr:sp macro="" textlink="">
      <xdr:nvSpPr>
        <xdr:cNvPr id="8561" name="AutoShape 369" descr=".">
          <a:extLst>
            <a:ext uri="{FF2B5EF4-FFF2-40B4-BE49-F238E27FC236}">
              <a16:creationId xmlns:a16="http://schemas.microsoft.com/office/drawing/2014/main" id="{12E95BD2-F685-AC02-BB0F-6726CED909C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518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243</xdr:row>
      <xdr:rowOff>0</xdr:rowOff>
    </xdr:from>
    <xdr:to>
      <xdr:col>36</xdr:col>
      <xdr:colOff>152400</xdr:colOff>
      <xdr:row>243</xdr:row>
      <xdr:rowOff>152400</xdr:rowOff>
    </xdr:to>
    <xdr:sp macro="" textlink="">
      <xdr:nvSpPr>
        <xdr:cNvPr id="8562" name="AutoShape 370" descr=".">
          <a:extLst>
            <a:ext uri="{FF2B5EF4-FFF2-40B4-BE49-F238E27FC236}">
              <a16:creationId xmlns:a16="http://schemas.microsoft.com/office/drawing/2014/main" id="{6EDD3B11-FA59-E8AA-C69D-CAFB408F4CE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555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245</xdr:row>
      <xdr:rowOff>0</xdr:rowOff>
    </xdr:from>
    <xdr:to>
      <xdr:col>36</xdr:col>
      <xdr:colOff>152400</xdr:colOff>
      <xdr:row>245</xdr:row>
      <xdr:rowOff>152400</xdr:rowOff>
    </xdr:to>
    <xdr:sp macro="" textlink="">
      <xdr:nvSpPr>
        <xdr:cNvPr id="8563" name="AutoShape 371" descr=".">
          <a:extLst>
            <a:ext uri="{FF2B5EF4-FFF2-40B4-BE49-F238E27FC236}">
              <a16:creationId xmlns:a16="http://schemas.microsoft.com/office/drawing/2014/main" id="{C3804404-D881-7AF5-C740-75A9C0AC62A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592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247</xdr:row>
      <xdr:rowOff>0</xdr:rowOff>
    </xdr:from>
    <xdr:to>
      <xdr:col>36</xdr:col>
      <xdr:colOff>152400</xdr:colOff>
      <xdr:row>247</xdr:row>
      <xdr:rowOff>152400</xdr:rowOff>
    </xdr:to>
    <xdr:sp macro="" textlink="">
      <xdr:nvSpPr>
        <xdr:cNvPr id="8564" name="AutoShape 372" descr=".">
          <a:extLst>
            <a:ext uri="{FF2B5EF4-FFF2-40B4-BE49-F238E27FC236}">
              <a16:creationId xmlns:a16="http://schemas.microsoft.com/office/drawing/2014/main" id="{4FDA6C55-8A4B-3E75-A200-C433941739F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630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249</xdr:row>
      <xdr:rowOff>0</xdr:rowOff>
    </xdr:from>
    <xdr:to>
      <xdr:col>36</xdr:col>
      <xdr:colOff>152400</xdr:colOff>
      <xdr:row>249</xdr:row>
      <xdr:rowOff>152400</xdr:rowOff>
    </xdr:to>
    <xdr:sp macro="" textlink="">
      <xdr:nvSpPr>
        <xdr:cNvPr id="8565" name="AutoShape 373" descr=".">
          <a:extLst>
            <a:ext uri="{FF2B5EF4-FFF2-40B4-BE49-F238E27FC236}">
              <a16:creationId xmlns:a16="http://schemas.microsoft.com/office/drawing/2014/main" id="{5024D8D1-022B-7360-D805-777F5D6F60E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667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251</xdr:row>
      <xdr:rowOff>0</xdr:rowOff>
    </xdr:from>
    <xdr:to>
      <xdr:col>36</xdr:col>
      <xdr:colOff>152400</xdr:colOff>
      <xdr:row>251</xdr:row>
      <xdr:rowOff>152400</xdr:rowOff>
    </xdr:to>
    <xdr:sp macro="" textlink="">
      <xdr:nvSpPr>
        <xdr:cNvPr id="8566" name="AutoShape 374" descr=".">
          <a:extLst>
            <a:ext uri="{FF2B5EF4-FFF2-40B4-BE49-F238E27FC236}">
              <a16:creationId xmlns:a16="http://schemas.microsoft.com/office/drawing/2014/main" id="{3A1E1C15-3092-F1E8-E020-F08E9B85C85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70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253</xdr:row>
      <xdr:rowOff>0</xdr:rowOff>
    </xdr:from>
    <xdr:to>
      <xdr:col>36</xdr:col>
      <xdr:colOff>152400</xdr:colOff>
      <xdr:row>253</xdr:row>
      <xdr:rowOff>152400</xdr:rowOff>
    </xdr:to>
    <xdr:sp macro="" textlink="">
      <xdr:nvSpPr>
        <xdr:cNvPr id="8567" name="AutoShape 375" descr=".">
          <a:extLst>
            <a:ext uri="{FF2B5EF4-FFF2-40B4-BE49-F238E27FC236}">
              <a16:creationId xmlns:a16="http://schemas.microsoft.com/office/drawing/2014/main" id="{CF73CF6A-3F46-E4EA-01A8-B4883A65331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742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255</xdr:row>
      <xdr:rowOff>0</xdr:rowOff>
    </xdr:from>
    <xdr:to>
      <xdr:col>36</xdr:col>
      <xdr:colOff>152400</xdr:colOff>
      <xdr:row>255</xdr:row>
      <xdr:rowOff>152400</xdr:rowOff>
    </xdr:to>
    <xdr:sp macro="" textlink="">
      <xdr:nvSpPr>
        <xdr:cNvPr id="8568" name="AutoShape 376" descr=".">
          <a:extLst>
            <a:ext uri="{FF2B5EF4-FFF2-40B4-BE49-F238E27FC236}">
              <a16:creationId xmlns:a16="http://schemas.microsoft.com/office/drawing/2014/main" id="{9D0C1B5C-2AFA-C4DB-9BD8-F52231DE427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780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257</xdr:row>
      <xdr:rowOff>0</xdr:rowOff>
    </xdr:from>
    <xdr:to>
      <xdr:col>36</xdr:col>
      <xdr:colOff>152400</xdr:colOff>
      <xdr:row>257</xdr:row>
      <xdr:rowOff>152400</xdr:rowOff>
    </xdr:to>
    <xdr:sp macro="" textlink="">
      <xdr:nvSpPr>
        <xdr:cNvPr id="8569" name="AutoShape 377" descr=".">
          <a:extLst>
            <a:ext uri="{FF2B5EF4-FFF2-40B4-BE49-F238E27FC236}">
              <a16:creationId xmlns:a16="http://schemas.microsoft.com/office/drawing/2014/main" id="{7CB278FC-4DD9-F2A8-E283-0A2D3710010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817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259</xdr:row>
      <xdr:rowOff>0</xdr:rowOff>
    </xdr:from>
    <xdr:to>
      <xdr:col>36</xdr:col>
      <xdr:colOff>152400</xdr:colOff>
      <xdr:row>259</xdr:row>
      <xdr:rowOff>152400</xdr:rowOff>
    </xdr:to>
    <xdr:sp macro="" textlink="">
      <xdr:nvSpPr>
        <xdr:cNvPr id="8570" name="AutoShape 378" descr=".">
          <a:extLst>
            <a:ext uri="{FF2B5EF4-FFF2-40B4-BE49-F238E27FC236}">
              <a16:creationId xmlns:a16="http://schemas.microsoft.com/office/drawing/2014/main" id="{375DDB3B-43EB-FBBB-65B2-259A8A82B6F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855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261</xdr:row>
      <xdr:rowOff>0</xdr:rowOff>
    </xdr:from>
    <xdr:to>
      <xdr:col>36</xdr:col>
      <xdr:colOff>152400</xdr:colOff>
      <xdr:row>261</xdr:row>
      <xdr:rowOff>152400</xdr:rowOff>
    </xdr:to>
    <xdr:sp macro="" textlink="">
      <xdr:nvSpPr>
        <xdr:cNvPr id="8571" name="AutoShape 379" descr=".">
          <a:extLst>
            <a:ext uri="{FF2B5EF4-FFF2-40B4-BE49-F238E27FC236}">
              <a16:creationId xmlns:a16="http://schemas.microsoft.com/office/drawing/2014/main" id="{1C21098D-72B3-C333-F5C0-BF1E4676C9B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892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263</xdr:row>
      <xdr:rowOff>0</xdr:rowOff>
    </xdr:from>
    <xdr:to>
      <xdr:col>36</xdr:col>
      <xdr:colOff>152400</xdr:colOff>
      <xdr:row>263</xdr:row>
      <xdr:rowOff>152400</xdr:rowOff>
    </xdr:to>
    <xdr:sp macro="" textlink="">
      <xdr:nvSpPr>
        <xdr:cNvPr id="8572" name="AutoShape 380" descr=".">
          <a:extLst>
            <a:ext uri="{FF2B5EF4-FFF2-40B4-BE49-F238E27FC236}">
              <a16:creationId xmlns:a16="http://schemas.microsoft.com/office/drawing/2014/main" id="{5A54D55F-AA2F-12FA-B5B6-6514691876A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930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265</xdr:row>
      <xdr:rowOff>0</xdr:rowOff>
    </xdr:from>
    <xdr:to>
      <xdr:col>36</xdr:col>
      <xdr:colOff>152400</xdr:colOff>
      <xdr:row>265</xdr:row>
      <xdr:rowOff>152400</xdr:rowOff>
    </xdr:to>
    <xdr:sp macro="" textlink="">
      <xdr:nvSpPr>
        <xdr:cNvPr id="8573" name="AutoShape 381" descr=".">
          <a:extLst>
            <a:ext uri="{FF2B5EF4-FFF2-40B4-BE49-F238E27FC236}">
              <a16:creationId xmlns:a16="http://schemas.microsoft.com/office/drawing/2014/main" id="{F67526C9-74BC-C130-8572-9239AA89C4E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4967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267</xdr:row>
      <xdr:rowOff>0</xdr:rowOff>
    </xdr:from>
    <xdr:to>
      <xdr:col>36</xdr:col>
      <xdr:colOff>152400</xdr:colOff>
      <xdr:row>267</xdr:row>
      <xdr:rowOff>152400</xdr:rowOff>
    </xdr:to>
    <xdr:sp macro="" textlink="">
      <xdr:nvSpPr>
        <xdr:cNvPr id="8574" name="AutoShape 382" descr=".">
          <a:extLst>
            <a:ext uri="{FF2B5EF4-FFF2-40B4-BE49-F238E27FC236}">
              <a16:creationId xmlns:a16="http://schemas.microsoft.com/office/drawing/2014/main" id="{56C13B92-A772-0700-298E-DB98EE0B44A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005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269</xdr:row>
      <xdr:rowOff>0</xdr:rowOff>
    </xdr:from>
    <xdr:to>
      <xdr:col>36</xdr:col>
      <xdr:colOff>152400</xdr:colOff>
      <xdr:row>269</xdr:row>
      <xdr:rowOff>152400</xdr:rowOff>
    </xdr:to>
    <xdr:sp macro="" textlink="">
      <xdr:nvSpPr>
        <xdr:cNvPr id="8575" name="AutoShape 383" descr=".">
          <a:extLst>
            <a:ext uri="{FF2B5EF4-FFF2-40B4-BE49-F238E27FC236}">
              <a16:creationId xmlns:a16="http://schemas.microsoft.com/office/drawing/2014/main" id="{5F085345-CFCA-1981-842C-AC294EDD458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042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271</xdr:row>
      <xdr:rowOff>0</xdr:rowOff>
    </xdr:from>
    <xdr:to>
      <xdr:col>36</xdr:col>
      <xdr:colOff>152400</xdr:colOff>
      <xdr:row>271</xdr:row>
      <xdr:rowOff>152400</xdr:rowOff>
    </xdr:to>
    <xdr:sp macro="" textlink="">
      <xdr:nvSpPr>
        <xdr:cNvPr id="8576" name="AutoShape 384" descr=".">
          <a:extLst>
            <a:ext uri="{FF2B5EF4-FFF2-40B4-BE49-F238E27FC236}">
              <a16:creationId xmlns:a16="http://schemas.microsoft.com/office/drawing/2014/main" id="{F70DC310-463C-04A9-4692-03D19F42558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080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273</xdr:row>
      <xdr:rowOff>0</xdr:rowOff>
    </xdr:from>
    <xdr:to>
      <xdr:col>36</xdr:col>
      <xdr:colOff>152400</xdr:colOff>
      <xdr:row>273</xdr:row>
      <xdr:rowOff>152400</xdr:rowOff>
    </xdr:to>
    <xdr:sp macro="" textlink="">
      <xdr:nvSpPr>
        <xdr:cNvPr id="8577" name="AutoShape 385" descr=".">
          <a:extLst>
            <a:ext uri="{FF2B5EF4-FFF2-40B4-BE49-F238E27FC236}">
              <a16:creationId xmlns:a16="http://schemas.microsoft.com/office/drawing/2014/main" id="{7D82B325-D7B3-BBEC-BD1F-B8F09B94F5E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117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275</xdr:row>
      <xdr:rowOff>0</xdr:rowOff>
    </xdr:from>
    <xdr:to>
      <xdr:col>36</xdr:col>
      <xdr:colOff>152400</xdr:colOff>
      <xdr:row>275</xdr:row>
      <xdr:rowOff>152400</xdr:rowOff>
    </xdr:to>
    <xdr:sp macro="" textlink="">
      <xdr:nvSpPr>
        <xdr:cNvPr id="8578" name="AutoShape 386" descr=".">
          <a:extLst>
            <a:ext uri="{FF2B5EF4-FFF2-40B4-BE49-F238E27FC236}">
              <a16:creationId xmlns:a16="http://schemas.microsoft.com/office/drawing/2014/main" id="{923A558C-2568-450D-BE38-B9132896C8A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154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277</xdr:row>
      <xdr:rowOff>0</xdr:rowOff>
    </xdr:from>
    <xdr:to>
      <xdr:col>36</xdr:col>
      <xdr:colOff>152400</xdr:colOff>
      <xdr:row>277</xdr:row>
      <xdr:rowOff>152400</xdr:rowOff>
    </xdr:to>
    <xdr:sp macro="" textlink="">
      <xdr:nvSpPr>
        <xdr:cNvPr id="8579" name="AutoShape 387" descr=".">
          <a:extLst>
            <a:ext uri="{FF2B5EF4-FFF2-40B4-BE49-F238E27FC236}">
              <a16:creationId xmlns:a16="http://schemas.microsoft.com/office/drawing/2014/main" id="{233C1CBE-99B9-C335-CC4C-45E7C60FF52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192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279</xdr:row>
      <xdr:rowOff>0</xdr:rowOff>
    </xdr:from>
    <xdr:to>
      <xdr:col>36</xdr:col>
      <xdr:colOff>152400</xdr:colOff>
      <xdr:row>279</xdr:row>
      <xdr:rowOff>152400</xdr:rowOff>
    </xdr:to>
    <xdr:sp macro="" textlink="">
      <xdr:nvSpPr>
        <xdr:cNvPr id="8580" name="AutoShape 388" descr=".">
          <a:extLst>
            <a:ext uri="{FF2B5EF4-FFF2-40B4-BE49-F238E27FC236}">
              <a16:creationId xmlns:a16="http://schemas.microsoft.com/office/drawing/2014/main" id="{A27E7A97-C080-1254-0083-0469ECD149E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229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281</xdr:row>
      <xdr:rowOff>0</xdr:rowOff>
    </xdr:from>
    <xdr:to>
      <xdr:col>36</xdr:col>
      <xdr:colOff>152400</xdr:colOff>
      <xdr:row>281</xdr:row>
      <xdr:rowOff>152400</xdr:rowOff>
    </xdr:to>
    <xdr:sp macro="" textlink="">
      <xdr:nvSpPr>
        <xdr:cNvPr id="8581" name="AutoShape 389" descr=".">
          <a:extLst>
            <a:ext uri="{FF2B5EF4-FFF2-40B4-BE49-F238E27FC236}">
              <a16:creationId xmlns:a16="http://schemas.microsoft.com/office/drawing/2014/main" id="{2D94A8A9-F9B3-9D8B-D269-91B691E51E7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267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283</xdr:row>
      <xdr:rowOff>0</xdr:rowOff>
    </xdr:from>
    <xdr:to>
      <xdr:col>36</xdr:col>
      <xdr:colOff>152400</xdr:colOff>
      <xdr:row>283</xdr:row>
      <xdr:rowOff>152400</xdr:rowOff>
    </xdr:to>
    <xdr:sp macro="" textlink="">
      <xdr:nvSpPr>
        <xdr:cNvPr id="8582" name="AutoShape 390" descr=".">
          <a:extLst>
            <a:ext uri="{FF2B5EF4-FFF2-40B4-BE49-F238E27FC236}">
              <a16:creationId xmlns:a16="http://schemas.microsoft.com/office/drawing/2014/main" id="{CEF7E6D8-596B-F7C6-615D-613BD6FA0FE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304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285</xdr:row>
      <xdr:rowOff>0</xdr:rowOff>
    </xdr:from>
    <xdr:to>
      <xdr:col>36</xdr:col>
      <xdr:colOff>152400</xdr:colOff>
      <xdr:row>285</xdr:row>
      <xdr:rowOff>152400</xdr:rowOff>
    </xdr:to>
    <xdr:sp macro="" textlink="">
      <xdr:nvSpPr>
        <xdr:cNvPr id="8583" name="AutoShape 391" descr=".">
          <a:extLst>
            <a:ext uri="{FF2B5EF4-FFF2-40B4-BE49-F238E27FC236}">
              <a16:creationId xmlns:a16="http://schemas.microsoft.com/office/drawing/2014/main" id="{74A01B3B-5075-FFA1-C459-7E7343626B9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342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287</xdr:row>
      <xdr:rowOff>0</xdr:rowOff>
    </xdr:from>
    <xdr:to>
      <xdr:col>36</xdr:col>
      <xdr:colOff>152400</xdr:colOff>
      <xdr:row>287</xdr:row>
      <xdr:rowOff>152400</xdr:rowOff>
    </xdr:to>
    <xdr:sp macro="" textlink="">
      <xdr:nvSpPr>
        <xdr:cNvPr id="8584" name="AutoShape 392" descr=".">
          <a:extLst>
            <a:ext uri="{FF2B5EF4-FFF2-40B4-BE49-F238E27FC236}">
              <a16:creationId xmlns:a16="http://schemas.microsoft.com/office/drawing/2014/main" id="{63DF205A-5E3F-F31B-E0A3-E53391B2DB0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379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289</xdr:row>
      <xdr:rowOff>0</xdr:rowOff>
    </xdr:from>
    <xdr:to>
      <xdr:col>36</xdr:col>
      <xdr:colOff>152400</xdr:colOff>
      <xdr:row>289</xdr:row>
      <xdr:rowOff>152400</xdr:rowOff>
    </xdr:to>
    <xdr:sp macro="" textlink="">
      <xdr:nvSpPr>
        <xdr:cNvPr id="8585" name="AutoShape 393" descr=".">
          <a:extLst>
            <a:ext uri="{FF2B5EF4-FFF2-40B4-BE49-F238E27FC236}">
              <a16:creationId xmlns:a16="http://schemas.microsoft.com/office/drawing/2014/main" id="{542D1E6E-922B-63E1-6458-316A68A324F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417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291</xdr:row>
      <xdr:rowOff>0</xdr:rowOff>
    </xdr:from>
    <xdr:to>
      <xdr:col>36</xdr:col>
      <xdr:colOff>152400</xdr:colOff>
      <xdr:row>291</xdr:row>
      <xdr:rowOff>152400</xdr:rowOff>
    </xdr:to>
    <xdr:sp macro="" textlink="">
      <xdr:nvSpPr>
        <xdr:cNvPr id="8586" name="AutoShape 394" descr=".">
          <a:extLst>
            <a:ext uri="{FF2B5EF4-FFF2-40B4-BE49-F238E27FC236}">
              <a16:creationId xmlns:a16="http://schemas.microsoft.com/office/drawing/2014/main" id="{488CA829-57D7-1CEE-0CA4-2057D8951DC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454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293</xdr:row>
      <xdr:rowOff>0</xdr:rowOff>
    </xdr:from>
    <xdr:to>
      <xdr:col>36</xdr:col>
      <xdr:colOff>152400</xdr:colOff>
      <xdr:row>293</xdr:row>
      <xdr:rowOff>152400</xdr:rowOff>
    </xdr:to>
    <xdr:sp macro="" textlink="">
      <xdr:nvSpPr>
        <xdr:cNvPr id="8587" name="AutoShape 395" descr=".">
          <a:extLst>
            <a:ext uri="{FF2B5EF4-FFF2-40B4-BE49-F238E27FC236}">
              <a16:creationId xmlns:a16="http://schemas.microsoft.com/office/drawing/2014/main" id="{908D9229-7DCA-213A-D38C-A68CB9FFD77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492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295</xdr:row>
      <xdr:rowOff>0</xdr:rowOff>
    </xdr:from>
    <xdr:to>
      <xdr:col>36</xdr:col>
      <xdr:colOff>152400</xdr:colOff>
      <xdr:row>295</xdr:row>
      <xdr:rowOff>152400</xdr:rowOff>
    </xdr:to>
    <xdr:sp macro="" textlink="">
      <xdr:nvSpPr>
        <xdr:cNvPr id="8588" name="AutoShape 396" descr=".">
          <a:extLst>
            <a:ext uri="{FF2B5EF4-FFF2-40B4-BE49-F238E27FC236}">
              <a16:creationId xmlns:a16="http://schemas.microsoft.com/office/drawing/2014/main" id="{4CBC8061-4582-9D9E-ECF2-AA022DAFC88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529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297</xdr:row>
      <xdr:rowOff>0</xdr:rowOff>
    </xdr:from>
    <xdr:to>
      <xdr:col>36</xdr:col>
      <xdr:colOff>152400</xdr:colOff>
      <xdr:row>297</xdr:row>
      <xdr:rowOff>152400</xdr:rowOff>
    </xdr:to>
    <xdr:sp macro="" textlink="">
      <xdr:nvSpPr>
        <xdr:cNvPr id="8589" name="AutoShape 397" descr=".">
          <a:extLst>
            <a:ext uri="{FF2B5EF4-FFF2-40B4-BE49-F238E27FC236}">
              <a16:creationId xmlns:a16="http://schemas.microsoft.com/office/drawing/2014/main" id="{4048E488-60A0-7B74-AED7-6B16B1D0493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567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299</xdr:row>
      <xdr:rowOff>0</xdr:rowOff>
    </xdr:from>
    <xdr:to>
      <xdr:col>36</xdr:col>
      <xdr:colOff>152400</xdr:colOff>
      <xdr:row>299</xdr:row>
      <xdr:rowOff>152400</xdr:rowOff>
    </xdr:to>
    <xdr:sp macro="" textlink="">
      <xdr:nvSpPr>
        <xdr:cNvPr id="8590" name="AutoShape 398" descr=".">
          <a:extLst>
            <a:ext uri="{FF2B5EF4-FFF2-40B4-BE49-F238E27FC236}">
              <a16:creationId xmlns:a16="http://schemas.microsoft.com/office/drawing/2014/main" id="{FA57365F-D258-A858-25DE-F6D860056A0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604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301</xdr:row>
      <xdr:rowOff>0</xdr:rowOff>
    </xdr:from>
    <xdr:to>
      <xdr:col>36</xdr:col>
      <xdr:colOff>152400</xdr:colOff>
      <xdr:row>301</xdr:row>
      <xdr:rowOff>152400</xdr:rowOff>
    </xdr:to>
    <xdr:sp macro="" textlink="">
      <xdr:nvSpPr>
        <xdr:cNvPr id="8591" name="AutoShape 399" descr=".">
          <a:extLst>
            <a:ext uri="{FF2B5EF4-FFF2-40B4-BE49-F238E27FC236}">
              <a16:creationId xmlns:a16="http://schemas.microsoft.com/office/drawing/2014/main" id="{520F89A2-9B2A-18C0-6A8C-6CAEA543F9D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641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303</xdr:row>
      <xdr:rowOff>0</xdr:rowOff>
    </xdr:from>
    <xdr:to>
      <xdr:col>36</xdr:col>
      <xdr:colOff>152400</xdr:colOff>
      <xdr:row>303</xdr:row>
      <xdr:rowOff>152400</xdr:rowOff>
    </xdr:to>
    <xdr:sp macro="" textlink="">
      <xdr:nvSpPr>
        <xdr:cNvPr id="8592" name="AutoShape 400" descr=".">
          <a:extLst>
            <a:ext uri="{FF2B5EF4-FFF2-40B4-BE49-F238E27FC236}">
              <a16:creationId xmlns:a16="http://schemas.microsoft.com/office/drawing/2014/main" id="{B5C5F524-87BF-2E91-D3C5-724DF5037B5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679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305</xdr:row>
      <xdr:rowOff>0</xdr:rowOff>
    </xdr:from>
    <xdr:to>
      <xdr:col>36</xdr:col>
      <xdr:colOff>152400</xdr:colOff>
      <xdr:row>305</xdr:row>
      <xdr:rowOff>152400</xdr:rowOff>
    </xdr:to>
    <xdr:sp macro="" textlink="">
      <xdr:nvSpPr>
        <xdr:cNvPr id="8593" name="AutoShape 401" descr=".">
          <a:extLst>
            <a:ext uri="{FF2B5EF4-FFF2-40B4-BE49-F238E27FC236}">
              <a16:creationId xmlns:a16="http://schemas.microsoft.com/office/drawing/2014/main" id="{A7744610-5457-420E-18BD-1BCE6B60A21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716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307</xdr:row>
      <xdr:rowOff>0</xdr:rowOff>
    </xdr:from>
    <xdr:to>
      <xdr:col>36</xdr:col>
      <xdr:colOff>152400</xdr:colOff>
      <xdr:row>307</xdr:row>
      <xdr:rowOff>152400</xdr:rowOff>
    </xdr:to>
    <xdr:sp macro="" textlink="">
      <xdr:nvSpPr>
        <xdr:cNvPr id="8594" name="AutoShape 402" descr=".">
          <a:extLst>
            <a:ext uri="{FF2B5EF4-FFF2-40B4-BE49-F238E27FC236}">
              <a16:creationId xmlns:a16="http://schemas.microsoft.com/office/drawing/2014/main" id="{52A10195-0D95-191A-5120-6CC415C0828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754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309</xdr:row>
      <xdr:rowOff>0</xdr:rowOff>
    </xdr:from>
    <xdr:to>
      <xdr:col>36</xdr:col>
      <xdr:colOff>152400</xdr:colOff>
      <xdr:row>309</xdr:row>
      <xdr:rowOff>152400</xdr:rowOff>
    </xdr:to>
    <xdr:sp macro="" textlink="">
      <xdr:nvSpPr>
        <xdr:cNvPr id="8595" name="AutoShape 403" descr=".">
          <a:extLst>
            <a:ext uri="{FF2B5EF4-FFF2-40B4-BE49-F238E27FC236}">
              <a16:creationId xmlns:a16="http://schemas.microsoft.com/office/drawing/2014/main" id="{BCE76682-B18E-E5D1-128D-008503CC4EC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791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311</xdr:row>
      <xdr:rowOff>0</xdr:rowOff>
    </xdr:from>
    <xdr:to>
      <xdr:col>36</xdr:col>
      <xdr:colOff>152400</xdr:colOff>
      <xdr:row>311</xdr:row>
      <xdr:rowOff>152400</xdr:rowOff>
    </xdr:to>
    <xdr:sp macro="" textlink="">
      <xdr:nvSpPr>
        <xdr:cNvPr id="8596" name="AutoShape 404" descr=".">
          <a:extLst>
            <a:ext uri="{FF2B5EF4-FFF2-40B4-BE49-F238E27FC236}">
              <a16:creationId xmlns:a16="http://schemas.microsoft.com/office/drawing/2014/main" id="{1862EAF9-7F1E-9D95-B653-DC91529B088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829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313</xdr:row>
      <xdr:rowOff>0</xdr:rowOff>
    </xdr:from>
    <xdr:to>
      <xdr:col>36</xdr:col>
      <xdr:colOff>152400</xdr:colOff>
      <xdr:row>313</xdr:row>
      <xdr:rowOff>152400</xdr:rowOff>
    </xdr:to>
    <xdr:sp macro="" textlink="">
      <xdr:nvSpPr>
        <xdr:cNvPr id="8597" name="AutoShape 405" descr=".">
          <a:extLst>
            <a:ext uri="{FF2B5EF4-FFF2-40B4-BE49-F238E27FC236}">
              <a16:creationId xmlns:a16="http://schemas.microsoft.com/office/drawing/2014/main" id="{8CA12612-402C-586D-4686-4DC04ABC171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866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315</xdr:row>
      <xdr:rowOff>0</xdr:rowOff>
    </xdr:from>
    <xdr:to>
      <xdr:col>36</xdr:col>
      <xdr:colOff>152400</xdr:colOff>
      <xdr:row>315</xdr:row>
      <xdr:rowOff>152400</xdr:rowOff>
    </xdr:to>
    <xdr:sp macro="" textlink="">
      <xdr:nvSpPr>
        <xdr:cNvPr id="8598" name="AutoShape 406" descr=".">
          <a:extLst>
            <a:ext uri="{FF2B5EF4-FFF2-40B4-BE49-F238E27FC236}">
              <a16:creationId xmlns:a16="http://schemas.microsoft.com/office/drawing/2014/main" id="{66A155A9-ABAF-1EDE-7F95-0F2D9BA9F99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904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317</xdr:row>
      <xdr:rowOff>0</xdr:rowOff>
    </xdr:from>
    <xdr:to>
      <xdr:col>36</xdr:col>
      <xdr:colOff>152400</xdr:colOff>
      <xdr:row>317</xdr:row>
      <xdr:rowOff>152400</xdr:rowOff>
    </xdr:to>
    <xdr:sp macro="" textlink="">
      <xdr:nvSpPr>
        <xdr:cNvPr id="8599" name="AutoShape 407" descr=".">
          <a:extLst>
            <a:ext uri="{FF2B5EF4-FFF2-40B4-BE49-F238E27FC236}">
              <a16:creationId xmlns:a16="http://schemas.microsoft.com/office/drawing/2014/main" id="{7B7810BA-B7B1-F816-90D3-BA3E52BD57B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9416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319</xdr:row>
      <xdr:rowOff>0</xdr:rowOff>
    </xdr:from>
    <xdr:to>
      <xdr:col>36</xdr:col>
      <xdr:colOff>152400</xdr:colOff>
      <xdr:row>319</xdr:row>
      <xdr:rowOff>152400</xdr:rowOff>
    </xdr:to>
    <xdr:sp macro="" textlink="">
      <xdr:nvSpPr>
        <xdr:cNvPr id="8600" name="AutoShape 408" descr=".">
          <a:extLst>
            <a:ext uri="{FF2B5EF4-FFF2-40B4-BE49-F238E27FC236}">
              <a16:creationId xmlns:a16="http://schemas.microsoft.com/office/drawing/2014/main" id="{051FED83-D8C2-2483-4B51-8F6370E4A2A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5979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321</xdr:row>
      <xdr:rowOff>0</xdr:rowOff>
    </xdr:from>
    <xdr:to>
      <xdr:col>36</xdr:col>
      <xdr:colOff>152400</xdr:colOff>
      <xdr:row>321</xdr:row>
      <xdr:rowOff>152400</xdr:rowOff>
    </xdr:to>
    <xdr:sp macro="" textlink="">
      <xdr:nvSpPr>
        <xdr:cNvPr id="8601" name="AutoShape 409" descr=".">
          <a:extLst>
            <a:ext uri="{FF2B5EF4-FFF2-40B4-BE49-F238E27FC236}">
              <a16:creationId xmlns:a16="http://schemas.microsoft.com/office/drawing/2014/main" id="{88435619-9A64-CFA4-A690-B2BA36F5DDF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0166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323</xdr:row>
      <xdr:rowOff>0</xdr:rowOff>
    </xdr:from>
    <xdr:to>
      <xdr:col>36</xdr:col>
      <xdr:colOff>152400</xdr:colOff>
      <xdr:row>323</xdr:row>
      <xdr:rowOff>152400</xdr:rowOff>
    </xdr:to>
    <xdr:sp macro="" textlink="">
      <xdr:nvSpPr>
        <xdr:cNvPr id="8602" name="AutoShape 410" descr=".">
          <a:extLst>
            <a:ext uri="{FF2B5EF4-FFF2-40B4-BE49-F238E27FC236}">
              <a16:creationId xmlns:a16="http://schemas.microsoft.com/office/drawing/2014/main" id="{403D0E1A-BC7D-64F3-C523-66E1C86D466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054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325</xdr:row>
      <xdr:rowOff>0</xdr:rowOff>
    </xdr:from>
    <xdr:to>
      <xdr:col>36</xdr:col>
      <xdr:colOff>152400</xdr:colOff>
      <xdr:row>325</xdr:row>
      <xdr:rowOff>152400</xdr:rowOff>
    </xdr:to>
    <xdr:sp macro="" textlink="">
      <xdr:nvSpPr>
        <xdr:cNvPr id="8603" name="AutoShape 411" descr=".">
          <a:extLst>
            <a:ext uri="{FF2B5EF4-FFF2-40B4-BE49-F238E27FC236}">
              <a16:creationId xmlns:a16="http://schemas.microsoft.com/office/drawing/2014/main" id="{B8937044-509E-DF13-ED7A-02275D261E4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091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327</xdr:row>
      <xdr:rowOff>0</xdr:rowOff>
    </xdr:from>
    <xdr:to>
      <xdr:col>36</xdr:col>
      <xdr:colOff>152400</xdr:colOff>
      <xdr:row>327</xdr:row>
      <xdr:rowOff>152400</xdr:rowOff>
    </xdr:to>
    <xdr:sp macro="" textlink="">
      <xdr:nvSpPr>
        <xdr:cNvPr id="8604" name="AutoShape 412" descr=".">
          <a:extLst>
            <a:ext uri="{FF2B5EF4-FFF2-40B4-BE49-F238E27FC236}">
              <a16:creationId xmlns:a16="http://schemas.microsoft.com/office/drawing/2014/main" id="{B8EA6EBB-E7BF-A5D5-C013-94A3C8DE077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129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329</xdr:row>
      <xdr:rowOff>0</xdr:rowOff>
    </xdr:from>
    <xdr:to>
      <xdr:col>36</xdr:col>
      <xdr:colOff>152400</xdr:colOff>
      <xdr:row>329</xdr:row>
      <xdr:rowOff>152400</xdr:rowOff>
    </xdr:to>
    <xdr:sp macro="" textlink="">
      <xdr:nvSpPr>
        <xdr:cNvPr id="8605" name="AutoShape 413" descr=".">
          <a:extLst>
            <a:ext uri="{FF2B5EF4-FFF2-40B4-BE49-F238E27FC236}">
              <a16:creationId xmlns:a16="http://schemas.microsoft.com/office/drawing/2014/main" id="{97C2EAC4-B1F7-EFF6-758D-187E7648260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166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331</xdr:row>
      <xdr:rowOff>0</xdr:rowOff>
    </xdr:from>
    <xdr:to>
      <xdr:col>36</xdr:col>
      <xdr:colOff>152400</xdr:colOff>
      <xdr:row>331</xdr:row>
      <xdr:rowOff>152400</xdr:rowOff>
    </xdr:to>
    <xdr:sp macro="" textlink="">
      <xdr:nvSpPr>
        <xdr:cNvPr id="8606" name="AutoShape 414" descr=".">
          <a:extLst>
            <a:ext uri="{FF2B5EF4-FFF2-40B4-BE49-F238E27FC236}">
              <a16:creationId xmlns:a16="http://schemas.microsoft.com/office/drawing/2014/main" id="{E01635D9-3965-BC1B-AF88-D5E385F3DC4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20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333</xdr:row>
      <xdr:rowOff>0</xdr:rowOff>
    </xdr:from>
    <xdr:to>
      <xdr:col>36</xdr:col>
      <xdr:colOff>152400</xdr:colOff>
      <xdr:row>333</xdr:row>
      <xdr:rowOff>152400</xdr:rowOff>
    </xdr:to>
    <xdr:sp macro="" textlink="">
      <xdr:nvSpPr>
        <xdr:cNvPr id="8607" name="AutoShape 415" descr=".">
          <a:extLst>
            <a:ext uri="{FF2B5EF4-FFF2-40B4-BE49-F238E27FC236}">
              <a16:creationId xmlns:a16="http://schemas.microsoft.com/office/drawing/2014/main" id="{568E349C-623E-0143-6E4D-EA5151AFA53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241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335</xdr:row>
      <xdr:rowOff>0</xdr:rowOff>
    </xdr:from>
    <xdr:to>
      <xdr:col>36</xdr:col>
      <xdr:colOff>152400</xdr:colOff>
      <xdr:row>335</xdr:row>
      <xdr:rowOff>152400</xdr:rowOff>
    </xdr:to>
    <xdr:sp macro="" textlink="">
      <xdr:nvSpPr>
        <xdr:cNvPr id="8608" name="AutoShape 416" descr=".">
          <a:extLst>
            <a:ext uri="{FF2B5EF4-FFF2-40B4-BE49-F238E27FC236}">
              <a16:creationId xmlns:a16="http://schemas.microsoft.com/office/drawing/2014/main" id="{47855C69-E801-8988-5E66-586359FA5AF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278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337</xdr:row>
      <xdr:rowOff>0</xdr:rowOff>
    </xdr:from>
    <xdr:to>
      <xdr:col>36</xdr:col>
      <xdr:colOff>152400</xdr:colOff>
      <xdr:row>337</xdr:row>
      <xdr:rowOff>152400</xdr:rowOff>
    </xdr:to>
    <xdr:sp macro="" textlink="">
      <xdr:nvSpPr>
        <xdr:cNvPr id="8609" name="AutoShape 417" descr=".">
          <a:extLst>
            <a:ext uri="{FF2B5EF4-FFF2-40B4-BE49-F238E27FC236}">
              <a16:creationId xmlns:a16="http://schemas.microsoft.com/office/drawing/2014/main" id="{00340944-411E-7270-8CB3-E92F02243A1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316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339</xdr:row>
      <xdr:rowOff>0</xdr:rowOff>
    </xdr:from>
    <xdr:to>
      <xdr:col>36</xdr:col>
      <xdr:colOff>152400</xdr:colOff>
      <xdr:row>339</xdr:row>
      <xdr:rowOff>152400</xdr:rowOff>
    </xdr:to>
    <xdr:sp macro="" textlink="">
      <xdr:nvSpPr>
        <xdr:cNvPr id="8610" name="AutoShape 418" descr=".">
          <a:extLst>
            <a:ext uri="{FF2B5EF4-FFF2-40B4-BE49-F238E27FC236}">
              <a16:creationId xmlns:a16="http://schemas.microsoft.com/office/drawing/2014/main" id="{34D247CB-0171-99FA-7685-E701C9332B6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353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341</xdr:row>
      <xdr:rowOff>0</xdr:rowOff>
    </xdr:from>
    <xdr:to>
      <xdr:col>36</xdr:col>
      <xdr:colOff>152400</xdr:colOff>
      <xdr:row>341</xdr:row>
      <xdr:rowOff>152400</xdr:rowOff>
    </xdr:to>
    <xdr:sp macro="" textlink="">
      <xdr:nvSpPr>
        <xdr:cNvPr id="8611" name="AutoShape 419" descr=".">
          <a:extLst>
            <a:ext uri="{FF2B5EF4-FFF2-40B4-BE49-F238E27FC236}">
              <a16:creationId xmlns:a16="http://schemas.microsoft.com/office/drawing/2014/main" id="{E870F686-D9C3-943A-B95C-674E4E93EBB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391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343</xdr:row>
      <xdr:rowOff>0</xdr:rowOff>
    </xdr:from>
    <xdr:to>
      <xdr:col>36</xdr:col>
      <xdr:colOff>152400</xdr:colOff>
      <xdr:row>343</xdr:row>
      <xdr:rowOff>152400</xdr:rowOff>
    </xdr:to>
    <xdr:sp macro="" textlink="">
      <xdr:nvSpPr>
        <xdr:cNvPr id="8612" name="AutoShape 420" descr=".">
          <a:extLst>
            <a:ext uri="{FF2B5EF4-FFF2-40B4-BE49-F238E27FC236}">
              <a16:creationId xmlns:a16="http://schemas.microsoft.com/office/drawing/2014/main" id="{237B556C-96C6-8CFD-F05C-99FC8C71ACB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428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345</xdr:row>
      <xdr:rowOff>0</xdr:rowOff>
    </xdr:from>
    <xdr:to>
      <xdr:col>36</xdr:col>
      <xdr:colOff>152400</xdr:colOff>
      <xdr:row>345</xdr:row>
      <xdr:rowOff>152400</xdr:rowOff>
    </xdr:to>
    <xdr:sp macro="" textlink="">
      <xdr:nvSpPr>
        <xdr:cNvPr id="8613" name="AutoShape 421" descr=".">
          <a:extLst>
            <a:ext uri="{FF2B5EF4-FFF2-40B4-BE49-F238E27FC236}">
              <a16:creationId xmlns:a16="http://schemas.microsoft.com/office/drawing/2014/main" id="{0D5E1980-361A-4FD0-3F83-628767E79A9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466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347</xdr:row>
      <xdr:rowOff>0</xdr:rowOff>
    </xdr:from>
    <xdr:to>
      <xdr:col>36</xdr:col>
      <xdr:colOff>152400</xdr:colOff>
      <xdr:row>347</xdr:row>
      <xdr:rowOff>152400</xdr:rowOff>
    </xdr:to>
    <xdr:sp macro="" textlink="">
      <xdr:nvSpPr>
        <xdr:cNvPr id="8614" name="AutoShape 422" descr=".">
          <a:extLst>
            <a:ext uri="{FF2B5EF4-FFF2-40B4-BE49-F238E27FC236}">
              <a16:creationId xmlns:a16="http://schemas.microsoft.com/office/drawing/2014/main" id="{5340532E-E9B7-B9AC-333C-374CA54950D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503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349</xdr:row>
      <xdr:rowOff>0</xdr:rowOff>
    </xdr:from>
    <xdr:to>
      <xdr:col>36</xdr:col>
      <xdr:colOff>152400</xdr:colOff>
      <xdr:row>349</xdr:row>
      <xdr:rowOff>152400</xdr:rowOff>
    </xdr:to>
    <xdr:sp macro="" textlink="">
      <xdr:nvSpPr>
        <xdr:cNvPr id="8615" name="AutoShape 423" descr=".">
          <a:extLst>
            <a:ext uri="{FF2B5EF4-FFF2-40B4-BE49-F238E27FC236}">
              <a16:creationId xmlns:a16="http://schemas.microsoft.com/office/drawing/2014/main" id="{291E4A76-9FB8-DF57-026A-75163324D56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541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351</xdr:row>
      <xdr:rowOff>0</xdr:rowOff>
    </xdr:from>
    <xdr:to>
      <xdr:col>36</xdr:col>
      <xdr:colOff>152400</xdr:colOff>
      <xdr:row>351</xdr:row>
      <xdr:rowOff>152400</xdr:rowOff>
    </xdr:to>
    <xdr:sp macro="" textlink="">
      <xdr:nvSpPr>
        <xdr:cNvPr id="8616" name="AutoShape 424" descr=".">
          <a:extLst>
            <a:ext uri="{FF2B5EF4-FFF2-40B4-BE49-F238E27FC236}">
              <a16:creationId xmlns:a16="http://schemas.microsoft.com/office/drawing/2014/main" id="{B2BEC881-85A5-5B4F-9CDD-70CE0D900A8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57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353</xdr:row>
      <xdr:rowOff>0</xdr:rowOff>
    </xdr:from>
    <xdr:to>
      <xdr:col>36</xdr:col>
      <xdr:colOff>152400</xdr:colOff>
      <xdr:row>353</xdr:row>
      <xdr:rowOff>152400</xdr:rowOff>
    </xdr:to>
    <xdr:sp macro="" textlink="">
      <xdr:nvSpPr>
        <xdr:cNvPr id="8617" name="AutoShape 425" descr=".">
          <a:extLst>
            <a:ext uri="{FF2B5EF4-FFF2-40B4-BE49-F238E27FC236}">
              <a16:creationId xmlns:a16="http://schemas.microsoft.com/office/drawing/2014/main" id="{55E264BA-DAF8-A1F9-C1F5-0D65D07B53E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61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355</xdr:row>
      <xdr:rowOff>0</xdr:rowOff>
    </xdr:from>
    <xdr:to>
      <xdr:col>36</xdr:col>
      <xdr:colOff>152400</xdr:colOff>
      <xdr:row>355</xdr:row>
      <xdr:rowOff>152400</xdr:rowOff>
    </xdr:to>
    <xdr:sp macro="" textlink="">
      <xdr:nvSpPr>
        <xdr:cNvPr id="8618" name="AutoShape 426" descr=".">
          <a:extLst>
            <a:ext uri="{FF2B5EF4-FFF2-40B4-BE49-F238E27FC236}">
              <a16:creationId xmlns:a16="http://schemas.microsoft.com/office/drawing/2014/main" id="{E52031BE-5B41-C49B-C280-8965FF44181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65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357</xdr:row>
      <xdr:rowOff>0</xdr:rowOff>
    </xdr:from>
    <xdr:to>
      <xdr:col>36</xdr:col>
      <xdr:colOff>152400</xdr:colOff>
      <xdr:row>357</xdr:row>
      <xdr:rowOff>152400</xdr:rowOff>
    </xdr:to>
    <xdr:sp macro="" textlink="">
      <xdr:nvSpPr>
        <xdr:cNvPr id="8619" name="AutoShape 427" descr=".">
          <a:extLst>
            <a:ext uri="{FF2B5EF4-FFF2-40B4-BE49-F238E27FC236}">
              <a16:creationId xmlns:a16="http://schemas.microsoft.com/office/drawing/2014/main" id="{81A161BC-9EDD-98F5-DB21-E9067E4472D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690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359</xdr:row>
      <xdr:rowOff>0</xdr:rowOff>
    </xdr:from>
    <xdr:to>
      <xdr:col>36</xdr:col>
      <xdr:colOff>152400</xdr:colOff>
      <xdr:row>359</xdr:row>
      <xdr:rowOff>152400</xdr:rowOff>
    </xdr:to>
    <xdr:sp macro="" textlink="">
      <xdr:nvSpPr>
        <xdr:cNvPr id="8620" name="AutoShape 428" descr=".">
          <a:extLst>
            <a:ext uri="{FF2B5EF4-FFF2-40B4-BE49-F238E27FC236}">
              <a16:creationId xmlns:a16="http://schemas.microsoft.com/office/drawing/2014/main" id="{3F37FA9B-EEE5-B362-CF7A-E1BD3B72ECB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728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361</xdr:row>
      <xdr:rowOff>0</xdr:rowOff>
    </xdr:from>
    <xdr:to>
      <xdr:col>36</xdr:col>
      <xdr:colOff>152400</xdr:colOff>
      <xdr:row>361</xdr:row>
      <xdr:rowOff>152400</xdr:rowOff>
    </xdr:to>
    <xdr:sp macro="" textlink="">
      <xdr:nvSpPr>
        <xdr:cNvPr id="8621" name="AutoShape 429" descr=".">
          <a:extLst>
            <a:ext uri="{FF2B5EF4-FFF2-40B4-BE49-F238E27FC236}">
              <a16:creationId xmlns:a16="http://schemas.microsoft.com/office/drawing/2014/main" id="{9DBE3C38-2168-DA67-F013-7E8B486ADE5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765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363</xdr:row>
      <xdr:rowOff>0</xdr:rowOff>
    </xdr:from>
    <xdr:to>
      <xdr:col>36</xdr:col>
      <xdr:colOff>152400</xdr:colOff>
      <xdr:row>363</xdr:row>
      <xdr:rowOff>152400</xdr:rowOff>
    </xdr:to>
    <xdr:sp macro="" textlink="">
      <xdr:nvSpPr>
        <xdr:cNvPr id="8622" name="AutoShape 430" descr=".">
          <a:extLst>
            <a:ext uri="{FF2B5EF4-FFF2-40B4-BE49-F238E27FC236}">
              <a16:creationId xmlns:a16="http://schemas.microsoft.com/office/drawing/2014/main" id="{9F0C80E8-B1C6-FE49-6622-9EA3929191A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803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365</xdr:row>
      <xdr:rowOff>0</xdr:rowOff>
    </xdr:from>
    <xdr:to>
      <xdr:col>36</xdr:col>
      <xdr:colOff>152400</xdr:colOff>
      <xdr:row>365</xdr:row>
      <xdr:rowOff>152400</xdr:rowOff>
    </xdr:to>
    <xdr:sp macro="" textlink="">
      <xdr:nvSpPr>
        <xdr:cNvPr id="8623" name="AutoShape 431" descr=".">
          <a:extLst>
            <a:ext uri="{FF2B5EF4-FFF2-40B4-BE49-F238E27FC236}">
              <a16:creationId xmlns:a16="http://schemas.microsoft.com/office/drawing/2014/main" id="{F2BEA53A-522D-7073-29E4-AE387A6FDA6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840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367</xdr:row>
      <xdr:rowOff>0</xdr:rowOff>
    </xdr:from>
    <xdr:to>
      <xdr:col>36</xdr:col>
      <xdr:colOff>152400</xdr:colOff>
      <xdr:row>367</xdr:row>
      <xdr:rowOff>152400</xdr:rowOff>
    </xdr:to>
    <xdr:sp macro="" textlink="">
      <xdr:nvSpPr>
        <xdr:cNvPr id="8624" name="AutoShape 432" descr=".">
          <a:extLst>
            <a:ext uri="{FF2B5EF4-FFF2-40B4-BE49-F238E27FC236}">
              <a16:creationId xmlns:a16="http://schemas.microsoft.com/office/drawing/2014/main" id="{9EE39AB8-1BB2-EE45-74FE-CA47A4702BC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878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369</xdr:row>
      <xdr:rowOff>0</xdr:rowOff>
    </xdr:from>
    <xdr:to>
      <xdr:col>36</xdr:col>
      <xdr:colOff>152400</xdr:colOff>
      <xdr:row>369</xdr:row>
      <xdr:rowOff>152400</xdr:rowOff>
    </xdr:to>
    <xdr:sp macro="" textlink="">
      <xdr:nvSpPr>
        <xdr:cNvPr id="8625" name="AutoShape 433" descr=".">
          <a:extLst>
            <a:ext uri="{FF2B5EF4-FFF2-40B4-BE49-F238E27FC236}">
              <a16:creationId xmlns:a16="http://schemas.microsoft.com/office/drawing/2014/main" id="{D90C94D9-2B61-DFD9-FC32-4E89F7953B0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915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371</xdr:row>
      <xdr:rowOff>0</xdr:rowOff>
    </xdr:from>
    <xdr:to>
      <xdr:col>36</xdr:col>
      <xdr:colOff>152400</xdr:colOff>
      <xdr:row>371</xdr:row>
      <xdr:rowOff>152400</xdr:rowOff>
    </xdr:to>
    <xdr:sp macro="" textlink="">
      <xdr:nvSpPr>
        <xdr:cNvPr id="8626" name="AutoShape 434" descr=".">
          <a:extLst>
            <a:ext uri="{FF2B5EF4-FFF2-40B4-BE49-F238E27FC236}">
              <a16:creationId xmlns:a16="http://schemas.microsoft.com/office/drawing/2014/main" id="{CD59DBD4-3121-BE41-46D1-7391C6A7DD1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953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373</xdr:row>
      <xdr:rowOff>0</xdr:rowOff>
    </xdr:from>
    <xdr:to>
      <xdr:col>36</xdr:col>
      <xdr:colOff>152400</xdr:colOff>
      <xdr:row>373</xdr:row>
      <xdr:rowOff>152400</xdr:rowOff>
    </xdr:to>
    <xdr:sp macro="" textlink="">
      <xdr:nvSpPr>
        <xdr:cNvPr id="8627" name="AutoShape 435" descr=".">
          <a:extLst>
            <a:ext uri="{FF2B5EF4-FFF2-40B4-BE49-F238E27FC236}">
              <a16:creationId xmlns:a16="http://schemas.microsoft.com/office/drawing/2014/main" id="{9500F76F-C9A3-7FCE-CED2-1B6D901F7AD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6990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375</xdr:row>
      <xdr:rowOff>0</xdr:rowOff>
    </xdr:from>
    <xdr:to>
      <xdr:col>36</xdr:col>
      <xdr:colOff>152400</xdr:colOff>
      <xdr:row>375</xdr:row>
      <xdr:rowOff>152400</xdr:rowOff>
    </xdr:to>
    <xdr:sp macro="" textlink="">
      <xdr:nvSpPr>
        <xdr:cNvPr id="8628" name="AutoShape 436" descr=".">
          <a:extLst>
            <a:ext uri="{FF2B5EF4-FFF2-40B4-BE49-F238E27FC236}">
              <a16:creationId xmlns:a16="http://schemas.microsoft.com/office/drawing/2014/main" id="{05444275-4F4A-3FB1-24D2-6EF59886125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028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377</xdr:row>
      <xdr:rowOff>0</xdr:rowOff>
    </xdr:from>
    <xdr:to>
      <xdr:col>36</xdr:col>
      <xdr:colOff>152400</xdr:colOff>
      <xdr:row>377</xdr:row>
      <xdr:rowOff>152400</xdr:rowOff>
    </xdr:to>
    <xdr:sp macro="" textlink="">
      <xdr:nvSpPr>
        <xdr:cNvPr id="8629" name="AutoShape 437" descr=".">
          <a:extLst>
            <a:ext uri="{FF2B5EF4-FFF2-40B4-BE49-F238E27FC236}">
              <a16:creationId xmlns:a16="http://schemas.microsoft.com/office/drawing/2014/main" id="{1F1CC8FD-2066-90D8-A37C-F0FD1F0E2FD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065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379</xdr:row>
      <xdr:rowOff>0</xdr:rowOff>
    </xdr:from>
    <xdr:to>
      <xdr:col>36</xdr:col>
      <xdr:colOff>152400</xdr:colOff>
      <xdr:row>379</xdr:row>
      <xdr:rowOff>152400</xdr:rowOff>
    </xdr:to>
    <xdr:sp macro="" textlink="">
      <xdr:nvSpPr>
        <xdr:cNvPr id="8630" name="AutoShape 438" descr=".">
          <a:extLst>
            <a:ext uri="{FF2B5EF4-FFF2-40B4-BE49-F238E27FC236}">
              <a16:creationId xmlns:a16="http://schemas.microsoft.com/office/drawing/2014/main" id="{DED798A0-71CF-BD18-7E99-CCAAD292F2D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103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381</xdr:row>
      <xdr:rowOff>0</xdr:rowOff>
    </xdr:from>
    <xdr:to>
      <xdr:col>36</xdr:col>
      <xdr:colOff>152400</xdr:colOff>
      <xdr:row>381</xdr:row>
      <xdr:rowOff>152400</xdr:rowOff>
    </xdr:to>
    <xdr:sp macro="" textlink="">
      <xdr:nvSpPr>
        <xdr:cNvPr id="8631" name="AutoShape 439" descr=".">
          <a:extLst>
            <a:ext uri="{FF2B5EF4-FFF2-40B4-BE49-F238E27FC236}">
              <a16:creationId xmlns:a16="http://schemas.microsoft.com/office/drawing/2014/main" id="{F91FE9B0-8AA4-6CFC-F555-0E68C563F6B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140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383</xdr:row>
      <xdr:rowOff>0</xdr:rowOff>
    </xdr:from>
    <xdr:to>
      <xdr:col>36</xdr:col>
      <xdr:colOff>152400</xdr:colOff>
      <xdr:row>383</xdr:row>
      <xdr:rowOff>152400</xdr:rowOff>
    </xdr:to>
    <xdr:sp macro="" textlink="">
      <xdr:nvSpPr>
        <xdr:cNvPr id="8632" name="AutoShape 440" descr=".">
          <a:extLst>
            <a:ext uri="{FF2B5EF4-FFF2-40B4-BE49-F238E27FC236}">
              <a16:creationId xmlns:a16="http://schemas.microsoft.com/office/drawing/2014/main" id="{51AAE676-FFB4-BCD0-EEE6-52EB5A91F00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178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385</xdr:row>
      <xdr:rowOff>0</xdr:rowOff>
    </xdr:from>
    <xdr:to>
      <xdr:col>36</xdr:col>
      <xdr:colOff>152400</xdr:colOff>
      <xdr:row>385</xdr:row>
      <xdr:rowOff>152400</xdr:rowOff>
    </xdr:to>
    <xdr:sp macro="" textlink="">
      <xdr:nvSpPr>
        <xdr:cNvPr id="8633" name="AutoShape 441" descr=".">
          <a:extLst>
            <a:ext uri="{FF2B5EF4-FFF2-40B4-BE49-F238E27FC236}">
              <a16:creationId xmlns:a16="http://schemas.microsoft.com/office/drawing/2014/main" id="{17D24ACF-0A17-4E51-5A98-CEE21E7D572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215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387</xdr:row>
      <xdr:rowOff>0</xdr:rowOff>
    </xdr:from>
    <xdr:to>
      <xdr:col>36</xdr:col>
      <xdr:colOff>152400</xdr:colOff>
      <xdr:row>387</xdr:row>
      <xdr:rowOff>152400</xdr:rowOff>
    </xdr:to>
    <xdr:sp macro="" textlink="">
      <xdr:nvSpPr>
        <xdr:cNvPr id="8634" name="AutoShape 442" descr=".">
          <a:extLst>
            <a:ext uri="{FF2B5EF4-FFF2-40B4-BE49-F238E27FC236}">
              <a16:creationId xmlns:a16="http://schemas.microsoft.com/office/drawing/2014/main" id="{1A72D3F9-99A6-C13F-ED5E-744731AA318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252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389</xdr:row>
      <xdr:rowOff>0</xdr:rowOff>
    </xdr:from>
    <xdr:to>
      <xdr:col>36</xdr:col>
      <xdr:colOff>152400</xdr:colOff>
      <xdr:row>389</xdr:row>
      <xdr:rowOff>152400</xdr:rowOff>
    </xdr:to>
    <xdr:sp macro="" textlink="">
      <xdr:nvSpPr>
        <xdr:cNvPr id="8635" name="AutoShape 443" descr=".">
          <a:extLst>
            <a:ext uri="{FF2B5EF4-FFF2-40B4-BE49-F238E27FC236}">
              <a16:creationId xmlns:a16="http://schemas.microsoft.com/office/drawing/2014/main" id="{BFCFAFB6-1091-F5E2-E242-09A9534D516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290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391</xdr:row>
      <xdr:rowOff>0</xdr:rowOff>
    </xdr:from>
    <xdr:to>
      <xdr:col>36</xdr:col>
      <xdr:colOff>152400</xdr:colOff>
      <xdr:row>391</xdr:row>
      <xdr:rowOff>152400</xdr:rowOff>
    </xdr:to>
    <xdr:sp macro="" textlink="">
      <xdr:nvSpPr>
        <xdr:cNvPr id="8636" name="AutoShape 444" descr=".">
          <a:extLst>
            <a:ext uri="{FF2B5EF4-FFF2-40B4-BE49-F238E27FC236}">
              <a16:creationId xmlns:a16="http://schemas.microsoft.com/office/drawing/2014/main" id="{2F776161-6209-93A6-1FF1-05467CE4EF3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327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393</xdr:row>
      <xdr:rowOff>0</xdr:rowOff>
    </xdr:from>
    <xdr:to>
      <xdr:col>36</xdr:col>
      <xdr:colOff>152400</xdr:colOff>
      <xdr:row>393</xdr:row>
      <xdr:rowOff>152400</xdr:rowOff>
    </xdr:to>
    <xdr:sp macro="" textlink="">
      <xdr:nvSpPr>
        <xdr:cNvPr id="8637" name="AutoShape 445" descr=".">
          <a:extLst>
            <a:ext uri="{FF2B5EF4-FFF2-40B4-BE49-F238E27FC236}">
              <a16:creationId xmlns:a16="http://schemas.microsoft.com/office/drawing/2014/main" id="{0D541A9D-7E41-8AA7-7CD0-057E7C4341C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365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395</xdr:row>
      <xdr:rowOff>0</xdr:rowOff>
    </xdr:from>
    <xdr:to>
      <xdr:col>36</xdr:col>
      <xdr:colOff>152400</xdr:colOff>
      <xdr:row>395</xdr:row>
      <xdr:rowOff>152400</xdr:rowOff>
    </xdr:to>
    <xdr:sp macro="" textlink="">
      <xdr:nvSpPr>
        <xdr:cNvPr id="8638" name="AutoShape 446" descr=".">
          <a:extLst>
            <a:ext uri="{FF2B5EF4-FFF2-40B4-BE49-F238E27FC236}">
              <a16:creationId xmlns:a16="http://schemas.microsoft.com/office/drawing/2014/main" id="{B073805F-0C11-6133-6CA0-7177D3821AF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402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397</xdr:row>
      <xdr:rowOff>0</xdr:rowOff>
    </xdr:from>
    <xdr:to>
      <xdr:col>36</xdr:col>
      <xdr:colOff>152400</xdr:colOff>
      <xdr:row>397</xdr:row>
      <xdr:rowOff>152400</xdr:rowOff>
    </xdr:to>
    <xdr:sp macro="" textlink="">
      <xdr:nvSpPr>
        <xdr:cNvPr id="8639" name="AutoShape 447" descr=".">
          <a:extLst>
            <a:ext uri="{FF2B5EF4-FFF2-40B4-BE49-F238E27FC236}">
              <a16:creationId xmlns:a16="http://schemas.microsoft.com/office/drawing/2014/main" id="{7A85A89C-7841-44CC-3119-3EB6E68B28D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440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399</xdr:row>
      <xdr:rowOff>0</xdr:rowOff>
    </xdr:from>
    <xdr:to>
      <xdr:col>36</xdr:col>
      <xdr:colOff>152400</xdr:colOff>
      <xdr:row>399</xdr:row>
      <xdr:rowOff>152400</xdr:rowOff>
    </xdr:to>
    <xdr:sp macro="" textlink="">
      <xdr:nvSpPr>
        <xdr:cNvPr id="8640" name="AutoShape 448" descr=".">
          <a:extLst>
            <a:ext uri="{FF2B5EF4-FFF2-40B4-BE49-F238E27FC236}">
              <a16:creationId xmlns:a16="http://schemas.microsoft.com/office/drawing/2014/main" id="{2E6FAE49-D9B6-EF07-6F90-0FA3B5BC206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477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401</xdr:row>
      <xdr:rowOff>0</xdr:rowOff>
    </xdr:from>
    <xdr:to>
      <xdr:col>36</xdr:col>
      <xdr:colOff>152400</xdr:colOff>
      <xdr:row>401</xdr:row>
      <xdr:rowOff>152400</xdr:rowOff>
    </xdr:to>
    <xdr:sp macro="" textlink="">
      <xdr:nvSpPr>
        <xdr:cNvPr id="8641" name="AutoShape 449" descr=".">
          <a:extLst>
            <a:ext uri="{FF2B5EF4-FFF2-40B4-BE49-F238E27FC236}">
              <a16:creationId xmlns:a16="http://schemas.microsoft.com/office/drawing/2014/main" id="{E6E12343-6C0F-32FC-CACA-FCAB00695EC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515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403</xdr:row>
      <xdr:rowOff>0</xdr:rowOff>
    </xdr:from>
    <xdr:to>
      <xdr:col>36</xdr:col>
      <xdr:colOff>152400</xdr:colOff>
      <xdr:row>403</xdr:row>
      <xdr:rowOff>152400</xdr:rowOff>
    </xdr:to>
    <xdr:sp macro="" textlink="">
      <xdr:nvSpPr>
        <xdr:cNvPr id="8642" name="AutoShape 450" descr=".">
          <a:extLst>
            <a:ext uri="{FF2B5EF4-FFF2-40B4-BE49-F238E27FC236}">
              <a16:creationId xmlns:a16="http://schemas.microsoft.com/office/drawing/2014/main" id="{558F2BFA-710C-1C3C-55EB-BEE2A952EF7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552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405</xdr:row>
      <xdr:rowOff>0</xdr:rowOff>
    </xdr:from>
    <xdr:to>
      <xdr:col>36</xdr:col>
      <xdr:colOff>152400</xdr:colOff>
      <xdr:row>405</xdr:row>
      <xdr:rowOff>152400</xdr:rowOff>
    </xdr:to>
    <xdr:sp macro="" textlink="">
      <xdr:nvSpPr>
        <xdr:cNvPr id="8643" name="AutoShape 451" descr=".">
          <a:extLst>
            <a:ext uri="{FF2B5EF4-FFF2-40B4-BE49-F238E27FC236}">
              <a16:creationId xmlns:a16="http://schemas.microsoft.com/office/drawing/2014/main" id="{9C9D01CA-B41B-C9B3-D8F0-54D65FC82D7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59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407</xdr:row>
      <xdr:rowOff>0</xdr:rowOff>
    </xdr:from>
    <xdr:to>
      <xdr:col>36</xdr:col>
      <xdr:colOff>152400</xdr:colOff>
      <xdr:row>407</xdr:row>
      <xdr:rowOff>152400</xdr:rowOff>
    </xdr:to>
    <xdr:sp macro="" textlink="">
      <xdr:nvSpPr>
        <xdr:cNvPr id="8644" name="AutoShape 452" descr=".">
          <a:extLst>
            <a:ext uri="{FF2B5EF4-FFF2-40B4-BE49-F238E27FC236}">
              <a16:creationId xmlns:a16="http://schemas.microsoft.com/office/drawing/2014/main" id="{A8F768AD-C5AF-774D-EEF4-2D2919F9491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627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409</xdr:row>
      <xdr:rowOff>0</xdr:rowOff>
    </xdr:from>
    <xdr:to>
      <xdr:col>36</xdr:col>
      <xdr:colOff>152400</xdr:colOff>
      <xdr:row>409</xdr:row>
      <xdr:rowOff>152400</xdr:rowOff>
    </xdr:to>
    <xdr:sp macro="" textlink="">
      <xdr:nvSpPr>
        <xdr:cNvPr id="8645" name="AutoShape 453" descr=".">
          <a:extLst>
            <a:ext uri="{FF2B5EF4-FFF2-40B4-BE49-F238E27FC236}">
              <a16:creationId xmlns:a16="http://schemas.microsoft.com/office/drawing/2014/main" id="{92F9754E-1E86-2F44-7A02-D0A8FE0A553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665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411</xdr:row>
      <xdr:rowOff>0</xdr:rowOff>
    </xdr:from>
    <xdr:to>
      <xdr:col>36</xdr:col>
      <xdr:colOff>152400</xdr:colOff>
      <xdr:row>411</xdr:row>
      <xdr:rowOff>152400</xdr:rowOff>
    </xdr:to>
    <xdr:sp macro="" textlink="">
      <xdr:nvSpPr>
        <xdr:cNvPr id="8646" name="AutoShape 454" descr=".">
          <a:extLst>
            <a:ext uri="{FF2B5EF4-FFF2-40B4-BE49-F238E27FC236}">
              <a16:creationId xmlns:a16="http://schemas.microsoft.com/office/drawing/2014/main" id="{7198AB6B-30DD-EFC3-1D1C-7634C0D1E062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70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413</xdr:row>
      <xdr:rowOff>0</xdr:rowOff>
    </xdr:from>
    <xdr:to>
      <xdr:col>36</xdr:col>
      <xdr:colOff>152400</xdr:colOff>
      <xdr:row>413</xdr:row>
      <xdr:rowOff>152400</xdr:rowOff>
    </xdr:to>
    <xdr:sp macro="" textlink="">
      <xdr:nvSpPr>
        <xdr:cNvPr id="8647" name="AutoShape 455" descr=".">
          <a:extLst>
            <a:ext uri="{FF2B5EF4-FFF2-40B4-BE49-F238E27FC236}">
              <a16:creationId xmlns:a16="http://schemas.microsoft.com/office/drawing/2014/main" id="{CC9B35FE-C1C9-FEA5-425E-D3885937874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74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415</xdr:row>
      <xdr:rowOff>0</xdr:rowOff>
    </xdr:from>
    <xdr:to>
      <xdr:col>36</xdr:col>
      <xdr:colOff>152400</xdr:colOff>
      <xdr:row>415</xdr:row>
      <xdr:rowOff>152400</xdr:rowOff>
    </xdr:to>
    <xdr:sp macro="" textlink="">
      <xdr:nvSpPr>
        <xdr:cNvPr id="8648" name="AutoShape 456" descr=".">
          <a:extLst>
            <a:ext uri="{FF2B5EF4-FFF2-40B4-BE49-F238E27FC236}">
              <a16:creationId xmlns:a16="http://schemas.microsoft.com/office/drawing/2014/main" id="{815D36BF-F888-8429-6E03-B080252FC76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777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417</xdr:row>
      <xdr:rowOff>0</xdr:rowOff>
    </xdr:from>
    <xdr:to>
      <xdr:col>36</xdr:col>
      <xdr:colOff>152400</xdr:colOff>
      <xdr:row>417</xdr:row>
      <xdr:rowOff>152400</xdr:rowOff>
    </xdr:to>
    <xdr:sp macro="" textlink="">
      <xdr:nvSpPr>
        <xdr:cNvPr id="8649" name="AutoShape 457" descr=".">
          <a:extLst>
            <a:ext uri="{FF2B5EF4-FFF2-40B4-BE49-F238E27FC236}">
              <a16:creationId xmlns:a16="http://schemas.microsoft.com/office/drawing/2014/main" id="{585F03DD-3EFD-DA67-9D6B-33636879AAD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814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419</xdr:row>
      <xdr:rowOff>0</xdr:rowOff>
    </xdr:from>
    <xdr:to>
      <xdr:col>36</xdr:col>
      <xdr:colOff>152400</xdr:colOff>
      <xdr:row>419</xdr:row>
      <xdr:rowOff>152400</xdr:rowOff>
    </xdr:to>
    <xdr:sp macro="" textlink="">
      <xdr:nvSpPr>
        <xdr:cNvPr id="8650" name="AutoShape 458" descr=".">
          <a:extLst>
            <a:ext uri="{FF2B5EF4-FFF2-40B4-BE49-F238E27FC236}">
              <a16:creationId xmlns:a16="http://schemas.microsoft.com/office/drawing/2014/main" id="{D0EED197-B410-99EC-E300-EF402C21859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85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421</xdr:row>
      <xdr:rowOff>0</xdr:rowOff>
    </xdr:from>
    <xdr:to>
      <xdr:col>36</xdr:col>
      <xdr:colOff>152400</xdr:colOff>
      <xdr:row>421</xdr:row>
      <xdr:rowOff>152400</xdr:rowOff>
    </xdr:to>
    <xdr:sp macro="" textlink="">
      <xdr:nvSpPr>
        <xdr:cNvPr id="8651" name="AutoShape 459" descr=".">
          <a:extLst>
            <a:ext uri="{FF2B5EF4-FFF2-40B4-BE49-F238E27FC236}">
              <a16:creationId xmlns:a16="http://schemas.microsoft.com/office/drawing/2014/main" id="{745CE661-6016-159A-3165-7F8950979AA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889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423</xdr:row>
      <xdr:rowOff>0</xdr:rowOff>
    </xdr:from>
    <xdr:to>
      <xdr:col>36</xdr:col>
      <xdr:colOff>152400</xdr:colOff>
      <xdr:row>423</xdr:row>
      <xdr:rowOff>152400</xdr:rowOff>
    </xdr:to>
    <xdr:sp macro="" textlink="">
      <xdr:nvSpPr>
        <xdr:cNvPr id="8652" name="AutoShape 460" descr=".">
          <a:extLst>
            <a:ext uri="{FF2B5EF4-FFF2-40B4-BE49-F238E27FC236}">
              <a16:creationId xmlns:a16="http://schemas.microsoft.com/office/drawing/2014/main" id="{4EA00601-84BB-B9C4-39AA-7E164D1CA91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927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425</xdr:row>
      <xdr:rowOff>0</xdr:rowOff>
    </xdr:from>
    <xdr:to>
      <xdr:col>36</xdr:col>
      <xdr:colOff>152400</xdr:colOff>
      <xdr:row>425</xdr:row>
      <xdr:rowOff>152400</xdr:rowOff>
    </xdr:to>
    <xdr:sp macro="" textlink="">
      <xdr:nvSpPr>
        <xdr:cNvPr id="8653" name="AutoShape 461" descr=".">
          <a:extLst>
            <a:ext uri="{FF2B5EF4-FFF2-40B4-BE49-F238E27FC236}">
              <a16:creationId xmlns:a16="http://schemas.microsoft.com/office/drawing/2014/main" id="{09B9EA42-F9AF-3729-0B6F-31C7A4F57A3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7964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427</xdr:row>
      <xdr:rowOff>0</xdr:rowOff>
    </xdr:from>
    <xdr:to>
      <xdr:col>36</xdr:col>
      <xdr:colOff>152400</xdr:colOff>
      <xdr:row>427</xdr:row>
      <xdr:rowOff>152400</xdr:rowOff>
    </xdr:to>
    <xdr:sp macro="" textlink="">
      <xdr:nvSpPr>
        <xdr:cNvPr id="8654" name="AutoShape 462" descr=".">
          <a:extLst>
            <a:ext uri="{FF2B5EF4-FFF2-40B4-BE49-F238E27FC236}">
              <a16:creationId xmlns:a16="http://schemas.microsoft.com/office/drawing/2014/main" id="{09EF2D4A-C095-94A7-0A99-FF3657DD708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002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429</xdr:row>
      <xdr:rowOff>0</xdr:rowOff>
    </xdr:from>
    <xdr:to>
      <xdr:col>36</xdr:col>
      <xdr:colOff>152400</xdr:colOff>
      <xdr:row>429</xdr:row>
      <xdr:rowOff>152400</xdr:rowOff>
    </xdr:to>
    <xdr:sp macro="" textlink="">
      <xdr:nvSpPr>
        <xdr:cNvPr id="8655" name="AutoShape 463" descr=".">
          <a:extLst>
            <a:ext uri="{FF2B5EF4-FFF2-40B4-BE49-F238E27FC236}">
              <a16:creationId xmlns:a16="http://schemas.microsoft.com/office/drawing/2014/main" id="{77A5FE61-2C5D-CABF-41D1-4EE78A817BB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039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431</xdr:row>
      <xdr:rowOff>0</xdr:rowOff>
    </xdr:from>
    <xdr:to>
      <xdr:col>36</xdr:col>
      <xdr:colOff>152400</xdr:colOff>
      <xdr:row>431</xdr:row>
      <xdr:rowOff>152400</xdr:rowOff>
    </xdr:to>
    <xdr:sp macro="" textlink="">
      <xdr:nvSpPr>
        <xdr:cNvPr id="8656" name="AutoShape 464" descr=".">
          <a:extLst>
            <a:ext uri="{FF2B5EF4-FFF2-40B4-BE49-F238E27FC236}">
              <a16:creationId xmlns:a16="http://schemas.microsoft.com/office/drawing/2014/main" id="{27C400EC-DABC-8F3D-04FB-6BDE816A4C0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07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433</xdr:row>
      <xdr:rowOff>0</xdr:rowOff>
    </xdr:from>
    <xdr:to>
      <xdr:col>36</xdr:col>
      <xdr:colOff>152400</xdr:colOff>
      <xdr:row>433</xdr:row>
      <xdr:rowOff>152400</xdr:rowOff>
    </xdr:to>
    <xdr:sp macro="" textlink="">
      <xdr:nvSpPr>
        <xdr:cNvPr id="8657" name="AutoShape 465" descr=".">
          <a:extLst>
            <a:ext uri="{FF2B5EF4-FFF2-40B4-BE49-F238E27FC236}">
              <a16:creationId xmlns:a16="http://schemas.microsoft.com/office/drawing/2014/main" id="{072F65A2-97B9-3068-EEA3-B12689C5A3E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114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435</xdr:row>
      <xdr:rowOff>0</xdr:rowOff>
    </xdr:from>
    <xdr:to>
      <xdr:col>36</xdr:col>
      <xdr:colOff>152400</xdr:colOff>
      <xdr:row>435</xdr:row>
      <xdr:rowOff>152400</xdr:rowOff>
    </xdr:to>
    <xdr:sp macro="" textlink="">
      <xdr:nvSpPr>
        <xdr:cNvPr id="8658" name="AutoShape 466" descr=".">
          <a:extLst>
            <a:ext uri="{FF2B5EF4-FFF2-40B4-BE49-F238E27FC236}">
              <a16:creationId xmlns:a16="http://schemas.microsoft.com/office/drawing/2014/main" id="{5477211D-5369-9C95-5FB2-6A77B531C27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152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437</xdr:row>
      <xdr:rowOff>0</xdr:rowOff>
    </xdr:from>
    <xdr:to>
      <xdr:col>36</xdr:col>
      <xdr:colOff>152400</xdr:colOff>
      <xdr:row>437</xdr:row>
      <xdr:rowOff>152400</xdr:rowOff>
    </xdr:to>
    <xdr:sp macro="" textlink="">
      <xdr:nvSpPr>
        <xdr:cNvPr id="8659" name="AutoShape 467" descr=".">
          <a:extLst>
            <a:ext uri="{FF2B5EF4-FFF2-40B4-BE49-F238E27FC236}">
              <a16:creationId xmlns:a16="http://schemas.microsoft.com/office/drawing/2014/main" id="{82A5AF52-2E4D-111E-B38A-A5E425A85D1C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189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439</xdr:row>
      <xdr:rowOff>0</xdr:rowOff>
    </xdr:from>
    <xdr:to>
      <xdr:col>36</xdr:col>
      <xdr:colOff>152400</xdr:colOff>
      <xdr:row>439</xdr:row>
      <xdr:rowOff>152400</xdr:rowOff>
    </xdr:to>
    <xdr:sp macro="" textlink="">
      <xdr:nvSpPr>
        <xdr:cNvPr id="8660" name="AutoShape 468" descr=".">
          <a:extLst>
            <a:ext uri="{FF2B5EF4-FFF2-40B4-BE49-F238E27FC236}">
              <a16:creationId xmlns:a16="http://schemas.microsoft.com/office/drawing/2014/main" id="{42F2091D-F5D2-02A0-C5F3-CD97392ED24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227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441</xdr:row>
      <xdr:rowOff>0</xdr:rowOff>
    </xdr:from>
    <xdr:to>
      <xdr:col>36</xdr:col>
      <xdr:colOff>152400</xdr:colOff>
      <xdr:row>441</xdr:row>
      <xdr:rowOff>152400</xdr:rowOff>
    </xdr:to>
    <xdr:sp macro="" textlink="">
      <xdr:nvSpPr>
        <xdr:cNvPr id="8661" name="AutoShape 469" descr=".">
          <a:extLst>
            <a:ext uri="{FF2B5EF4-FFF2-40B4-BE49-F238E27FC236}">
              <a16:creationId xmlns:a16="http://schemas.microsoft.com/office/drawing/2014/main" id="{CF50F27A-A0FC-615F-3296-5F12A42034F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264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443</xdr:row>
      <xdr:rowOff>0</xdr:rowOff>
    </xdr:from>
    <xdr:to>
      <xdr:col>36</xdr:col>
      <xdr:colOff>152400</xdr:colOff>
      <xdr:row>443</xdr:row>
      <xdr:rowOff>152400</xdr:rowOff>
    </xdr:to>
    <xdr:sp macro="" textlink="">
      <xdr:nvSpPr>
        <xdr:cNvPr id="8662" name="AutoShape 470" descr=".">
          <a:extLst>
            <a:ext uri="{FF2B5EF4-FFF2-40B4-BE49-F238E27FC236}">
              <a16:creationId xmlns:a16="http://schemas.microsoft.com/office/drawing/2014/main" id="{45031089-EABC-6623-D905-D6475247131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301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445</xdr:row>
      <xdr:rowOff>0</xdr:rowOff>
    </xdr:from>
    <xdr:to>
      <xdr:col>36</xdr:col>
      <xdr:colOff>152400</xdr:colOff>
      <xdr:row>445</xdr:row>
      <xdr:rowOff>152400</xdr:rowOff>
    </xdr:to>
    <xdr:sp macro="" textlink="">
      <xdr:nvSpPr>
        <xdr:cNvPr id="8663" name="AutoShape 471" descr=".">
          <a:extLst>
            <a:ext uri="{FF2B5EF4-FFF2-40B4-BE49-F238E27FC236}">
              <a16:creationId xmlns:a16="http://schemas.microsoft.com/office/drawing/2014/main" id="{C687886A-081D-D9F6-33CB-89BF505D774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339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447</xdr:row>
      <xdr:rowOff>0</xdr:rowOff>
    </xdr:from>
    <xdr:to>
      <xdr:col>36</xdr:col>
      <xdr:colOff>152400</xdr:colOff>
      <xdr:row>447</xdr:row>
      <xdr:rowOff>152400</xdr:rowOff>
    </xdr:to>
    <xdr:sp macro="" textlink="">
      <xdr:nvSpPr>
        <xdr:cNvPr id="8664" name="AutoShape 472" descr=".">
          <a:extLst>
            <a:ext uri="{FF2B5EF4-FFF2-40B4-BE49-F238E27FC236}">
              <a16:creationId xmlns:a16="http://schemas.microsoft.com/office/drawing/2014/main" id="{3A4C33E0-C825-18AB-D313-D26B5380893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376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449</xdr:row>
      <xdr:rowOff>0</xdr:rowOff>
    </xdr:from>
    <xdr:to>
      <xdr:col>36</xdr:col>
      <xdr:colOff>152400</xdr:colOff>
      <xdr:row>449</xdr:row>
      <xdr:rowOff>152400</xdr:rowOff>
    </xdr:to>
    <xdr:sp macro="" textlink="">
      <xdr:nvSpPr>
        <xdr:cNvPr id="8665" name="AutoShape 473" descr=".">
          <a:extLst>
            <a:ext uri="{FF2B5EF4-FFF2-40B4-BE49-F238E27FC236}">
              <a16:creationId xmlns:a16="http://schemas.microsoft.com/office/drawing/2014/main" id="{800631D2-A93E-2166-7E43-4B3E96735FF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414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451</xdr:row>
      <xdr:rowOff>0</xdr:rowOff>
    </xdr:from>
    <xdr:to>
      <xdr:col>36</xdr:col>
      <xdr:colOff>152400</xdr:colOff>
      <xdr:row>451</xdr:row>
      <xdr:rowOff>152400</xdr:rowOff>
    </xdr:to>
    <xdr:sp macro="" textlink="">
      <xdr:nvSpPr>
        <xdr:cNvPr id="8666" name="AutoShape 474" descr=".">
          <a:extLst>
            <a:ext uri="{FF2B5EF4-FFF2-40B4-BE49-F238E27FC236}">
              <a16:creationId xmlns:a16="http://schemas.microsoft.com/office/drawing/2014/main" id="{5A42E7D6-EC5B-BF3F-5CE4-94EE7BAA056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451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453</xdr:row>
      <xdr:rowOff>0</xdr:rowOff>
    </xdr:from>
    <xdr:to>
      <xdr:col>36</xdr:col>
      <xdr:colOff>152400</xdr:colOff>
      <xdr:row>453</xdr:row>
      <xdr:rowOff>152400</xdr:rowOff>
    </xdr:to>
    <xdr:sp macro="" textlink="">
      <xdr:nvSpPr>
        <xdr:cNvPr id="8667" name="AutoShape 475" descr=".">
          <a:extLst>
            <a:ext uri="{FF2B5EF4-FFF2-40B4-BE49-F238E27FC236}">
              <a16:creationId xmlns:a16="http://schemas.microsoft.com/office/drawing/2014/main" id="{559C312B-30DD-2765-1869-EA5887406FE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489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455</xdr:row>
      <xdr:rowOff>0</xdr:rowOff>
    </xdr:from>
    <xdr:to>
      <xdr:col>36</xdr:col>
      <xdr:colOff>152400</xdr:colOff>
      <xdr:row>455</xdr:row>
      <xdr:rowOff>152400</xdr:rowOff>
    </xdr:to>
    <xdr:sp macro="" textlink="">
      <xdr:nvSpPr>
        <xdr:cNvPr id="8668" name="AutoShape 476" descr=".">
          <a:extLst>
            <a:ext uri="{FF2B5EF4-FFF2-40B4-BE49-F238E27FC236}">
              <a16:creationId xmlns:a16="http://schemas.microsoft.com/office/drawing/2014/main" id="{E040E695-D039-053C-DBCC-9B8B1E3AC2C3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526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457</xdr:row>
      <xdr:rowOff>0</xdr:rowOff>
    </xdr:from>
    <xdr:to>
      <xdr:col>36</xdr:col>
      <xdr:colOff>152400</xdr:colOff>
      <xdr:row>457</xdr:row>
      <xdr:rowOff>152400</xdr:rowOff>
    </xdr:to>
    <xdr:sp macro="" textlink="">
      <xdr:nvSpPr>
        <xdr:cNvPr id="8669" name="AutoShape 477" descr=".">
          <a:extLst>
            <a:ext uri="{FF2B5EF4-FFF2-40B4-BE49-F238E27FC236}">
              <a16:creationId xmlns:a16="http://schemas.microsoft.com/office/drawing/2014/main" id="{71959E7E-A221-DE3F-C24A-FFD84A14A36E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564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459</xdr:row>
      <xdr:rowOff>0</xdr:rowOff>
    </xdr:from>
    <xdr:to>
      <xdr:col>36</xdr:col>
      <xdr:colOff>152400</xdr:colOff>
      <xdr:row>459</xdr:row>
      <xdr:rowOff>152400</xdr:rowOff>
    </xdr:to>
    <xdr:sp macro="" textlink="">
      <xdr:nvSpPr>
        <xdr:cNvPr id="8670" name="AutoShape 478" descr=".">
          <a:extLst>
            <a:ext uri="{FF2B5EF4-FFF2-40B4-BE49-F238E27FC236}">
              <a16:creationId xmlns:a16="http://schemas.microsoft.com/office/drawing/2014/main" id="{8F89947B-064D-F6F5-DB63-7A852CBE3956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601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461</xdr:row>
      <xdr:rowOff>0</xdr:rowOff>
    </xdr:from>
    <xdr:to>
      <xdr:col>36</xdr:col>
      <xdr:colOff>152400</xdr:colOff>
      <xdr:row>461</xdr:row>
      <xdr:rowOff>152400</xdr:rowOff>
    </xdr:to>
    <xdr:sp macro="" textlink="">
      <xdr:nvSpPr>
        <xdr:cNvPr id="8671" name="AutoShape 479" descr=".">
          <a:extLst>
            <a:ext uri="{FF2B5EF4-FFF2-40B4-BE49-F238E27FC236}">
              <a16:creationId xmlns:a16="http://schemas.microsoft.com/office/drawing/2014/main" id="{227EB484-7BB4-FBB0-2AC1-A2D73F22CC0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639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463</xdr:row>
      <xdr:rowOff>0</xdr:rowOff>
    </xdr:from>
    <xdr:to>
      <xdr:col>36</xdr:col>
      <xdr:colOff>152400</xdr:colOff>
      <xdr:row>463</xdr:row>
      <xdr:rowOff>152400</xdr:rowOff>
    </xdr:to>
    <xdr:sp macro="" textlink="">
      <xdr:nvSpPr>
        <xdr:cNvPr id="8672" name="AutoShape 480" descr=".">
          <a:extLst>
            <a:ext uri="{FF2B5EF4-FFF2-40B4-BE49-F238E27FC236}">
              <a16:creationId xmlns:a16="http://schemas.microsoft.com/office/drawing/2014/main" id="{852D01E1-0181-F01B-598E-78D19CD5E80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676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465</xdr:row>
      <xdr:rowOff>0</xdr:rowOff>
    </xdr:from>
    <xdr:to>
      <xdr:col>36</xdr:col>
      <xdr:colOff>152400</xdr:colOff>
      <xdr:row>465</xdr:row>
      <xdr:rowOff>152400</xdr:rowOff>
    </xdr:to>
    <xdr:sp macro="" textlink="">
      <xdr:nvSpPr>
        <xdr:cNvPr id="8673" name="AutoShape 481" descr=".">
          <a:extLst>
            <a:ext uri="{FF2B5EF4-FFF2-40B4-BE49-F238E27FC236}">
              <a16:creationId xmlns:a16="http://schemas.microsoft.com/office/drawing/2014/main" id="{B2BF8B68-786E-484C-0667-522A647C92CF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714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467</xdr:row>
      <xdr:rowOff>0</xdr:rowOff>
    </xdr:from>
    <xdr:to>
      <xdr:col>36</xdr:col>
      <xdr:colOff>152400</xdr:colOff>
      <xdr:row>467</xdr:row>
      <xdr:rowOff>152400</xdr:rowOff>
    </xdr:to>
    <xdr:sp macro="" textlink="">
      <xdr:nvSpPr>
        <xdr:cNvPr id="8674" name="AutoShape 482" descr=".">
          <a:extLst>
            <a:ext uri="{FF2B5EF4-FFF2-40B4-BE49-F238E27FC236}">
              <a16:creationId xmlns:a16="http://schemas.microsoft.com/office/drawing/2014/main" id="{BC11EAFF-847C-502A-9F0B-A9A9E383790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751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469</xdr:row>
      <xdr:rowOff>0</xdr:rowOff>
    </xdr:from>
    <xdr:to>
      <xdr:col>36</xdr:col>
      <xdr:colOff>152400</xdr:colOff>
      <xdr:row>469</xdr:row>
      <xdr:rowOff>152400</xdr:rowOff>
    </xdr:to>
    <xdr:sp macro="" textlink="">
      <xdr:nvSpPr>
        <xdr:cNvPr id="8675" name="AutoShape 483" descr=".">
          <a:extLst>
            <a:ext uri="{FF2B5EF4-FFF2-40B4-BE49-F238E27FC236}">
              <a16:creationId xmlns:a16="http://schemas.microsoft.com/office/drawing/2014/main" id="{A943D9B6-BF03-D3B6-2D79-3AA25346FC20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789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471</xdr:row>
      <xdr:rowOff>0</xdr:rowOff>
    </xdr:from>
    <xdr:to>
      <xdr:col>36</xdr:col>
      <xdr:colOff>152400</xdr:colOff>
      <xdr:row>471</xdr:row>
      <xdr:rowOff>152400</xdr:rowOff>
    </xdr:to>
    <xdr:sp macro="" textlink="">
      <xdr:nvSpPr>
        <xdr:cNvPr id="8676" name="AutoShape 484" descr=".">
          <a:extLst>
            <a:ext uri="{FF2B5EF4-FFF2-40B4-BE49-F238E27FC236}">
              <a16:creationId xmlns:a16="http://schemas.microsoft.com/office/drawing/2014/main" id="{37FDA4C3-7BF4-B5DC-7244-8D08898D798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826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473</xdr:row>
      <xdr:rowOff>0</xdr:rowOff>
    </xdr:from>
    <xdr:to>
      <xdr:col>36</xdr:col>
      <xdr:colOff>152400</xdr:colOff>
      <xdr:row>473</xdr:row>
      <xdr:rowOff>152400</xdr:rowOff>
    </xdr:to>
    <xdr:sp macro="" textlink="">
      <xdr:nvSpPr>
        <xdr:cNvPr id="8677" name="AutoShape 485" descr=".">
          <a:extLst>
            <a:ext uri="{FF2B5EF4-FFF2-40B4-BE49-F238E27FC236}">
              <a16:creationId xmlns:a16="http://schemas.microsoft.com/office/drawing/2014/main" id="{9A378C83-B3B5-2E9D-E2E3-256B02A0A54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863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475</xdr:row>
      <xdr:rowOff>0</xdr:rowOff>
    </xdr:from>
    <xdr:to>
      <xdr:col>36</xdr:col>
      <xdr:colOff>152400</xdr:colOff>
      <xdr:row>475</xdr:row>
      <xdr:rowOff>152400</xdr:rowOff>
    </xdr:to>
    <xdr:sp macro="" textlink="">
      <xdr:nvSpPr>
        <xdr:cNvPr id="8678" name="AutoShape 486" descr=".">
          <a:extLst>
            <a:ext uri="{FF2B5EF4-FFF2-40B4-BE49-F238E27FC236}">
              <a16:creationId xmlns:a16="http://schemas.microsoft.com/office/drawing/2014/main" id="{D8CF5261-27BC-C17E-9BD6-149FA2F89E3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901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477</xdr:row>
      <xdr:rowOff>0</xdr:rowOff>
    </xdr:from>
    <xdr:to>
      <xdr:col>36</xdr:col>
      <xdr:colOff>152400</xdr:colOff>
      <xdr:row>477</xdr:row>
      <xdr:rowOff>152400</xdr:rowOff>
    </xdr:to>
    <xdr:sp macro="" textlink="">
      <xdr:nvSpPr>
        <xdr:cNvPr id="8679" name="AutoShape 487" descr=".">
          <a:extLst>
            <a:ext uri="{FF2B5EF4-FFF2-40B4-BE49-F238E27FC236}">
              <a16:creationId xmlns:a16="http://schemas.microsoft.com/office/drawing/2014/main" id="{3F4B647B-1744-BA21-5F1F-ADBB13B20988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9388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479</xdr:row>
      <xdr:rowOff>0</xdr:rowOff>
    </xdr:from>
    <xdr:to>
      <xdr:col>36</xdr:col>
      <xdr:colOff>152400</xdr:colOff>
      <xdr:row>479</xdr:row>
      <xdr:rowOff>152400</xdr:rowOff>
    </xdr:to>
    <xdr:sp macro="" textlink="">
      <xdr:nvSpPr>
        <xdr:cNvPr id="8680" name="AutoShape 488" descr=".">
          <a:extLst>
            <a:ext uri="{FF2B5EF4-FFF2-40B4-BE49-F238E27FC236}">
              <a16:creationId xmlns:a16="http://schemas.microsoft.com/office/drawing/2014/main" id="{D48EC37F-55FE-0814-B5A5-7EEE39CFFC01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8976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481</xdr:row>
      <xdr:rowOff>0</xdr:rowOff>
    </xdr:from>
    <xdr:to>
      <xdr:col>36</xdr:col>
      <xdr:colOff>152400</xdr:colOff>
      <xdr:row>481</xdr:row>
      <xdr:rowOff>152400</xdr:rowOff>
    </xdr:to>
    <xdr:sp macro="" textlink="">
      <xdr:nvSpPr>
        <xdr:cNvPr id="8681" name="AutoShape 489" descr=".">
          <a:extLst>
            <a:ext uri="{FF2B5EF4-FFF2-40B4-BE49-F238E27FC236}">
              <a16:creationId xmlns:a16="http://schemas.microsoft.com/office/drawing/2014/main" id="{E0F328FF-B004-6123-9FEE-B1F6811B3525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0138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483</xdr:row>
      <xdr:rowOff>0</xdr:rowOff>
    </xdr:from>
    <xdr:to>
      <xdr:col>36</xdr:col>
      <xdr:colOff>152400</xdr:colOff>
      <xdr:row>483</xdr:row>
      <xdr:rowOff>152400</xdr:rowOff>
    </xdr:to>
    <xdr:sp macro="" textlink="">
      <xdr:nvSpPr>
        <xdr:cNvPr id="8682" name="AutoShape 490" descr=".">
          <a:extLst>
            <a:ext uri="{FF2B5EF4-FFF2-40B4-BE49-F238E27FC236}">
              <a16:creationId xmlns:a16="http://schemas.microsoft.com/office/drawing/2014/main" id="{10DC56D9-95F0-9993-F133-01A0B068BE99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051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485</xdr:row>
      <xdr:rowOff>0</xdr:rowOff>
    </xdr:from>
    <xdr:to>
      <xdr:col>36</xdr:col>
      <xdr:colOff>152400</xdr:colOff>
      <xdr:row>485</xdr:row>
      <xdr:rowOff>152400</xdr:rowOff>
    </xdr:to>
    <xdr:sp macro="" textlink="">
      <xdr:nvSpPr>
        <xdr:cNvPr id="8683" name="AutoShape 491" descr=".">
          <a:extLst>
            <a:ext uri="{FF2B5EF4-FFF2-40B4-BE49-F238E27FC236}">
              <a16:creationId xmlns:a16="http://schemas.microsoft.com/office/drawing/2014/main" id="{5C2DBF04-7087-1E71-404F-C4532255C6B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088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487</xdr:row>
      <xdr:rowOff>0</xdr:rowOff>
    </xdr:from>
    <xdr:to>
      <xdr:col>36</xdr:col>
      <xdr:colOff>152400</xdr:colOff>
      <xdr:row>487</xdr:row>
      <xdr:rowOff>152400</xdr:rowOff>
    </xdr:to>
    <xdr:sp macro="" textlink="">
      <xdr:nvSpPr>
        <xdr:cNvPr id="8684" name="AutoShape 492" descr=".">
          <a:extLst>
            <a:ext uri="{FF2B5EF4-FFF2-40B4-BE49-F238E27FC236}">
              <a16:creationId xmlns:a16="http://schemas.microsoft.com/office/drawing/2014/main" id="{A3A4EBF5-BBC3-CA13-0856-F0297DF9A457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126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489</xdr:row>
      <xdr:rowOff>0</xdr:rowOff>
    </xdr:from>
    <xdr:to>
      <xdr:col>36</xdr:col>
      <xdr:colOff>152400</xdr:colOff>
      <xdr:row>489</xdr:row>
      <xdr:rowOff>152400</xdr:rowOff>
    </xdr:to>
    <xdr:sp macro="" textlink="">
      <xdr:nvSpPr>
        <xdr:cNvPr id="8685" name="AutoShape 493" descr=".">
          <a:extLst>
            <a:ext uri="{FF2B5EF4-FFF2-40B4-BE49-F238E27FC236}">
              <a16:creationId xmlns:a16="http://schemas.microsoft.com/office/drawing/2014/main" id="{6996DA71-B22C-BE4D-7274-9C1D46D46924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163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491</xdr:row>
      <xdr:rowOff>0</xdr:rowOff>
    </xdr:from>
    <xdr:to>
      <xdr:col>36</xdr:col>
      <xdr:colOff>152400</xdr:colOff>
      <xdr:row>491</xdr:row>
      <xdr:rowOff>152400</xdr:rowOff>
    </xdr:to>
    <xdr:sp macro="" textlink="">
      <xdr:nvSpPr>
        <xdr:cNvPr id="8686" name="AutoShape 494" descr=".">
          <a:extLst>
            <a:ext uri="{FF2B5EF4-FFF2-40B4-BE49-F238E27FC236}">
              <a16:creationId xmlns:a16="http://schemas.microsoft.com/office/drawing/2014/main" id="{7FB18D00-655E-8BB5-FE65-90AC1E7F1CED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20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493</xdr:row>
      <xdr:rowOff>0</xdr:rowOff>
    </xdr:from>
    <xdr:to>
      <xdr:col>36</xdr:col>
      <xdr:colOff>152400</xdr:colOff>
      <xdr:row>493</xdr:row>
      <xdr:rowOff>152400</xdr:rowOff>
    </xdr:to>
    <xdr:sp macro="" textlink="">
      <xdr:nvSpPr>
        <xdr:cNvPr id="8687" name="AutoShape 495" descr=".">
          <a:extLst>
            <a:ext uri="{FF2B5EF4-FFF2-40B4-BE49-F238E27FC236}">
              <a16:creationId xmlns:a16="http://schemas.microsoft.com/office/drawing/2014/main" id="{FBC2D200-0678-35D1-CD23-F0867045B50B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238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495</xdr:row>
      <xdr:rowOff>0</xdr:rowOff>
    </xdr:from>
    <xdr:to>
      <xdr:col>36</xdr:col>
      <xdr:colOff>152400</xdr:colOff>
      <xdr:row>495</xdr:row>
      <xdr:rowOff>152400</xdr:rowOff>
    </xdr:to>
    <xdr:sp macro="" textlink="">
      <xdr:nvSpPr>
        <xdr:cNvPr id="8688" name="AutoShape 496" descr=".">
          <a:extLst>
            <a:ext uri="{FF2B5EF4-FFF2-40B4-BE49-F238E27FC236}">
              <a16:creationId xmlns:a16="http://schemas.microsoft.com/office/drawing/2014/main" id="{7D2788A6-6610-10C9-CF3B-211D3E36D53A}"/>
            </a:ext>
          </a:extLst>
        </xdr:cNvPr>
        <xdr:cNvSpPr>
          <a:spLocks noChangeAspect="1" noChangeArrowheads="1"/>
        </xdr:cNvSpPr>
      </xdr:nvSpPr>
      <xdr:spPr bwMode="auto">
        <a:xfrm>
          <a:off x="22167850" y="9276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</xdr:row>
      <xdr:rowOff>0</xdr:rowOff>
    </xdr:from>
    <xdr:to>
      <xdr:col>59</xdr:col>
      <xdr:colOff>152400</xdr:colOff>
      <xdr:row>1</xdr:row>
      <xdr:rowOff>152400</xdr:rowOff>
    </xdr:to>
    <xdr:sp macro="" textlink="">
      <xdr:nvSpPr>
        <xdr:cNvPr id="8689" name="AutoShape 497" descr=".">
          <a:extLst>
            <a:ext uri="{FF2B5EF4-FFF2-40B4-BE49-F238E27FC236}">
              <a16:creationId xmlns:a16="http://schemas.microsoft.com/office/drawing/2014/main" id="{82A72115-2FB6-DBD1-8228-C865BC59169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</xdr:row>
      <xdr:rowOff>0</xdr:rowOff>
    </xdr:from>
    <xdr:to>
      <xdr:col>59</xdr:col>
      <xdr:colOff>152400</xdr:colOff>
      <xdr:row>3</xdr:row>
      <xdr:rowOff>152400</xdr:rowOff>
    </xdr:to>
    <xdr:sp macro="" textlink="">
      <xdr:nvSpPr>
        <xdr:cNvPr id="8690" name="AutoShape 498" descr=".">
          <a:extLst>
            <a:ext uri="{FF2B5EF4-FFF2-40B4-BE49-F238E27FC236}">
              <a16:creationId xmlns:a16="http://schemas.microsoft.com/office/drawing/2014/main" id="{3349E710-39DC-117E-96C2-A125BC264D2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6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5</xdr:row>
      <xdr:rowOff>0</xdr:rowOff>
    </xdr:from>
    <xdr:to>
      <xdr:col>59</xdr:col>
      <xdr:colOff>152400</xdr:colOff>
      <xdr:row>5</xdr:row>
      <xdr:rowOff>152400</xdr:rowOff>
    </xdr:to>
    <xdr:sp macro="" textlink="">
      <xdr:nvSpPr>
        <xdr:cNvPr id="8691" name="AutoShape 499" descr=".">
          <a:extLst>
            <a:ext uri="{FF2B5EF4-FFF2-40B4-BE49-F238E27FC236}">
              <a16:creationId xmlns:a16="http://schemas.microsoft.com/office/drawing/2014/main" id="{73B0D66C-ACFB-C3B3-724F-121E8804CB2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3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7</xdr:row>
      <xdr:rowOff>0</xdr:rowOff>
    </xdr:from>
    <xdr:to>
      <xdr:col>59</xdr:col>
      <xdr:colOff>152400</xdr:colOff>
      <xdr:row>7</xdr:row>
      <xdr:rowOff>152400</xdr:rowOff>
    </xdr:to>
    <xdr:sp macro="" textlink="">
      <xdr:nvSpPr>
        <xdr:cNvPr id="8692" name="AutoShape 500" descr=".">
          <a:extLst>
            <a:ext uri="{FF2B5EF4-FFF2-40B4-BE49-F238E27FC236}">
              <a16:creationId xmlns:a16="http://schemas.microsoft.com/office/drawing/2014/main" id="{CF508073-6FC1-DE0D-B483-859E7A88F3C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31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9</xdr:row>
      <xdr:rowOff>0</xdr:rowOff>
    </xdr:from>
    <xdr:to>
      <xdr:col>59</xdr:col>
      <xdr:colOff>152400</xdr:colOff>
      <xdr:row>9</xdr:row>
      <xdr:rowOff>152400</xdr:rowOff>
    </xdr:to>
    <xdr:sp macro="" textlink="">
      <xdr:nvSpPr>
        <xdr:cNvPr id="8693" name="AutoShape 501" descr=".">
          <a:extLst>
            <a:ext uri="{FF2B5EF4-FFF2-40B4-BE49-F238E27FC236}">
              <a16:creationId xmlns:a16="http://schemas.microsoft.com/office/drawing/2014/main" id="{40D78E1F-03E2-E40E-8615-6B934EA3E5C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68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11</xdr:row>
      <xdr:rowOff>0</xdr:rowOff>
    </xdr:from>
    <xdr:to>
      <xdr:col>59</xdr:col>
      <xdr:colOff>152400</xdr:colOff>
      <xdr:row>11</xdr:row>
      <xdr:rowOff>152400</xdr:rowOff>
    </xdr:to>
    <xdr:sp macro="" textlink="">
      <xdr:nvSpPr>
        <xdr:cNvPr id="8694" name="AutoShape 502" descr=".">
          <a:extLst>
            <a:ext uri="{FF2B5EF4-FFF2-40B4-BE49-F238E27FC236}">
              <a16:creationId xmlns:a16="http://schemas.microsoft.com/office/drawing/2014/main" id="{AAAC73FA-3222-D2D3-877C-D5CA8EC14DE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06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13</xdr:row>
      <xdr:rowOff>0</xdr:rowOff>
    </xdr:from>
    <xdr:to>
      <xdr:col>59</xdr:col>
      <xdr:colOff>152400</xdr:colOff>
      <xdr:row>13</xdr:row>
      <xdr:rowOff>152400</xdr:rowOff>
    </xdr:to>
    <xdr:sp macro="" textlink="">
      <xdr:nvSpPr>
        <xdr:cNvPr id="8695" name="AutoShape 503" descr=".">
          <a:extLst>
            <a:ext uri="{FF2B5EF4-FFF2-40B4-BE49-F238E27FC236}">
              <a16:creationId xmlns:a16="http://schemas.microsoft.com/office/drawing/2014/main" id="{53CD445C-384C-D984-0DF7-7DFBD83AED0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43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15</xdr:row>
      <xdr:rowOff>0</xdr:rowOff>
    </xdr:from>
    <xdr:to>
      <xdr:col>59</xdr:col>
      <xdr:colOff>152400</xdr:colOff>
      <xdr:row>15</xdr:row>
      <xdr:rowOff>152400</xdr:rowOff>
    </xdr:to>
    <xdr:sp macro="" textlink="">
      <xdr:nvSpPr>
        <xdr:cNvPr id="8696" name="AutoShape 504" descr=".">
          <a:extLst>
            <a:ext uri="{FF2B5EF4-FFF2-40B4-BE49-F238E27FC236}">
              <a16:creationId xmlns:a16="http://schemas.microsoft.com/office/drawing/2014/main" id="{3FD967FA-0841-240D-72EE-710ECEE9813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81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17</xdr:row>
      <xdr:rowOff>0</xdr:rowOff>
    </xdr:from>
    <xdr:to>
      <xdr:col>59</xdr:col>
      <xdr:colOff>152400</xdr:colOff>
      <xdr:row>17</xdr:row>
      <xdr:rowOff>152400</xdr:rowOff>
    </xdr:to>
    <xdr:sp macro="" textlink="">
      <xdr:nvSpPr>
        <xdr:cNvPr id="8697" name="AutoShape 505" descr=".">
          <a:extLst>
            <a:ext uri="{FF2B5EF4-FFF2-40B4-BE49-F238E27FC236}">
              <a16:creationId xmlns:a16="http://schemas.microsoft.com/office/drawing/2014/main" id="{DFE57423-5052-38C9-D611-5D56AD04425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18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152400</xdr:colOff>
      <xdr:row>19</xdr:row>
      <xdr:rowOff>152400</xdr:rowOff>
    </xdr:to>
    <xdr:sp macro="" textlink="">
      <xdr:nvSpPr>
        <xdr:cNvPr id="8698" name="AutoShape 506" descr=".">
          <a:extLst>
            <a:ext uri="{FF2B5EF4-FFF2-40B4-BE49-F238E27FC236}">
              <a16:creationId xmlns:a16="http://schemas.microsoft.com/office/drawing/2014/main" id="{2B78E9B4-18EA-36FE-33D0-90EE781BF7E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56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21</xdr:row>
      <xdr:rowOff>0</xdr:rowOff>
    </xdr:from>
    <xdr:to>
      <xdr:col>59</xdr:col>
      <xdr:colOff>152400</xdr:colOff>
      <xdr:row>21</xdr:row>
      <xdr:rowOff>152400</xdr:rowOff>
    </xdr:to>
    <xdr:sp macro="" textlink="">
      <xdr:nvSpPr>
        <xdr:cNvPr id="8699" name="AutoShape 507" descr=".">
          <a:extLst>
            <a:ext uri="{FF2B5EF4-FFF2-40B4-BE49-F238E27FC236}">
              <a16:creationId xmlns:a16="http://schemas.microsoft.com/office/drawing/2014/main" id="{835B1FBA-657F-AE96-B201-54606DD47EB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9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23</xdr:row>
      <xdr:rowOff>0</xdr:rowOff>
    </xdr:from>
    <xdr:to>
      <xdr:col>59</xdr:col>
      <xdr:colOff>152400</xdr:colOff>
      <xdr:row>23</xdr:row>
      <xdr:rowOff>152400</xdr:rowOff>
    </xdr:to>
    <xdr:sp macro="" textlink="">
      <xdr:nvSpPr>
        <xdr:cNvPr id="8700" name="AutoShape 508" descr=".">
          <a:extLst>
            <a:ext uri="{FF2B5EF4-FFF2-40B4-BE49-F238E27FC236}">
              <a16:creationId xmlns:a16="http://schemas.microsoft.com/office/drawing/2014/main" id="{049D4780-D5F8-52D5-6326-3BFAEE6D58C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31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25</xdr:row>
      <xdr:rowOff>0</xdr:rowOff>
    </xdr:from>
    <xdr:to>
      <xdr:col>59</xdr:col>
      <xdr:colOff>152400</xdr:colOff>
      <xdr:row>25</xdr:row>
      <xdr:rowOff>152400</xdr:rowOff>
    </xdr:to>
    <xdr:sp macro="" textlink="">
      <xdr:nvSpPr>
        <xdr:cNvPr id="8701" name="AutoShape 509" descr=".">
          <a:extLst>
            <a:ext uri="{FF2B5EF4-FFF2-40B4-BE49-F238E27FC236}">
              <a16:creationId xmlns:a16="http://schemas.microsoft.com/office/drawing/2014/main" id="{87C23955-975E-1786-9971-91558A76D1E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68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27</xdr:row>
      <xdr:rowOff>0</xdr:rowOff>
    </xdr:from>
    <xdr:to>
      <xdr:col>59</xdr:col>
      <xdr:colOff>152400</xdr:colOff>
      <xdr:row>27</xdr:row>
      <xdr:rowOff>152400</xdr:rowOff>
    </xdr:to>
    <xdr:sp macro="" textlink="">
      <xdr:nvSpPr>
        <xdr:cNvPr id="8702" name="AutoShape 510" descr=".">
          <a:extLst>
            <a:ext uri="{FF2B5EF4-FFF2-40B4-BE49-F238E27FC236}">
              <a16:creationId xmlns:a16="http://schemas.microsoft.com/office/drawing/2014/main" id="{1E7BCCDB-5A5B-7EF7-2AA9-6519D27F09D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06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29</xdr:row>
      <xdr:rowOff>0</xdr:rowOff>
    </xdr:from>
    <xdr:to>
      <xdr:col>59</xdr:col>
      <xdr:colOff>152400</xdr:colOff>
      <xdr:row>29</xdr:row>
      <xdr:rowOff>152400</xdr:rowOff>
    </xdr:to>
    <xdr:sp macro="" textlink="">
      <xdr:nvSpPr>
        <xdr:cNvPr id="8703" name="AutoShape 511" descr=".">
          <a:extLst>
            <a:ext uri="{FF2B5EF4-FFF2-40B4-BE49-F238E27FC236}">
              <a16:creationId xmlns:a16="http://schemas.microsoft.com/office/drawing/2014/main" id="{050EEBC0-7D91-3898-17BE-E6D35308ECD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43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31</xdr:row>
      <xdr:rowOff>0</xdr:rowOff>
    </xdr:from>
    <xdr:to>
      <xdr:col>59</xdr:col>
      <xdr:colOff>152400</xdr:colOff>
      <xdr:row>31</xdr:row>
      <xdr:rowOff>152400</xdr:rowOff>
    </xdr:to>
    <xdr:sp macro="" textlink="">
      <xdr:nvSpPr>
        <xdr:cNvPr id="8704" name="AutoShape 512" descr=".">
          <a:extLst>
            <a:ext uri="{FF2B5EF4-FFF2-40B4-BE49-F238E27FC236}">
              <a16:creationId xmlns:a16="http://schemas.microsoft.com/office/drawing/2014/main" id="{F2CF40FF-8452-324D-3705-66D8E069A2C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81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33</xdr:row>
      <xdr:rowOff>0</xdr:rowOff>
    </xdr:from>
    <xdr:to>
      <xdr:col>59</xdr:col>
      <xdr:colOff>152400</xdr:colOff>
      <xdr:row>33</xdr:row>
      <xdr:rowOff>152400</xdr:rowOff>
    </xdr:to>
    <xdr:sp macro="" textlink="">
      <xdr:nvSpPr>
        <xdr:cNvPr id="8705" name="AutoShape 513" descr=".">
          <a:extLst>
            <a:ext uri="{FF2B5EF4-FFF2-40B4-BE49-F238E27FC236}">
              <a16:creationId xmlns:a16="http://schemas.microsoft.com/office/drawing/2014/main" id="{ACD3A299-0BBC-2B53-C0E7-99A8A8FBAD0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18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35</xdr:row>
      <xdr:rowOff>0</xdr:rowOff>
    </xdr:from>
    <xdr:to>
      <xdr:col>59</xdr:col>
      <xdr:colOff>152400</xdr:colOff>
      <xdr:row>35</xdr:row>
      <xdr:rowOff>152400</xdr:rowOff>
    </xdr:to>
    <xdr:sp macro="" textlink="">
      <xdr:nvSpPr>
        <xdr:cNvPr id="8706" name="AutoShape 514" descr=".">
          <a:extLst>
            <a:ext uri="{FF2B5EF4-FFF2-40B4-BE49-F238E27FC236}">
              <a16:creationId xmlns:a16="http://schemas.microsoft.com/office/drawing/2014/main" id="{7A626F12-249B-27F5-D95F-F7D41DAFDF5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55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37</xdr:row>
      <xdr:rowOff>0</xdr:rowOff>
    </xdr:from>
    <xdr:to>
      <xdr:col>59</xdr:col>
      <xdr:colOff>152400</xdr:colOff>
      <xdr:row>37</xdr:row>
      <xdr:rowOff>152400</xdr:rowOff>
    </xdr:to>
    <xdr:sp macro="" textlink="">
      <xdr:nvSpPr>
        <xdr:cNvPr id="8707" name="AutoShape 515" descr=".">
          <a:extLst>
            <a:ext uri="{FF2B5EF4-FFF2-40B4-BE49-F238E27FC236}">
              <a16:creationId xmlns:a16="http://schemas.microsoft.com/office/drawing/2014/main" id="{6E361E82-5244-467A-6E1D-7E74DC12E16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9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39</xdr:row>
      <xdr:rowOff>0</xdr:rowOff>
    </xdr:from>
    <xdr:to>
      <xdr:col>59</xdr:col>
      <xdr:colOff>152400</xdr:colOff>
      <xdr:row>39</xdr:row>
      <xdr:rowOff>152400</xdr:rowOff>
    </xdr:to>
    <xdr:sp macro="" textlink="">
      <xdr:nvSpPr>
        <xdr:cNvPr id="8708" name="AutoShape 516" descr=".">
          <a:extLst>
            <a:ext uri="{FF2B5EF4-FFF2-40B4-BE49-F238E27FC236}">
              <a16:creationId xmlns:a16="http://schemas.microsoft.com/office/drawing/2014/main" id="{A8A5BB8B-B804-479B-F02A-42110CA316F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30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41</xdr:row>
      <xdr:rowOff>0</xdr:rowOff>
    </xdr:from>
    <xdr:to>
      <xdr:col>59</xdr:col>
      <xdr:colOff>152400</xdr:colOff>
      <xdr:row>41</xdr:row>
      <xdr:rowOff>152400</xdr:rowOff>
    </xdr:to>
    <xdr:sp macro="" textlink="">
      <xdr:nvSpPr>
        <xdr:cNvPr id="8709" name="AutoShape 517" descr=".">
          <a:extLst>
            <a:ext uri="{FF2B5EF4-FFF2-40B4-BE49-F238E27FC236}">
              <a16:creationId xmlns:a16="http://schemas.microsoft.com/office/drawing/2014/main" id="{5ABA48EB-FABB-B93A-9D76-EB2B063F6A0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68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43</xdr:row>
      <xdr:rowOff>0</xdr:rowOff>
    </xdr:from>
    <xdr:to>
      <xdr:col>59</xdr:col>
      <xdr:colOff>152400</xdr:colOff>
      <xdr:row>43</xdr:row>
      <xdr:rowOff>152400</xdr:rowOff>
    </xdr:to>
    <xdr:sp macro="" textlink="">
      <xdr:nvSpPr>
        <xdr:cNvPr id="8710" name="AutoShape 518" descr=".">
          <a:extLst>
            <a:ext uri="{FF2B5EF4-FFF2-40B4-BE49-F238E27FC236}">
              <a16:creationId xmlns:a16="http://schemas.microsoft.com/office/drawing/2014/main" id="{CA9902C0-497C-177D-FBE8-DF2F5E3BAFE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05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45</xdr:row>
      <xdr:rowOff>0</xdr:rowOff>
    </xdr:from>
    <xdr:to>
      <xdr:col>59</xdr:col>
      <xdr:colOff>152400</xdr:colOff>
      <xdr:row>45</xdr:row>
      <xdr:rowOff>152400</xdr:rowOff>
    </xdr:to>
    <xdr:sp macro="" textlink="">
      <xdr:nvSpPr>
        <xdr:cNvPr id="8711" name="AutoShape 519" descr=".">
          <a:extLst>
            <a:ext uri="{FF2B5EF4-FFF2-40B4-BE49-F238E27FC236}">
              <a16:creationId xmlns:a16="http://schemas.microsoft.com/office/drawing/2014/main" id="{16FD9FE3-69D6-60E2-D9C1-B378E2E6D0D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43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47</xdr:row>
      <xdr:rowOff>0</xdr:rowOff>
    </xdr:from>
    <xdr:to>
      <xdr:col>59</xdr:col>
      <xdr:colOff>152400</xdr:colOff>
      <xdr:row>47</xdr:row>
      <xdr:rowOff>152400</xdr:rowOff>
    </xdr:to>
    <xdr:sp macro="" textlink="">
      <xdr:nvSpPr>
        <xdr:cNvPr id="8712" name="AutoShape 520" descr=".">
          <a:extLst>
            <a:ext uri="{FF2B5EF4-FFF2-40B4-BE49-F238E27FC236}">
              <a16:creationId xmlns:a16="http://schemas.microsoft.com/office/drawing/2014/main" id="{3788EBF4-501D-B6BD-34F1-8EEBEA93A0B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80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49</xdr:row>
      <xdr:rowOff>0</xdr:rowOff>
    </xdr:from>
    <xdr:to>
      <xdr:col>59</xdr:col>
      <xdr:colOff>152400</xdr:colOff>
      <xdr:row>49</xdr:row>
      <xdr:rowOff>152400</xdr:rowOff>
    </xdr:to>
    <xdr:sp macro="" textlink="">
      <xdr:nvSpPr>
        <xdr:cNvPr id="8713" name="AutoShape 521" descr=".">
          <a:extLst>
            <a:ext uri="{FF2B5EF4-FFF2-40B4-BE49-F238E27FC236}">
              <a16:creationId xmlns:a16="http://schemas.microsoft.com/office/drawing/2014/main" id="{C7E41F84-1404-B563-8632-84D581D256F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18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51</xdr:row>
      <xdr:rowOff>0</xdr:rowOff>
    </xdr:from>
    <xdr:to>
      <xdr:col>59</xdr:col>
      <xdr:colOff>152400</xdr:colOff>
      <xdr:row>51</xdr:row>
      <xdr:rowOff>152400</xdr:rowOff>
    </xdr:to>
    <xdr:sp macro="" textlink="">
      <xdr:nvSpPr>
        <xdr:cNvPr id="8714" name="AutoShape 522" descr=".">
          <a:extLst>
            <a:ext uri="{FF2B5EF4-FFF2-40B4-BE49-F238E27FC236}">
              <a16:creationId xmlns:a16="http://schemas.microsoft.com/office/drawing/2014/main" id="{BD53929E-832B-39A3-1872-5373643D59B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55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53</xdr:row>
      <xdr:rowOff>0</xdr:rowOff>
    </xdr:from>
    <xdr:to>
      <xdr:col>59</xdr:col>
      <xdr:colOff>152400</xdr:colOff>
      <xdr:row>53</xdr:row>
      <xdr:rowOff>152400</xdr:rowOff>
    </xdr:to>
    <xdr:sp macro="" textlink="">
      <xdr:nvSpPr>
        <xdr:cNvPr id="8715" name="AutoShape 523" descr=".">
          <a:extLst>
            <a:ext uri="{FF2B5EF4-FFF2-40B4-BE49-F238E27FC236}">
              <a16:creationId xmlns:a16="http://schemas.microsoft.com/office/drawing/2014/main" id="{AB270CE4-17AD-7A1E-A637-DEC1D83A7AD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93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55</xdr:row>
      <xdr:rowOff>0</xdr:rowOff>
    </xdr:from>
    <xdr:to>
      <xdr:col>59</xdr:col>
      <xdr:colOff>152400</xdr:colOff>
      <xdr:row>55</xdr:row>
      <xdr:rowOff>152400</xdr:rowOff>
    </xdr:to>
    <xdr:sp macro="" textlink="">
      <xdr:nvSpPr>
        <xdr:cNvPr id="8716" name="AutoShape 524" descr=".">
          <a:extLst>
            <a:ext uri="{FF2B5EF4-FFF2-40B4-BE49-F238E27FC236}">
              <a16:creationId xmlns:a16="http://schemas.microsoft.com/office/drawing/2014/main" id="{C1B0C0F1-B81E-E2CC-4ADA-92EA704BDDC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030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57</xdr:row>
      <xdr:rowOff>0</xdr:rowOff>
    </xdr:from>
    <xdr:to>
      <xdr:col>59</xdr:col>
      <xdr:colOff>152400</xdr:colOff>
      <xdr:row>57</xdr:row>
      <xdr:rowOff>152400</xdr:rowOff>
    </xdr:to>
    <xdr:sp macro="" textlink="">
      <xdr:nvSpPr>
        <xdr:cNvPr id="8717" name="AutoShape 525" descr=".">
          <a:extLst>
            <a:ext uri="{FF2B5EF4-FFF2-40B4-BE49-F238E27FC236}">
              <a16:creationId xmlns:a16="http://schemas.microsoft.com/office/drawing/2014/main" id="{5FA4DD39-0780-89ED-5114-5B83C7091A0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068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59</xdr:row>
      <xdr:rowOff>0</xdr:rowOff>
    </xdr:from>
    <xdr:to>
      <xdr:col>59</xdr:col>
      <xdr:colOff>152400</xdr:colOff>
      <xdr:row>59</xdr:row>
      <xdr:rowOff>152400</xdr:rowOff>
    </xdr:to>
    <xdr:sp macro="" textlink="">
      <xdr:nvSpPr>
        <xdr:cNvPr id="8718" name="AutoShape 526" descr=".">
          <a:extLst>
            <a:ext uri="{FF2B5EF4-FFF2-40B4-BE49-F238E27FC236}">
              <a16:creationId xmlns:a16="http://schemas.microsoft.com/office/drawing/2014/main" id="{C1E51F2A-9D63-FE66-77FB-8F9C8C1508D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105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61</xdr:row>
      <xdr:rowOff>0</xdr:rowOff>
    </xdr:from>
    <xdr:to>
      <xdr:col>59</xdr:col>
      <xdr:colOff>152400</xdr:colOff>
      <xdr:row>61</xdr:row>
      <xdr:rowOff>152400</xdr:rowOff>
    </xdr:to>
    <xdr:sp macro="" textlink="">
      <xdr:nvSpPr>
        <xdr:cNvPr id="8719" name="AutoShape 527" descr=".">
          <a:extLst>
            <a:ext uri="{FF2B5EF4-FFF2-40B4-BE49-F238E27FC236}">
              <a16:creationId xmlns:a16="http://schemas.microsoft.com/office/drawing/2014/main" id="{6EC89D5D-EBA9-9755-F9A8-FD5BE17C154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63</xdr:row>
      <xdr:rowOff>0</xdr:rowOff>
    </xdr:from>
    <xdr:to>
      <xdr:col>59</xdr:col>
      <xdr:colOff>152400</xdr:colOff>
      <xdr:row>63</xdr:row>
      <xdr:rowOff>152400</xdr:rowOff>
    </xdr:to>
    <xdr:sp macro="" textlink="">
      <xdr:nvSpPr>
        <xdr:cNvPr id="8720" name="AutoShape 528" descr=".">
          <a:extLst>
            <a:ext uri="{FF2B5EF4-FFF2-40B4-BE49-F238E27FC236}">
              <a16:creationId xmlns:a16="http://schemas.microsoft.com/office/drawing/2014/main" id="{DFADAEF8-2D6C-FA8A-77C7-7AC7ACD5F0C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180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65</xdr:row>
      <xdr:rowOff>0</xdr:rowOff>
    </xdr:from>
    <xdr:to>
      <xdr:col>59</xdr:col>
      <xdr:colOff>152400</xdr:colOff>
      <xdr:row>65</xdr:row>
      <xdr:rowOff>152400</xdr:rowOff>
    </xdr:to>
    <xdr:sp macro="" textlink="">
      <xdr:nvSpPr>
        <xdr:cNvPr id="8721" name="AutoShape 529" descr=".">
          <a:extLst>
            <a:ext uri="{FF2B5EF4-FFF2-40B4-BE49-F238E27FC236}">
              <a16:creationId xmlns:a16="http://schemas.microsoft.com/office/drawing/2014/main" id="{2DDB50F4-19FC-2677-04EB-055CA66AED7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217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67</xdr:row>
      <xdr:rowOff>0</xdr:rowOff>
    </xdr:from>
    <xdr:to>
      <xdr:col>59</xdr:col>
      <xdr:colOff>152400</xdr:colOff>
      <xdr:row>67</xdr:row>
      <xdr:rowOff>152400</xdr:rowOff>
    </xdr:to>
    <xdr:sp macro="" textlink="">
      <xdr:nvSpPr>
        <xdr:cNvPr id="8722" name="AutoShape 530" descr=".">
          <a:extLst>
            <a:ext uri="{FF2B5EF4-FFF2-40B4-BE49-F238E27FC236}">
              <a16:creationId xmlns:a16="http://schemas.microsoft.com/office/drawing/2014/main" id="{EE2AAD6C-32D5-7728-BE80-E4FA4E4BA90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255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69</xdr:row>
      <xdr:rowOff>0</xdr:rowOff>
    </xdr:from>
    <xdr:to>
      <xdr:col>59</xdr:col>
      <xdr:colOff>152400</xdr:colOff>
      <xdr:row>69</xdr:row>
      <xdr:rowOff>152400</xdr:rowOff>
    </xdr:to>
    <xdr:sp macro="" textlink="">
      <xdr:nvSpPr>
        <xdr:cNvPr id="8723" name="AutoShape 531" descr=".">
          <a:extLst>
            <a:ext uri="{FF2B5EF4-FFF2-40B4-BE49-F238E27FC236}">
              <a16:creationId xmlns:a16="http://schemas.microsoft.com/office/drawing/2014/main" id="{E6380A84-0C7F-2C77-A478-875F1731EFB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292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71</xdr:row>
      <xdr:rowOff>0</xdr:rowOff>
    </xdr:from>
    <xdr:to>
      <xdr:col>59</xdr:col>
      <xdr:colOff>152400</xdr:colOff>
      <xdr:row>71</xdr:row>
      <xdr:rowOff>152400</xdr:rowOff>
    </xdr:to>
    <xdr:sp macro="" textlink="">
      <xdr:nvSpPr>
        <xdr:cNvPr id="8724" name="AutoShape 532" descr=".">
          <a:extLst>
            <a:ext uri="{FF2B5EF4-FFF2-40B4-BE49-F238E27FC236}">
              <a16:creationId xmlns:a16="http://schemas.microsoft.com/office/drawing/2014/main" id="{9DAB2180-5EC3-0C79-2447-70B7CE2DFAA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330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73</xdr:row>
      <xdr:rowOff>0</xdr:rowOff>
    </xdr:from>
    <xdr:to>
      <xdr:col>59</xdr:col>
      <xdr:colOff>152400</xdr:colOff>
      <xdr:row>73</xdr:row>
      <xdr:rowOff>152400</xdr:rowOff>
    </xdr:to>
    <xdr:sp macro="" textlink="">
      <xdr:nvSpPr>
        <xdr:cNvPr id="8725" name="AutoShape 533" descr=".">
          <a:extLst>
            <a:ext uri="{FF2B5EF4-FFF2-40B4-BE49-F238E27FC236}">
              <a16:creationId xmlns:a16="http://schemas.microsoft.com/office/drawing/2014/main" id="{B64C261B-99B0-DF69-F179-5FC4CEECDC5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367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75</xdr:row>
      <xdr:rowOff>0</xdr:rowOff>
    </xdr:from>
    <xdr:to>
      <xdr:col>59</xdr:col>
      <xdr:colOff>152400</xdr:colOff>
      <xdr:row>75</xdr:row>
      <xdr:rowOff>152400</xdr:rowOff>
    </xdr:to>
    <xdr:sp macro="" textlink="">
      <xdr:nvSpPr>
        <xdr:cNvPr id="8726" name="AutoShape 534" descr=".">
          <a:extLst>
            <a:ext uri="{FF2B5EF4-FFF2-40B4-BE49-F238E27FC236}">
              <a16:creationId xmlns:a16="http://schemas.microsoft.com/office/drawing/2014/main" id="{361F5727-06F5-C124-3D04-98ECE9F4603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405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77</xdr:row>
      <xdr:rowOff>0</xdr:rowOff>
    </xdr:from>
    <xdr:to>
      <xdr:col>59</xdr:col>
      <xdr:colOff>152400</xdr:colOff>
      <xdr:row>77</xdr:row>
      <xdr:rowOff>152400</xdr:rowOff>
    </xdr:to>
    <xdr:sp macro="" textlink="">
      <xdr:nvSpPr>
        <xdr:cNvPr id="8727" name="AutoShape 535" descr=".">
          <a:extLst>
            <a:ext uri="{FF2B5EF4-FFF2-40B4-BE49-F238E27FC236}">
              <a16:creationId xmlns:a16="http://schemas.microsoft.com/office/drawing/2014/main" id="{B3A2DB63-6E88-C79C-6F84-F3776A75B2B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442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79</xdr:row>
      <xdr:rowOff>0</xdr:rowOff>
    </xdr:from>
    <xdr:to>
      <xdr:col>59</xdr:col>
      <xdr:colOff>152400</xdr:colOff>
      <xdr:row>79</xdr:row>
      <xdr:rowOff>152400</xdr:rowOff>
    </xdr:to>
    <xdr:sp macro="" textlink="">
      <xdr:nvSpPr>
        <xdr:cNvPr id="8728" name="AutoShape 536" descr=".">
          <a:extLst>
            <a:ext uri="{FF2B5EF4-FFF2-40B4-BE49-F238E27FC236}">
              <a16:creationId xmlns:a16="http://schemas.microsoft.com/office/drawing/2014/main" id="{40B316FF-3C16-A2EE-DF18-1290BF4E64E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480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81</xdr:row>
      <xdr:rowOff>0</xdr:rowOff>
    </xdr:from>
    <xdr:to>
      <xdr:col>59</xdr:col>
      <xdr:colOff>152400</xdr:colOff>
      <xdr:row>81</xdr:row>
      <xdr:rowOff>152400</xdr:rowOff>
    </xdr:to>
    <xdr:sp macro="" textlink="">
      <xdr:nvSpPr>
        <xdr:cNvPr id="8729" name="AutoShape 537" descr=".">
          <a:extLst>
            <a:ext uri="{FF2B5EF4-FFF2-40B4-BE49-F238E27FC236}">
              <a16:creationId xmlns:a16="http://schemas.microsoft.com/office/drawing/2014/main" id="{6DA524BC-0905-4E2C-199C-CD6084B8220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51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83</xdr:row>
      <xdr:rowOff>0</xdr:rowOff>
    </xdr:from>
    <xdr:to>
      <xdr:col>59</xdr:col>
      <xdr:colOff>152400</xdr:colOff>
      <xdr:row>83</xdr:row>
      <xdr:rowOff>152400</xdr:rowOff>
    </xdr:to>
    <xdr:sp macro="" textlink="">
      <xdr:nvSpPr>
        <xdr:cNvPr id="8730" name="AutoShape 538" descr=".">
          <a:extLst>
            <a:ext uri="{FF2B5EF4-FFF2-40B4-BE49-F238E27FC236}">
              <a16:creationId xmlns:a16="http://schemas.microsoft.com/office/drawing/2014/main" id="{648D6451-B841-D84C-D810-D122B5F1A56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555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85</xdr:row>
      <xdr:rowOff>0</xdr:rowOff>
    </xdr:from>
    <xdr:to>
      <xdr:col>59</xdr:col>
      <xdr:colOff>152400</xdr:colOff>
      <xdr:row>85</xdr:row>
      <xdr:rowOff>152400</xdr:rowOff>
    </xdr:to>
    <xdr:sp macro="" textlink="">
      <xdr:nvSpPr>
        <xdr:cNvPr id="8731" name="AutoShape 539" descr=".">
          <a:extLst>
            <a:ext uri="{FF2B5EF4-FFF2-40B4-BE49-F238E27FC236}">
              <a16:creationId xmlns:a16="http://schemas.microsoft.com/office/drawing/2014/main" id="{B76A7189-2DAC-132E-2008-8FF5D84E5B2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592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87</xdr:row>
      <xdr:rowOff>0</xdr:rowOff>
    </xdr:from>
    <xdr:to>
      <xdr:col>59</xdr:col>
      <xdr:colOff>152400</xdr:colOff>
      <xdr:row>87</xdr:row>
      <xdr:rowOff>152400</xdr:rowOff>
    </xdr:to>
    <xdr:sp macro="" textlink="">
      <xdr:nvSpPr>
        <xdr:cNvPr id="8732" name="AutoShape 540" descr=".">
          <a:extLst>
            <a:ext uri="{FF2B5EF4-FFF2-40B4-BE49-F238E27FC236}">
              <a16:creationId xmlns:a16="http://schemas.microsoft.com/office/drawing/2014/main" id="{68E4C6E4-CE4C-9D61-8EFB-3DF61200189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63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89</xdr:row>
      <xdr:rowOff>0</xdr:rowOff>
    </xdr:from>
    <xdr:to>
      <xdr:col>59</xdr:col>
      <xdr:colOff>152400</xdr:colOff>
      <xdr:row>89</xdr:row>
      <xdr:rowOff>152400</xdr:rowOff>
    </xdr:to>
    <xdr:sp macro="" textlink="">
      <xdr:nvSpPr>
        <xdr:cNvPr id="8733" name="AutoShape 541" descr=".">
          <a:extLst>
            <a:ext uri="{FF2B5EF4-FFF2-40B4-BE49-F238E27FC236}">
              <a16:creationId xmlns:a16="http://schemas.microsoft.com/office/drawing/2014/main" id="{544676D0-289A-4B34-8B16-F7F509B7BA5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667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91</xdr:row>
      <xdr:rowOff>0</xdr:rowOff>
    </xdr:from>
    <xdr:to>
      <xdr:col>59</xdr:col>
      <xdr:colOff>152400</xdr:colOff>
      <xdr:row>91</xdr:row>
      <xdr:rowOff>152400</xdr:rowOff>
    </xdr:to>
    <xdr:sp macro="" textlink="">
      <xdr:nvSpPr>
        <xdr:cNvPr id="8734" name="AutoShape 542" descr=".">
          <a:extLst>
            <a:ext uri="{FF2B5EF4-FFF2-40B4-BE49-F238E27FC236}">
              <a16:creationId xmlns:a16="http://schemas.microsoft.com/office/drawing/2014/main" id="{962C4920-A613-A66B-65FB-40A79438F53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70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93</xdr:row>
      <xdr:rowOff>0</xdr:rowOff>
    </xdr:from>
    <xdr:to>
      <xdr:col>59</xdr:col>
      <xdr:colOff>152400</xdr:colOff>
      <xdr:row>93</xdr:row>
      <xdr:rowOff>152400</xdr:rowOff>
    </xdr:to>
    <xdr:sp macro="" textlink="">
      <xdr:nvSpPr>
        <xdr:cNvPr id="8735" name="AutoShape 543" descr=".">
          <a:extLst>
            <a:ext uri="{FF2B5EF4-FFF2-40B4-BE49-F238E27FC236}">
              <a16:creationId xmlns:a16="http://schemas.microsoft.com/office/drawing/2014/main" id="{4136AF7D-40F5-26CD-D8F6-D760FD67BDA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745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95</xdr:row>
      <xdr:rowOff>0</xdr:rowOff>
    </xdr:from>
    <xdr:to>
      <xdr:col>59</xdr:col>
      <xdr:colOff>152400</xdr:colOff>
      <xdr:row>95</xdr:row>
      <xdr:rowOff>152400</xdr:rowOff>
    </xdr:to>
    <xdr:sp macro="" textlink="">
      <xdr:nvSpPr>
        <xdr:cNvPr id="8736" name="AutoShape 544" descr=".">
          <a:extLst>
            <a:ext uri="{FF2B5EF4-FFF2-40B4-BE49-F238E27FC236}">
              <a16:creationId xmlns:a16="http://schemas.microsoft.com/office/drawing/2014/main" id="{D91458AF-64DA-A3D9-5C9E-4BDDD1C65D5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783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97</xdr:row>
      <xdr:rowOff>0</xdr:rowOff>
    </xdr:from>
    <xdr:to>
      <xdr:col>59</xdr:col>
      <xdr:colOff>152400</xdr:colOff>
      <xdr:row>97</xdr:row>
      <xdr:rowOff>152400</xdr:rowOff>
    </xdr:to>
    <xdr:sp macro="" textlink="">
      <xdr:nvSpPr>
        <xdr:cNvPr id="8737" name="AutoShape 545" descr=".">
          <a:extLst>
            <a:ext uri="{FF2B5EF4-FFF2-40B4-BE49-F238E27FC236}">
              <a16:creationId xmlns:a16="http://schemas.microsoft.com/office/drawing/2014/main" id="{B349D6B4-F537-C46B-EB53-D4A7E909B4B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820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99</xdr:row>
      <xdr:rowOff>0</xdr:rowOff>
    </xdr:from>
    <xdr:to>
      <xdr:col>59</xdr:col>
      <xdr:colOff>152400</xdr:colOff>
      <xdr:row>99</xdr:row>
      <xdr:rowOff>152400</xdr:rowOff>
    </xdr:to>
    <xdr:sp macro="" textlink="">
      <xdr:nvSpPr>
        <xdr:cNvPr id="8738" name="AutoShape 546" descr=".">
          <a:extLst>
            <a:ext uri="{FF2B5EF4-FFF2-40B4-BE49-F238E27FC236}">
              <a16:creationId xmlns:a16="http://schemas.microsoft.com/office/drawing/2014/main" id="{E5D6A1E9-63ED-CE4C-B709-CC6DD0741BA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858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101</xdr:row>
      <xdr:rowOff>0</xdr:rowOff>
    </xdr:from>
    <xdr:to>
      <xdr:col>59</xdr:col>
      <xdr:colOff>152400</xdr:colOff>
      <xdr:row>101</xdr:row>
      <xdr:rowOff>152400</xdr:rowOff>
    </xdr:to>
    <xdr:sp macro="" textlink="">
      <xdr:nvSpPr>
        <xdr:cNvPr id="8739" name="AutoShape 547" descr=".">
          <a:extLst>
            <a:ext uri="{FF2B5EF4-FFF2-40B4-BE49-F238E27FC236}">
              <a16:creationId xmlns:a16="http://schemas.microsoft.com/office/drawing/2014/main" id="{E14FF021-2FED-69F4-4B0B-C6B6AB9631E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895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103</xdr:row>
      <xdr:rowOff>0</xdr:rowOff>
    </xdr:from>
    <xdr:to>
      <xdr:col>59</xdr:col>
      <xdr:colOff>152400</xdr:colOff>
      <xdr:row>103</xdr:row>
      <xdr:rowOff>152400</xdr:rowOff>
    </xdr:to>
    <xdr:sp macro="" textlink="">
      <xdr:nvSpPr>
        <xdr:cNvPr id="8740" name="AutoShape 548" descr=".">
          <a:extLst>
            <a:ext uri="{FF2B5EF4-FFF2-40B4-BE49-F238E27FC236}">
              <a16:creationId xmlns:a16="http://schemas.microsoft.com/office/drawing/2014/main" id="{024AB74B-6429-D851-2DE6-9EE034A90DB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932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105</xdr:row>
      <xdr:rowOff>0</xdr:rowOff>
    </xdr:from>
    <xdr:to>
      <xdr:col>59</xdr:col>
      <xdr:colOff>152400</xdr:colOff>
      <xdr:row>105</xdr:row>
      <xdr:rowOff>152400</xdr:rowOff>
    </xdr:to>
    <xdr:sp macro="" textlink="">
      <xdr:nvSpPr>
        <xdr:cNvPr id="8741" name="AutoShape 549" descr=".">
          <a:extLst>
            <a:ext uri="{FF2B5EF4-FFF2-40B4-BE49-F238E27FC236}">
              <a16:creationId xmlns:a16="http://schemas.microsoft.com/office/drawing/2014/main" id="{FEB351CB-3B21-D309-32E7-F6B1A57C980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1970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107</xdr:row>
      <xdr:rowOff>0</xdr:rowOff>
    </xdr:from>
    <xdr:to>
      <xdr:col>59</xdr:col>
      <xdr:colOff>152400</xdr:colOff>
      <xdr:row>107</xdr:row>
      <xdr:rowOff>152400</xdr:rowOff>
    </xdr:to>
    <xdr:sp macro="" textlink="">
      <xdr:nvSpPr>
        <xdr:cNvPr id="8742" name="AutoShape 550" descr=".">
          <a:extLst>
            <a:ext uri="{FF2B5EF4-FFF2-40B4-BE49-F238E27FC236}">
              <a16:creationId xmlns:a16="http://schemas.microsoft.com/office/drawing/2014/main" id="{98834FD6-279F-D06E-A197-363B544DBC8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007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109</xdr:row>
      <xdr:rowOff>0</xdr:rowOff>
    </xdr:from>
    <xdr:to>
      <xdr:col>59</xdr:col>
      <xdr:colOff>152400</xdr:colOff>
      <xdr:row>109</xdr:row>
      <xdr:rowOff>152400</xdr:rowOff>
    </xdr:to>
    <xdr:sp macro="" textlink="">
      <xdr:nvSpPr>
        <xdr:cNvPr id="8743" name="AutoShape 551" descr=".">
          <a:extLst>
            <a:ext uri="{FF2B5EF4-FFF2-40B4-BE49-F238E27FC236}">
              <a16:creationId xmlns:a16="http://schemas.microsoft.com/office/drawing/2014/main" id="{E3475160-BD7B-3E6D-D217-8D376710813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045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111</xdr:row>
      <xdr:rowOff>0</xdr:rowOff>
    </xdr:from>
    <xdr:to>
      <xdr:col>59</xdr:col>
      <xdr:colOff>152400</xdr:colOff>
      <xdr:row>111</xdr:row>
      <xdr:rowOff>152400</xdr:rowOff>
    </xdr:to>
    <xdr:sp macro="" textlink="">
      <xdr:nvSpPr>
        <xdr:cNvPr id="8744" name="AutoShape 552" descr=".">
          <a:extLst>
            <a:ext uri="{FF2B5EF4-FFF2-40B4-BE49-F238E27FC236}">
              <a16:creationId xmlns:a16="http://schemas.microsoft.com/office/drawing/2014/main" id="{485BAF06-F222-94E4-9E5E-9490229C620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082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113</xdr:row>
      <xdr:rowOff>0</xdr:rowOff>
    </xdr:from>
    <xdr:to>
      <xdr:col>59</xdr:col>
      <xdr:colOff>152400</xdr:colOff>
      <xdr:row>113</xdr:row>
      <xdr:rowOff>152400</xdr:rowOff>
    </xdr:to>
    <xdr:sp macro="" textlink="">
      <xdr:nvSpPr>
        <xdr:cNvPr id="8745" name="AutoShape 553" descr=".">
          <a:extLst>
            <a:ext uri="{FF2B5EF4-FFF2-40B4-BE49-F238E27FC236}">
              <a16:creationId xmlns:a16="http://schemas.microsoft.com/office/drawing/2014/main" id="{0E407384-CF67-7E2F-CD85-88A03925F4F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120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115</xdr:row>
      <xdr:rowOff>0</xdr:rowOff>
    </xdr:from>
    <xdr:to>
      <xdr:col>59</xdr:col>
      <xdr:colOff>152400</xdr:colOff>
      <xdr:row>115</xdr:row>
      <xdr:rowOff>152400</xdr:rowOff>
    </xdr:to>
    <xdr:sp macro="" textlink="">
      <xdr:nvSpPr>
        <xdr:cNvPr id="8746" name="AutoShape 554" descr=".">
          <a:extLst>
            <a:ext uri="{FF2B5EF4-FFF2-40B4-BE49-F238E27FC236}">
              <a16:creationId xmlns:a16="http://schemas.microsoft.com/office/drawing/2014/main" id="{B1E4055E-8173-2BD4-75CC-A0514F89BB5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157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117</xdr:row>
      <xdr:rowOff>0</xdr:rowOff>
    </xdr:from>
    <xdr:to>
      <xdr:col>59</xdr:col>
      <xdr:colOff>152400</xdr:colOff>
      <xdr:row>117</xdr:row>
      <xdr:rowOff>152400</xdr:rowOff>
    </xdr:to>
    <xdr:sp macro="" textlink="">
      <xdr:nvSpPr>
        <xdr:cNvPr id="8747" name="AutoShape 555" descr=".">
          <a:extLst>
            <a:ext uri="{FF2B5EF4-FFF2-40B4-BE49-F238E27FC236}">
              <a16:creationId xmlns:a16="http://schemas.microsoft.com/office/drawing/2014/main" id="{49BA21CE-23E2-79F1-8ABC-1EC0043EB4F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195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119</xdr:row>
      <xdr:rowOff>0</xdr:rowOff>
    </xdr:from>
    <xdr:to>
      <xdr:col>59</xdr:col>
      <xdr:colOff>152400</xdr:colOff>
      <xdr:row>119</xdr:row>
      <xdr:rowOff>152400</xdr:rowOff>
    </xdr:to>
    <xdr:sp macro="" textlink="">
      <xdr:nvSpPr>
        <xdr:cNvPr id="8748" name="AutoShape 556" descr=".">
          <a:extLst>
            <a:ext uri="{FF2B5EF4-FFF2-40B4-BE49-F238E27FC236}">
              <a16:creationId xmlns:a16="http://schemas.microsoft.com/office/drawing/2014/main" id="{064BCCCF-C80C-9332-3A3E-EC9F2DC7BB7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232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121</xdr:row>
      <xdr:rowOff>0</xdr:rowOff>
    </xdr:from>
    <xdr:to>
      <xdr:col>59</xdr:col>
      <xdr:colOff>152400</xdr:colOff>
      <xdr:row>121</xdr:row>
      <xdr:rowOff>152400</xdr:rowOff>
    </xdr:to>
    <xdr:sp macro="" textlink="">
      <xdr:nvSpPr>
        <xdr:cNvPr id="8749" name="AutoShape 557" descr=".">
          <a:extLst>
            <a:ext uri="{FF2B5EF4-FFF2-40B4-BE49-F238E27FC236}">
              <a16:creationId xmlns:a16="http://schemas.microsoft.com/office/drawing/2014/main" id="{F8891FFE-06C7-0FDE-E37D-0B661B75EF7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270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123</xdr:row>
      <xdr:rowOff>0</xdr:rowOff>
    </xdr:from>
    <xdr:to>
      <xdr:col>59</xdr:col>
      <xdr:colOff>152400</xdr:colOff>
      <xdr:row>123</xdr:row>
      <xdr:rowOff>152400</xdr:rowOff>
    </xdr:to>
    <xdr:sp macro="" textlink="">
      <xdr:nvSpPr>
        <xdr:cNvPr id="8750" name="AutoShape 558" descr=".">
          <a:extLst>
            <a:ext uri="{FF2B5EF4-FFF2-40B4-BE49-F238E27FC236}">
              <a16:creationId xmlns:a16="http://schemas.microsoft.com/office/drawing/2014/main" id="{BC9C472A-557D-F94F-5F5B-379AB428038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307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125</xdr:row>
      <xdr:rowOff>0</xdr:rowOff>
    </xdr:from>
    <xdr:to>
      <xdr:col>59</xdr:col>
      <xdr:colOff>152400</xdr:colOff>
      <xdr:row>125</xdr:row>
      <xdr:rowOff>152400</xdr:rowOff>
    </xdr:to>
    <xdr:sp macro="" textlink="">
      <xdr:nvSpPr>
        <xdr:cNvPr id="8751" name="AutoShape 559" descr=".">
          <a:extLst>
            <a:ext uri="{FF2B5EF4-FFF2-40B4-BE49-F238E27FC236}">
              <a16:creationId xmlns:a16="http://schemas.microsoft.com/office/drawing/2014/main" id="{76866CD4-401E-C0FE-DCC6-1A5E8B62C97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345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127</xdr:row>
      <xdr:rowOff>0</xdr:rowOff>
    </xdr:from>
    <xdr:to>
      <xdr:col>59</xdr:col>
      <xdr:colOff>152400</xdr:colOff>
      <xdr:row>127</xdr:row>
      <xdr:rowOff>152400</xdr:rowOff>
    </xdr:to>
    <xdr:sp macro="" textlink="">
      <xdr:nvSpPr>
        <xdr:cNvPr id="8752" name="AutoShape 560" descr=".">
          <a:extLst>
            <a:ext uri="{FF2B5EF4-FFF2-40B4-BE49-F238E27FC236}">
              <a16:creationId xmlns:a16="http://schemas.microsoft.com/office/drawing/2014/main" id="{84F4C354-491C-76B7-C3FE-DF59BDBD5F2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382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129</xdr:row>
      <xdr:rowOff>0</xdr:rowOff>
    </xdr:from>
    <xdr:to>
      <xdr:col>59</xdr:col>
      <xdr:colOff>152400</xdr:colOff>
      <xdr:row>129</xdr:row>
      <xdr:rowOff>152400</xdr:rowOff>
    </xdr:to>
    <xdr:sp macro="" textlink="">
      <xdr:nvSpPr>
        <xdr:cNvPr id="8753" name="AutoShape 561" descr=".">
          <a:extLst>
            <a:ext uri="{FF2B5EF4-FFF2-40B4-BE49-F238E27FC236}">
              <a16:creationId xmlns:a16="http://schemas.microsoft.com/office/drawing/2014/main" id="{75113934-4B63-6791-245B-44BBA62E9BD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419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131</xdr:row>
      <xdr:rowOff>0</xdr:rowOff>
    </xdr:from>
    <xdr:to>
      <xdr:col>59</xdr:col>
      <xdr:colOff>152400</xdr:colOff>
      <xdr:row>131</xdr:row>
      <xdr:rowOff>152400</xdr:rowOff>
    </xdr:to>
    <xdr:sp macro="" textlink="">
      <xdr:nvSpPr>
        <xdr:cNvPr id="8754" name="AutoShape 562" descr=".">
          <a:extLst>
            <a:ext uri="{FF2B5EF4-FFF2-40B4-BE49-F238E27FC236}">
              <a16:creationId xmlns:a16="http://schemas.microsoft.com/office/drawing/2014/main" id="{230C6626-CEFB-CBB1-9517-DDA072A1491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457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133</xdr:row>
      <xdr:rowOff>0</xdr:rowOff>
    </xdr:from>
    <xdr:to>
      <xdr:col>59</xdr:col>
      <xdr:colOff>152400</xdr:colOff>
      <xdr:row>133</xdr:row>
      <xdr:rowOff>152400</xdr:rowOff>
    </xdr:to>
    <xdr:sp macro="" textlink="">
      <xdr:nvSpPr>
        <xdr:cNvPr id="8755" name="AutoShape 563" descr=".">
          <a:extLst>
            <a:ext uri="{FF2B5EF4-FFF2-40B4-BE49-F238E27FC236}">
              <a16:creationId xmlns:a16="http://schemas.microsoft.com/office/drawing/2014/main" id="{4500E3FE-2BB4-97B1-3927-DF39353706D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494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135</xdr:row>
      <xdr:rowOff>0</xdr:rowOff>
    </xdr:from>
    <xdr:to>
      <xdr:col>59</xdr:col>
      <xdr:colOff>152400</xdr:colOff>
      <xdr:row>135</xdr:row>
      <xdr:rowOff>152400</xdr:rowOff>
    </xdr:to>
    <xdr:sp macro="" textlink="">
      <xdr:nvSpPr>
        <xdr:cNvPr id="8756" name="AutoShape 564" descr=".">
          <a:extLst>
            <a:ext uri="{FF2B5EF4-FFF2-40B4-BE49-F238E27FC236}">
              <a16:creationId xmlns:a16="http://schemas.microsoft.com/office/drawing/2014/main" id="{A7493BA9-EC36-D31F-F700-91A580848E3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532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137</xdr:row>
      <xdr:rowOff>0</xdr:rowOff>
    </xdr:from>
    <xdr:to>
      <xdr:col>59</xdr:col>
      <xdr:colOff>152400</xdr:colOff>
      <xdr:row>137</xdr:row>
      <xdr:rowOff>152400</xdr:rowOff>
    </xdr:to>
    <xdr:sp macro="" textlink="">
      <xdr:nvSpPr>
        <xdr:cNvPr id="8757" name="AutoShape 565" descr=".">
          <a:extLst>
            <a:ext uri="{FF2B5EF4-FFF2-40B4-BE49-F238E27FC236}">
              <a16:creationId xmlns:a16="http://schemas.microsoft.com/office/drawing/2014/main" id="{CC7C1CC5-4395-18E7-1FCB-FB1BD7A103B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5698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139</xdr:row>
      <xdr:rowOff>0</xdr:rowOff>
    </xdr:from>
    <xdr:to>
      <xdr:col>59</xdr:col>
      <xdr:colOff>152400</xdr:colOff>
      <xdr:row>139</xdr:row>
      <xdr:rowOff>152400</xdr:rowOff>
    </xdr:to>
    <xdr:sp macro="" textlink="">
      <xdr:nvSpPr>
        <xdr:cNvPr id="8758" name="AutoShape 566" descr=".">
          <a:extLst>
            <a:ext uri="{FF2B5EF4-FFF2-40B4-BE49-F238E27FC236}">
              <a16:creationId xmlns:a16="http://schemas.microsoft.com/office/drawing/2014/main" id="{195A34B4-BECC-7FA9-A6C1-30D2FA88765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607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141</xdr:row>
      <xdr:rowOff>0</xdr:rowOff>
    </xdr:from>
    <xdr:to>
      <xdr:col>59</xdr:col>
      <xdr:colOff>152400</xdr:colOff>
      <xdr:row>141</xdr:row>
      <xdr:rowOff>152400</xdr:rowOff>
    </xdr:to>
    <xdr:sp macro="" textlink="">
      <xdr:nvSpPr>
        <xdr:cNvPr id="8759" name="AutoShape 567" descr=".">
          <a:extLst>
            <a:ext uri="{FF2B5EF4-FFF2-40B4-BE49-F238E27FC236}">
              <a16:creationId xmlns:a16="http://schemas.microsoft.com/office/drawing/2014/main" id="{B2655309-1299-6D75-2445-F9184DA86BF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6447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143</xdr:row>
      <xdr:rowOff>0</xdr:rowOff>
    </xdr:from>
    <xdr:to>
      <xdr:col>59</xdr:col>
      <xdr:colOff>152400</xdr:colOff>
      <xdr:row>143</xdr:row>
      <xdr:rowOff>152400</xdr:rowOff>
    </xdr:to>
    <xdr:sp macro="" textlink="">
      <xdr:nvSpPr>
        <xdr:cNvPr id="8760" name="AutoShape 568" descr=".">
          <a:extLst>
            <a:ext uri="{FF2B5EF4-FFF2-40B4-BE49-F238E27FC236}">
              <a16:creationId xmlns:a16="http://schemas.microsoft.com/office/drawing/2014/main" id="{46D74AF5-A7AB-DB0E-3422-F6B6255D29B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682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145</xdr:row>
      <xdr:rowOff>0</xdr:rowOff>
    </xdr:from>
    <xdr:to>
      <xdr:col>59</xdr:col>
      <xdr:colOff>152400</xdr:colOff>
      <xdr:row>145</xdr:row>
      <xdr:rowOff>152400</xdr:rowOff>
    </xdr:to>
    <xdr:sp macro="" textlink="">
      <xdr:nvSpPr>
        <xdr:cNvPr id="8761" name="AutoShape 569" descr=".">
          <a:extLst>
            <a:ext uri="{FF2B5EF4-FFF2-40B4-BE49-F238E27FC236}">
              <a16:creationId xmlns:a16="http://schemas.microsoft.com/office/drawing/2014/main" id="{8346C327-1A56-E720-AB1D-FF065A4D493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7197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147</xdr:row>
      <xdr:rowOff>0</xdr:rowOff>
    </xdr:from>
    <xdr:to>
      <xdr:col>59</xdr:col>
      <xdr:colOff>152400</xdr:colOff>
      <xdr:row>147</xdr:row>
      <xdr:rowOff>152400</xdr:rowOff>
    </xdr:to>
    <xdr:sp macro="" textlink="">
      <xdr:nvSpPr>
        <xdr:cNvPr id="8762" name="AutoShape 570" descr=".">
          <a:extLst>
            <a:ext uri="{FF2B5EF4-FFF2-40B4-BE49-F238E27FC236}">
              <a16:creationId xmlns:a16="http://schemas.microsoft.com/office/drawing/2014/main" id="{4AAC82F9-D410-D2E2-0882-3545BB568ED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75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149</xdr:row>
      <xdr:rowOff>0</xdr:rowOff>
    </xdr:from>
    <xdr:to>
      <xdr:col>59</xdr:col>
      <xdr:colOff>152400</xdr:colOff>
      <xdr:row>149</xdr:row>
      <xdr:rowOff>152400</xdr:rowOff>
    </xdr:to>
    <xdr:sp macro="" textlink="">
      <xdr:nvSpPr>
        <xdr:cNvPr id="8763" name="AutoShape 571" descr=".">
          <a:extLst>
            <a:ext uri="{FF2B5EF4-FFF2-40B4-BE49-F238E27FC236}">
              <a16:creationId xmlns:a16="http://schemas.microsoft.com/office/drawing/2014/main" id="{A3B4669F-11C6-5DD0-72F2-CC291FAB88F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794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151</xdr:row>
      <xdr:rowOff>0</xdr:rowOff>
    </xdr:from>
    <xdr:to>
      <xdr:col>59</xdr:col>
      <xdr:colOff>152400</xdr:colOff>
      <xdr:row>151</xdr:row>
      <xdr:rowOff>152400</xdr:rowOff>
    </xdr:to>
    <xdr:sp macro="" textlink="">
      <xdr:nvSpPr>
        <xdr:cNvPr id="8764" name="AutoShape 572" descr=".">
          <a:extLst>
            <a:ext uri="{FF2B5EF4-FFF2-40B4-BE49-F238E27FC236}">
              <a16:creationId xmlns:a16="http://schemas.microsoft.com/office/drawing/2014/main" id="{45884CA6-1487-1D30-AB75-8279B0E0C69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83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153</xdr:row>
      <xdr:rowOff>0</xdr:rowOff>
    </xdr:from>
    <xdr:to>
      <xdr:col>59</xdr:col>
      <xdr:colOff>152400</xdr:colOff>
      <xdr:row>153</xdr:row>
      <xdr:rowOff>152400</xdr:rowOff>
    </xdr:to>
    <xdr:sp macro="" textlink="">
      <xdr:nvSpPr>
        <xdr:cNvPr id="8765" name="AutoShape 573" descr=".">
          <a:extLst>
            <a:ext uri="{FF2B5EF4-FFF2-40B4-BE49-F238E27FC236}">
              <a16:creationId xmlns:a16="http://schemas.microsoft.com/office/drawing/2014/main" id="{A5A57A84-0C62-DD6D-4E16-B2479CE87F0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869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155</xdr:row>
      <xdr:rowOff>0</xdr:rowOff>
    </xdr:from>
    <xdr:to>
      <xdr:col>59</xdr:col>
      <xdr:colOff>152400</xdr:colOff>
      <xdr:row>155</xdr:row>
      <xdr:rowOff>152400</xdr:rowOff>
    </xdr:to>
    <xdr:sp macro="" textlink="">
      <xdr:nvSpPr>
        <xdr:cNvPr id="8766" name="AutoShape 574" descr=".">
          <a:extLst>
            <a:ext uri="{FF2B5EF4-FFF2-40B4-BE49-F238E27FC236}">
              <a16:creationId xmlns:a16="http://schemas.microsoft.com/office/drawing/2014/main" id="{C27525F3-E6E2-0EF1-60C2-3E3F426AA18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907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157</xdr:row>
      <xdr:rowOff>0</xdr:rowOff>
    </xdr:from>
    <xdr:to>
      <xdr:col>59</xdr:col>
      <xdr:colOff>152400</xdr:colOff>
      <xdr:row>157</xdr:row>
      <xdr:rowOff>152400</xdr:rowOff>
    </xdr:to>
    <xdr:sp macro="" textlink="">
      <xdr:nvSpPr>
        <xdr:cNvPr id="8767" name="AutoShape 575" descr=".">
          <a:extLst>
            <a:ext uri="{FF2B5EF4-FFF2-40B4-BE49-F238E27FC236}">
              <a16:creationId xmlns:a16="http://schemas.microsoft.com/office/drawing/2014/main" id="{BC2F7734-486B-DE1F-689D-9D77E0F5DD5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944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159</xdr:row>
      <xdr:rowOff>0</xdr:rowOff>
    </xdr:from>
    <xdr:to>
      <xdr:col>59</xdr:col>
      <xdr:colOff>152400</xdr:colOff>
      <xdr:row>159</xdr:row>
      <xdr:rowOff>152400</xdr:rowOff>
    </xdr:to>
    <xdr:sp macro="" textlink="">
      <xdr:nvSpPr>
        <xdr:cNvPr id="8768" name="AutoShape 576" descr=".">
          <a:extLst>
            <a:ext uri="{FF2B5EF4-FFF2-40B4-BE49-F238E27FC236}">
              <a16:creationId xmlns:a16="http://schemas.microsoft.com/office/drawing/2014/main" id="{A3CEEBF3-9DF9-C28D-E02F-7F38E582107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2981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161</xdr:row>
      <xdr:rowOff>0</xdr:rowOff>
    </xdr:from>
    <xdr:to>
      <xdr:col>59</xdr:col>
      <xdr:colOff>152400</xdr:colOff>
      <xdr:row>161</xdr:row>
      <xdr:rowOff>152400</xdr:rowOff>
    </xdr:to>
    <xdr:sp macro="" textlink="">
      <xdr:nvSpPr>
        <xdr:cNvPr id="8769" name="AutoShape 577" descr=".">
          <a:extLst>
            <a:ext uri="{FF2B5EF4-FFF2-40B4-BE49-F238E27FC236}">
              <a16:creationId xmlns:a16="http://schemas.microsoft.com/office/drawing/2014/main" id="{4046BBE0-A713-7E53-BE79-ABB804F3ECE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019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163</xdr:row>
      <xdr:rowOff>0</xdr:rowOff>
    </xdr:from>
    <xdr:to>
      <xdr:col>59</xdr:col>
      <xdr:colOff>152400</xdr:colOff>
      <xdr:row>163</xdr:row>
      <xdr:rowOff>152400</xdr:rowOff>
    </xdr:to>
    <xdr:sp macro="" textlink="">
      <xdr:nvSpPr>
        <xdr:cNvPr id="8770" name="AutoShape 578" descr=".">
          <a:extLst>
            <a:ext uri="{FF2B5EF4-FFF2-40B4-BE49-F238E27FC236}">
              <a16:creationId xmlns:a16="http://schemas.microsoft.com/office/drawing/2014/main" id="{13CF390A-393D-2AE0-9EF0-E18E8DBBC11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056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165</xdr:row>
      <xdr:rowOff>0</xdr:rowOff>
    </xdr:from>
    <xdr:to>
      <xdr:col>59</xdr:col>
      <xdr:colOff>152400</xdr:colOff>
      <xdr:row>165</xdr:row>
      <xdr:rowOff>152400</xdr:rowOff>
    </xdr:to>
    <xdr:sp macro="" textlink="">
      <xdr:nvSpPr>
        <xdr:cNvPr id="8771" name="AutoShape 579" descr=".">
          <a:extLst>
            <a:ext uri="{FF2B5EF4-FFF2-40B4-BE49-F238E27FC236}">
              <a16:creationId xmlns:a16="http://schemas.microsoft.com/office/drawing/2014/main" id="{F46A7EF1-905A-7F8E-BE1C-0B57CA931A0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094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167</xdr:row>
      <xdr:rowOff>0</xdr:rowOff>
    </xdr:from>
    <xdr:to>
      <xdr:col>59</xdr:col>
      <xdr:colOff>152400</xdr:colOff>
      <xdr:row>167</xdr:row>
      <xdr:rowOff>152400</xdr:rowOff>
    </xdr:to>
    <xdr:sp macro="" textlink="">
      <xdr:nvSpPr>
        <xdr:cNvPr id="8772" name="AutoShape 580" descr=".">
          <a:extLst>
            <a:ext uri="{FF2B5EF4-FFF2-40B4-BE49-F238E27FC236}">
              <a16:creationId xmlns:a16="http://schemas.microsoft.com/office/drawing/2014/main" id="{4D472F60-8354-E02C-7FF0-A0F335621FB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131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169</xdr:row>
      <xdr:rowOff>0</xdr:rowOff>
    </xdr:from>
    <xdr:to>
      <xdr:col>59</xdr:col>
      <xdr:colOff>152400</xdr:colOff>
      <xdr:row>169</xdr:row>
      <xdr:rowOff>152400</xdr:rowOff>
    </xdr:to>
    <xdr:sp macro="" textlink="">
      <xdr:nvSpPr>
        <xdr:cNvPr id="8773" name="AutoShape 581" descr=".">
          <a:extLst>
            <a:ext uri="{FF2B5EF4-FFF2-40B4-BE49-F238E27FC236}">
              <a16:creationId xmlns:a16="http://schemas.microsoft.com/office/drawing/2014/main" id="{AE03D707-C825-CE7A-80B1-A6C56CD33B3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169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171</xdr:row>
      <xdr:rowOff>0</xdr:rowOff>
    </xdr:from>
    <xdr:to>
      <xdr:col>59</xdr:col>
      <xdr:colOff>152400</xdr:colOff>
      <xdr:row>171</xdr:row>
      <xdr:rowOff>152400</xdr:rowOff>
    </xdr:to>
    <xdr:sp macro="" textlink="">
      <xdr:nvSpPr>
        <xdr:cNvPr id="8774" name="AutoShape 582" descr=".">
          <a:extLst>
            <a:ext uri="{FF2B5EF4-FFF2-40B4-BE49-F238E27FC236}">
              <a16:creationId xmlns:a16="http://schemas.microsoft.com/office/drawing/2014/main" id="{54CF66B6-4ED2-1F0C-DE1C-CD328D4A11D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20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173</xdr:row>
      <xdr:rowOff>0</xdr:rowOff>
    </xdr:from>
    <xdr:to>
      <xdr:col>59</xdr:col>
      <xdr:colOff>152400</xdr:colOff>
      <xdr:row>173</xdr:row>
      <xdr:rowOff>152400</xdr:rowOff>
    </xdr:to>
    <xdr:sp macro="" textlink="">
      <xdr:nvSpPr>
        <xdr:cNvPr id="8775" name="AutoShape 583" descr=".">
          <a:extLst>
            <a:ext uri="{FF2B5EF4-FFF2-40B4-BE49-F238E27FC236}">
              <a16:creationId xmlns:a16="http://schemas.microsoft.com/office/drawing/2014/main" id="{8A64B203-408C-2CA8-B534-FD720F8160B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244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175</xdr:row>
      <xdr:rowOff>0</xdr:rowOff>
    </xdr:from>
    <xdr:to>
      <xdr:col>59</xdr:col>
      <xdr:colOff>152400</xdr:colOff>
      <xdr:row>175</xdr:row>
      <xdr:rowOff>152400</xdr:rowOff>
    </xdr:to>
    <xdr:sp macro="" textlink="">
      <xdr:nvSpPr>
        <xdr:cNvPr id="8776" name="AutoShape 584" descr=".">
          <a:extLst>
            <a:ext uri="{FF2B5EF4-FFF2-40B4-BE49-F238E27FC236}">
              <a16:creationId xmlns:a16="http://schemas.microsoft.com/office/drawing/2014/main" id="{3ED68B0B-8A3D-6198-907A-9D26E93F3DB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281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177</xdr:row>
      <xdr:rowOff>0</xdr:rowOff>
    </xdr:from>
    <xdr:to>
      <xdr:col>59</xdr:col>
      <xdr:colOff>152400</xdr:colOff>
      <xdr:row>177</xdr:row>
      <xdr:rowOff>152400</xdr:rowOff>
    </xdr:to>
    <xdr:sp macro="" textlink="">
      <xdr:nvSpPr>
        <xdr:cNvPr id="8777" name="AutoShape 585" descr=".">
          <a:extLst>
            <a:ext uri="{FF2B5EF4-FFF2-40B4-BE49-F238E27FC236}">
              <a16:creationId xmlns:a16="http://schemas.microsoft.com/office/drawing/2014/main" id="{E0226C1C-EC74-141C-1930-9F4E38650EF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319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179</xdr:row>
      <xdr:rowOff>0</xdr:rowOff>
    </xdr:from>
    <xdr:to>
      <xdr:col>59</xdr:col>
      <xdr:colOff>152400</xdr:colOff>
      <xdr:row>179</xdr:row>
      <xdr:rowOff>152400</xdr:rowOff>
    </xdr:to>
    <xdr:sp macro="" textlink="">
      <xdr:nvSpPr>
        <xdr:cNvPr id="8778" name="AutoShape 586" descr=".">
          <a:extLst>
            <a:ext uri="{FF2B5EF4-FFF2-40B4-BE49-F238E27FC236}">
              <a16:creationId xmlns:a16="http://schemas.microsoft.com/office/drawing/2014/main" id="{6DFE07BB-581B-DF30-54E2-924BB28BF8E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356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181</xdr:row>
      <xdr:rowOff>0</xdr:rowOff>
    </xdr:from>
    <xdr:to>
      <xdr:col>59</xdr:col>
      <xdr:colOff>152400</xdr:colOff>
      <xdr:row>181</xdr:row>
      <xdr:rowOff>152400</xdr:rowOff>
    </xdr:to>
    <xdr:sp macro="" textlink="">
      <xdr:nvSpPr>
        <xdr:cNvPr id="8779" name="AutoShape 587" descr=".">
          <a:extLst>
            <a:ext uri="{FF2B5EF4-FFF2-40B4-BE49-F238E27FC236}">
              <a16:creationId xmlns:a16="http://schemas.microsoft.com/office/drawing/2014/main" id="{90827C0D-B368-B437-DC23-7DDEA0A5162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394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183</xdr:row>
      <xdr:rowOff>0</xdr:rowOff>
    </xdr:from>
    <xdr:to>
      <xdr:col>59</xdr:col>
      <xdr:colOff>152400</xdr:colOff>
      <xdr:row>183</xdr:row>
      <xdr:rowOff>152400</xdr:rowOff>
    </xdr:to>
    <xdr:sp macro="" textlink="">
      <xdr:nvSpPr>
        <xdr:cNvPr id="8780" name="AutoShape 588" descr=".">
          <a:extLst>
            <a:ext uri="{FF2B5EF4-FFF2-40B4-BE49-F238E27FC236}">
              <a16:creationId xmlns:a16="http://schemas.microsoft.com/office/drawing/2014/main" id="{3D12EA7C-7991-0BE2-464E-65F948B002F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431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185</xdr:row>
      <xdr:rowOff>0</xdr:rowOff>
    </xdr:from>
    <xdr:to>
      <xdr:col>59</xdr:col>
      <xdr:colOff>152400</xdr:colOff>
      <xdr:row>185</xdr:row>
      <xdr:rowOff>152400</xdr:rowOff>
    </xdr:to>
    <xdr:sp macro="" textlink="">
      <xdr:nvSpPr>
        <xdr:cNvPr id="8781" name="AutoShape 589" descr=".">
          <a:extLst>
            <a:ext uri="{FF2B5EF4-FFF2-40B4-BE49-F238E27FC236}">
              <a16:creationId xmlns:a16="http://schemas.microsoft.com/office/drawing/2014/main" id="{78609388-86A4-9172-2ED6-FE8FB70A8EF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469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187</xdr:row>
      <xdr:rowOff>0</xdr:rowOff>
    </xdr:from>
    <xdr:to>
      <xdr:col>59</xdr:col>
      <xdr:colOff>152400</xdr:colOff>
      <xdr:row>187</xdr:row>
      <xdr:rowOff>152400</xdr:rowOff>
    </xdr:to>
    <xdr:sp macro="" textlink="">
      <xdr:nvSpPr>
        <xdr:cNvPr id="8782" name="AutoShape 590" descr=".">
          <a:extLst>
            <a:ext uri="{FF2B5EF4-FFF2-40B4-BE49-F238E27FC236}">
              <a16:creationId xmlns:a16="http://schemas.microsoft.com/office/drawing/2014/main" id="{80010708-66E7-974F-3033-A2010693BA0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506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189</xdr:row>
      <xdr:rowOff>0</xdr:rowOff>
    </xdr:from>
    <xdr:to>
      <xdr:col>59</xdr:col>
      <xdr:colOff>152400</xdr:colOff>
      <xdr:row>189</xdr:row>
      <xdr:rowOff>152400</xdr:rowOff>
    </xdr:to>
    <xdr:sp macro="" textlink="">
      <xdr:nvSpPr>
        <xdr:cNvPr id="8783" name="AutoShape 591" descr=".">
          <a:extLst>
            <a:ext uri="{FF2B5EF4-FFF2-40B4-BE49-F238E27FC236}">
              <a16:creationId xmlns:a16="http://schemas.microsoft.com/office/drawing/2014/main" id="{BC33FDBC-2606-9688-CD0C-04C15383C9D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543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191</xdr:row>
      <xdr:rowOff>0</xdr:rowOff>
    </xdr:from>
    <xdr:to>
      <xdr:col>59</xdr:col>
      <xdr:colOff>152400</xdr:colOff>
      <xdr:row>191</xdr:row>
      <xdr:rowOff>152400</xdr:rowOff>
    </xdr:to>
    <xdr:sp macro="" textlink="">
      <xdr:nvSpPr>
        <xdr:cNvPr id="8784" name="AutoShape 592" descr=".">
          <a:extLst>
            <a:ext uri="{FF2B5EF4-FFF2-40B4-BE49-F238E27FC236}">
              <a16:creationId xmlns:a16="http://schemas.microsoft.com/office/drawing/2014/main" id="{17BB027A-0476-DF2C-F0B0-B380E44BB0B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581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193</xdr:row>
      <xdr:rowOff>0</xdr:rowOff>
    </xdr:from>
    <xdr:to>
      <xdr:col>59</xdr:col>
      <xdr:colOff>152400</xdr:colOff>
      <xdr:row>193</xdr:row>
      <xdr:rowOff>152400</xdr:rowOff>
    </xdr:to>
    <xdr:sp macro="" textlink="">
      <xdr:nvSpPr>
        <xdr:cNvPr id="8785" name="AutoShape 593" descr=".">
          <a:extLst>
            <a:ext uri="{FF2B5EF4-FFF2-40B4-BE49-F238E27FC236}">
              <a16:creationId xmlns:a16="http://schemas.microsoft.com/office/drawing/2014/main" id="{85973B5D-3F9C-E817-25EF-5C7AB22E66A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618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195</xdr:row>
      <xdr:rowOff>0</xdr:rowOff>
    </xdr:from>
    <xdr:to>
      <xdr:col>59</xdr:col>
      <xdr:colOff>152400</xdr:colOff>
      <xdr:row>195</xdr:row>
      <xdr:rowOff>152400</xdr:rowOff>
    </xdr:to>
    <xdr:sp macro="" textlink="">
      <xdr:nvSpPr>
        <xdr:cNvPr id="8786" name="AutoShape 594" descr=".">
          <a:extLst>
            <a:ext uri="{FF2B5EF4-FFF2-40B4-BE49-F238E27FC236}">
              <a16:creationId xmlns:a16="http://schemas.microsoft.com/office/drawing/2014/main" id="{0A913C0E-68C0-1878-DCD1-DC106613DEA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656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197</xdr:row>
      <xdr:rowOff>0</xdr:rowOff>
    </xdr:from>
    <xdr:to>
      <xdr:col>59</xdr:col>
      <xdr:colOff>152400</xdr:colOff>
      <xdr:row>197</xdr:row>
      <xdr:rowOff>152400</xdr:rowOff>
    </xdr:to>
    <xdr:sp macro="" textlink="">
      <xdr:nvSpPr>
        <xdr:cNvPr id="8787" name="AutoShape 595" descr=".">
          <a:extLst>
            <a:ext uri="{FF2B5EF4-FFF2-40B4-BE49-F238E27FC236}">
              <a16:creationId xmlns:a16="http://schemas.microsoft.com/office/drawing/2014/main" id="{AF04FA10-F960-BF49-C251-AD6C7463AA0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6937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199</xdr:row>
      <xdr:rowOff>0</xdr:rowOff>
    </xdr:from>
    <xdr:to>
      <xdr:col>59</xdr:col>
      <xdr:colOff>152400</xdr:colOff>
      <xdr:row>199</xdr:row>
      <xdr:rowOff>152400</xdr:rowOff>
    </xdr:to>
    <xdr:sp macro="" textlink="">
      <xdr:nvSpPr>
        <xdr:cNvPr id="8788" name="AutoShape 596" descr=".">
          <a:extLst>
            <a:ext uri="{FF2B5EF4-FFF2-40B4-BE49-F238E27FC236}">
              <a16:creationId xmlns:a16="http://schemas.microsoft.com/office/drawing/2014/main" id="{7FD7BB49-AC06-E938-2067-1E1FEDF3FA4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731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201</xdr:row>
      <xdr:rowOff>0</xdr:rowOff>
    </xdr:from>
    <xdr:to>
      <xdr:col>59</xdr:col>
      <xdr:colOff>152400</xdr:colOff>
      <xdr:row>201</xdr:row>
      <xdr:rowOff>152400</xdr:rowOff>
    </xdr:to>
    <xdr:sp macro="" textlink="">
      <xdr:nvSpPr>
        <xdr:cNvPr id="8789" name="AutoShape 597" descr=".">
          <a:extLst>
            <a:ext uri="{FF2B5EF4-FFF2-40B4-BE49-F238E27FC236}">
              <a16:creationId xmlns:a16="http://schemas.microsoft.com/office/drawing/2014/main" id="{9308D25F-956A-94EB-1DCF-0A8B2E668D5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768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203</xdr:row>
      <xdr:rowOff>0</xdr:rowOff>
    </xdr:from>
    <xdr:to>
      <xdr:col>59</xdr:col>
      <xdr:colOff>152400</xdr:colOff>
      <xdr:row>203</xdr:row>
      <xdr:rowOff>152400</xdr:rowOff>
    </xdr:to>
    <xdr:sp macro="" textlink="">
      <xdr:nvSpPr>
        <xdr:cNvPr id="8790" name="AutoShape 598" descr=".">
          <a:extLst>
            <a:ext uri="{FF2B5EF4-FFF2-40B4-BE49-F238E27FC236}">
              <a16:creationId xmlns:a16="http://schemas.microsoft.com/office/drawing/2014/main" id="{560EA3D0-9207-755F-2FE4-1FFE4E53FB3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806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205</xdr:row>
      <xdr:rowOff>0</xdr:rowOff>
    </xdr:from>
    <xdr:to>
      <xdr:col>59</xdr:col>
      <xdr:colOff>152400</xdr:colOff>
      <xdr:row>205</xdr:row>
      <xdr:rowOff>152400</xdr:rowOff>
    </xdr:to>
    <xdr:sp macro="" textlink="">
      <xdr:nvSpPr>
        <xdr:cNvPr id="8791" name="AutoShape 599" descr=".">
          <a:extLst>
            <a:ext uri="{FF2B5EF4-FFF2-40B4-BE49-F238E27FC236}">
              <a16:creationId xmlns:a16="http://schemas.microsoft.com/office/drawing/2014/main" id="{526B2108-2ACB-FD0B-EBCA-D28F412825D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8436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207</xdr:row>
      <xdr:rowOff>0</xdr:rowOff>
    </xdr:from>
    <xdr:to>
      <xdr:col>59</xdr:col>
      <xdr:colOff>152400</xdr:colOff>
      <xdr:row>207</xdr:row>
      <xdr:rowOff>152400</xdr:rowOff>
    </xdr:to>
    <xdr:sp macro="" textlink="">
      <xdr:nvSpPr>
        <xdr:cNvPr id="8792" name="AutoShape 600" descr=".">
          <a:extLst>
            <a:ext uri="{FF2B5EF4-FFF2-40B4-BE49-F238E27FC236}">
              <a16:creationId xmlns:a16="http://schemas.microsoft.com/office/drawing/2014/main" id="{368445D9-A495-DE03-554E-19E820CA0B6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881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209</xdr:row>
      <xdr:rowOff>0</xdr:rowOff>
    </xdr:from>
    <xdr:to>
      <xdr:col>59</xdr:col>
      <xdr:colOff>152400</xdr:colOff>
      <xdr:row>209</xdr:row>
      <xdr:rowOff>152400</xdr:rowOff>
    </xdr:to>
    <xdr:sp macro="" textlink="">
      <xdr:nvSpPr>
        <xdr:cNvPr id="8793" name="AutoShape 601" descr=".">
          <a:extLst>
            <a:ext uri="{FF2B5EF4-FFF2-40B4-BE49-F238E27FC236}">
              <a16:creationId xmlns:a16="http://schemas.microsoft.com/office/drawing/2014/main" id="{C8FDA762-FD83-E8D8-88C4-3333333FEF9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91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211</xdr:row>
      <xdr:rowOff>0</xdr:rowOff>
    </xdr:from>
    <xdr:to>
      <xdr:col>59</xdr:col>
      <xdr:colOff>152400</xdr:colOff>
      <xdr:row>211</xdr:row>
      <xdr:rowOff>152400</xdr:rowOff>
    </xdr:to>
    <xdr:sp macro="" textlink="">
      <xdr:nvSpPr>
        <xdr:cNvPr id="8794" name="AutoShape 602" descr=".">
          <a:extLst>
            <a:ext uri="{FF2B5EF4-FFF2-40B4-BE49-F238E27FC236}">
              <a16:creationId xmlns:a16="http://schemas.microsoft.com/office/drawing/2014/main" id="{C2A95E98-A9A9-9AEB-CDA4-A29608CA849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956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213</xdr:row>
      <xdr:rowOff>0</xdr:rowOff>
    </xdr:from>
    <xdr:to>
      <xdr:col>59</xdr:col>
      <xdr:colOff>152400</xdr:colOff>
      <xdr:row>213</xdr:row>
      <xdr:rowOff>152400</xdr:rowOff>
    </xdr:to>
    <xdr:sp macro="" textlink="">
      <xdr:nvSpPr>
        <xdr:cNvPr id="8795" name="AutoShape 603" descr=".">
          <a:extLst>
            <a:ext uri="{FF2B5EF4-FFF2-40B4-BE49-F238E27FC236}">
              <a16:creationId xmlns:a16="http://schemas.microsoft.com/office/drawing/2014/main" id="{E6DF1D52-FC55-C0F7-FF52-D6903F60931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3993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215</xdr:row>
      <xdr:rowOff>0</xdr:rowOff>
    </xdr:from>
    <xdr:to>
      <xdr:col>59</xdr:col>
      <xdr:colOff>152400</xdr:colOff>
      <xdr:row>215</xdr:row>
      <xdr:rowOff>152400</xdr:rowOff>
    </xdr:to>
    <xdr:sp macro="" textlink="">
      <xdr:nvSpPr>
        <xdr:cNvPr id="8796" name="AutoShape 604" descr=".">
          <a:extLst>
            <a:ext uri="{FF2B5EF4-FFF2-40B4-BE49-F238E27FC236}">
              <a16:creationId xmlns:a16="http://schemas.microsoft.com/office/drawing/2014/main" id="{33D97491-93BD-37B9-73D3-946E6B9DF9D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030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217</xdr:row>
      <xdr:rowOff>0</xdr:rowOff>
    </xdr:from>
    <xdr:to>
      <xdr:col>59</xdr:col>
      <xdr:colOff>152400</xdr:colOff>
      <xdr:row>217</xdr:row>
      <xdr:rowOff>152400</xdr:rowOff>
    </xdr:to>
    <xdr:sp macro="" textlink="">
      <xdr:nvSpPr>
        <xdr:cNvPr id="8797" name="AutoShape 605" descr=".">
          <a:extLst>
            <a:ext uri="{FF2B5EF4-FFF2-40B4-BE49-F238E27FC236}">
              <a16:creationId xmlns:a16="http://schemas.microsoft.com/office/drawing/2014/main" id="{465B428F-F8F0-73ED-5D5E-CBAEFE79976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068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219</xdr:row>
      <xdr:rowOff>0</xdr:rowOff>
    </xdr:from>
    <xdr:to>
      <xdr:col>59</xdr:col>
      <xdr:colOff>152400</xdr:colOff>
      <xdr:row>219</xdr:row>
      <xdr:rowOff>152400</xdr:rowOff>
    </xdr:to>
    <xdr:sp macro="" textlink="">
      <xdr:nvSpPr>
        <xdr:cNvPr id="8798" name="AutoShape 606" descr=".">
          <a:extLst>
            <a:ext uri="{FF2B5EF4-FFF2-40B4-BE49-F238E27FC236}">
              <a16:creationId xmlns:a16="http://schemas.microsoft.com/office/drawing/2014/main" id="{F89BA238-E018-6F8A-EAB1-F87B770A283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105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221</xdr:row>
      <xdr:rowOff>0</xdr:rowOff>
    </xdr:from>
    <xdr:to>
      <xdr:col>59</xdr:col>
      <xdr:colOff>152400</xdr:colOff>
      <xdr:row>221</xdr:row>
      <xdr:rowOff>152400</xdr:rowOff>
    </xdr:to>
    <xdr:sp macro="" textlink="">
      <xdr:nvSpPr>
        <xdr:cNvPr id="8799" name="AutoShape 607" descr=".">
          <a:extLst>
            <a:ext uri="{FF2B5EF4-FFF2-40B4-BE49-F238E27FC236}">
              <a16:creationId xmlns:a16="http://schemas.microsoft.com/office/drawing/2014/main" id="{78322AEC-6163-350A-B542-8CD551467DE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143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223</xdr:row>
      <xdr:rowOff>0</xdr:rowOff>
    </xdr:from>
    <xdr:to>
      <xdr:col>59</xdr:col>
      <xdr:colOff>152400</xdr:colOff>
      <xdr:row>223</xdr:row>
      <xdr:rowOff>152400</xdr:rowOff>
    </xdr:to>
    <xdr:sp macro="" textlink="">
      <xdr:nvSpPr>
        <xdr:cNvPr id="8800" name="AutoShape 608" descr=".">
          <a:extLst>
            <a:ext uri="{FF2B5EF4-FFF2-40B4-BE49-F238E27FC236}">
              <a16:creationId xmlns:a16="http://schemas.microsoft.com/office/drawing/2014/main" id="{35FA2FEC-6E14-12F9-F66A-71150B31A6E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180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225</xdr:row>
      <xdr:rowOff>0</xdr:rowOff>
    </xdr:from>
    <xdr:to>
      <xdr:col>59</xdr:col>
      <xdr:colOff>152400</xdr:colOff>
      <xdr:row>225</xdr:row>
      <xdr:rowOff>152400</xdr:rowOff>
    </xdr:to>
    <xdr:sp macro="" textlink="">
      <xdr:nvSpPr>
        <xdr:cNvPr id="8801" name="AutoShape 609" descr=".">
          <a:extLst>
            <a:ext uri="{FF2B5EF4-FFF2-40B4-BE49-F238E27FC236}">
              <a16:creationId xmlns:a16="http://schemas.microsoft.com/office/drawing/2014/main" id="{E181FC05-3377-9CF2-1E90-2FBE2DB2C09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218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227</xdr:row>
      <xdr:rowOff>0</xdr:rowOff>
    </xdr:from>
    <xdr:to>
      <xdr:col>59</xdr:col>
      <xdr:colOff>152400</xdr:colOff>
      <xdr:row>227</xdr:row>
      <xdr:rowOff>152400</xdr:rowOff>
    </xdr:to>
    <xdr:sp macro="" textlink="">
      <xdr:nvSpPr>
        <xdr:cNvPr id="8802" name="AutoShape 610" descr=".">
          <a:extLst>
            <a:ext uri="{FF2B5EF4-FFF2-40B4-BE49-F238E27FC236}">
              <a16:creationId xmlns:a16="http://schemas.microsoft.com/office/drawing/2014/main" id="{42A9ADC8-BF44-5168-8117-7F980019C47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255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229</xdr:row>
      <xdr:rowOff>0</xdr:rowOff>
    </xdr:from>
    <xdr:to>
      <xdr:col>59</xdr:col>
      <xdr:colOff>152400</xdr:colOff>
      <xdr:row>229</xdr:row>
      <xdr:rowOff>152400</xdr:rowOff>
    </xdr:to>
    <xdr:sp macro="" textlink="">
      <xdr:nvSpPr>
        <xdr:cNvPr id="8803" name="AutoShape 611" descr=".">
          <a:extLst>
            <a:ext uri="{FF2B5EF4-FFF2-40B4-BE49-F238E27FC236}">
              <a16:creationId xmlns:a16="http://schemas.microsoft.com/office/drawing/2014/main" id="{A2E5DD49-3973-F33F-4246-62CE7004478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293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231</xdr:row>
      <xdr:rowOff>0</xdr:rowOff>
    </xdr:from>
    <xdr:to>
      <xdr:col>59</xdr:col>
      <xdr:colOff>152400</xdr:colOff>
      <xdr:row>231</xdr:row>
      <xdr:rowOff>152400</xdr:rowOff>
    </xdr:to>
    <xdr:sp macro="" textlink="">
      <xdr:nvSpPr>
        <xdr:cNvPr id="8804" name="AutoShape 612" descr=".">
          <a:extLst>
            <a:ext uri="{FF2B5EF4-FFF2-40B4-BE49-F238E27FC236}">
              <a16:creationId xmlns:a16="http://schemas.microsoft.com/office/drawing/2014/main" id="{4F75B859-7BA2-49E8-4C87-FB2B57EDD05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333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233</xdr:row>
      <xdr:rowOff>0</xdr:rowOff>
    </xdr:from>
    <xdr:to>
      <xdr:col>59</xdr:col>
      <xdr:colOff>152400</xdr:colOff>
      <xdr:row>233</xdr:row>
      <xdr:rowOff>152400</xdr:rowOff>
    </xdr:to>
    <xdr:sp macro="" textlink="">
      <xdr:nvSpPr>
        <xdr:cNvPr id="8805" name="AutoShape 613" descr=".">
          <a:extLst>
            <a:ext uri="{FF2B5EF4-FFF2-40B4-BE49-F238E27FC236}">
              <a16:creationId xmlns:a16="http://schemas.microsoft.com/office/drawing/2014/main" id="{9478873D-5D2A-55BF-1866-D5D32E6F7D0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371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235</xdr:row>
      <xdr:rowOff>0</xdr:rowOff>
    </xdr:from>
    <xdr:to>
      <xdr:col>59</xdr:col>
      <xdr:colOff>152400</xdr:colOff>
      <xdr:row>235</xdr:row>
      <xdr:rowOff>152400</xdr:rowOff>
    </xdr:to>
    <xdr:sp macro="" textlink="">
      <xdr:nvSpPr>
        <xdr:cNvPr id="8806" name="AutoShape 614" descr=".">
          <a:extLst>
            <a:ext uri="{FF2B5EF4-FFF2-40B4-BE49-F238E27FC236}">
              <a16:creationId xmlns:a16="http://schemas.microsoft.com/office/drawing/2014/main" id="{F3DD650E-2DC5-DB9C-F8C3-1636DEB0938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408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237</xdr:row>
      <xdr:rowOff>0</xdr:rowOff>
    </xdr:from>
    <xdr:to>
      <xdr:col>59</xdr:col>
      <xdr:colOff>152400</xdr:colOff>
      <xdr:row>237</xdr:row>
      <xdr:rowOff>152400</xdr:rowOff>
    </xdr:to>
    <xdr:sp macro="" textlink="">
      <xdr:nvSpPr>
        <xdr:cNvPr id="8807" name="AutoShape 615" descr=".">
          <a:extLst>
            <a:ext uri="{FF2B5EF4-FFF2-40B4-BE49-F238E27FC236}">
              <a16:creationId xmlns:a16="http://schemas.microsoft.com/office/drawing/2014/main" id="{7C57F771-BE0D-B7EE-792A-BE2D123CB21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446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239</xdr:row>
      <xdr:rowOff>0</xdr:rowOff>
    </xdr:from>
    <xdr:to>
      <xdr:col>59</xdr:col>
      <xdr:colOff>152400</xdr:colOff>
      <xdr:row>239</xdr:row>
      <xdr:rowOff>152400</xdr:rowOff>
    </xdr:to>
    <xdr:sp macro="" textlink="">
      <xdr:nvSpPr>
        <xdr:cNvPr id="8808" name="AutoShape 616" descr=".">
          <a:extLst>
            <a:ext uri="{FF2B5EF4-FFF2-40B4-BE49-F238E27FC236}">
              <a16:creationId xmlns:a16="http://schemas.microsoft.com/office/drawing/2014/main" id="{B2BA8250-F4D8-38F9-A068-112E612BD46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483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241</xdr:row>
      <xdr:rowOff>0</xdr:rowOff>
    </xdr:from>
    <xdr:to>
      <xdr:col>59</xdr:col>
      <xdr:colOff>152400</xdr:colOff>
      <xdr:row>241</xdr:row>
      <xdr:rowOff>152400</xdr:rowOff>
    </xdr:to>
    <xdr:sp macro="" textlink="">
      <xdr:nvSpPr>
        <xdr:cNvPr id="8809" name="AutoShape 617" descr=".">
          <a:extLst>
            <a:ext uri="{FF2B5EF4-FFF2-40B4-BE49-F238E27FC236}">
              <a16:creationId xmlns:a16="http://schemas.microsoft.com/office/drawing/2014/main" id="{BB739E52-408B-C6D7-4655-77529329C62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521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243</xdr:row>
      <xdr:rowOff>0</xdr:rowOff>
    </xdr:from>
    <xdr:to>
      <xdr:col>59</xdr:col>
      <xdr:colOff>152400</xdr:colOff>
      <xdr:row>243</xdr:row>
      <xdr:rowOff>152400</xdr:rowOff>
    </xdr:to>
    <xdr:sp macro="" textlink="">
      <xdr:nvSpPr>
        <xdr:cNvPr id="8810" name="AutoShape 618" descr=".">
          <a:extLst>
            <a:ext uri="{FF2B5EF4-FFF2-40B4-BE49-F238E27FC236}">
              <a16:creationId xmlns:a16="http://schemas.microsoft.com/office/drawing/2014/main" id="{62DEF0CE-F2D5-1F19-8D3F-8CFFE652996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558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245</xdr:row>
      <xdr:rowOff>0</xdr:rowOff>
    </xdr:from>
    <xdr:to>
      <xdr:col>59</xdr:col>
      <xdr:colOff>152400</xdr:colOff>
      <xdr:row>245</xdr:row>
      <xdr:rowOff>152400</xdr:rowOff>
    </xdr:to>
    <xdr:sp macro="" textlink="">
      <xdr:nvSpPr>
        <xdr:cNvPr id="8811" name="AutoShape 619" descr=".">
          <a:extLst>
            <a:ext uri="{FF2B5EF4-FFF2-40B4-BE49-F238E27FC236}">
              <a16:creationId xmlns:a16="http://schemas.microsoft.com/office/drawing/2014/main" id="{C1E4F5D9-852C-4559-C063-273C30D995C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596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247</xdr:row>
      <xdr:rowOff>0</xdr:rowOff>
    </xdr:from>
    <xdr:to>
      <xdr:col>59</xdr:col>
      <xdr:colOff>152400</xdr:colOff>
      <xdr:row>247</xdr:row>
      <xdr:rowOff>152400</xdr:rowOff>
    </xdr:to>
    <xdr:sp macro="" textlink="">
      <xdr:nvSpPr>
        <xdr:cNvPr id="8812" name="AutoShape 620" descr=".">
          <a:extLst>
            <a:ext uri="{FF2B5EF4-FFF2-40B4-BE49-F238E27FC236}">
              <a16:creationId xmlns:a16="http://schemas.microsoft.com/office/drawing/2014/main" id="{7059DB36-9403-CF28-BDDD-1F7A95EDA53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633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249</xdr:row>
      <xdr:rowOff>0</xdr:rowOff>
    </xdr:from>
    <xdr:to>
      <xdr:col>59</xdr:col>
      <xdr:colOff>152400</xdr:colOff>
      <xdr:row>249</xdr:row>
      <xdr:rowOff>152400</xdr:rowOff>
    </xdr:to>
    <xdr:sp macro="" textlink="">
      <xdr:nvSpPr>
        <xdr:cNvPr id="8813" name="AutoShape 621" descr=".">
          <a:extLst>
            <a:ext uri="{FF2B5EF4-FFF2-40B4-BE49-F238E27FC236}">
              <a16:creationId xmlns:a16="http://schemas.microsoft.com/office/drawing/2014/main" id="{8B5E4B29-8762-8A61-2707-254CFBC81C0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671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251</xdr:row>
      <xdr:rowOff>0</xdr:rowOff>
    </xdr:from>
    <xdr:to>
      <xdr:col>59</xdr:col>
      <xdr:colOff>152400</xdr:colOff>
      <xdr:row>251</xdr:row>
      <xdr:rowOff>152400</xdr:rowOff>
    </xdr:to>
    <xdr:sp macro="" textlink="">
      <xdr:nvSpPr>
        <xdr:cNvPr id="8814" name="AutoShape 622" descr=".">
          <a:extLst>
            <a:ext uri="{FF2B5EF4-FFF2-40B4-BE49-F238E27FC236}">
              <a16:creationId xmlns:a16="http://schemas.microsoft.com/office/drawing/2014/main" id="{E145B39A-6187-7C45-528F-49369963F82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708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253</xdr:row>
      <xdr:rowOff>0</xdr:rowOff>
    </xdr:from>
    <xdr:to>
      <xdr:col>59</xdr:col>
      <xdr:colOff>152400</xdr:colOff>
      <xdr:row>253</xdr:row>
      <xdr:rowOff>152400</xdr:rowOff>
    </xdr:to>
    <xdr:sp macro="" textlink="">
      <xdr:nvSpPr>
        <xdr:cNvPr id="8815" name="AutoShape 623" descr=".">
          <a:extLst>
            <a:ext uri="{FF2B5EF4-FFF2-40B4-BE49-F238E27FC236}">
              <a16:creationId xmlns:a16="http://schemas.microsoft.com/office/drawing/2014/main" id="{1CFAD3E7-9C72-1D51-D3EC-024E92F4010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745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255</xdr:row>
      <xdr:rowOff>0</xdr:rowOff>
    </xdr:from>
    <xdr:to>
      <xdr:col>59</xdr:col>
      <xdr:colOff>152400</xdr:colOff>
      <xdr:row>255</xdr:row>
      <xdr:rowOff>152400</xdr:rowOff>
    </xdr:to>
    <xdr:sp macro="" textlink="">
      <xdr:nvSpPr>
        <xdr:cNvPr id="8816" name="AutoShape 624" descr=".">
          <a:extLst>
            <a:ext uri="{FF2B5EF4-FFF2-40B4-BE49-F238E27FC236}">
              <a16:creationId xmlns:a16="http://schemas.microsoft.com/office/drawing/2014/main" id="{F4DAF6E1-C16D-4255-2C99-2E3FB30142F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783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257</xdr:row>
      <xdr:rowOff>0</xdr:rowOff>
    </xdr:from>
    <xdr:to>
      <xdr:col>59</xdr:col>
      <xdr:colOff>152400</xdr:colOff>
      <xdr:row>257</xdr:row>
      <xdr:rowOff>152400</xdr:rowOff>
    </xdr:to>
    <xdr:sp macro="" textlink="">
      <xdr:nvSpPr>
        <xdr:cNvPr id="8817" name="AutoShape 625" descr=".">
          <a:extLst>
            <a:ext uri="{FF2B5EF4-FFF2-40B4-BE49-F238E27FC236}">
              <a16:creationId xmlns:a16="http://schemas.microsoft.com/office/drawing/2014/main" id="{D0BD501A-0732-C432-5482-5F7A0F86671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820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259</xdr:row>
      <xdr:rowOff>0</xdr:rowOff>
    </xdr:from>
    <xdr:to>
      <xdr:col>59</xdr:col>
      <xdr:colOff>152400</xdr:colOff>
      <xdr:row>259</xdr:row>
      <xdr:rowOff>152400</xdr:rowOff>
    </xdr:to>
    <xdr:sp macro="" textlink="">
      <xdr:nvSpPr>
        <xdr:cNvPr id="8818" name="AutoShape 626" descr=".">
          <a:extLst>
            <a:ext uri="{FF2B5EF4-FFF2-40B4-BE49-F238E27FC236}">
              <a16:creationId xmlns:a16="http://schemas.microsoft.com/office/drawing/2014/main" id="{9E34594E-7257-81B2-E8C8-D92ABD08682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858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261</xdr:row>
      <xdr:rowOff>0</xdr:rowOff>
    </xdr:from>
    <xdr:to>
      <xdr:col>59</xdr:col>
      <xdr:colOff>152400</xdr:colOff>
      <xdr:row>261</xdr:row>
      <xdr:rowOff>152400</xdr:rowOff>
    </xdr:to>
    <xdr:sp macro="" textlink="">
      <xdr:nvSpPr>
        <xdr:cNvPr id="8819" name="AutoShape 627" descr=".">
          <a:extLst>
            <a:ext uri="{FF2B5EF4-FFF2-40B4-BE49-F238E27FC236}">
              <a16:creationId xmlns:a16="http://schemas.microsoft.com/office/drawing/2014/main" id="{F3677BA7-5C01-0250-8256-2CE26FC6174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89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263</xdr:row>
      <xdr:rowOff>0</xdr:rowOff>
    </xdr:from>
    <xdr:to>
      <xdr:col>59</xdr:col>
      <xdr:colOff>152400</xdr:colOff>
      <xdr:row>263</xdr:row>
      <xdr:rowOff>152400</xdr:rowOff>
    </xdr:to>
    <xdr:sp macro="" textlink="">
      <xdr:nvSpPr>
        <xdr:cNvPr id="8820" name="AutoShape 628" descr=".">
          <a:extLst>
            <a:ext uri="{FF2B5EF4-FFF2-40B4-BE49-F238E27FC236}">
              <a16:creationId xmlns:a16="http://schemas.microsoft.com/office/drawing/2014/main" id="{63BA5FE1-CF94-AB8D-6185-2E244A9FB05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933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265</xdr:row>
      <xdr:rowOff>0</xdr:rowOff>
    </xdr:from>
    <xdr:to>
      <xdr:col>59</xdr:col>
      <xdr:colOff>152400</xdr:colOff>
      <xdr:row>265</xdr:row>
      <xdr:rowOff>152400</xdr:rowOff>
    </xdr:to>
    <xdr:sp macro="" textlink="">
      <xdr:nvSpPr>
        <xdr:cNvPr id="8821" name="AutoShape 629" descr=".">
          <a:extLst>
            <a:ext uri="{FF2B5EF4-FFF2-40B4-BE49-F238E27FC236}">
              <a16:creationId xmlns:a16="http://schemas.microsoft.com/office/drawing/2014/main" id="{7B405952-215C-0724-8A24-BE815D02298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4970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267</xdr:row>
      <xdr:rowOff>0</xdr:rowOff>
    </xdr:from>
    <xdr:to>
      <xdr:col>59</xdr:col>
      <xdr:colOff>152400</xdr:colOff>
      <xdr:row>267</xdr:row>
      <xdr:rowOff>152400</xdr:rowOff>
    </xdr:to>
    <xdr:sp macro="" textlink="">
      <xdr:nvSpPr>
        <xdr:cNvPr id="8822" name="AutoShape 630" descr=".">
          <a:extLst>
            <a:ext uri="{FF2B5EF4-FFF2-40B4-BE49-F238E27FC236}">
              <a16:creationId xmlns:a16="http://schemas.microsoft.com/office/drawing/2014/main" id="{1DBE9851-D646-8231-8D61-9F387830A86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008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269</xdr:row>
      <xdr:rowOff>0</xdr:rowOff>
    </xdr:from>
    <xdr:to>
      <xdr:col>59</xdr:col>
      <xdr:colOff>152400</xdr:colOff>
      <xdr:row>269</xdr:row>
      <xdr:rowOff>152400</xdr:rowOff>
    </xdr:to>
    <xdr:sp macro="" textlink="">
      <xdr:nvSpPr>
        <xdr:cNvPr id="8823" name="AutoShape 631" descr=".">
          <a:extLst>
            <a:ext uri="{FF2B5EF4-FFF2-40B4-BE49-F238E27FC236}">
              <a16:creationId xmlns:a16="http://schemas.microsoft.com/office/drawing/2014/main" id="{C00152F3-2F77-089D-4F0F-2D20768EC5C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045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271</xdr:row>
      <xdr:rowOff>0</xdr:rowOff>
    </xdr:from>
    <xdr:to>
      <xdr:col>59</xdr:col>
      <xdr:colOff>152400</xdr:colOff>
      <xdr:row>271</xdr:row>
      <xdr:rowOff>152400</xdr:rowOff>
    </xdr:to>
    <xdr:sp macro="" textlink="">
      <xdr:nvSpPr>
        <xdr:cNvPr id="8824" name="AutoShape 632" descr=".">
          <a:extLst>
            <a:ext uri="{FF2B5EF4-FFF2-40B4-BE49-F238E27FC236}">
              <a16:creationId xmlns:a16="http://schemas.microsoft.com/office/drawing/2014/main" id="{2467D065-2D37-194D-6A35-39DA877F238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083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273</xdr:row>
      <xdr:rowOff>0</xdr:rowOff>
    </xdr:from>
    <xdr:to>
      <xdr:col>59</xdr:col>
      <xdr:colOff>152400</xdr:colOff>
      <xdr:row>273</xdr:row>
      <xdr:rowOff>152400</xdr:rowOff>
    </xdr:to>
    <xdr:sp macro="" textlink="">
      <xdr:nvSpPr>
        <xdr:cNvPr id="8825" name="AutoShape 633" descr=".">
          <a:extLst>
            <a:ext uri="{FF2B5EF4-FFF2-40B4-BE49-F238E27FC236}">
              <a16:creationId xmlns:a16="http://schemas.microsoft.com/office/drawing/2014/main" id="{3FBD8D46-4061-541E-69C7-498005E0E93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12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275</xdr:row>
      <xdr:rowOff>0</xdr:rowOff>
    </xdr:from>
    <xdr:to>
      <xdr:col>59</xdr:col>
      <xdr:colOff>152400</xdr:colOff>
      <xdr:row>275</xdr:row>
      <xdr:rowOff>152400</xdr:rowOff>
    </xdr:to>
    <xdr:sp macro="" textlink="">
      <xdr:nvSpPr>
        <xdr:cNvPr id="8826" name="AutoShape 634" descr=".">
          <a:extLst>
            <a:ext uri="{FF2B5EF4-FFF2-40B4-BE49-F238E27FC236}">
              <a16:creationId xmlns:a16="http://schemas.microsoft.com/office/drawing/2014/main" id="{A8D3BB20-6ABF-9F6F-E739-E394B92583C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158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277</xdr:row>
      <xdr:rowOff>0</xdr:rowOff>
    </xdr:from>
    <xdr:to>
      <xdr:col>59</xdr:col>
      <xdr:colOff>152400</xdr:colOff>
      <xdr:row>277</xdr:row>
      <xdr:rowOff>152400</xdr:rowOff>
    </xdr:to>
    <xdr:sp macro="" textlink="">
      <xdr:nvSpPr>
        <xdr:cNvPr id="8827" name="AutoShape 635" descr=".">
          <a:extLst>
            <a:ext uri="{FF2B5EF4-FFF2-40B4-BE49-F238E27FC236}">
              <a16:creationId xmlns:a16="http://schemas.microsoft.com/office/drawing/2014/main" id="{05CDFB6E-DB58-0E79-586E-0F9EAFB3A71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195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279</xdr:row>
      <xdr:rowOff>0</xdr:rowOff>
    </xdr:from>
    <xdr:to>
      <xdr:col>59</xdr:col>
      <xdr:colOff>152400</xdr:colOff>
      <xdr:row>279</xdr:row>
      <xdr:rowOff>152400</xdr:rowOff>
    </xdr:to>
    <xdr:sp macro="" textlink="">
      <xdr:nvSpPr>
        <xdr:cNvPr id="8828" name="AutoShape 636" descr=".">
          <a:extLst>
            <a:ext uri="{FF2B5EF4-FFF2-40B4-BE49-F238E27FC236}">
              <a16:creationId xmlns:a16="http://schemas.microsoft.com/office/drawing/2014/main" id="{0934734C-94CB-B9B7-0C98-F6F072CB80C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233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281</xdr:row>
      <xdr:rowOff>0</xdr:rowOff>
    </xdr:from>
    <xdr:to>
      <xdr:col>59</xdr:col>
      <xdr:colOff>152400</xdr:colOff>
      <xdr:row>281</xdr:row>
      <xdr:rowOff>152400</xdr:rowOff>
    </xdr:to>
    <xdr:sp macro="" textlink="">
      <xdr:nvSpPr>
        <xdr:cNvPr id="8829" name="AutoShape 637" descr=".">
          <a:extLst>
            <a:ext uri="{FF2B5EF4-FFF2-40B4-BE49-F238E27FC236}">
              <a16:creationId xmlns:a16="http://schemas.microsoft.com/office/drawing/2014/main" id="{AE72E089-F77B-641C-EEDB-F084F3B66FB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27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283</xdr:row>
      <xdr:rowOff>0</xdr:rowOff>
    </xdr:from>
    <xdr:to>
      <xdr:col>59</xdr:col>
      <xdr:colOff>152400</xdr:colOff>
      <xdr:row>283</xdr:row>
      <xdr:rowOff>152400</xdr:rowOff>
    </xdr:to>
    <xdr:sp macro="" textlink="">
      <xdr:nvSpPr>
        <xdr:cNvPr id="8830" name="AutoShape 638" descr=".">
          <a:extLst>
            <a:ext uri="{FF2B5EF4-FFF2-40B4-BE49-F238E27FC236}">
              <a16:creationId xmlns:a16="http://schemas.microsoft.com/office/drawing/2014/main" id="{F6683C23-F04F-C604-13ED-DA97BBF0C74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307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285</xdr:row>
      <xdr:rowOff>0</xdr:rowOff>
    </xdr:from>
    <xdr:to>
      <xdr:col>59</xdr:col>
      <xdr:colOff>152400</xdr:colOff>
      <xdr:row>285</xdr:row>
      <xdr:rowOff>152400</xdr:rowOff>
    </xdr:to>
    <xdr:sp macro="" textlink="">
      <xdr:nvSpPr>
        <xdr:cNvPr id="8831" name="AutoShape 639" descr=".">
          <a:extLst>
            <a:ext uri="{FF2B5EF4-FFF2-40B4-BE49-F238E27FC236}">
              <a16:creationId xmlns:a16="http://schemas.microsoft.com/office/drawing/2014/main" id="{F8FC7BCC-E0D8-EF39-45AF-7C50CEAA5DA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345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287</xdr:row>
      <xdr:rowOff>0</xdr:rowOff>
    </xdr:from>
    <xdr:to>
      <xdr:col>59</xdr:col>
      <xdr:colOff>152400</xdr:colOff>
      <xdr:row>287</xdr:row>
      <xdr:rowOff>152400</xdr:rowOff>
    </xdr:to>
    <xdr:sp macro="" textlink="">
      <xdr:nvSpPr>
        <xdr:cNvPr id="8832" name="AutoShape 640" descr=".">
          <a:extLst>
            <a:ext uri="{FF2B5EF4-FFF2-40B4-BE49-F238E27FC236}">
              <a16:creationId xmlns:a16="http://schemas.microsoft.com/office/drawing/2014/main" id="{298F8A3E-0773-FB22-CEDE-E01AD3344FE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3828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289</xdr:row>
      <xdr:rowOff>0</xdr:rowOff>
    </xdr:from>
    <xdr:to>
      <xdr:col>59</xdr:col>
      <xdr:colOff>152400</xdr:colOff>
      <xdr:row>289</xdr:row>
      <xdr:rowOff>152400</xdr:rowOff>
    </xdr:to>
    <xdr:sp macro="" textlink="">
      <xdr:nvSpPr>
        <xdr:cNvPr id="8833" name="AutoShape 641" descr=".">
          <a:extLst>
            <a:ext uri="{FF2B5EF4-FFF2-40B4-BE49-F238E27FC236}">
              <a16:creationId xmlns:a16="http://schemas.microsoft.com/office/drawing/2014/main" id="{9B0CECF5-FDC6-B246-2048-EFD26AD48FB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420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291</xdr:row>
      <xdr:rowOff>0</xdr:rowOff>
    </xdr:from>
    <xdr:to>
      <xdr:col>59</xdr:col>
      <xdr:colOff>152400</xdr:colOff>
      <xdr:row>291</xdr:row>
      <xdr:rowOff>152400</xdr:rowOff>
    </xdr:to>
    <xdr:sp macro="" textlink="">
      <xdr:nvSpPr>
        <xdr:cNvPr id="8834" name="AutoShape 642" descr=".">
          <a:extLst>
            <a:ext uri="{FF2B5EF4-FFF2-40B4-BE49-F238E27FC236}">
              <a16:creationId xmlns:a16="http://schemas.microsoft.com/office/drawing/2014/main" id="{7DEC82E4-5ED7-0B20-A9DE-DF958CCB036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4578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293</xdr:row>
      <xdr:rowOff>0</xdr:rowOff>
    </xdr:from>
    <xdr:to>
      <xdr:col>59</xdr:col>
      <xdr:colOff>152400</xdr:colOff>
      <xdr:row>293</xdr:row>
      <xdr:rowOff>152400</xdr:rowOff>
    </xdr:to>
    <xdr:sp macro="" textlink="">
      <xdr:nvSpPr>
        <xdr:cNvPr id="8835" name="AutoShape 643" descr=".">
          <a:extLst>
            <a:ext uri="{FF2B5EF4-FFF2-40B4-BE49-F238E27FC236}">
              <a16:creationId xmlns:a16="http://schemas.microsoft.com/office/drawing/2014/main" id="{A1E165E5-D232-EA94-0D8B-89837279925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495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295</xdr:row>
      <xdr:rowOff>0</xdr:rowOff>
    </xdr:from>
    <xdr:to>
      <xdr:col>59</xdr:col>
      <xdr:colOff>152400</xdr:colOff>
      <xdr:row>295</xdr:row>
      <xdr:rowOff>152400</xdr:rowOff>
    </xdr:to>
    <xdr:sp macro="" textlink="">
      <xdr:nvSpPr>
        <xdr:cNvPr id="8836" name="AutoShape 644" descr=".">
          <a:extLst>
            <a:ext uri="{FF2B5EF4-FFF2-40B4-BE49-F238E27FC236}">
              <a16:creationId xmlns:a16="http://schemas.microsoft.com/office/drawing/2014/main" id="{096C57E5-1B97-5168-FD24-BE7F9BC25B1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532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297</xdr:row>
      <xdr:rowOff>0</xdr:rowOff>
    </xdr:from>
    <xdr:to>
      <xdr:col>59</xdr:col>
      <xdr:colOff>152400</xdr:colOff>
      <xdr:row>297</xdr:row>
      <xdr:rowOff>152400</xdr:rowOff>
    </xdr:to>
    <xdr:sp macro="" textlink="">
      <xdr:nvSpPr>
        <xdr:cNvPr id="8837" name="AutoShape 645" descr=".">
          <a:extLst>
            <a:ext uri="{FF2B5EF4-FFF2-40B4-BE49-F238E27FC236}">
              <a16:creationId xmlns:a16="http://schemas.microsoft.com/office/drawing/2014/main" id="{1BF4F5B5-6C48-3C68-C484-795E10F3ABD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570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299</xdr:row>
      <xdr:rowOff>0</xdr:rowOff>
    </xdr:from>
    <xdr:to>
      <xdr:col>59</xdr:col>
      <xdr:colOff>152400</xdr:colOff>
      <xdr:row>299</xdr:row>
      <xdr:rowOff>152400</xdr:rowOff>
    </xdr:to>
    <xdr:sp macro="" textlink="">
      <xdr:nvSpPr>
        <xdr:cNvPr id="8838" name="AutoShape 646" descr=".">
          <a:extLst>
            <a:ext uri="{FF2B5EF4-FFF2-40B4-BE49-F238E27FC236}">
              <a16:creationId xmlns:a16="http://schemas.microsoft.com/office/drawing/2014/main" id="{6E965048-C158-718F-7B26-2685F586F05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607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301</xdr:row>
      <xdr:rowOff>0</xdr:rowOff>
    </xdr:from>
    <xdr:to>
      <xdr:col>59</xdr:col>
      <xdr:colOff>152400</xdr:colOff>
      <xdr:row>301</xdr:row>
      <xdr:rowOff>152400</xdr:rowOff>
    </xdr:to>
    <xdr:sp macro="" textlink="">
      <xdr:nvSpPr>
        <xdr:cNvPr id="8839" name="AutoShape 647" descr=".">
          <a:extLst>
            <a:ext uri="{FF2B5EF4-FFF2-40B4-BE49-F238E27FC236}">
              <a16:creationId xmlns:a16="http://schemas.microsoft.com/office/drawing/2014/main" id="{10795DC8-E63F-EB26-B025-49123E76A0D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645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303</xdr:row>
      <xdr:rowOff>0</xdr:rowOff>
    </xdr:from>
    <xdr:to>
      <xdr:col>59</xdr:col>
      <xdr:colOff>152400</xdr:colOff>
      <xdr:row>303</xdr:row>
      <xdr:rowOff>152400</xdr:rowOff>
    </xdr:to>
    <xdr:sp macro="" textlink="">
      <xdr:nvSpPr>
        <xdr:cNvPr id="8840" name="AutoShape 648" descr=".">
          <a:extLst>
            <a:ext uri="{FF2B5EF4-FFF2-40B4-BE49-F238E27FC236}">
              <a16:creationId xmlns:a16="http://schemas.microsoft.com/office/drawing/2014/main" id="{58F2B61A-A8F2-04E4-FCEA-11E89968976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682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305</xdr:row>
      <xdr:rowOff>0</xdr:rowOff>
    </xdr:from>
    <xdr:to>
      <xdr:col>59</xdr:col>
      <xdr:colOff>152400</xdr:colOff>
      <xdr:row>305</xdr:row>
      <xdr:rowOff>152400</xdr:rowOff>
    </xdr:to>
    <xdr:sp macro="" textlink="">
      <xdr:nvSpPr>
        <xdr:cNvPr id="8841" name="AutoShape 649" descr=".">
          <a:extLst>
            <a:ext uri="{FF2B5EF4-FFF2-40B4-BE49-F238E27FC236}">
              <a16:creationId xmlns:a16="http://schemas.microsoft.com/office/drawing/2014/main" id="{9C066861-228D-8D15-011F-DFAFBA79CF1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720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307</xdr:row>
      <xdr:rowOff>0</xdr:rowOff>
    </xdr:from>
    <xdr:to>
      <xdr:col>59</xdr:col>
      <xdr:colOff>152400</xdr:colOff>
      <xdr:row>307</xdr:row>
      <xdr:rowOff>152400</xdr:rowOff>
    </xdr:to>
    <xdr:sp macro="" textlink="">
      <xdr:nvSpPr>
        <xdr:cNvPr id="8842" name="AutoShape 650" descr=".">
          <a:extLst>
            <a:ext uri="{FF2B5EF4-FFF2-40B4-BE49-F238E27FC236}">
              <a16:creationId xmlns:a16="http://schemas.microsoft.com/office/drawing/2014/main" id="{F14DDD14-F6F0-184D-A6F9-72C0D0BC24A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757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309</xdr:row>
      <xdr:rowOff>0</xdr:rowOff>
    </xdr:from>
    <xdr:to>
      <xdr:col>59</xdr:col>
      <xdr:colOff>152400</xdr:colOff>
      <xdr:row>309</xdr:row>
      <xdr:rowOff>152400</xdr:rowOff>
    </xdr:to>
    <xdr:sp macro="" textlink="">
      <xdr:nvSpPr>
        <xdr:cNvPr id="8843" name="AutoShape 651" descr=".">
          <a:extLst>
            <a:ext uri="{FF2B5EF4-FFF2-40B4-BE49-F238E27FC236}">
              <a16:creationId xmlns:a16="http://schemas.microsoft.com/office/drawing/2014/main" id="{82A6D8B1-C296-5385-8DFA-8E7CBE861CD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795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311</xdr:row>
      <xdr:rowOff>0</xdr:rowOff>
    </xdr:from>
    <xdr:to>
      <xdr:col>59</xdr:col>
      <xdr:colOff>152400</xdr:colOff>
      <xdr:row>311</xdr:row>
      <xdr:rowOff>152400</xdr:rowOff>
    </xdr:to>
    <xdr:sp macro="" textlink="">
      <xdr:nvSpPr>
        <xdr:cNvPr id="8844" name="AutoShape 652" descr=".">
          <a:extLst>
            <a:ext uri="{FF2B5EF4-FFF2-40B4-BE49-F238E27FC236}">
              <a16:creationId xmlns:a16="http://schemas.microsoft.com/office/drawing/2014/main" id="{FBD12DB9-2B87-DCA7-B5D7-000A43DB286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832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313</xdr:row>
      <xdr:rowOff>0</xdr:rowOff>
    </xdr:from>
    <xdr:to>
      <xdr:col>59</xdr:col>
      <xdr:colOff>152400</xdr:colOff>
      <xdr:row>313</xdr:row>
      <xdr:rowOff>152400</xdr:rowOff>
    </xdr:to>
    <xdr:sp macro="" textlink="">
      <xdr:nvSpPr>
        <xdr:cNvPr id="8845" name="AutoShape 653" descr=".">
          <a:extLst>
            <a:ext uri="{FF2B5EF4-FFF2-40B4-BE49-F238E27FC236}">
              <a16:creationId xmlns:a16="http://schemas.microsoft.com/office/drawing/2014/main" id="{3656E65E-D34A-8A6B-EA08-AE5622ADE15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869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315</xdr:row>
      <xdr:rowOff>0</xdr:rowOff>
    </xdr:from>
    <xdr:to>
      <xdr:col>59</xdr:col>
      <xdr:colOff>152400</xdr:colOff>
      <xdr:row>315</xdr:row>
      <xdr:rowOff>152400</xdr:rowOff>
    </xdr:to>
    <xdr:sp macro="" textlink="">
      <xdr:nvSpPr>
        <xdr:cNvPr id="8846" name="AutoShape 654" descr=".">
          <a:extLst>
            <a:ext uri="{FF2B5EF4-FFF2-40B4-BE49-F238E27FC236}">
              <a16:creationId xmlns:a16="http://schemas.microsoft.com/office/drawing/2014/main" id="{D776F0C3-E0E4-0B69-BF00-DF8E11D031F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907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317</xdr:row>
      <xdr:rowOff>0</xdr:rowOff>
    </xdr:from>
    <xdr:to>
      <xdr:col>59</xdr:col>
      <xdr:colOff>152400</xdr:colOff>
      <xdr:row>317</xdr:row>
      <xdr:rowOff>152400</xdr:rowOff>
    </xdr:to>
    <xdr:sp macro="" textlink="">
      <xdr:nvSpPr>
        <xdr:cNvPr id="8847" name="AutoShape 655" descr=".">
          <a:extLst>
            <a:ext uri="{FF2B5EF4-FFF2-40B4-BE49-F238E27FC236}">
              <a16:creationId xmlns:a16="http://schemas.microsoft.com/office/drawing/2014/main" id="{675FE6DD-5070-23EF-F6E0-FE963973732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944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319</xdr:row>
      <xdr:rowOff>0</xdr:rowOff>
    </xdr:from>
    <xdr:to>
      <xdr:col>59</xdr:col>
      <xdr:colOff>152400</xdr:colOff>
      <xdr:row>319</xdr:row>
      <xdr:rowOff>152400</xdr:rowOff>
    </xdr:to>
    <xdr:sp macro="" textlink="">
      <xdr:nvSpPr>
        <xdr:cNvPr id="8848" name="AutoShape 656" descr=".">
          <a:extLst>
            <a:ext uri="{FF2B5EF4-FFF2-40B4-BE49-F238E27FC236}">
              <a16:creationId xmlns:a16="http://schemas.microsoft.com/office/drawing/2014/main" id="{92EDFF6C-BD35-E431-0623-1D3B4203858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5982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321</xdr:row>
      <xdr:rowOff>0</xdr:rowOff>
    </xdr:from>
    <xdr:to>
      <xdr:col>59</xdr:col>
      <xdr:colOff>152400</xdr:colOff>
      <xdr:row>321</xdr:row>
      <xdr:rowOff>152400</xdr:rowOff>
    </xdr:to>
    <xdr:sp macro="" textlink="">
      <xdr:nvSpPr>
        <xdr:cNvPr id="8849" name="AutoShape 657" descr=".">
          <a:extLst>
            <a:ext uri="{FF2B5EF4-FFF2-40B4-BE49-F238E27FC236}">
              <a16:creationId xmlns:a16="http://schemas.microsoft.com/office/drawing/2014/main" id="{671425A9-4AD0-07FE-16ED-D02385E9DE2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019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323</xdr:row>
      <xdr:rowOff>0</xdr:rowOff>
    </xdr:from>
    <xdr:to>
      <xdr:col>59</xdr:col>
      <xdr:colOff>152400</xdr:colOff>
      <xdr:row>323</xdr:row>
      <xdr:rowOff>152400</xdr:rowOff>
    </xdr:to>
    <xdr:sp macro="" textlink="">
      <xdr:nvSpPr>
        <xdr:cNvPr id="8850" name="AutoShape 658" descr=".">
          <a:extLst>
            <a:ext uri="{FF2B5EF4-FFF2-40B4-BE49-F238E27FC236}">
              <a16:creationId xmlns:a16="http://schemas.microsoft.com/office/drawing/2014/main" id="{61D6F633-BE51-52FA-9F7A-007DA96B90C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05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325</xdr:row>
      <xdr:rowOff>0</xdr:rowOff>
    </xdr:from>
    <xdr:to>
      <xdr:col>59</xdr:col>
      <xdr:colOff>152400</xdr:colOff>
      <xdr:row>325</xdr:row>
      <xdr:rowOff>152400</xdr:rowOff>
    </xdr:to>
    <xdr:sp macro="" textlink="">
      <xdr:nvSpPr>
        <xdr:cNvPr id="8851" name="AutoShape 659" descr=".">
          <a:extLst>
            <a:ext uri="{FF2B5EF4-FFF2-40B4-BE49-F238E27FC236}">
              <a16:creationId xmlns:a16="http://schemas.microsoft.com/office/drawing/2014/main" id="{D511B2C5-018E-EF5B-BC50-DEF933E3030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094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327</xdr:row>
      <xdr:rowOff>0</xdr:rowOff>
    </xdr:from>
    <xdr:to>
      <xdr:col>59</xdr:col>
      <xdr:colOff>152400</xdr:colOff>
      <xdr:row>327</xdr:row>
      <xdr:rowOff>152400</xdr:rowOff>
    </xdr:to>
    <xdr:sp macro="" textlink="">
      <xdr:nvSpPr>
        <xdr:cNvPr id="8852" name="AutoShape 660" descr=".">
          <a:extLst>
            <a:ext uri="{FF2B5EF4-FFF2-40B4-BE49-F238E27FC236}">
              <a16:creationId xmlns:a16="http://schemas.microsoft.com/office/drawing/2014/main" id="{8DFCDC76-E03F-01F8-72A0-A575A872811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132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329</xdr:row>
      <xdr:rowOff>0</xdr:rowOff>
    </xdr:from>
    <xdr:to>
      <xdr:col>59</xdr:col>
      <xdr:colOff>152400</xdr:colOff>
      <xdr:row>329</xdr:row>
      <xdr:rowOff>152400</xdr:rowOff>
    </xdr:to>
    <xdr:sp macro="" textlink="">
      <xdr:nvSpPr>
        <xdr:cNvPr id="8853" name="AutoShape 661" descr=".">
          <a:extLst>
            <a:ext uri="{FF2B5EF4-FFF2-40B4-BE49-F238E27FC236}">
              <a16:creationId xmlns:a16="http://schemas.microsoft.com/office/drawing/2014/main" id="{5486B2F7-11F0-FDAF-0019-8A8BC03B12E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169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331</xdr:row>
      <xdr:rowOff>0</xdr:rowOff>
    </xdr:from>
    <xdr:to>
      <xdr:col>59</xdr:col>
      <xdr:colOff>152400</xdr:colOff>
      <xdr:row>331</xdr:row>
      <xdr:rowOff>152400</xdr:rowOff>
    </xdr:to>
    <xdr:sp macro="" textlink="">
      <xdr:nvSpPr>
        <xdr:cNvPr id="8854" name="AutoShape 662" descr=".">
          <a:extLst>
            <a:ext uri="{FF2B5EF4-FFF2-40B4-BE49-F238E27FC236}">
              <a16:creationId xmlns:a16="http://schemas.microsoft.com/office/drawing/2014/main" id="{205F3CDA-5277-1532-CBD1-8AE000C6A07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207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333</xdr:row>
      <xdr:rowOff>0</xdr:rowOff>
    </xdr:from>
    <xdr:to>
      <xdr:col>59</xdr:col>
      <xdr:colOff>152400</xdr:colOff>
      <xdr:row>333</xdr:row>
      <xdr:rowOff>152400</xdr:rowOff>
    </xdr:to>
    <xdr:sp macro="" textlink="">
      <xdr:nvSpPr>
        <xdr:cNvPr id="8855" name="AutoShape 663" descr=".">
          <a:extLst>
            <a:ext uri="{FF2B5EF4-FFF2-40B4-BE49-F238E27FC236}">
              <a16:creationId xmlns:a16="http://schemas.microsoft.com/office/drawing/2014/main" id="{E54A61F6-073D-936E-36EB-792A0B1324A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244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335</xdr:row>
      <xdr:rowOff>0</xdr:rowOff>
    </xdr:from>
    <xdr:to>
      <xdr:col>59</xdr:col>
      <xdr:colOff>152400</xdr:colOff>
      <xdr:row>335</xdr:row>
      <xdr:rowOff>152400</xdr:rowOff>
    </xdr:to>
    <xdr:sp macro="" textlink="">
      <xdr:nvSpPr>
        <xdr:cNvPr id="8856" name="AutoShape 664" descr=".">
          <a:extLst>
            <a:ext uri="{FF2B5EF4-FFF2-40B4-BE49-F238E27FC236}">
              <a16:creationId xmlns:a16="http://schemas.microsoft.com/office/drawing/2014/main" id="{DF6393CD-3E86-E6A5-05A9-41C9EE22288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282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337</xdr:row>
      <xdr:rowOff>0</xdr:rowOff>
    </xdr:from>
    <xdr:to>
      <xdr:col>59</xdr:col>
      <xdr:colOff>152400</xdr:colOff>
      <xdr:row>337</xdr:row>
      <xdr:rowOff>152400</xdr:rowOff>
    </xdr:to>
    <xdr:sp macro="" textlink="">
      <xdr:nvSpPr>
        <xdr:cNvPr id="8857" name="AutoShape 665" descr=".">
          <a:extLst>
            <a:ext uri="{FF2B5EF4-FFF2-40B4-BE49-F238E27FC236}">
              <a16:creationId xmlns:a16="http://schemas.microsoft.com/office/drawing/2014/main" id="{FCC353FF-7C5D-B5B4-CE16-884B90FED6F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319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339</xdr:row>
      <xdr:rowOff>0</xdr:rowOff>
    </xdr:from>
    <xdr:to>
      <xdr:col>59</xdr:col>
      <xdr:colOff>152400</xdr:colOff>
      <xdr:row>339</xdr:row>
      <xdr:rowOff>152400</xdr:rowOff>
    </xdr:to>
    <xdr:sp macro="" textlink="">
      <xdr:nvSpPr>
        <xdr:cNvPr id="8858" name="AutoShape 666" descr=".">
          <a:extLst>
            <a:ext uri="{FF2B5EF4-FFF2-40B4-BE49-F238E27FC236}">
              <a16:creationId xmlns:a16="http://schemas.microsoft.com/office/drawing/2014/main" id="{83060AC2-2E42-B92A-77B5-BC0F98AA403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356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341</xdr:row>
      <xdr:rowOff>0</xdr:rowOff>
    </xdr:from>
    <xdr:to>
      <xdr:col>59</xdr:col>
      <xdr:colOff>152400</xdr:colOff>
      <xdr:row>341</xdr:row>
      <xdr:rowOff>152400</xdr:rowOff>
    </xdr:to>
    <xdr:sp macro="" textlink="">
      <xdr:nvSpPr>
        <xdr:cNvPr id="8859" name="AutoShape 667" descr=".">
          <a:extLst>
            <a:ext uri="{FF2B5EF4-FFF2-40B4-BE49-F238E27FC236}">
              <a16:creationId xmlns:a16="http://schemas.microsoft.com/office/drawing/2014/main" id="{71EB12C7-6F99-92BA-2802-1850443460E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39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343</xdr:row>
      <xdr:rowOff>0</xdr:rowOff>
    </xdr:from>
    <xdr:to>
      <xdr:col>59</xdr:col>
      <xdr:colOff>152400</xdr:colOff>
      <xdr:row>343</xdr:row>
      <xdr:rowOff>152400</xdr:rowOff>
    </xdr:to>
    <xdr:sp macro="" textlink="">
      <xdr:nvSpPr>
        <xdr:cNvPr id="8860" name="AutoShape 668" descr=".">
          <a:extLst>
            <a:ext uri="{FF2B5EF4-FFF2-40B4-BE49-F238E27FC236}">
              <a16:creationId xmlns:a16="http://schemas.microsoft.com/office/drawing/2014/main" id="{F47420BD-8F47-0896-6775-AE57A8AE6DD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431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345</xdr:row>
      <xdr:rowOff>0</xdr:rowOff>
    </xdr:from>
    <xdr:to>
      <xdr:col>59</xdr:col>
      <xdr:colOff>152400</xdr:colOff>
      <xdr:row>345</xdr:row>
      <xdr:rowOff>152400</xdr:rowOff>
    </xdr:to>
    <xdr:sp macro="" textlink="">
      <xdr:nvSpPr>
        <xdr:cNvPr id="8861" name="AutoShape 669" descr=".">
          <a:extLst>
            <a:ext uri="{FF2B5EF4-FFF2-40B4-BE49-F238E27FC236}">
              <a16:creationId xmlns:a16="http://schemas.microsoft.com/office/drawing/2014/main" id="{90F8DB02-96BC-E4C4-D1AF-D5AB06CC763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469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347</xdr:row>
      <xdr:rowOff>0</xdr:rowOff>
    </xdr:from>
    <xdr:to>
      <xdr:col>59</xdr:col>
      <xdr:colOff>152400</xdr:colOff>
      <xdr:row>347</xdr:row>
      <xdr:rowOff>152400</xdr:rowOff>
    </xdr:to>
    <xdr:sp macro="" textlink="">
      <xdr:nvSpPr>
        <xdr:cNvPr id="8862" name="AutoShape 670" descr=".">
          <a:extLst>
            <a:ext uri="{FF2B5EF4-FFF2-40B4-BE49-F238E27FC236}">
              <a16:creationId xmlns:a16="http://schemas.microsoft.com/office/drawing/2014/main" id="{9DDF05F3-3280-F9DE-2667-1AAE580E363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5068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349</xdr:row>
      <xdr:rowOff>0</xdr:rowOff>
    </xdr:from>
    <xdr:to>
      <xdr:col>59</xdr:col>
      <xdr:colOff>152400</xdr:colOff>
      <xdr:row>349</xdr:row>
      <xdr:rowOff>152400</xdr:rowOff>
    </xdr:to>
    <xdr:sp macro="" textlink="">
      <xdr:nvSpPr>
        <xdr:cNvPr id="8863" name="AutoShape 671" descr=".">
          <a:extLst>
            <a:ext uri="{FF2B5EF4-FFF2-40B4-BE49-F238E27FC236}">
              <a16:creationId xmlns:a16="http://schemas.microsoft.com/office/drawing/2014/main" id="{3FC165A7-BB96-F618-4CE3-C9065F8C6DF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544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351</xdr:row>
      <xdr:rowOff>0</xdr:rowOff>
    </xdr:from>
    <xdr:to>
      <xdr:col>59</xdr:col>
      <xdr:colOff>152400</xdr:colOff>
      <xdr:row>351</xdr:row>
      <xdr:rowOff>152400</xdr:rowOff>
    </xdr:to>
    <xdr:sp macro="" textlink="">
      <xdr:nvSpPr>
        <xdr:cNvPr id="8864" name="AutoShape 672" descr=".">
          <a:extLst>
            <a:ext uri="{FF2B5EF4-FFF2-40B4-BE49-F238E27FC236}">
              <a16:creationId xmlns:a16="http://schemas.microsoft.com/office/drawing/2014/main" id="{62F45B08-B769-8F9B-D7B2-9771943E63D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5817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353</xdr:row>
      <xdr:rowOff>0</xdr:rowOff>
    </xdr:from>
    <xdr:to>
      <xdr:col>59</xdr:col>
      <xdr:colOff>152400</xdr:colOff>
      <xdr:row>353</xdr:row>
      <xdr:rowOff>152400</xdr:rowOff>
    </xdr:to>
    <xdr:sp macro="" textlink="">
      <xdr:nvSpPr>
        <xdr:cNvPr id="8865" name="AutoShape 673" descr=".">
          <a:extLst>
            <a:ext uri="{FF2B5EF4-FFF2-40B4-BE49-F238E27FC236}">
              <a16:creationId xmlns:a16="http://schemas.microsoft.com/office/drawing/2014/main" id="{365A628D-ED42-9EA3-46D9-E287515C520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619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355</xdr:row>
      <xdr:rowOff>0</xdr:rowOff>
    </xdr:from>
    <xdr:to>
      <xdr:col>59</xdr:col>
      <xdr:colOff>152400</xdr:colOff>
      <xdr:row>355</xdr:row>
      <xdr:rowOff>152400</xdr:rowOff>
    </xdr:to>
    <xdr:sp macro="" textlink="">
      <xdr:nvSpPr>
        <xdr:cNvPr id="8866" name="AutoShape 674" descr=".">
          <a:extLst>
            <a:ext uri="{FF2B5EF4-FFF2-40B4-BE49-F238E27FC236}">
              <a16:creationId xmlns:a16="http://schemas.microsoft.com/office/drawing/2014/main" id="{D81B5F83-8CCA-4F47-DED7-5306C36B1E8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6567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357</xdr:row>
      <xdr:rowOff>0</xdr:rowOff>
    </xdr:from>
    <xdr:to>
      <xdr:col>59</xdr:col>
      <xdr:colOff>152400</xdr:colOff>
      <xdr:row>357</xdr:row>
      <xdr:rowOff>152400</xdr:rowOff>
    </xdr:to>
    <xdr:sp macro="" textlink="">
      <xdr:nvSpPr>
        <xdr:cNvPr id="8867" name="AutoShape 675" descr=".">
          <a:extLst>
            <a:ext uri="{FF2B5EF4-FFF2-40B4-BE49-F238E27FC236}">
              <a16:creationId xmlns:a16="http://schemas.microsoft.com/office/drawing/2014/main" id="{5C08AC2B-CC95-DF78-B8C7-25182AB5499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694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359</xdr:row>
      <xdr:rowOff>0</xdr:rowOff>
    </xdr:from>
    <xdr:to>
      <xdr:col>59</xdr:col>
      <xdr:colOff>152400</xdr:colOff>
      <xdr:row>359</xdr:row>
      <xdr:rowOff>152400</xdr:rowOff>
    </xdr:to>
    <xdr:sp macro="" textlink="">
      <xdr:nvSpPr>
        <xdr:cNvPr id="8868" name="AutoShape 676" descr=".">
          <a:extLst>
            <a:ext uri="{FF2B5EF4-FFF2-40B4-BE49-F238E27FC236}">
              <a16:creationId xmlns:a16="http://schemas.microsoft.com/office/drawing/2014/main" id="{773B1C8D-A554-00A9-0320-C34896B94F5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731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361</xdr:row>
      <xdr:rowOff>0</xdr:rowOff>
    </xdr:from>
    <xdr:to>
      <xdr:col>59</xdr:col>
      <xdr:colOff>152400</xdr:colOff>
      <xdr:row>361</xdr:row>
      <xdr:rowOff>152400</xdr:rowOff>
    </xdr:to>
    <xdr:sp macro="" textlink="">
      <xdr:nvSpPr>
        <xdr:cNvPr id="8869" name="AutoShape 677" descr=".">
          <a:extLst>
            <a:ext uri="{FF2B5EF4-FFF2-40B4-BE49-F238E27FC236}">
              <a16:creationId xmlns:a16="http://schemas.microsoft.com/office/drawing/2014/main" id="{FA7FDE6B-AD36-B214-E65B-7449CF70054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76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363</xdr:row>
      <xdr:rowOff>0</xdr:rowOff>
    </xdr:from>
    <xdr:to>
      <xdr:col>59</xdr:col>
      <xdr:colOff>152400</xdr:colOff>
      <xdr:row>363</xdr:row>
      <xdr:rowOff>152400</xdr:rowOff>
    </xdr:to>
    <xdr:sp macro="" textlink="">
      <xdr:nvSpPr>
        <xdr:cNvPr id="8870" name="AutoShape 678" descr=".">
          <a:extLst>
            <a:ext uri="{FF2B5EF4-FFF2-40B4-BE49-F238E27FC236}">
              <a16:creationId xmlns:a16="http://schemas.microsoft.com/office/drawing/2014/main" id="{39B24DFD-6699-77C8-4241-0864CD5EB64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806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365</xdr:row>
      <xdr:rowOff>0</xdr:rowOff>
    </xdr:from>
    <xdr:to>
      <xdr:col>59</xdr:col>
      <xdr:colOff>152400</xdr:colOff>
      <xdr:row>365</xdr:row>
      <xdr:rowOff>152400</xdr:rowOff>
    </xdr:to>
    <xdr:sp macro="" textlink="">
      <xdr:nvSpPr>
        <xdr:cNvPr id="8871" name="AutoShape 679" descr=".">
          <a:extLst>
            <a:ext uri="{FF2B5EF4-FFF2-40B4-BE49-F238E27FC236}">
              <a16:creationId xmlns:a16="http://schemas.microsoft.com/office/drawing/2014/main" id="{513432E3-ED5D-6CFF-AF20-827457B6BFA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844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367</xdr:row>
      <xdr:rowOff>0</xdr:rowOff>
    </xdr:from>
    <xdr:to>
      <xdr:col>59</xdr:col>
      <xdr:colOff>152400</xdr:colOff>
      <xdr:row>367</xdr:row>
      <xdr:rowOff>152400</xdr:rowOff>
    </xdr:to>
    <xdr:sp macro="" textlink="">
      <xdr:nvSpPr>
        <xdr:cNvPr id="8872" name="AutoShape 680" descr=".">
          <a:extLst>
            <a:ext uri="{FF2B5EF4-FFF2-40B4-BE49-F238E27FC236}">
              <a16:creationId xmlns:a16="http://schemas.microsoft.com/office/drawing/2014/main" id="{18CEC4FA-6717-8C73-AC95-BC5E5B7024F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881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369</xdr:row>
      <xdr:rowOff>0</xdr:rowOff>
    </xdr:from>
    <xdr:to>
      <xdr:col>59</xdr:col>
      <xdr:colOff>152400</xdr:colOff>
      <xdr:row>369</xdr:row>
      <xdr:rowOff>152400</xdr:rowOff>
    </xdr:to>
    <xdr:sp macro="" textlink="">
      <xdr:nvSpPr>
        <xdr:cNvPr id="8873" name="AutoShape 681" descr=".">
          <a:extLst>
            <a:ext uri="{FF2B5EF4-FFF2-40B4-BE49-F238E27FC236}">
              <a16:creationId xmlns:a16="http://schemas.microsoft.com/office/drawing/2014/main" id="{7EED9738-2522-1CC5-193C-A6E1BFA46F9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918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371</xdr:row>
      <xdr:rowOff>0</xdr:rowOff>
    </xdr:from>
    <xdr:to>
      <xdr:col>59</xdr:col>
      <xdr:colOff>152400</xdr:colOff>
      <xdr:row>371</xdr:row>
      <xdr:rowOff>152400</xdr:rowOff>
    </xdr:to>
    <xdr:sp macro="" textlink="">
      <xdr:nvSpPr>
        <xdr:cNvPr id="8874" name="AutoShape 682" descr=".">
          <a:extLst>
            <a:ext uri="{FF2B5EF4-FFF2-40B4-BE49-F238E27FC236}">
              <a16:creationId xmlns:a16="http://schemas.microsoft.com/office/drawing/2014/main" id="{F523A629-C577-F2FC-0BBB-F9149CC1F5E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956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373</xdr:row>
      <xdr:rowOff>0</xdr:rowOff>
    </xdr:from>
    <xdr:to>
      <xdr:col>59</xdr:col>
      <xdr:colOff>152400</xdr:colOff>
      <xdr:row>373</xdr:row>
      <xdr:rowOff>152400</xdr:rowOff>
    </xdr:to>
    <xdr:sp macro="" textlink="">
      <xdr:nvSpPr>
        <xdr:cNvPr id="8875" name="AutoShape 683" descr=".">
          <a:extLst>
            <a:ext uri="{FF2B5EF4-FFF2-40B4-BE49-F238E27FC236}">
              <a16:creationId xmlns:a16="http://schemas.microsoft.com/office/drawing/2014/main" id="{5CDF4671-0652-E962-16A8-461F3802583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6993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375</xdr:row>
      <xdr:rowOff>0</xdr:rowOff>
    </xdr:from>
    <xdr:to>
      <xdr:col>59</xdr:col>
      <xdr:colOff>152400</xdr:colOff>
      <xdr:row>375</xdr:row>
      <xdr:rowOff>152400</xdr:rowOff>
    </xdr:to>
    <xdr:sp macro="" textlink="">
      <xdr:nvSpPr>
        <xdr:cNvPr id="8876" name="AutoShape 684" descr=".">
          <a:extLst>
            <a:ext uri="{FF2B5EF4-FFF2-40B4-BE49-F238E27FC236}">
              <a16:creationId xmlns:a16="http://schemas.microsoft.com/office/drawing/2014/main" id="{FBCD31EA-55AC-B729-B0D3-D3AB330B660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031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377</xdr:row>
      <xdr:rowOff>0</xdr:rowOff>
    </xdr:from>
    <xdr:to>
      <xdr:col>59</xdr:col>
      <xdr:colOff>152400</xdr:colOff>
      <xdr:row>377</xdr:row>
      <xdr:rowOff>152400</xdr:rowOff>
    </xdr:to>
    <xdr:sp macro="" textlink="">
      <xdr:nvSpPr>
        <xdr:cNvPr id="8877" name="AutoShape 685" descr=".">
          <a:extLst>
            <a:ext uri="{FF2B5EF4-FFF2-40B4-BE49-F238E27FC236}">
              <a16:creationId xmlns:a16="http://schemas.microsoft.com/office/drawing/2014/main" id="{0EE17406-E6A8-A71D-66F7-00E673051B8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068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379</xdr:row>
      <xdr:rowOff>0</xdr:rowOff>
    </xdr:from>
    <xdr:to>
      <xdr:col>59</xdr:col>
      <xdr:colOff>152400</xdr:colOff>
      <xdr:row>379</xdr:row>
      <xdr:rowOff>152400</xdr:rowOff>
    </xdr:to>
    <xdr:sp macro="" textlink="">
      <xdr:nvSpPr>
        <xdr:cNvPr id="8878" name="AutoShape 686" descr=".">
          <a:extLst>
            <a:ext uri="{FF2B5EF4-FFF2-40B4-BE49-F238E27FC236}">
              <a16:creationId xmlns:a16="http://schemas.microsoft.com/office/drawing/2014/main" id="{07B357B1-9710-DAB7-9E56-5DD7C626BCB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106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381</xdr:row>
      <xdr:rowOff>0</xdr:rowOff>
    </xdr:from>
    <xdr:to>
      <xdr:col>59</xdr:col>
      <xdr:colOff>152400</xdr:colOff>
      <xdr:row>381</xdr:row>
      <xdr:rowOff>152400</xdr:rowOff>
    </xdr:to>
    <xdr:sp macro="" textlink="">
      <xdr:nvSpPr>
        <xdr:cNvPr id="8879" name="AutoShape 687" descr=".">
          <a:extLst>
            <a:ext uri="{FF2B5EF4-FFF2-40B4-BE49-F238E27FC236}">
              <a16:creationId xmlns:a16="http://schemas.microsoft.com/office/drawing/2014/main" id="{CC296D90-9FAA-18C9-2D4E-7613809BC17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143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383</xdr:row>
      <xdr:rowOff>0</xdr:rowOff>
    </xdr:from>
    <xdr:to>
      <xdr:col>59</xdr:col>
      <xdr:colOff>152400</xdr:colOff>
      <xdr:row>383</xdr:row>
      <xdr:rowOff>152400</xdr:rowOff>
    </xdr:to>
    <xdr:sp macro="" textlink="">
      <xdr:nvSpPr>
        <xdr:cNvPr id="8880" name="AutoShape 688" descr=".">
          <a:extLst>
            <a:ext uri="{FF2B5EF4-FFF2-40B4-BE49-F238E27FC236}">
              <a16:creationId xmlns:a16="http://schemas.microsoft.com/office/drawing/2014/main" id="{5EAE0D07-002D-B861-5497-EE31C6CB58C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181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385</xdr:row>
      <xdr:rowOff>0</xdr:rowOff>
    </xdr:from>
    <xdr:to>
      <xdr:col>59</xdr:col>
      <xdr:colOff>152400</xdr:colOff>
      <xdr:row>385</xdr:row>
      <xdr:rowOff>152400</xdr:rowOff>
    </xdr:to>
    <xdr:sp macro="" textlink="">
      <xdr:nvSpPr>
        <xdr:cNvPr id="8881" name="AutoShape 689" descr=".">
          <a:extLst>
            <a:ext uri="{FF2B5EF4-FFF2-40B4-BE49-F238E27FC236}">
              <a16:creationId xmlns:a16="http://schemas.microsoft.com/office/drawing/2014/main" id="{90DCCC00-7F98-C4D9-F2FB-5ECC1A65BF7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21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387</xdr:row>
      <xdr:rowOff>0</xdr:rowOff>
    </xdr:from>
    <xdr:to>
      <xdr:col>59</xdr:col>
      <xdr:colOff>152400</xdr:colOff>
      <xdr:row>387</xdr:row>
      <xdr:rowOff>152400</xdr:rowOff>
    </xdr:to>
    <xdr:sp macro="" textlink="">
      <xdr:nvSpPr>
        <xdr:cNvPr id="8882" name="AutoShape 690" descr=".">
          <a:extLst>
            <a:ext uri="{FF2B5EF4-FFF2-40B4-BE49-F238E27FC236}">
              <a16:creationId xmlns:a16="http://schemas.microsoft.com/office/drawing/2014/main" id="{A71B8937-C5E1-6E40-93FE-4FF3611A832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256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389</xdr:row>
      <xdr:rowOff>0</xdr:rowOff>
    </xdr:from>
    <xdr:to>
      <xdr:col>59</xdr:col>
      <xdr:colOff>152400</xdr:colOff>
      <xdr:row>389</xdr:row>
      <xdr:rowOff>152400</xdr:rowOff>
    </xdr:to>
    <xdr:sp macro="" textlink="">
      <xdr:nvSpPr>
        <xdr:cNvPr id="8883" name="AutoShape 691" descr=".">
          <a:extLst>
            <a:ext uri="{FF2B5EF4-FFF2-40B4-BE49-F238E27FC236}">
              <a16:creationId xmlns:a16="http://schemas.microsoft.com/office/drawing/2014/main" id="{3CF02E1C-62FB-3E63-6826-E1AFE666BC6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293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391</xdr:row>
      <xdr:rowOff>0</xdr:rowOff>
    </xdr:from>
    <xdr:to>
      <xdr:col>59</xdr:col>
      <xdr:colOff>152400</xdr:colOff>
      <xdr:row>391</xdr:row>
      <xdr:rowOff>152400</xdr:rowOff>
    </xdr:to>
    <xdr:sp macro="" textlink="">
      <xdr:nvSpPr>
        <xdr:cNvPr id="8884" name="AutoShape 692" descr=".">
          <a:extLst>
            <a:ext uri="{FF2B5EF4-FFF2-40B4-BE49-F238E27FC236}">
              <a16:creationId xmlns:a16="http://schemas.microsoft.com/office/drawing/2014/main" id="{7CFDED6C-AF26-EE28-5167-8714C75A23F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331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393</xdr:row>
      <xdr:rowOff>0</xdr:rowOff>
    </xdr:from>
    <xdr:to>
      <xdr:col>59</xdr:col>
      <xdr:colOff>152400</xdr:colOff>
      <xdr:row>393</xdr:row>
      <xdr:rowOff>152400</xdr:rowOff>
    </xdr:to>
    <xdr:sp macro="" textlink="">
      <xdr:nvSpPr>
        <xdr:cNvPr id="8885" name="AutoShape 693" descr=".">
          <a:extLst>
            <a:ext uri="{FF2B5EF4-FFF2-40B4-BE49-F238E27FC236}">
              <a16:creationId xmlns:a16="http://schemas.microsoft.com/office/drawing/2014/main" id="{FACFD8F4-BDFC-AB48-A84A-534CDB6E655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368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395</xdr:row>
      <xdr:rowOff>0</xdr:rowOff>
    </xdr:from>
    <xdr:to>
      <xdr:col>59</xdr:col>
      <xdr:colOff>152400</xdr:colOff>
      <xdr:row>395</xdr:row>
      <xdr:rowOff>152400</xdr:rowOff>
    </xdr:to>
    <xdr:sp macro="" textlink="">
      <xdr:nvSpPr>
        <xdr:cNvPr id="8886" name="AutoShape 694" descr=".">
          <a:extLst>
            <a:ext uri="{FF2B5EF4-FFF2-40B4-BE49-F238E27FC236}">
              <a16:creationId xmlns:a16="http://schemas.microsoft.com/office/drawing/2014/main" id="{4493F277-8A27-3CAE-6445-03C54668709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406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397</xdr:row>
      <xdr:rowOff>0</xdr:rowOff>
    </xdr:from>
    <xdr:to>
      <xdr:col>59</xdr:col>
      <xdr:colOff>152400</xdr:colOff>
      <xdr:row>397</xdr:row>
      <xdr:rowOff>152400</xdr:rowOff>
    </xdr:to>
    <xdr:sp macro="" textlink="">
      <xdr:nvSpPr>
        <xdr:cNvPr id="8887" name="AutoShape 695" descr=".">
          <a:extLst>
            <a:ext uri="{FF2B5EF4-FFF2-40B4-BE49-F238E27FC236}">
              <a16:creationId xmlns:a16="http://schemas.microsoft.com/office/drawing/2014/main" id="{7DBEDFDA-6568-1C00-0598-128A2845473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443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399</xdr:row>
      <xdr:rowOff>0</xdr:rowOff>
    </xdr:from>
    <xdr:to>
      <xdr:col>59</xdr:col>
      <xdr:colOff>152400</xdr:colOff>
      <xdr:row>399</xdr:row>
      <xdr:rowOff>152400</xdr:rowOff>
    </xdr:to>
    <xdr:sp macro="" textlink="">
      <xdr:nvSpPr>
        <xdr:cNvPr id="8888" name="AutoShape 696" descr=".">
          <a:extLst>
            <a:ext uri="{FF2B5EF4-FFF2-40B4-BE49-F238E27FC236}">
              <a16:creationId xmlns:a16="http://schemas.microsoft.com/office/drawing/2014/main" id="{4E05AEF0-F023-80D3-5B69-AAA805CDAB8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480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401</xdr:row>
      <xdr:rowOff>0</xdr:rowOff>
    </xdr:from>
    <xdr:to>
      <xdr:col>59</xdr:col>
      <xdr:colOff>152400</xdr:colOff>
      <xdr:row>401</xdr:row>
      <xdr:rowOff>152400</xdr:rowOff>
    </xdr:to>
    <xdr:sp macro="" textlink="">
      <xdr:nvSpPr>
        <xdr:cNvPr id="8889" name="AutoShape 697" descr=".">
          <a:extLst>
            <a:ext uri="{FF2B5EF4-FFF2-40B4-BE49-F238E27FC236}">
              <a16:creationId xmlns:a16="http://schemas.microsoft.com/office/drawing/2014/main" id="{8E516CCE-61D0-E51F-D1AC-B27CB322899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518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403</xdr:row>
      <xdr:rowOff>0</xdr:rowOff>
    </xdr:from>
    <xdr:to>
      <xdr:col>59</xdr:col>
      <xdr:colOff>152400</xdr:colOff>
      <xdr:row>403</xdr:row>
      <xdr:rowOff>152400</xdr:rowOff>
    </xdr:to>
    <xdr:sp macro="" textlink="">
      <xdr:nvSpPr>
        <xdr:cNvPr id="8890" name="AutoShape 698" descr=".">
          <a:extLst>
            <a:ext uri="{FF2B5EF4-FFF2-40B4-BE49-F238E27FC236}">
              <a16:creationId xmlns:a16="http://schemas.microsoft.com/office/drawing/2014/main" id="{A058D814-465D-FC38-52E3-097DE085AA9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555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405</xdr:row>
      <xdr:rowOff>0</xdr:rowOff>
    </xdr:from>
    <xdr:to>
      <xdr:col>59</xdr:col>
      <xdr:colOff>152400</xdr:colOff>
      <xdr:row>405</xdr:row>
      <xdr:rowOff>152400</xdr:rowOff>
    </xdr:to>
    <xdr:sp macro="" textlink="">
      <xdr:nvSpPr>
        <xdr:cNvPr id="8891" name="AutoShape 699" descr=".">
          <a:extLst>
            <a:ext uri="{FF2B5EF4-FFF2-40B4-BE49-F238E27FC236}">
              <a16:creationId xmlns:a16="http://schemas.microsoft.com/office/drawing/2014/main" id="{73A9C676-7496-7F91-B29A-8021AA8702D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593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407</xdr:row>
      <xdr:rowOff>0</xdr:rowOff>
    </xdr:from>
    <xdr:to>
      <xdr:col>59</xdr:col>
      <xdr:colOff>152400</xdr:colOff>
      <xdr:row>407</xdr:row>
      <xdr:rowOff>152400</xdr:rowOff>
    </xdr:to>
    <xdr:sp macro="" textlink="">
      <xdr:nvSpPr>
        <xdr:cNvPr id="8892" name="AutoShape 700" descr=".">
          <a:extLst>
            <a:ext uri="{FF2B5EF4-FFF2-40B4-BE49-F238E27FC236}">
              <a16:creationId xmlns:a16="http://schemas.microsoft.com/office/drawing/2014/main" id="{715DD7F4-7036-F6F8-A0CE-92B57AD52D7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6307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409</xdr:row>
      <xdr:rowOff>0</xdr:rowOff>
    </xdr:from>
    <xdr:to>
      <xdr:col>59</xdr:col>
      <xdr:colOff>152400</xdr:colOff>
      <xdr:row>409</xdr:row>
      <xdr:rowOff>152400</xdr:rowOff>
    </xdr:to>
    <xdr:sp macro="" textlink="">
      <xdr:nvSpPr>
        <xdr:cNvPr id="8893" name="AutoShape 701" descr=".">
          <a:extLst>
            <a:ext uri="{FF2B5EF4-FFF2-40B4-BE49-F238E27FC236}">
              <a16:creationId xmlns:a16="http://schemas.microsoft.com/office/drawing/2014/main" id="{760991EF-BA14-074D-260F-C2031F1EFF0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668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411</xdr:row>
      <xdr:rowOff>0</xdr:rowOff>
    </xdr:from>
    <xdr:to>
      <xdr:col>59</xdr:col>
      <xdr:colOff>152400</xdr:colOff>
      <xdr:row>411</xdr:row>
      <xdr:rowOff>152400</xdr:rowOff>
    </xdr:to>
    <xdr:sp macro="" textlink="">
      <xdr:nvSpPr>
        <xdr:cNvPr id="8894" name="AutoShape 702" descr=".">
          <a:extLst>
            <a:ext uri="{FF2B5EF4-FFF2-40B4-BE49-F238E27FC236}">
              <a16:creationId xmlns:a16="http://schemas.microsoft.com/office/drawing/2014/main" id="{C7C1F053-96A6-9137-3D07-31C08A7CB0C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705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413</xdr:row>
      <xdr:rowOff>0</xdr:rowOff>
    </xdr:from>
    <xdr:to>
      <xdr:col>59</xdr:col>
      <xdr:colOff>152400</xdr:colOff>
      <xdr:row>413</xdr:row>
      <xdr:rowOff>152400</xdr:rowOff>
    </xdr:to>
    <xdr:sp macro="" textlink="">
      <xdr:nvSpPr>
        <xdr:cNvPr id="8895" name="AutoShape 703" descr=".">
          <a:extLst>
            <a:ext uri="{FF2B5EF4-FFF2-40B4-BE49-F238E27FC236}">
              <a16:creationId xmlns:a16="http://schemas.microsoft.com/office/drawing/2014/main" id="{856F985E-9E1F-D3D6-8D98-3E66FD9FD4B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746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415</xdr:row>
      <xdr:rowOff>0</xdr:rowOff>
    </xdr:from>
    <xdr:to>
      <xdr:col>59</xdr:col>
      <xdr:colOff>152400</xdr:colOff>
      <xdr:row>415</xdr:row>
      <xdr:rowOff>152400</xdr:rowOff>
    </xdr:to>
    <xdr:sp macro="" textlink="">
      <xdr:nvSpPr>
        <xdr:cNvPr id="8896" name="AutoShape 704" descr=".">
          <a:extLst>
            <a:ext uri="{FF2B5EF4-FFF2-40B4-BE49-F238E27FC236}">
              <a16:creationId xmlns:a16="http://schemas.microsoft.com/office/drawing/2014/main" id="{2ACC105A-9A65-0682-741C-170804470C7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783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417</xdr:row>
      <xdr:rowOff>0</xdr:rowOff>
    </xdr:from>
    <xdr:to>
      <xdr:col>59</xdr:col>
      <xdr:colOff>152400</xdr:colOff>
      <xdr:row>417</xdr:row>
      <xdr:rowOff>152400</xdr:rowOff>
    </xdr:to>
    <xdr:sp macro="" textlink="">
      <xdr:nvSpPr>
        <xdr:cNvPr id="8897" name="AutoShape 705" descr=".">
          <a:extLst>
            <a:ext uri="{FF2B5EF4-FFF2-40B4-BE49-F238E27FC236}">
              <a16:creationId xmlns:a16="http://schemas.microsoft.com/office/drawing/2014/main" id="{D59D0721-8A80-F711-C468-77F1D6F0B90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821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419</xdr:row>
      <xdr:rowOff>0</xdr:rowOff>
    </xdr:from>
    <xdr:to>
      <xdr:col>59</xdr:col>
      <xdr:colOff>152400</xdr:colOff>
      <xdr:row>419</xdr:row>
      <xdr:rowOff>152400</xdr:rowOff>
    </xdr:to>
    <xdr:sp macro="" textlink="">
      <xdr:nvSpPr>
        <xdr:cNvPr id="8898" name="AutoShape 706" descr=".">
          <a:extLst>
            <a:ext uri="{FF2B5EF4-FFF2-40B4-BE49-F238E27FC236}">
              <a16:creationId xmlns:a16="http://schemas.microsoft.com/office/drawing/2014/main" id="{B96967EC-96A3-7263-8A4E-D224F53EFF9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858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421</xdr:row>
      <xdr:rowOff>0</xdr:rowOff>
    </xdr:from>
    <xdr:to>
      <xdr:col>59</xdr:col>
      <xdr:colOff>152400</xdr:colOff>
      <xdr:row>421</xdr:row>
      <xdr:rowOff>152400</xdr:rowOff>
    </xdr:to>
    <xdr:sp macro="" textlink="">
      <xdr:nvSpPr>
        <xdr:cNvPr id="8899" name="AutoShape 707" descr=".">
          <a:extLst>
            <a:ext uri="{FF2B5EF4-FFF2-40B4-BE49-F238E27FC236}">
              <a16:creationId xmlns:a16="http://schemas.microsoft.com/office/drawing/2014/main" id="{1FCB0AF5-AD01-2F9B-AE45-5DD5C19D7F7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896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423</xdr:row>
      <xdr:rowOff>0</xdr:rowOff>
    </xdr:from>
    <xdr:to>
      <xdr:col>59</xdr:col>
      <xdr:colOff>152400</xdr:colOff>
      <xdr:row>423</xdr:row>
      <xdr:rowOff>152400</xdr:rowOff>
    </xdr:to>
    <xdr:sp macro="" textlink="">
      <xdr:nvSpPr>
        <xdr:cNvPr id="8900" name="AutoShape 708" descr=".">
          <a:extLst>
            <a:ext uri="{FF2B5EF4-FFF2-40B4-BE49-F238E27FC236}">
              <a16:creationId xmlns:a16="http://schemas.microsoft.com/office/drawing/2014/main" id="{E65B02EA-9BC5-ADC7-49B5-A1FD25DFA13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933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425</xdr:row>
      <xdr:rowOff>0</xdr:rowOff>
    </xdr:from>
    <xdr:to>
      <xdr:col>59</xdr:col>
      <xdr:colOff>152400</xdr:colOff>
      <xdr:row>425</xdr:row>
      <xdr:rowOff>152400</xdr:rowOff>
    </xdr:to>
    <xdr:sp macro="" textlink="">
      <xdr:nvSpPr>
        <xdr:cNvPr id="8901" name="AutoShape 709" descr=".">
          <a:extLst>
            <a:ext uri="{FF2B5EF4-FFF2-40B4-BE49-F238E27FC236}">
              <a16:creationId xmlns:a16="http://schemas.microsoft.com/office/drawing/2014/main" id="{CF92FFDD-3CA7-CDFF-0E2B-D4EFF73FE2C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7971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427</xdr:row>
      <xdr:rowOff>0</xdr:rowOff>
    </xdr:from>
    <xdr:to>
      <xdr:col>59</xdr:col>
      <xdr:colOff>152400</xdr:colOff>
      <xdr:row>427</xdr:row>
      <xdr:rowOff>152400</xdr:rowOff>
    </xdr:to>
    <xdr:sp macro="" textlink="">
      <xdr:nvSpPr>
        <xdr:cNvPr id="8902" name="AutoShape 710" descr=".">
          <a:extLst>
            <a:ext uri="{FF2B5EF4-FFF2-40B4-BE49-F238E27FC236}">
              <a16:creationId xmlns:a16="http://schemas.microsoft.com/office/drawing/2014/main" id="{749C680A-74AF-EEA3-0C40-C308539C8CE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008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429</xdr:row>
      <xdr:rowOff>0</xdr:rowOff>
    </xdr:from>
    <xdr:to>
      <xdr:col>59</xdr:col>
      <xdr:colOff>152400</xdr:colOff>
      <xdr:row>429</xdr:row>
      <xdr:rowOff>152400</xdr:rowOff>
    </xdr:to>
    <xdr:sp macro="" textlink="">
      <xdr:nvSpPr>
        <xdr:cNvPr id="8903" name="AutoShape 711" descr=".">
          <a:extLst>
            <a:ext uri="{FF2B5EF4-FFF2-40B4-BE49-F238E27FC236}">
              <a16:creationId xmlns:a16="http://schemas.microsoft.com/office/drawing/2014/main" id="{ABDC922E-FD49-68BB-F9D3-6451616CAEC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046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431</xdr:row>
      <xdr:rowOff>0</xdr:rowOff>
    </xdr:from>
    <xdr:to>
      <xdr:col>59</xdr:col>
      <xdr:colOff>152400</xdr:colOff>
      <xdr:row>431</xdr:row>
      <xdr:rowOff>152400</xdr:rowOff>
    </xdr:to>
    <xdr:sp macro="" textlink="">
      <xdr:nvSpPr>
        <xdr:cNvPr id="8904" name="AutoShape 712" descr=".">
          <a:extLst>
            <a:ext uri="{FF2B5EF4-FFF2-40B4-BE49-F238E27FC236}">
              <a16:creationId xmlns:a16="http://schemas.microsoft.com/office/drawing/2014/main" id="{5787FC14-AD56-083C-5EE3-B5C45A7C66DC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08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433</xdr:row>
      <xdr:rowOff>0</xdr:rowOff>
    </xdr:from>
    <xdr:to>
      <xdr:col>59</xdr:col>
      <xdr:colOff>152400</xdr:colOff>
      <xdr:row>433</xdr:row>
      <xdr:rowOff>152400</xdr:rowOff>
    </xdr:to>
    <xdr:sp macro="" textlink="">
      <xdr:nvSpPr>
        <xdr:cNvPr id="8905" name="AutoShape 713" descr=".">
          <a:extLst>
            <a:ext uri="{FF2B5EF4-FFF2-40B4-BE49-F238E27FC236}">
              <a16:creationId xmlns:a16="http://schemas.microsoft.com/office/drawing/2014/main" id="{A86E6DF6-2A39-11AF-5577-D5B382984A6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121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435</xdr:row>
      <xdr:rowOff>0</xdr:rowOff>
    </xdr:from>
    <xdr:to>
      <xdr:col>59</xdr:col>
      <xdr:colOff>152400</xdr:colOff>
      <xdr:row>435</xdr:row>
      <xdr:rowOff>152400</xdr:rowOff>
    </xdr:to>
    <xdr:sp macro="" textlink="">
      <xdr:nvSpPr>
        <xdr:cNvPr id="8906" name="AutoShape 714" descr=".">
          <a:extLst>
            <a:ext uri="{FF2B5EF4-FFF2-40B4-BE49-F238E27FC236}">
              <a16:creationId xmlns:a16="http://schemas.microsoft.com/office/drawing/2014/main" id="{2E806DD3-C059-2FB9-A062-13650B46E19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158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437</xdr:row>
      <xdr:rowOff>0</xdr:rowOff>
    </xdr:from>
    <xdr:to>
      <xdr:col>59</xdr:col>
      <xdr:colOff>152400</xdr:colOff>
      <xdr:row>437</xdr:row>
      <xdr:rowOff>152400</xdr:rowOff>
    </xdr:to>
    <xdr:sp macro="" textlink="">
      <xdr:nvSpPr>
        <xdr:cNvPr id="8907" name="AutoShape 715" descr=".">
          <a:extLst>
            <a:ext uri="{FF2B5EF4-FFF2-40B4-BE49-F238E27FC236}">
              <a16:creationId xmlns:a16="http://schemas.microsoft.com/office/drawing/2014/main" id="{7DDCA1C8-51CD-EA7F-720E-26776DC156A1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195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439</xdr:row>
      <xdr:rowOff>0</xdr:rowOff>
    </xdr:from>
    <xdr:to>
      <xdr:col>59</xdr:col>
      <xdr:colOff>152400</xdr:colOff>
      <xdr:row>439</xdr:row>
      <xdr:rowOff>152400</xdr:rowOff>
    </xdr:to>
    <xdr:sp macro="" textlink="">
      <xdr:nvSpPr>
        <xdr:cNvPr id="8908" name="AutoShape 716" descr=".">
          <a:extLst>
            <a:ext uri="{FF2B5EF4-FFF2-40B4-BE49-F238E27FC236}">
              <a16:creationId xmlns:a16="http://schemas.microsoft.com/office/drawing/2014/main" id="{C649CDC1-B73E-8357-F5CE-3230C538309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233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441</xdr:row>
      <xdr:rowOff>0</xdr:rowOff>
    </xdr:from>
    <xdr:to>
      <xdr:col>59</xdr:col>
      <xdr:colOff>152400</xdr:colOff>
      <xdr:row>441</xdr:row>
      <xdr:rowOff>152400</xdr:rowOff>
    </xdr:to>
    <xdr:sp macro="" textlink="">
      <xdr:nvSpPr>
        <xdr:cNvPr id="8909" name="AutoShape 717" descr=".">
          <a:extLst>
            <a:ext uri="{FF2B5EF4-FFF2-40B4-BE49-F238E27FC236}">
              <a16:creationId xmlns:a16="http://schemas.microsoft.com/office/drawing/2014/main" id="{9EF15D0B-CA30-5792-8B3B-A46017292AD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270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443</xdr:row>
      <xdr:rowOff>0</xdr:rowOff>
    </xdr:from>
    <xdr:to>
      <xdr:col>59</xdr:col>
      <xdr:colOff>152400</xdr:colOff>
      <xdr:row>443</xdr:row>
      <xdr:rowOff>152400</xdr:rowOff>
    </xdr:to>
    <xdr:sp macro="" textlink="">
      <xdr:nvSpPr>
        <xdr:cNvPr id="8910" name="AutoShape 718" descr=".">
          <a:extLst>
            <a:ext uri="{FF2B5EF4-FFF2-40B4-BE49-F238E27FC236}">
              <a16:creationId xmlns:a16="http://schemas.microsoft.com/office/drawing/2014/main" id="{A0778C06-C282-EE7C-3084-4CBF32A3A03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308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445</xdr:row>
      <xdr:rowOff>0</xdr:rowOff>
    </xdr:from>
    <xdr:to>
      <xdr:col>59</xdr:col>
      <xdr:colOff>152400</xdr:colOff>
      <xdr:row>445</xdr:row>
      <xdr:rowOff>152400</xdr:rowOff>
    </xdr:to>
    <xdr:sp macro="" textlink="">
      <xdr:nvSpPr>
        <xdr:cNvPr id="8911" name="AutoShape 719" descr=".">
          <a:extLst>
            <a:ext uri="{FF2B5EF4-FFF2-40B4-BE49-F238E27FC236}">
              <a16:creationId xmlns:a16="http://schemas.microsoft.com/office/drawing/2014/main" id="{B9A48378-51DB-B27D-452A-4600943C085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345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447</xdr:row>
      <xdr:rowOff>0</xdr:rowOff>
    </xdr:from>
    <xdr:to>
      <xdr:col>59</xdr:col>
      <xdr:colOff>152400</xdr:colOff>
      <xdr:row>447</xdr:row>
      <xdr:rowOff>152400</xdr:rowOff>
    </xdr:to>
    <xdr:sp macro="" textlink="">
      <xdr:nvSpPr>
        <xdr:cNvPr id="8912" name="AutoShape 720" descr=".">
          <a:extLst>
            <a:ext uri="{FF2B5EF4-FFF2-40B4-BE49-F238E27FC236}">
              <a16:creationId xmlns:a16="http://schemas.microsoft.com/office/drawing/2014/main" id="{EC5EDE1E-0809-D5BD-D108-A92E6D8E768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383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449</xdr:row>
      <xdr:rowOff>0</xdr:rowOff>
    </xdr:from>
    <xdr:to>
      <xdr:col>59</xdr:col>
      <xdr:colOff>152400</xdr:colOff>
      <xdr:row>449</xdr:row>
      <xdr:rowOff>152400</xdr:rowOff>
    </xdr:to>
    <xdr:sp macro="" textlink="">
      <xdr:nvSpPr>
        <xdr:cNvPr id="8913" name="AutoShape 721" descr=".">
          <a:extLst>
            <a:ext uri="{FF2B5EF4-FFF2-40B4-BE49-F238E27FC236}">
              <a16:creationId xmlns:a16="http://schemas.microsoft.com/office/drawing/2014/main" id="{47B380F3-2903-E856-1777-EE379B31B58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420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451</xdr:row>
      <xdr:rowOff>0</xdr:rowOff>
    </xdr:from>
    <xdr:to>
      <xdr:col>59</xdr:col>
      <xdr:colOff>152400</xdr:colOff>
      <xdr:row>451</xdr:row>
      <xdr:rowOff>152400</xdr:rowOff>
    </xdr:to>
    <xdr:sp macro="" textlink="">
      <xdr:nvSpPr>
        <xdr:cNvPr id="8914" name="AutoShape 722" descr=".">
          <a:extLst>
            <a:ext uri="{FF2B5EF4-FFF2-40B4-BE49-F238E27FC236}">
              <a16:creationId xmlns:a16="http://schemas.microsoft.com/office/drawing/2014/main" id="{1D4DB370-A508-E7C1-6524-5F904BBE9D5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45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453</xdr:row>
      <xdr:rowOff>0</xdr:rowOff>
    </xdr:from>
    <xdr:to>
      <xdr:col>59</xdr:col>
      <xdr:colOff>152400</xdr:colOff>
      <xdr:row>453</xdr:row>
      <xdr:rowOff>152400</xdr:rowOff>
    </xdr:to>
    <xdr:sp macro="" textlink="">
      <xdr:nvSpPr>
        <xdr:cNvPr id="8915" name="AutoShape 723" descr=".">
          <a:extLst>
            <a:ext uri="{FF2B5EF4-FFF2-40B4-BE49-F238E27FC236}">
              <a16:creationId xmlns:a16="http://schemas.microsoft.com/office/drawing/2014/main" id="{A57E52A2-20BD-C9A7-8E01-25921F92F65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495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455</xdr:row>
      <xdr:rowOff>0</xdr:rowOff>
    </xdr:from>
    <xdr:to>
      <xdr:col>59</xdr:col>
      <xdr:colOff>152400</xdr:colOff>
      <xdr:row>455</xdr:row>
      <xdr:rowOff>152400</xdr:rowOff>
    </xdr:to>
    <xdr:sp macro="" textlink="">
      <xdr:nvSpPr>
        <xdr:cNvPr id="8916" name="AutoShape 724" descr=".">
          <a:extLst>
            <a:ext uri="{FF2B5EF4-FFF2-40B4-BE49-F238E27FC236}">
              <a16:creationId xmlns:a16="http://schemas.microsoft.com/office/drawing/2014/main" id="{9DE1B17F-8561-027D-224B-83057444484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533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457</xdr:row>
      <xdr:rowOff>0</xdr:rowOff>
    </xdr:from>
    <xdr:to>
      <xdr:col>59</xdr:col>
      <xdr:colOff>152400</xdr:colOff>
      <xdr:row>457</xdr:row>
      <xdr:rowOff>152400</xdr:rowOff>
    </xdr:to>
    <xdr:sp macro="" textlink="">
      <xdr:nvSpPr>
        <xdr:cNvPr id="8917" name="AutoShape 725" descr=".">
          <a:extLst>
            <a:ext uri="{FF2B5EF4-FFF2-40B4-BE49-F238E27FC236}">
              <a16:creationId xmlns:a16="http://schemas.microsoft.com/office/drawing/2014/main" id="{BE62ECDF-3304-3705-9C7B-61CD12177C65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570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459</xdr:row>
      <xdr:rowOff>0</xdr:rowOff>
    </xdr:from>
    <xdr:to>
      <xdr:col>59</xdr:col>
      <xdr:colOff>152400</xdr:colOff>
      <xdr:row>459</xdr:row>
      <xdr:rowOff>152400</xdr:rowOff>
    </xdr:to>
    <xdr:sp macro="" textlink="">
      <xdr:nvSpPr>
        <xdr:cNvPr id="8918" name="AutoShape 726" descr=".">
          <a:extLst>
            <a:ext uri="{FF2B5EF4-FFF2-40B4-BE49-F238E27FC236}">
              <a16:creationId xmlns:a16="http://schemas.microsoft.com/office/drawing/2014/main" id="{6F813898-15E5-4B41-866A-E8C61F82FAF6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608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461</xdr:row>
      <xdr:rowOff>0</xdr:rowOff>
    </xdr:from>
    <xdr:to>
      <xdr:col>59</xdr:col>
      <xdr:colOff>152400</xdr:colOff>
      <xdr:row>461</xdr:row>
      <xdr:rowOff>152400</xdr:rowOff>
    </xdr:to>
    <xdr:sp macro="" textlink="">
      <xdr:nvSpPr>
        <xdr:cNvPr id="8919" name="AutoShape 727" descr=".">
          <a:extLst>
            <a:ext uri="{FF2B5EF4-FFF2-40B4-BE49-F238E27FC236}">
              <a16:creationId xmlns:a16="http://schemas.microsoft.com/office/drawing/2014/main" id="{5BAC2497-1219-3DEF-07A1-CE9C0E1BADE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645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463</xdr:row>
      <xdr:rowOff>0</xdr:rowOff>
    </xdr:from>
    <xdr:to>
      <xdr:col>59</xdr:col>
      <xdr:colOff>152400</xdr:colOff>
      <xdr:row>463</xdr:row>
      <xdr:rowOff>152400</xdr:rowOff>
    </xdr:to>
    <xdr:sp macro="" textlink="">
      <xdr:nvSpPr>
        <xdr:cNvPr id="8920" name="AutoShape 728" descr=".">
          <a:extLst>
            <a:ext uri="{FF2B5EF4-FFF2-40B4-BE49-F238E27FC236}">
              <a16:creationId xmlns:a16="http://schemas.microsoft.com/office/drawing/2014/main" id="{D03409A6-0CFB-C4D7-5242-E9FDAEE2B83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682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465</xdr:row>
      <xdr:rowOff>0</xdr:rowOff>
    </xdr:from>
    <xdr:to>
      <xdr:col>59</xdr:col>
      <xdr:colOff>152400</xdr:colOff>
      <xdr:row>465</xdr:row>
      <xdr:rowOff>152400</xdr:rowOff>
    </xdr:to>
    <xdr:sp macro="" textlink="">
      <xdr:nvSpPr>
        <xdr:cNvPr id="8921" name="AutoShape 729" descr=".">
          <a:extLst>
            <a:ext uri="{FF2B5EF4-FFF2-40B4-BE49-F238E27FC236}">
              <a16:creationId xmlns:a16="http://schemas.microsoft.com/office/drawing/2014/main" id="{BCCD63C3-EF29-C9F1-BAEA-07B0B90E54FE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720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467</xdr:row>
      <xdr:rowOff>0</xdr:rowOff>
    </xdr:from>
    <xdr:to>
      <xdr:col>59</xdr:col>
      <xdr:colOff>152400</xdr:colOff>
      <xdr:row>467</xdr:row>
      <xdr:rowOff>152400</xdr:rowOff>
    </xdr:to>
    <xdr:sp macro="" textlink="">
      <xdr:nvSpPr>
        <xdr:cNvPr id="8922" name="AutoShape 730" descr=".">
          <a:extLst>
            <a:ext uri="{FF2B5EF4-FFF2-40B4-BE49-F238E27FC236}">
              <a16:creationId xmlns:a16="http://schemas.microsoft.com/office/drawing/2014/main" id="{12686A35-8164-30C9-4448-0FB6DB50244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757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469</xdr:row>
      <xdr:rowOff>0</xdr:rowOff>
    </xdr:from>
    <xdr:to>
      <xdr:col>59</xdr:col>
      <xdr:colOff>152400</xdr:colOff>
      <xdr:row>469</xdr:row>
      <xdr:rowOff>152400</xdr:rowOff>
    </xdr:to>
    <xdr:sp macro="" textlink="">
      <xdr:nvSpPr>
        <xdr:cNvPr id="8923" name="AutoShape 731" descr=".">
          <a:extLst>
            <a:ext uri="{FF2B5EF4-FFF2-40B4-BE49-F238E27FC236}">
              <a16:creationId xmlns:a16="http://schemas.microsoft.com/office/drawing/2014/main" id="{75E0D078-22B3-EAA4-D3F9-FA59DEFCDCA9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795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471</xdr:row>
      <xdr:rowOff>0</xdr:rowOff>
    </xdr:from>
    <xdr:to>
      <xdr:col>59</xdr:col>
      <xdr:colOff>152400</xdr:colOff>
      <xdr:row>471</xdr:row>
      <xdr:rowOff>152400</xdr:rowOff>
    </xdr:to>
    <xdr:sp macro="" textlink="">
      <xdr:nvSpPr>
        <xdr:cNvPr id="8924" name="AutoShape 732" descr=".">
          <a:extLst>
            <a:ext uri="{FF2B5EF4-FFF2-40B4-BE49-F238E27FC236}">
              <a16:creationId xmlns:a16="http://schemas.microsoft.com/office/drawing/2014/main" id="{46B788E5-B318-E0B6-6A8C-0F2185B4949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832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473</xdr:row>
      <xdr:rowOff>0</xdr:rowOff>
    </xdr:from>
    <xdr:to>
      <xdr:col>59</xdr:col>
      <xdr:colOff>152400</xdr:colOff>
      <xdr:row>473</xdr:row>
      <xdr:rowOff>152400</xdr:rowOff>
    </xdr:to>
    <xdr:sp macro="" textlink="">
      <xdr:nvSpPr>
        <xdr:cNvPr id="8925" name="AutoShape 733" descr=".">
          <a:extLst>
            <a:ext uri="{FF2B5EF4-FFF2-40B4-BE49-F238E27FC236}">
              <a16:creationId xmlns:a16="http://schemas.microsoft.com/office/drawing/2014/main" id="{CB50F412-31C5-2B97-4B14-CDDFA86FC613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870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475</xdr:row>
      <xdr:rowOff>0</xdr:rowOff>
    </xdr:from>
    <xdr:to>
      <xdr:col>59</xdr:col>
      <xdr:colOff>152400</xdr:colOff>
      <xdr:row>475</xdr:row>
      <xdr:rowOff>152400</xdr:rowOff>
    </xdr:to>
    <xdr:sp macro="" textlink="">
      <xdr:nvSpPr>
        <xdr:cNvPr id="8926" name="AutoShape 734" descr=".">
          <a:extLst>
            <a:ext uri="{FF2B5EF4-FFF2-40B4-BE49-F238E27FC236}">
              <a16:creationId xmlns:a16="http://schemas.microsoft.com/office/drawing/2014/main" id="{2F569DC5-D82A-017D-2AC3-17B1DE617C68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907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477</xdr:row>
      <xdr:rowOff>0</xdr:rowOff>
    </xdr:from>
    <xdr:to>
      <xdr:col>59</xdr:col>
      <xdr:colOff>152400</xdr:colOff>
      <xdr:row>477</xdr:row>
      <xdr:rowOff>152400</xdr:rowOff>
    </xdr:to>
    <xdr:sp macro="" textlink="">
      <xdr:nvSpPr>
        <xdr:cNvPr id="8927" name="AutoShape 735" descr=".">
          <a:extLst>
            <a:ext uri="{FF2B5EF4-FFF2-40B4-BE49-F238E27FC236}">
              <a16:creationId xmlns:a16="http://schemas.microsoft.com/office/drawing/2014/main" id="{9D62202D-DFED-C946-DAF4-6895DC741297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945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479</xdr:row>
      <xdr:rowOff>0</xdr:rowOff>
    </xdr:from>
    <xdr:to>
      <xdr:col>59</xdr:col>
      <xdr:colOff>152400</xdr:colOff>
      <xdr:row>479</xdr:row>
      <xdr:rowOff>152400</xdr:rowOff>
    </xdr:to>
    <xdr:sp macro="" textlink="">
      <xdr:nvSpPr>
        <xdr:cNvPr id="8928" name="AutoShape 736" descr=".">
          <a:extLst>
            <a:ext uri="{FF2B5EF4-FFF2-40B4-BE49-F238E27FC236}">
              <a16:creationId xmlns:a16="http://schemas.microsoft.com/office/drawing/2014/main" id="{17552493-2020-D228-A17C-1CB21935CC14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8982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481</xdr:row>
      <xdr:rowOff>0</xdr:rowOff>
    </xdr:from>
    <xdr:to>
      <xdr:col>59</xdr:col>
      <xdr:colOff>152400</xdr:colOff>
      <xdr:row>481</xdr:row>
      <xdr:rowOff>152400</xdr:rowOff>
    </xdr:to>
    <xdr:sp macro="" textlink="">
      <xdr:nvSpPr>
        <xdr:cNvPr id="8929" name="AutoShape 737" descr=".">
          <a:extLst>
            <a:ext uri="{FF2B5EF4-FFF2-40B4-BE49-F238E27FC236}">
              <a16:creationId xmlns:a16="http://schemas.microsoft.com/office/drawing/2014/main" id="{7F605645-197A-C911-2F60-403A3A1FC26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020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483</xdr:row>
      <xdr:rowOff>0</xdr:rowOff>
    </xdr:from>
    <xdr:to>
      <xdr:col>59</xdr:col>
      <xdr:colOff>152400</xdr:colOff>
      <xdr:row>483</xdr:row>
      <xdr:rowOff>152400</xdr:rowOff>
    </xdr:to>
    <xdr:sp macro="" textlink="">
      <xdr:nvSpPr>
        <xdr:cNvPr id="8930" name="AutoShape 738" descr=".">
          <a:extLst>
            <a:ext uri="{FF2B5EF4-FFF2-40B4-BE49-F238E27FC236}">
              <a16:creationId xmlns:a16="http://schemas.microsoft.com/office/drawing/2014/main" id="{3E0E051A-B47A-5A91-DDC1-295A91E7BCDF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057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485</xdr:row>
      <xdr:rowOff>0</xdr:rowOff>
    </xdr:from>
    <xdr:to>
      <xdr:col>59</xdr:col>
      <xdr:colOff>152400</xdr:colOff>
      <xdr:row>485</xdr:row>
      <xdr:rowOff>152400</xdr:rowOff>
    </xdr:to>
    <xdr:sp macro="" textlink="">
      <xdr:nvSpPr>
        <xdr:cNvPr id="8931" name="AutoShape 739" descr=".">
          <a:extLst>
            <a:ext uri="{FF2B5EF4-FFF2-40B4-BE49-F238E27FC236}">
              <a16:creationId xmlns:a16="http://schemas.microsoft.com/office/drawing/2014/main" id="{A5A9D9A8-F983-0FD5-6196-C5ECB4514A7B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095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487</xdr:row>
      <xdr:rowOff>0</xdr:rowOff>
    </xdr:from>
    <xdr:to>
      <xdr:col>59</xdr:col>
      <xdr:colOff>152400</xdr:colOff>
      <xdr:row>487</xdr:row>
      <xdr:rowOff>152400</xdr:rowOff>
    </xdr:to>
    <xdr:sp macro="" textlink="">
      <xdr:nvSpPr>
        <xdr:cNvPr id="8932" name="AutoShape 740" descr=".">
          <a:extLst>
            <a:ext uri="{FF2B5EF4-FFF2-40B4-BE49-F238E27FC236}">
              <a16:creationId xmlns:a16="http://schemas.microsoft.com/office/drawing/2014/main" id="{739CDECD-C84D-2D39-3B2C-CD01B7398B5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132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489</xdr:row>
      <xdr:rowOff>0</xdr:rowOff>
    </xdr:from>
    <xdr:to>
      <xdr:col>59</xdr:col>
      <xdr:colOff>152400</xdr:colOff>
      <xdr:row>489</xdr:row>
      <xdr:rowOff>152400</xdr:rowOff>
    </xdr:to>
    <xdr:sp macro="" textlink="">
      <xdr:nvSpPr>
        <xdr:cNvPr id="8933" name="AutoShape 741" descr=".">
          <a:extLst>
            <a:ext uri="{FF2B5EF4-FFF2-40B4-BE49-F238E27FC236}">
              <a16:creationId xmlns:a16="http://schemas.microsoft.com/office/drawing/2014/main" id="{A2A7175F-582F-C34A-024C-21B0FC605D90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170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491</xdr:row>
      <xdr:rowOff>0</xdr:rowOff>
    </xdr:from>
    <xdr:to>
      <xdr:col>59</xdr:col>
      <xdr:colOff>152400</xdr:colOff>
      <xdr:row>491</xdr:row>
      <xdr:rowOff>152400</xdr:rowOff>
    </xdr:to>
    <xdr:sp macro="" textlink="">
      <xdr:nvSpPr>
        <xdr:cNvPr id="8934" name="AutoShape 742" descr=".">
          <a:extLst>
            <a:ext uri="{FF2B5EF4-FFF2-40B4-BE49-F238E27FC236}">
              <a16:creationId xmlns:a16="http://schemas.microsoft.com/office/drawing/2014/main" id="{B64CFA8B-B59B-6EE4-6DCC-FF080564540D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207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493</xdr:row>
      <xdr:rowOff>0</xdr:rowOff>
    </xdr:from>
    <xdr:to>
      <xdr:col>59</xdr:col>
      <xdr:colOff>152400</xdr:colOff>
      <xdr:row>493</xdr:row>
      <xdr:rowOff>152400</xdr:rowOff>
    </xdr:to>
    <xdr:sp macro="" textlink="">
      <xdr:nvSpPr>
        <xdr:cNvPr id="8935" name="AutoShape 743" descr=".">
          <a:extLst>
            <a:ext uri="{FF2B5EF4-FFF2-40B4-BE49-F238E27FC236}">
              <a16:creationId xmlns:a16="http://schemas.microsoft.com/office/drawing/2014/main" id="{F4DF5864-7783-763F-10A3-8ABEB663DDC2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244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495</xdr:row>
      <xdr:rowOff>0</xdr:rowOff>
    </xdr:from>
    <xdr:to>
      <xdr:col>59</xdr:col>
      <xdr:colOff>152400</xdr:colOff>
      <xdr:row>495</xdr:row>
      <xdr:rowOff>152400</xdr:rowOff>
    </xdr:to>
    <xdr:sp macro="" textlink="">
      <xdr:nvSpPr>
        <xdr:cNvPr id="8936" name="AutoShape 744" descr=".">
          <a:extLst>
            <a:ext uri="{FF2B5EF4-FFF2-40B4-BE49-F238E27FC236}">
              <a16:creationId xmlns:a16="http://schemas.microsoft.com/office/drawing/2014/main" id="{AD98BC45-F9FA-90AD-C047-AC30DD0147FA}"/>
            </a:ext>
          </a:extLst>
        </xdr:cNvPr>
        <xdr:cNvSpPr>
          <a:spLocks noChangeAspect="1" noChangeArrowheads="1"/>
        </xdr:cNvSpPr>
      </xdr:nvSpPr>
      <xdr:spPr bwMode="auto">
        <a:xfrm>
          <a:off x="36188650" y="9282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542925</xdr:colOff>
      <xdr:row>1</xdr:row>
      <xdr:rowOff>57150</xdr:rowOff>
    </xdr:from>
    <xdr:to>
      <xdr:col>17</xdr:col>
      <xdr:colOff>15875</xdr:colOff>
      <xdr:row>16</xdr:row>
      <xdr:rowOff>38100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530C370A-05B6-E6E5-8507-E1C201B35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301625</xdr:colOff>
      <xdr:row>17</xdr:row>
      <xdr:rowOff>19050</xdr:rowOff>
    </xdr:from>
    <xdr:to>
      <xdr:col>14</xdr:col>
      <xdr:colOff>606425</xdr:colOff>
      <xdr:row>32</xdr:row>
      <xdr:rowOff>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3D85EF3F-01DC-6D9C-D2C2-3CFAE7B8E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450850</xdr:colOff>
      <xdr:row>69</xdr:row>
      <xdr:rowOff>158750</xdr:rowOff>
    </xdr:from>
    <xdr:to>
      <xdr:col>11</xdr:col>
      <xdr:colOff>577850</xdr:colOff>
      <xdr:row>84</xdr:row>
      <xdr:rowOff>139700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6F464E23-EBED-DFBF-9798-C1C9C3D17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22224</xdr:colOff>
      <xdr:row>21</xdr:row>
      <xdr:rowOff>152400</xdr:rowOff>
    </xdr:from>
    <xdr:to>
      <xdr:col>12</xdr:col>
      <xdr:colOff>666750</xdr:colOff>
      <xdr:row>35</xdr:row>
      <xdr:rowOff>139700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DF171499-9B51-0153-1E34-04620DF75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61</xdr:row>
      <xdr:rowOff>19050</xdr:rowOff>
    </xdr:from>
    <xdr:to>
      <xdr:col>12</xdr:col>
      <xdr:colOff>438149</xdr:colOff>
      <xdr:row>75</xdr:row>
      <xdr:rowOff>12700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34DB6D23-B9E3-8574-7632-86CF7586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topLeftCell="A7" zoomScale="85" zoomScaleNormal="85" workbookViewId="0">
      <selection activeCell="I28" sqref="I28"/>
    </sheetView>
  </sheetViews>
  <sheetFormatPr defaultRowHeight="14.5" x14ac:dyDescent="0.35"/>
  <cols>
    <col min="2" max="2" width="13.54296875" customWidth="1"/>
    <col min="24" max="24" width="9.26953125" bestFit="1" customWidth="1"/>
  </cols>
  <sheetData>
    <row r="1" spans="1:25" ht="39.65" customHeight="1" thickBot="1" x14ac:dyDescent="0.4">
      <c r="A1" s="3" t="s">
        <v>12</v>
      </c>
      <c r="B1" s="20" t="s">
        <v>13</v>
      </c>
      <c r="E1" s="2"/>
      <c r="M1" s="6" t="s">
        <v>0</v>
      </c>
      <c r="T1" s="12" t="s">
        <v>3</v>
      </c>
    </row>
    <row r="2" spans="1:25" ht="15.5" x14ac:dyDescent="0.35">
      <c r="A2" s="21">
        <v>8.3333333333333329E-2</v>
      </c>
      <c r="B2" s="5">
        <v>1.7</v>
      </c>
      <c r="E2" s="1"/>
      <c r="Y2" s="7" t="s">
        <v>10</v>
      </c>
    </row>
    <row r="3" spans="1:25" ht="15.5" x14ac:dyDescent="0.35">
      <c r="A3" s="21">
        <v>0.20833333333333334</v>
      </c>
      <c r="B3" s="5">
        <v>2.6</v>
      </c>
      <c r="E3" s="1"/>
      <c r="M3" s="3" t="s">
        <v>12</v>
      </c>
      <c r="N3" s="4" t="s">
        <v>11</v>
      </c>
      <c r="O3" s="50" t="s">
        <v>1</v>
      </c>
      <c r="P3" s="50"/>
      <c r="Q3" s="51" t="s">
        <v>2</v>
      </c>
      <c r="R3" s="51"/>
      <c r="T3" s="3" t="s">
        <v>12</v>
      </c>
      <c r="U3" s="4" t="s">
        <v>11</v>
      </c>
      <c r="V3" s="24" t="s">
        <v>6</v>
      </c>
      <c r="W3" s="24" t="s">
        <v>7</v>
      </c>
      <c r="X3" s="25" t="s">
        <v>9</v>
      </c>
    </row>
    <row r="4" spans="1:25" ht="15.5" x14ac:dyDescent="0.35">
      <c r="A4" s="21">
        <v>0.33333333333333331</v>
      </c>
      <c r="B4" s="5">
        <v>1.4</v>
      </c>
      <c r="E4" s="1"/>
      <c r="M4" s="21">
        <v>8.3333333333333329E-2</v>
      </c>
      <c r="N4" s="5">
        <v>1.7</v>
      </c>
      <c r="P4" s="11"/>
      <c r="R4" s="8"/>
      <c r="T4" s="21">
        <v>8.3333333333333329E-2</v>
      </c>
      <c r="U4" s="5">
        <v>1.7</v>
      </c>
      <c r="V4" s="24">
        <f t="shared" ref="V4:V35" si="0">U4-$U$37</f>
        <v>-0.30666666666666687</v>
      </c>
      <c r="W4" s="24">
        <f>V4^2</f>
        <v>9.4044444444444569E-2</v>
      </c>
      <c r="X4" s="24"/>
    </row>
    <row r="5" spans="1:25" ht="15.5" x14ac:dyDescent="0.35">
      <c r="A5" s="21">
        <v>0.45833333333333331</v>
      </c>
      <c r="B5" s="5">
        <v>4.4000000000000004</v>
      </c>
      <c r="E5" s="1"/>
      <c r="M5" s="21">
        <v>0.20833333333333334</v>
      </c>
      <c r="N5" s="5">
        <v>2.6</v>
      </c>
      <c r="O5" s="13">
        <f>IF(N5&lt;N4,1,0)</f>
        <v>0</v>
      </c>
      <c r="P5" s="14">
        <f>IF(N5&lt;N6,1,0)</f>
        <v>0</v>
      </c>
      <c r="Q5" s="18">
        <f>IF(N5&gt;N4,1,0)</f>
        <v>1</v>
      </c>
      <c r="R5" s="19">
        <f>IF(N5&gt;N6,1,0)</f>
        <v>1</v>
      </c>
      <c r="T5" s="21">
        <v>0.20833333333333334</v>
      </c>
      <c r="U5" s="5">
        <v>2.6</v>
      </c>
      <c r="V5" s="24">
        <f t="shared" si="0"/>
        <v>0.59333333333333327</v>
      </c>
      <c r="W5" s="24">
        <f t="shared" ref="W5:W35" si="1">V5^2</f>
        <v>0.35204444444444438</v>
      </c>
      <c r="X5" s="26">
        <f t="shared" ref="X5:X35" si="2">ABS(U5-U4)/$U$38</f>
        <v>0.27888768981548745</v>
      </c>
      <c r="Y5">
        <f>IF(X5&gt;1.2,1,0)</f>
        <v>0</v>
      </c>
    </row>
    <row r="6" spans="1:25" ht="15.5" x14ac:dyDescent="0.35">
      <c r="A6" s="21">
        <v>0.58333333333333337</v>
      </c>
      <c r="B6" s="5">
        <v>6.6</v>
      </c>
      <c r="E6" s="1"/>
      <c r="M6" s="21">
        <v>0.33333333333333331</v>
      </c>
      <c r="N6" s="5">
        <v>1.4</v>
      </c>
      <c r="O6" s="9">
        <f t="shared" ref="O6:O35" si="3">IF(N6&lt;N5,1,0)</f>
        <v>1</v>
      </c>
      <c r="P6" s="10">
        <f t="shared" ref="P6:P35" si="4">IF(N6&lt;N7,1,0)</f>
        <v>1</v>
      </c>
      <c r="Q6" s="15">
        <f t="shared" ref="Q6:Q35" si="5">IF(N6&gt;N5,1,0)</f>
        <v>0</v>
      </c>
      <c r="R6" s="8">
        <f t="shared" ref="R6:R35" si="6">IF(N6&gt;N7,1,0)</f>
        <v>0</v>
      </c>
      <c r="T6" s="21">
        <v>0.33333333333333331</v>
      </c>
      <c r="U6" s="5">
        <v>1.4</v>
      </c>
      <c r="V6" s="24">
        <f t="shared" si="0"/>
        <v>-0.60666666666666691</v>
      </c>
      <c r="W6" s="24">
        <f t="shared" si="1"/>
        <v>0.36804444444444473</v>
      </c>
      <c r="X6" s="26">
        <f t="shared" si="2"/>
        <v>0.37185025308731662</v>
      </c>
      <c r="Y6">
        <f t="shared" ref="Y6:Y35" si="7">IF(X6&gt;1.2,1,0)</f>
        <v>0</v>
      </c>
    </row>
    <row r="7" spans="1:25" ht="15.5" x14ac:dyDescent="0.35">
      <c r="A7" s="21">
        <v>0.70833333333333337</v>
      </c>
      <c r="B7" s="5">
        <v>7.1</v>
      </c>
      <c r="E7" s="1"/>
      <c r="M7" s="21">
        <v>0.45833333333333331</v>
      </c>
      <c r="N7" s="5">
        <v>4.4000000000000004</v>
      </c>
      <c r="O7" s="15">
        <f t="shared" si="3"/>
        <v>0</v>
      </c>
      <c r="P7" s="8">
        <f t="shared" si="4"/>
        <v>1</v>
      </c>
      <c r="Q7" s="15">
        <f t="shared" si="5"/>
        <v>1</v>
      </c>
      <c r="R7" s="8">
        <f t="shared" si="6"/>
        <v>0</v>
      </c>
      <c r="T7" s="21">
        <v>0.45833333333333331</v>
      </c>
      <c r="U7" s="5">
        <v>4.4000000000000004</v>
      </c>
      <c r="V7" s="24">
        <f t="shared" si="0"/>
        <v>2.3933333333333335</v>
      </c>
      <c r="W7" s="24">
        <f t="shared" si="1"/>
        <v>5.7280444444444454</v>
      </c>
      <c r="X7" s="26">
        <f t="shared" si="2"/>
        <v>0.92962563271829157</v>
      </c>
      <c r="Y7">
        <f t="shared" si="7"/>
        <v>0</v>
      </c>
    </row>
    <row r="8" spans="1:25" ht="15.5" x14ac:dyDescent="0.35">
      <c r="A8" s="21">
        <v>0.83333333333333337</v>
      </c>
      <c r="B8" s="5">
        <v>4.2</v>
      </c>
      <c r="E8" s="1"/>
      <c r="M8" s="21">
        <v>0.58333333333333337</v>
      </c>
      <c r="N8" s="5">
        <v>6.6</v>
      </c>
      <c r="O8" s="15">
        <f t="shared" si="3"/>
        <v>0</v>
      </c>
      <c r="P8" s="8">
        <f t="shared" si="4"/>
        <v>1</v>
      </c>
      <c r="Q8" s="15">
        <f t="shared" si="5"/>
        <v>1</v>
      </c>
      <c r="R8" s="8">
        <f t="shared" si="6"/>
        <v>0</v>
      </c>
      <c r="T8" s="21">
        <v>0.58333333333333337</v>
      </c>
      <c r="U8" s="5">
        <v>6.6</v>
      </c>
      <c r="V8" s="24">
        <f t="shared" si="0"/>
        <v>4.5933333333333328</v>
      </c>
      <c r="W8" s="24">
        <f t="shared" si="1"/>
        <v>21.098711111111108</v>
      </c>
      <c r="X8" s="26">
        <f t="shared" si="2"/>
        <v>0.68172546399341349</v>
      </c>
      <c r="Y8">
        <f t="shared" si="7"/>
        <v>0</v>
      </c>
    </row>
    <row r="9" spans="1:25" ht="15.5" x14ac:dyDescent="0.35">
      <c r="A9" s="21">
        <v>0.95833333333333337</v>
      </c>
      <c r="B9" s="5">
        <v>3.7</v>
      </c>
      <c r="E9" s="1"/>
      <c r="M9" s="21">
        <v>0.70833333333333337</v>
      </c>
      <c r="N9" s="5">
        <v>7.1</v>
      </c>
      <c r="O9" s="15">
        <f t="shared" si="3"/>
        <v>0</v>
      </c>
      <c r="P9" s="8">
        <f t="shared" si="4"/>
        <v>0</v>
      </c>
      <c r="Q9" s="9">
        <f t="shared" si="5"/>
        <v>1</v>
      </c>
      <c r="R9" s="10">
        <f t="shared" si="6"/>
        <v>1</v>
      </c>
      <c r="T9" s="21">
        <v>0.70833333333333337</v>
      </c>
      <c r="U9" s="5">
        <v>7.1</v>
      </c>
      <c r="V9" s="24">
        <f t="shared" si="0"/>
        <v>5.0933333333333328</v>
      </c>
      <c r="W9" s="24">
        <f t="shared" si="1"/>
        <v>25.942044444444438</v>
      </c>
      <c r="X9" s="26">
        <f t="shared" si="2"/>
        <v>0.15493760545304858</v>
      </c>
      <c r="Y9">
        <f t="shared" si="7"/>
        <v>0</v>
      </c>
    </row>
    <row r="10" spans="1:25" ht="15.5" x14ac:dyDescent="0.35">
      <c r="A10" s="21">
        <v>1.0833333333333299</v>
      </c>
      <c r="B10" s="5">
        <v>5.9</v>
      </c>
      <c r="E10" s="1"/>
      <c r="M10" s="21">
        <v>0.83333333333333337</v>
      </c>
      <c r="N10" s="5">
        <v>4.2</v>
      </c>
      <c r="O10" s="15">
        <f t="shared" si="3"/>
        <v>1</v>
      </c>
      <c r="P10" s="8">
        <f t="shared" si="4"/>
        <v>0</v>
      </c>
      <c r="Q10" s="15">
        <f t="shared" si="5"/>
        <v>0</v>
      </c>
      <c r="R10" s="8">
        <f t="shared" si="6"/>
        <v>1</v>
      </c>
      <c r="T10" s="21">
        <v>0.83333333333333337</v>
      </c>
      <c r="U10" s="5">
        <v>4.2</v>
      </c>
      <c r="V10" s="24">
        <f t="shared" si="0"/>
        <v>2.1933333333333334</v>
      </c>
      <c r="W10" s="24">
        <f t="shared" si="1"/>
        <v>4.8107111111111109</v>
      </c>
      <c r="X10" s="26">
        <f t="shared" si="2"/>
        <v>0.89863811162768159</v>
      </c>
      <c r="Y10">
        <f t="shared" si="7"/>
        <v>0</v>
      </c>
    </row>
    <row r="11" spans="1:25" ht="15.5" x14ac:dyDescent="0.35">
      <c r="A11" s="21">
        <v>1.2083333333333299</v>
      </c>
      <c r="B11" s="5">
        <v>3</v>
      </c>
      <c r="E11" s="1"/>
      <c r="M11" s="21">
        <v>0.95833333333333337</v>
      </c>
      <c r="N11" s="5">
        <v>3.7</v>
      </c>
      <c r="O11" s="9">
        <f t="shared" si="3"/>
        <v>1</v>
      </c>
      <c r="P11" s="10">
        <f t="shared" si="4"/>
        <v>1</v>
      </c>
      <c r="Q11" s="15">
        <f t="shared" si="5"/>
        <v>0</v>
      </c>
      <c r="R11" s="8">
        <f t="shared" si="6"/>
        <v>0</v>
      </c>
      <c r="T11" s="21">
        <v>0.95833333333333337</v>
      </c>
      <c r="U11" s="5">
        <v>3.7</v>
      </c>
      <c r="V11" s="24">
        <f t="shared" si="0"/>
        <v>1.6933333333333334</v>
      </c>
      <c r="W11" s="24">
        <f t="shared" si="1"/>
        <v>2.867377777777778</v>
      </c>
      <c r="X11" s="26">
        <f t="shared" si="2"/>
        <v>0.15493760545304858</v>
      </c>
      <c r="Y11">
        <f t="shared" si="7"/>
        <v>0</v>
      </c>
    </row>
    <row r="12" spans="1:25" ht="15.5" x14ac:dyDescent="0.35">
      <c r="A12" s="21">
        <v>1.3333333333333299</v>
      </c>
      <c r="B12" s="5">
        <v>0.8</v>
      </c>
      <c r="E12" s="1"/>
      <c r="M12" s="21">
        <v>1.0833333333333299</v>
      </c>
      <c r="N12" s="5">
        <v>5.9</v>
      </c>
      <c r="O12" s="15">
        <f t="shared" si="3"/>
        <v>0</v>
      </c>
      <c r="P12" s="8">
        <f t="shared" si="4"/>
        <v>0</v>
      </c>
      <c r="Q12" s="9">
        <f t="shared" si="5"/>
        <v>1</v>
      </c>
      <c r="R12" s="10">
        <f t="shared" si="6"/>
        <v>1</v>
      </c>
      <c r="T12" s="21">
        <v>1.0833333333333299</v>
      </c>
      <c r="U12" s="5">
        <v>5.9</v>
      </c>
      <c r="V12" s="24">
        <f t="shared" si="0"/>
        <v>3.8933333333333335</v>
      </c>
      <c r="W12" s="24">
        <f t="shared" si="1"/>
        <v>15.158044444444446</v>
      </c>
      <c r="X12" s="26">
        <f t="shared" si="2"/>
        <v>0.68172546399341383</v>
      </c>
      <c r="Y12">
        <f t="shared" si="7"/>
        <v>0</v>
      </c>
    </row>
    <row r="13" spans="1:25" ht="15.5" x14ac:dyDescent="0.35">
      <c r="A13" s="21">
        <v>1.4583333333333299</v>
      </c>
      <c r="B13" s="5">
        <v>4.3</v>
      </c>
      <c r="E13" s="1"/>
      <c r="M13" s="21">
        <v>1.2083333333333299</v>
      </c>
      <c r="N13" s="5">
        <v>3</v>
      </c>
      <c r="O13" s="15">
        <f t="shared" si="3"/>
        <v>1</v>
      </c>
      <c r="P13" s="8">
        <f t="shared" si="4"/>
        <v>0</v>
      </c>
      <c r="Q13" s="15">
        <f t="shared" si="5"/>
        <v>0</v>
      </c>
      <c r="R13" s="8">
        <f t="shared" si="6"/>
        <v>1</v>
      </c>
      <c r="T13" s="21">
        <v>1.2083333333333299</v>
      </c>
      <c r="U13" s="5">
        <v>3</v>
      </c>
      <c r="V13" s="24">
        <f t="shared" si="0"/>
        <v>0.99333333333333318</v>
      </c>
      <c r="W13" s="24">
        <f t="shared" si="1"/>
        <v>0.98671111111111076</v>
      </c>
      <c r="X13" s="26">
        <f t="shared" si="2"/>
        <v>0.89863811162768181</v>
      </c>
      <c r="Y13">
        <f t="shared" si="7"/>
        <v>0</v>
      </c>
    </row>
    <row r="14" spans="1:25" ht="15.5" x14ac:dyDescent="0.35">
      <c r="A14" s="21">
        <v>1.5833333333333299</v>
      </c>
      <c r="B14" s="5">
        <v>3.5</v>
      </c>
      <c r="E14" s="1"/>
      <c r="M14" s="21">
        <v>1.3333333333333299</v>
      </c>
      <c r="N14" s="5">
        <v>0.8</v>
      </c>
      <c r="O14" s="9">
        <f t="shared" si="3"/>
        <v>1</v>
      </c>
      <c r="P14" s="10">
        <f t="shared" si="4"/>
        <v>1</v>
      </c>
      <c r="Q14" s="15">
        <f t="shared" si="5"/>
        <v>0</v>
      </c>
      <c r="R14" s="8">
        <f t="shared" si="6"/>
        <v>0</v>
      </c>
      <c r="T14" s="21">
        <v>1.3333333333333299</v>
      </c>
      <c r="U14" s="5">
        <v>0.8</v>
      </c>
      <c r="V14" s="24">
        <f t="shared" si="0"/>
        <v>-1.2066666666666668</v>
      </c>
      <c r="W14" s="24">
        <f t="shared" si="1"/>
        <v>1.4560444444444447</v>
      </c>
      <c r="X14" s="26">
        <f t="shared" si="2"/>
        <v>0.68172546399341383</v>
      </c>
      <c r="Y14">
        <f t="shared" si="7"/>
        <v>0</v>
      </c>
    </row>
    <row r="15" spans="1:25" ht="15.5" x14ac:dyDescent="0.35">
      <c r="A15" s="21">
        <v>1.7083333333333299</v>
      </c>
      <c r="B15" s="5">
        <v>5.5</v>
      </c>
      <c r="E15" s="1"/>
      <c r="M15" s="21">
        <v>1.4583333333333299</v>
      </c>
      <c r="N15" s="5">
        <v>4.3</v>
      </c>
      <c r="O15" s="15">
        <f t="shared" si="3"/>
        <v>0</v>
      </c>
      <c r="P15" s="8">
        <f t="shared" si="4"/>
        <v>0</v>
      </c>
      <c r="Q15" s="9">
        <f t="shared" si="5"/>
        <v>1</v>
      </c>
      <c r="R15" s="10">
        <f t="shared" si="6"/>
        <v>1</v>
      </c>
      <c r="T15" s="21">
        <v>1.4583333333333299</v>
      </c>
      <c r="U15" s="5">
        <v>4.3</v>
      </c>
      <c r="V15" s="24">
        <f t="shared" si="0"/>
        <v>2.293333333333333</v>
      </c>
      <c r="W15" s="24">
        <f t="shared" si="1"/>
        <v>5.2593777777777762</v>
      </c>
      <c r="X15" s="26">
        <f t="shared" si="2"/>
        <v>1.0845632381713399</v>
      </c>
      <c r="Y15">
        <f t="shared" si="7"/>
        <v>0</v>
      </c>
    </row>
    <row r="16" spans="1:25" ht="15.5" x14ac:dyDescent="0.35">
      <c r="A16" s="21">
        <v>1.8333333333333299</v>
      </c>
      <c r="B16" s="5">
        <v>5.9</v>
      </c>
      <c r="E16" s="1"/>
      <c r="M16" s="21">
        <v>1.5833333333333299</v>
      </c>
      <c r="N16" s="5">
        <v>3.5</v>
      </c>
      <c r="O16" s="9">
        <f t="shared" si="3"/>
        <v>1</v>
      </c>
      <c r="P16" s="10">
        <f t="shared" si="4"/>
        <v>1</v>
      </c>
      <c r="Q16" s="15">
        <f t="shared" si="5"/>
        <v>0</v>
      </c>
      <c r="R16" s="8">
        <f t="shared" si="6"/>
        <v>0</v>
      </c>
      <c r="T16" s="21">
        <v>1.5833333333333299</v>
      </c>
      <c r="U16" s="5">
        <v>3.5</v>
      </c>
      <c r="V16" s="24">
        <f t="shared" si="0"/>
        <v>1.4933333333333332</v>
      </c>
      <c r="W16" s="24">
        <f t="shared" si="1"/>
        <v>2.2300444444444438</v>
      </c>
      <c r="X16" s="26">
        <f t="shared" si="2"/>
        <v>0.24790016872487766</v>
      </c>
      <c r="Y16">
        <f t="shared" si="7"/>
        <v>0</v>
      </c>
    </row>
    <row r="17" spans="1:25" ht="15.5" x14ac:dyDescent="0.35">
      <c r="A17" s="21">
        <v>1.9583333333333299</v>
      </c>
      <c r="B17" s="5">
        <v>3.5</v>
      </c>
      <c r="E17" s="1"/>
      <c r="M17" s="21">
        <v>1.7083333333333299</v>
      </c>
      <c r="N17" s="5">
        <v>5.5</v>
      </c>
      <c r="O17" s="15">
        <f t="shared" si="3"/>
        <v>0</v>
      </c>
      <c r="P17" s="8">
        <f t="shared" si="4"/>
        <v>1</v>
      </c>
      <c r="Q17" s="15">
        <f t="shared" si="5"/>
        <v>1</v>
      </c>
      <c r="R17" s="8">
        <f t="shared" si="6"/>
        <v>0</v>
      </c>
      <c r="T17" s="21">
        <v>1.7083333333333299</v>
      </c>
      <c r="U17" s="5">
        <v>5.5</v>
      </c>
      <c r="V17" s="24">
        <f t="shared" si="0"/>
        <v>3.4933333333333332</v>
      </c>
      <c r="W17" s="24">
        <f t="shared" si="1"/>
        <v>12.203377777777776</v>
      </c>
      <c r="X17" s="26">
        <f t="shared" si="2"/>
        <v>0.61975042181219431</v>
      </c>
      <c r="Y17">
        <f t="shared" si="7"/>
        <v>0</v>
      </c>
    </row>
    <row r="18" spans="1:25" ht="15.5" x14ac:dyDescent="0.35">
      <c r="A18" s="21">
        <v>2.0833333333333299</v>
      </c>
      <c r="B18" s="5">
        <v>1.6</v>
      </c>
      <c r="E18" s="1"/>
      <c r="M18" s="21">
        <v>1.8333333333333299</v>
      </c>
      <c r="N18" s="5">
        <v>5.9</v>
      </c>
      <c r="O18" s="15">
        <f t="shared" si="3"/>
        <v>0</v>
      </c>
      <c r="P18" s="8">
        <f t="shared" si="4"/>
        <v>0</v>
      </c>
      <c r="Q18" s="9">
        <f t="shared" si="5"/>
        <v>1</v>
      </c>
      <c r="R18" s="10">
        <f t="shared" si="6"/>
        <v>1</v>
      </c>
      <c r="T18" s="21">
        <v>1.8333333333333299</v>
      </c>
      <c r="U18" s="5">
        <v>5.9</v>
      </c>
      <c r="V18" s="24">
        <f t="shared" si="0"/>
        <v>3.8933333333333335</v>
      </c>
      <c r="W18" s="24">
        <f t="shared" si="1"/>
        <v>15.158044444444446</v>
      </c>
      <c r="X18" s="26">
        <f t="shared" si="2"/>
        <v>0.12395008436243897</v>
      </c>
      <c r="Y18">
        <f t="shared" si="7"/>
        <v>0</v>
      </c>
    </row>
    <row r="19" spans="1:25" ht="15.5" x14ac:dyDescent="0.35">
      <c r="A19" s="21">
        <v>2.2083333333333299</v>
      </c>
      <c r="B19" s="5">
        <v>-0.1</v>
      </c>
      <c r="E19" s="1"/>
      <c r="M19" s="21">
        <v>1.9583333333333299</v>
      </c>
      <c r="N19" s="5">
        <v>3.5</v>
      </c>
      <c r="O19" s="15">
        <f t="shared" si="3"/>
        <v>1</v>
      </c>
      <c r="P19" s="8">
        <f t="shared" si="4"/>
        <v>0</v>
      </c>
      <c r="Q19" s="15">
        <f t="shared" si="5"/>
        <v>0</v>
      </c>
      <c r="R19" s="8">
        <f t="shared" si="6"/>
        <v>1</v>
      </c>
      <c r="T19" s="21">
        <v>1.9583333333333299</v>
      </c>
      <c r="U19" s="5">
        <v>3.5</v>
      </c>
      <c r="V19" s="24">
        <f t="shared" si="0"/>
        <v>1.4933333333333332</v>
      </c>
      <c r="W19" s="24">
        <f t="shared" si="1"/>
        <v>2.2300444444444438</v>
      </c>
      <c r="X19" s="26">
        <f t="shared" si="2"/>
        <v>0.74370050617463324</v>
      </c>
      <c r="Y19">
        <f t="shared" si="7"/>
        <v>0</v>
      </c>
    </row>
    <row r="20" spans="1:25" ht="15.5" x14ac:dyDescent="0.35">
      <c r="A20" s="21">
        <v>2.3333333333333299</v>
      </c>
      <c r="B20" s="5">
        <v>-0.8</v>
      </c>
      <c r="E20" s="1"/>
      <c r="M20" s="21">
        <v>2.0833333333333299</v>
      </c>
      <c r="N20" s="5">
        <v>1.6</v>
      </c>
      <c r="O20" s="15">
        <f t="shared" si="3"/>
        <v>1</v>
      </c>
      <c r="P20" s="8">
        <f t="shared" si="4"/>
        <v>0</v>
      </c>
      <c r="Q20" s="15">
        <f t="shared" si="5"/>
        <v>0</v>
      </c>
      <c r="R20" s="8">
        <f t="shared" si="6"/>
        <v>1</v>
      </c>
      <c r="T20" s="21">
        <v>2.0833333333333299</v>
      </c>
      <c r="U20" s="5">
        <v>1.6</v>
      </c>
      <c r="V20" s="24">
        <f t="shared" si="0"/>
        <v>-0.40666666666666673</v>
      </c>
      <c r="W20" s="24">
        <f t="shared" si="1"/>
        <v>0.16537777777777782</v>
      </c>
      <c r="X20" s="26">
        <f t="shared" si="2"/>
        <v>0.58876290072158455</v>
      </c>
      <c r="Y20">
        <f t="shared" si="7"/>
        <v>0</v>
      </c>
    </row>
    <row r="21" spans="1:25" ht="15.5" x14ac:dyDescent="0.35">
      <c r="A21" s="21">
        <v>2.4583333333333299</v>
      </c>
      <c r="B21" s="5">
        <v>1.7</v>
      </c>
      <c r="E21" s="1"/>
      <c r="M21" s="21">
        <v>2.2083333333333299</v>
      </c>
      <c r="N21" s="5">
        <v>-0.1</v>
      </c>
      <c r="O21" s="15">
        <f t="shared" si="3"/>
        <v>1</v>
      </c>
      <c r="P21" s="8">
        <f t="shared" si="4"/>
        <v>0</v>
      </c>
      <c r="Q21" s="15">
        <f t="shared" si="5"/>
        <v>0</v>
      </c>
      <c r="R21" s="8">
        <f t="shared" si="6"/>
        <v>1</v>
      </c>
      <c r="T21" s="21">
        <v>2.2083333333333299</v>
      </c>
      <c r="U21" s="5">
        <v>-0.1</v>
      </c>
      <c r="V21" s="24">
        <f t="shared" si="0"/>
        <v>-2.1066666666666669</v>
      </c>
      <c r="W21" s="24">
        <f t="shared" si="1"/>
        <v>4.4380444444444453</v>
      </c>
      <c r="X21" s="26">
        <f t="shared" si="2"/>
        <v>0.52678785854036525</v>
      </c>
      <c r="Y21">
        <f t="shared" si="7"/>
        <v>0</v>
      </c>
    </row>
    <row r="22" spans="1:25" ht="15.5" x14ac:dyDescent="0.35">
      <c r="A22" s="21">
        <v>2.5833333333333299</v>
      </c>
      <c r="B22" s="5">
        <v>4.2</v>
      </c>
      <c r="E22" s="1"/>
      <c r="M22" s="21">
        <v>2.3333333333333299</v>
      </c>
      <c r="N22" s="5">
        <v>-0.8</v>
      </c>
      <c r="O22" s="9">
        <f t="shared" si="3"/>
        <v>1</v>
      </c>
      <c r="P22" s="10">
        <f t="shared" si="4"/>
        <v>1</v>
      </c>
      <c r="Q22" s="15">
        <f t="shared" si="5"/>
        <v>0</v>
      </c>
      <c r="R22" s="8">
        <f t="shared" si="6"/>
        <v>0</v>
      </c>
      <c r="T22" s="21">
        <v>2.3333333333333299</v>
      </c>
      <c r="U22" s="5">
        <v>-0.8</v>
      </c>
      <c r="V22" s="24">
        <f t="shared" si="0"/>
        <v>-2.8066666666666666</v>
      </c>
      <c r="W22" s="24">
        <f t="shared" si="1"/>
        <v>7.8773777777777774</v>
      </c>
      <c r="X22" s="26">
        <f t="shared" si="2"/>
        <v>0.21691264763426801</v>
      </c>
      <c r="Y22">
        <f t="shared" si="7"/>
        <v>0</v>
      </c>
    </row>
    <row r="23" spans="1:25" ht="15.5" x14ac:dyDescent="0.35">
      <c r="A23" s="21">
        <v>2.7083333333333299</v>
      </c>
      <c r="B23" s="5">
        <v>5.0999999999999996</v>
      </c>
      <c r="D23" t="s">
        <v>220</v>
      </c>
      <c r="E23" s="1"/>
      <c r="M23" s="21">
        <v>2.4583333333333299</v>
      </c>
      <c r="N23" s="5">
        <v>1.7</v>
      </c>
      <c r="O23" s="15">
        <f t="shared" si="3"/>
        <v>0</v>
      </c>
      <c r="P23" s="8">
        <f t="shared" si="4"/>
        <v>1</v>
      </c>
      <c r="Q23" s="15">
        <f t="shared" si="5"/>
        <v>1</v>
      </c>
      <c r="R23" s="8">
        <f t="shared" si="6"/>
        <v>0</v>
      </c>
      <c r="T23" s="21">
        <v>2.4583333333333299</v>
      </c>
      <c r="U23" s="5">
        <v>1.7</v>
      </c>
      <c r="V23" s="24">
        <f t="shared" si="0"/>
        <v>-0.30666666666666687</v>
      </c>
      <c r="W23" s="24">
        <f t="shared" si="1"/>
        <v>9.4044444444444569E-2</v>
      </c>
      <c r="X23" s="27">
        <f t="shared" si="2"/>
        <v>0.77468802726524288</v>
      </c>
      <c r="Y23">
        <f t="shared" si="7"/>
        <v>0</v>
      </c>
    </row>
    <row r="24" spans="1:25" ht="15.5" x14ac:dyDescent="0.35">
      <c r="A24" s="21">
        <v>2.8333333333333299</v>
      </c>
      <c r="B24" s="5">
        <v>1.5</v>
      </c>
      <c r="D24" t="s">
        <v>221</v>
      </c>
      <c r="E24" s="1"/>
      <c r="M24" s="21">
        <v>2.5833333333333299</v>
      </c>
      <c r="N24" s="5">
        <v>4.2</v>
      </c>
      <c r="O24" s="15">
        <f t="shared" si="3"/>
        <v>0</v>
      </c>
      <c r="P24" s="8">
        <f t="shared" si="4"/>
        <v>1</v>
      </c>
      <c r="Q24" s="15">
        <f t="shared" si="5"/>
        <v>1</v>
      </c>
      <c r="R24" s="8">
        <f t="shared" si="6"/>
        <v>0</v>
      </c>
      <c r="T24" s="21">
        <v>2.5833333333333299</v>
      </c>
      <c r="U24" s="5">
        <v>4.2</v>
      </c>
      <c r="V24" s="24">
        <f t="shared" si="0"/>
        <v>2.1933333333333334</v>
      </c>
      <c r="W24" s="24">
        <f t="shared" si="1"/>
        <v>4.8107111111111109</v>
      </c>
      <c r="X24" s="26">
        <f t="shared" si="2"/>
        <v>0.77468802726524288</v>
      </c>
      <c r="Y24">
        <f t="shared" si="7"/>
        <v>0</v>
      </c>
    </row>
    <row r="25" spans="1:25" ht="15.5" x14ac:dyDescent="0.35">
      <c r="A25" s="21">
        <v>2.9583333333333299</v>
      </c>
      <c r="B25" s="5">
        <v>-1</v>
      </c>
      <c r="E25" s="1"/>
      <c r="M25" s="21">
        <v>2.7083333333333299</v>
      </c>
      <c r="N25" s="5">
        <v>5.0999999999999996</v>
      </c>
      <c r="O25" s="15">
        <f t="shared" si="3"/>
        <v>0</v>
      </c>
      <c r="P25" s="8">
        <f t="shared" si="4"/>
        <v>0</v>
      </c>
      <c r="Q25" s="9">
        <f t="shared" si="5"/>
        <v>1</v>
      </c>
      <c r="R25" s="10">
        <f t="shared" si="6"/>
        <v>1</v>
      </c>
      <c r="T25" s="21">
        <v>2.7083333333333299</v>
      </c>
      <c r="U25" s="5">
        <v>5.0999999999999996</v>
      </c>
      <c r="V25" s="24">
        <f t="shared" si="0"/>
        <v>3.0933333333333328</v>
      </c>
      <c r="W25" s="24">
        <f t="shared" si="1"/>
        <v>9.5687111111111083</v>
      </c>
      <c r="X25" s="26">
        <f t="shared" si="2"/>
        <v>0.27888768981548728</v>
      </c>
      <c r="Y25">
        <f t="shared" si="7"/>
        <v>0</v>
      </c>
    </row>
    <row r="26" spans="1:25" ht="15.5" x14ac:dyDescent="0.35">
      <c r="A26" s="21">
        <v>3.0833333333333299</v>
      </c>
      <c r="B26" s="5">
        <v>-3.8</v>
      </c>
      <c r="E26" s="1"/>
      <c r="M26" s="21">
        <v>2.8333333333333299</v>
      </c>
      <c r="N26" s="5">
        <v>1.5</v>
      </c>
      <c r="O26" s="15">
        <f t="shared" si="3"/>
        <v>1</v>
      </c>
      <c r="P26" s="8">
        <f t="shared" si="4"/>
        <v>0</v>
      </c>
      <c r="Q26" s="15">
        <f t="shared" si="5"/>
        <v>0</v>
      </c>
      <c r="R26" s="8">
        <f t="shared" si="6"/>
        <v>1</v>
      </c>
      <c r="T26" s="21">
        <v>2.8333333333333299</v>
      </c>
      <c r="U26" s="5">
        <v>1.5</v>
      </c>
      <c r="V26" s="24">
        <f t="shared" si="0"/>
        <v>-0.50666666666666682</v>
      </c>
      <c r="W26" s="24">
        <f t="shared" si="1"/>
        <v>0.25671111111111128</v>
      </c>
      <c r="X26" s="27">
        <f t="shared" si="2"/>
        <v>1.1155507592619496</v>
      </c>
      <c r="Y26">
        <f t="shared" si="7"/>
        <v>0</v>
      </c>
    </row>
    <row r="27" spans="1:25" ht="15.5" x14ac:dyDescent="0.35">
      <c r="A27" s="21">
        <v>3.2083333333333299</v>
      </c>
      <c r="B27" s="5">
        <v>-4</v>
      </c>
      <c r="E27" s="1"/>
      <c r="M27" s="21">
        <v>2.9583333333333299</v>
      </c>
      <c r="N27" s="5">
        <v>-1</v>
      </c>
      <c r="O27" s="15">
        <f t="shared" si="3"/>
        <v>1</v>
      </c>
      <c r="P27" s="8">
        <f t="shared" si="4"/>
        <v>0</v>
      </c>
      <c r="Q27" s="15">
        <f t="shared" si="5"/>
        <v>0</v>
      </c>
      <c r="R27" s="8">
        <f t="shared" si="6"/>
        <v>1</v>
      </c>
      <c r="T27" s="21">
        <v>2.9583333333333299</v>
      </c>
      <c r="U27" s="5">
        <v>-1</v>
      </c>
      <c r="V27" s="24">
        <f t="shared" si="0"/>
        <v>-3.0066666666666668</v>
      </c>
      <c r="W27" s="24">
        <f t="shared" si="1"/>
        <v>9.0400444444444457</v>
      </c>
      <c r="X27" s="27">
        <f t="shared" si="2"/>
        <v>0.77468802726524288</v>
      </c>
      <c r="Y27">
        <f t="shared" si="7"/>
        <v>0</v>
      </c>
    </row>
    <row r="28" spans="1:25" ht="15.5" x14ac:dyDescent="0.35">
      <c r="A28" s="21">
        <v>3.3333333333333299</v>
      </c>
      <c r="B28" s="5">
        <v>-2.8</v>
      </c>
      <c r="E28" s="1"/>
      <c r="M28" s="21">
        <v>3.0833333333333299</v>
      </c>
      <c r="N28" s="5">
        <v>-3.8</v>
      </c>
      <c r="O28" s="15">
        <f t="shared" si="3"/>
        <v>1</v>
      </c>
      <c r="P28" s="8">
        <f t="shared" si="4"/>
        <v>0</v>
      </c>
      <c r="Q28" s="15">
        <f t="shared" si="5"/>
        <v>0</v>
      </c>
      <c r="R28" s="8">
        <f t="shared" si="6"/>
        <v>1</v>
      </c>
      <c r="T28" s="21">
        <v>3.0833333333333299</v>
      </c>
      <c r="U28" s="5">
        <v>-3.8</v>
      </c>
      <c r="V28" s="24">
        <f t="shared" si="0"/>
        <v>-5.8066666666666666</v>
      </c>
      <c r="W28" s="24">
        <f t="shared" si="1"/>
        <v>33.717377777777777</v>
      </c>
      <c r="X28" s="26">
        <f t="shared" si="2"/>
        <v>0.86765059053707194</v>
      </c>
      <c r="Y28">
        <f t="shared" si="7"/>
        <v>0</v>
      </c>
    </row>
    <row r="29" spans="1:25" ht="15.5" x14ac:dyDescent="0.35">
      <c r="A29" s="21">
        <v>3.4583333333333299</v>
      </c>
      <c r="B29" s="5">
        <v>-2.9</v>
      </c>
      <c r="E29" s="1"/>
      <c r="M29" s="21">
        <v>3.2083333333333299</v>
      </c>
      <c r="N29" s="5">
        <v>-4</v>
      </c>
      <c r="O29" s="9">
        <f t="shared" si="3"/>
        <v>1</v>
      </c>
      <c r="P29" s="10">
        <f t="shared" si="4"/>
        <v>1</v>
      </c>
      <c r="Q29" s="15">
        <f t="shared" si="5"/>
        <v>0</v>
      </c>
      <c r="R29" s="8">
        <f t="shared" si="6"/>
        <v>0</v>
      </c>
      <c r="T29" s="21">
        <v>3.2083333333333299</v>
      </c>
      <c r="U29" s="5">
        <v>-4</v>
      </c>
      <c r="V29" s="24">
        <f t="shared" si="0"/>
        <v>-6.0066666666666668</v>
      </c>
      <c r="W29" s="24">
        <f t="shared" si="1"/>
        <v>36.080044444444447</v>
      </c>
      <c r="X29" s="26">
        <f t="shared" si="2"/>
        <v>6.1975042181219485E-2</v>
      </c>
      <c r="Y29">
        <f t="shared" si="7"/>
        <v>0</v>
      </c>
    </row>
    <row r="30" spans="1:25" ht="15.5" x14ac:dyDescent="0.35">
      <c r="A30" s="21">
        <v>3.5833333333333299</v>
      </c>
      <c r="B30" s="5">
        <v>-1.1000000000000001</v>
      </c>
      <c r="E30" s="1"/>
      <c r="M30" s="21">
        <v>3.3333333333333299</v>
      </c>
      <c r="N30" s="5">
        <v>-2.8</v>
      </c>
      <c r="O30" s="15">
        <f t="shared" si="3"/>
        <v>0</v>
      </c>
      <c r="P30" s="8">
        <f t="shared" si="4"/>
        <v>0</v>
      </c>
      <c r="Q30" s="9">
        <f t="shared" si="5"/>
        <v>1</v>
      </c>
      <c r="R30" s="10">
        <f t="shared" si="6"/>
        <v>1</v>
      </c>
      <c r="T30" s="21">
        <v>3.3333333333333299</v>
      </c>
      <c r="U30" s="5">
        <v>-2.8</v>
      </c>
      <c r="V30" s="24">
        <f t="shared" si="0"/>
        <v>-4.8066666666666666</v>
      </c>
      <c r="W30" s="24">
        <f t="shared" si="1"/>
        <v>23.104044444444444</v>
      </c>
      <c r="X30" s="26">
        <f t="shared" si="2"/>
        <v>0.37185025308731662</v>
      </c>
      <c r="Y30">
        <f t="shared" si="7"/>
        <v>0</v>
      </c>
    </row>
    <row r="31" spans="1:25" ht="15.5" x14ac:dyDescent="0.35">
      <c r="A31" s="21">
        <v>3.7083333333333299</v>
      </c>
      <c r="B31" s="5">
        <v>1.2</v>
      </c>
      <c r="E31" s="1"/>
      <c r="M31" s="21">
        <v>3.4583333333333299</v>
      </c>
      <c r="N31" s="5">
        <v>-2.9</v>
      </c>
      <c r="O31" s="9">
        <f t="shared" si="3"/>
        <v>1</v>
      </c>
      <c r="P31" s="10">
        <f t="shared" si="4"/>
        <v>1</v>
      </c>
      <c r="Q31" s="15">
        <f t="shared" si="5"/>
        <v>0</v>
      </c>
      <c r="R31" s="8">
        <f t="shared" si="6"/>
        <v>0</v>
      </c>
      <c r="T31" s="21">
        <v>3.4583333333333299</v>
      </c>
      <c r="U31" s="5">
        <v>-2.9</v>
      </c>
      <c r="V31" s="24">
        <f t="shared" si="0"/>
        <v>-4.9066666666666663</v>
      </c>
      <c r="W31" s="24">
        <f t="shared" si="1"/>
        <v>24.075377777777774</v>
      </c>
      <c r="X31" s="26">
        <f t="shared" si="2"/>
        <v>3.0987521090609742E-2</v>
      </c>
      <c r="Y31">
        <f t="shared" si="7"/>
        <v>0</v>
      </c>
    </row>
    <row r="32" spans="1:25" ht="15.5" x14ac:dyDescent="0.35">
      <c r="A32" s="21">
        <v>3.8333333333333299</v>
      </c>
      <c r="B32" s="5">
        <v>-1.4</v>
      </c>
      <c r="E32" s="1"/>
      <c r="M32" s="21">
        <v>3.5833333333333299</v>
      </c>
      <c r="N32" s="5">
        <v>-1.1000000000000001</v>
      </c>
      <c r="O32" s="15">
        <f t="shared" si="3"/>
        <v>0</v>
      </c>
      <c r="P32" s="8">
        <f t="shared" si="4"/>
        <v>1</v>
      </c>
      <c r="Q32" s="15">
        <f t="shared" si="5"/>
        <v>1</v>
      </c>
      <c r="R32" s="8">
        <f t="shared" si="6"/>
        <v>0</v>
      </c>
      <c r="T32" s="21">
        <v>3.5833333333333299</v>
      </c>
      <c r="U32" s="5">
        <v>-1.1000000000000001</v>
      </c>
      <c r="V32" s="24">
        <f t="shared" si="0"/>
        <v>-3.1066666666666669</v>
      </c>
      <c r="W32" s="24">
        <f t="shared" si="1"/>
        <v>9.6513777777777801</v>
      </c>
      <c r="X32" s="26">
        <f t="shared" si="2"/>
        <v>0.55777537963097479</v>
      </c>
      <c r="Y32">
        <f t="shared" si="7"/>
        <v>0</v>
      </c>
    </row>
    <row r="33" spans="1:25" ht="15.5" x14ac:dyDescent="0.35">
      <c r="A33" s="21">
        <v>3.9583333333333299</v>
      </c>
      <c r="B33" s="5">
        <v>-1.3</v>
      </c>
      <c r="C33" s="1"/>
      <c r="E33" s="1"/>
      <c r="M33" s="21">
        <v>3.7083333333333299</v>
      </c>
      <c r="N33" s="5">
        <v>1.2</v>
      </c>
      <c r="O33" s="15">
        <f t="shared" si="3"/>
        <v>0</v>
      </c>
      <c r="P33" s="8">
        <f t="shared" si="4"/>
        <v>0</v>
      </c>
      <c r="Q33" s="9">
        <f t="shared" si="5"/>
        <v>1</v>
      </c>
      <c r="R33" s="10">
        <f t="shared" si="6"/>
        <v>1</v>
      </c>
      <c r="T33" s="21">
        <v>3.7083333333333299</v>
      </c>
      <c r="U33" s="5">
        <v>1.2</v>
      </c>
      <c r="V33" s="24">
        <f t="shared" si="0"/>
        <v>-0.80666666666666687</v>
      </c>
      <c r="W33" s="24">
        <f t="shared" si="1"/>
        <v>0.65071111111111146</v>
      </c>
      <c r="X33" s="26">
        <f t="shared" si="2"/>
        <v>0.71271298508402336</v>
      </c>
      <c r="Y33">
        <f t="shared" si="7"/>
        <v>0</v>
      </c>
    </row>
    <row r="34" spans="1:25" ht="15.5" x14ac:dyDescent="0.35">
      <c r="M34" s="21">
        <v>3.8333333333333299</v>
      </c>
      <c r="N34" s="22">
        <v>-1.4</v>
      </c>
      <c r="O34" s="9">
        <f t="shared" si="3"/>
        <v>1</v>
      </c>
      <c r="P34" s="23">
        <f t="shared" si="4"/>
        <v>1</v>
      </c>
      <c r="Q34" s="15">
        <f t="shared" si="5"/>
        <v>0</v>
      </c>
      <c r="R34" s="8">
        <f t="shared" si="6"/>
        <v>0</v>
      </c>
      <c r="T34" s="21">
        <v>3.8333333333333299</v>
      </c>
      <c r="U34" s="5">
        <v>-1.4</v>
      </c>
      <c r="V34" s="24">
        <f t="shared" si="0"/>
        <v>-3.4066666666666667</v>
      </c>
      <c r="W34" s="24">
        <f t="shared" si="1"/>
        <v>11.605377777777779</v>
      </c>
      <c r="X34" s="26">
        <f t="shared" si="2"/>
        <v>0.80567554835585242</v>
      </c>
      <c r="Y34">
        <f t="shared" si="7"/>
        <v>0</v>
      </c>
    </row>
    <row r="35" spans="1:25" ht="15.5" x14ac:dyDescent="0.35">
      <c r="M35" s="21">
        <v>3.9583333333333299</v>
      </c>
      <c r="N35" s="5">
        <v>-1.3</v>
      </c>
      <c r="O35" s="16">
        <f t="shared" si="3"/>
        <v>0</v>
      </c>
      <c r="P35" s="17">
        <f t="shared" si="4"/>
        <v>1</v>
      </c>
      <c r="Q35" s="16">
        <f t="shared" si="5"/>
        <v>1</v>
      </c>
      <c r="R35" s="17">
        <f t="shared" si="6"/>
        <v>0</v>
      </c>
      <c r="T35" s="21">
        <v>3.9583333333333299</v>
      </c>
      <c r="U35" s="5">
        <v>-1.3</v>
      </c>
      <c r="V35" s="24">
        <f t="shared" si="0"/>
        <v>-3.3066666666666666</v>
      </c>
      <c r="W35" s="24">
        <f t="shared" si="1"/>
        <v>10.934044444444444</v>
      </c>
      <c r="X35" s="26">
        <f t="shared" si="2"/>
        <v>3.0987521090609673E-2</v>
      </c>
      <c r="Y35">
        <f t="shared" si="7"/>
        <v>0</v>
      </c>
    </row>
    <row r="36" spans="1:25" x14ac:dyDescent="0.35">
      <c r="T36" s="7" t="s">
        <v>4</v>
      </c>
      <c r="U36">
        <f>SUM(U4:U35)</f>
        <v>60.20000000000001</v>
      </c>
      <c r="W36">
        <f>SUM(W4:W35)</f>
        <v>302.01208888888885</v>
      </c>
    </row>
    <row r="37" spans="1:25" x14ac:dyDescent="0.35">
      <c r="M37" t="s">
        <v>213</v>
      </c>
      <c r="P37">
        <v>16</v>
      </c>
      <c r="T37" s="7" t="s">
        <v>5</v>
      </c>
      <c r="U37">
        <f>U36/30</f>
        <v>2.0066666666666668</v>
      </c>
    </row>
    <row r="38" spans="1:25" x14ac:dyDescent="0.35">
      <c r="M38" t="s">
        <v>214</v>
      </c>
      <c r="T38" s="7" t="s">
        <v>8</v>
      </c>
      <c r="U38">
        <f>(W36/29)^0.5</f>
        <v>3.2271055082977722</v>
      </c>
    </row>
    <row r="39" spans="1:25" x14ac:dyDescent="0.35">
      <c r="M39" t="s">
        <v>215</v>
      </c>
      <c r="P39">
        <v>19.3</v>
      </c>
    </row>
    <row r="40" spans="1:25" x14ac:dyDescent="0.35">
      <c r="M40" t="s">
        <v>216</v>
      </c>
      <c r="P40">
        <v>5.18</v>
      </c>
    </row>
    <row r="41" spans="1:25" x14ac:dyDescent="0.35">
      <c r="T41" t="s">
        <v>219</v>
      </c>
    </row>
    <row r="42" spans="1:25" x14ac:dyDescent="0.35">
      <c r="T42" t="s">
        <v>218</v>
      </c>
    </row>
    <row r="46" spans="1:25" x14ac:dyDescent="0.35">
      <c r="M46" t="s">
        <v>217</v>
      </c>
    </row>
  </sheetData>
  <mergeCells count="2">
    <mergeCell ref="O3:P3"/>
    <mergeCell ref="Q3:R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A499-0333-424C-89CB-E2E92A1580AA}">
  <dimension ref="A1:AC36"/>
  <sheetViews>
    <sheetView topLeftCell="J19" zoomScale="90" zoomScaleNormal="90" workbookViewId="0">
      <selection activeCell="E8" sqref="E8"/>
    </sheetView>
  </sheetViews>
  <sheetFormatPr defaultRowHeight="14.5" x14ac:dyDescent="0.35"/>
  <cols>
    <col min="2" max="2" width="10.453125" customWidth="1"/>
    <col min="17" max="17" width="13.6328125" bestFit="1" customWidth="1"/>
  </cols>
  <sheetData>
    <row r="1" spans="1:29" ht="26.5" thickBot="1" x14ac:dyDescent="0.4">
      <c r="A1" s="3" t="s">
        <v>12</v>
      </c>
      <c r="B1" s="28" t="s">
        <v>13</v>
      </c>
      <c r="E1" t="s">
        <v>14</v>
      </c>
      <c r="K1" t="s">
        <v>15</v>
      </c>
      <c r="Q1" t="s">
        <v>16</v>
      </c>
      <c r="AB1" t="s">
        <v>17</v>
      </c>
    </row>
    <row r="2" spans="1:29" ht="15.5" x14ac:dyDescent="0.35">
      <c r="A2" s="21">
        <v>8.3333333333333329E-2</v>
      </c>
      <c r="B2" s="5">
        <v>1.7</v>
      </c>
      <c r="Q2" t="s">
        <v>18</v>
      </c>
      <c r="S2" t="s">
        <v>19</v>
      </c>
      <c r="U2" t="s">
        <v>20</v>
      </c>
      <c r="W2" t="s">
        <v>21</v>
      </c>
      <c r="Y2" t="s">
        <v>22</v>
      </c>
    </row>
    <row r="3" spans="1:29" ht="15.5" x14ac:dyDescent="0.35">
      <c r="A3" s="21">
        <v>0.20833333333333334</v>
      </c>
      <c r="B3" s="5">
        <v>2.6</v>
      </c>
    </row>
    <row r="4" spans="1:29" ht="15.5" x14ac:dyDescent="0.35">
      <c r="A4" s="21">
        <v>0.33333333333333331</v>
      </c>
      <c r="B4" s="5">
        <v>1.4</v>
      </c>
    </row>
    <row r="5" spans="1:29" ht="15.5" x14ac:dyDescent="0.35">
      <c r="A5" s="21">
        <v>0.45833333333333331</v>
      </c>
      <c r="B5" s="5">
        <v>4.4000000000000004</v>
      </c>
    </row>
    <row r="6" spans="1:29" ht="15.5" x14ac:dyDescent="0.35">
      <c r="A6" s="21">
        <v>0.58333333333333337</v>
      </c>
      <c r="B6" s="5">
        <v>6.6</v>
      </c>
    </row>
    <row r="7" spans="1:29" ht="15.5" x14ac:dyDescent="0.35">
      <c r="A7" s="21">
        <v>0.70833333333333337</v>
      </c>
      <c r="B7" s="5">
        <v>7.1</v>
      </c>
      <c r="E7">
        <f>SUM(B2:B6)/5</f>
        <v>3.34</v>
      </c>
      <c r="K7">
        <f>(B2*10+B3*15+B4*20+B5*20+B6*25)/100</f>
        <v>3.37</v>
      </c>
      <c r="Q7">
        <f t="shared" ref="Q7:Q33" si="0">B7-E7</f>
        <v>3.76</v>
      </c>
      <c r="R7">
        <f t="shared" ref="R7:R33" si="1">B7-K7</f>
        <v>3.7299999999999995</v>
      </c>
      <c r="S7">
        <f>ABS(Q7)</f>
        <v>3.76</v>
      </c>
      <c r="T7">
        <f>ABS(R7)</f>
        <v>3.7299999999999995</v>
      </c>
      <c r="U7" s="31">
        <f>((ABS(Q7))/(ABS(B7)))*100</f>
        <v>52.957746478873233</v>
      </c>
      <c r="V7" s="31">
        <f>((ABS(R7))/(ABS(B7)))*100</f>
        <v>52.535211267605632</v>
      </c>
      <c r="W7">
        <v>61.7424242424242</v>
      </c>
      <c r="X7">
        <v>58.560606060606055</v>
      </c>
      <c r="Y7">
        <f>((SUMSQ(Q7:Q33))^0.5)/27</f>
        <v>0.54557001313472531</v>
      </c>
      <c r="Z7">
        <f>((SUMSQ(R7:R33))^0.5)/27</f>
        <v>0.49945343926862357</v>
      </c>
      <c r="AB7" s="32">
        <f>((SUMSQ(Q7:Q33))^0.5)/((SUMSQ(B7:B33)^0.5))</f>
        <v>0.79859751267075907</v>
      </c>
      <c r="AC7" s="32">
        <f>((SUMSQ(R7:R33))^0.5)/((SUMSQ(B7:B33)^0.5))</f>
        <v>0.73109273730607716</v>
      </c>
    </row>
    <row r="8" spans="1:29" ht="15.5" x14ac:dyDescent="0.35">
      <c r="A8" s="21">
        <v>0.83333333333333337</v>
      </c>
      <c r="B8" s="5">
        <v>4.2</v>
      </c>
      <c r="E8">
        <f>SUM(B3:B7)/5</f>
        <v>4.42</v>
      </c>
      <c r="K8">
        <f t="shared" ref="K8:K32" si="2">(B3*10+B4*15+B5*20+B6*20+B7*25)/100</f>
        <v>4.4450000000000003</v>
      </c>
      <c r="Q8">
        <f t="shared" si="0"/>
        <v>-0.21999999999999975</v>
      </c>
      <c r="R8">
        <f t="shared" si="1"/>
        <v>-0.24500000000000011</v>
      </c>
      <c r="S8">
        <f t="shared" ref="S8:T33" si="3">ABS(Q8)</f>
        <v>0.21999999999999975</v>
      </c>
      <c r="T8">
        <f t="shared" si="3"/>
        <v>0.24500000000000011</v>
      </c>
      <c r="U8" s="31">
        <f t="shared" ref="U8:U33" si="4">((ABS(Q8))/(ABS(B8)))*100</f>
        <v>5.2380952380952319</v>
      </c>
      <c r="V8" s="31">
        <f t="shared" ref="V8:V33" si="5">((ABS(R8))/(ABS(B8)))*100</f>
        <v>5.8333333333333357</v>
      </c>
      <c r="W8">
        <v>47.183098591549296</v>
      </c>
      <c r="X8">
        <v>39.436619718309856</v>
      </c>
    </row>
    <row r="9" spans="1:29" ht="15.5" x14ac:dyDescent="0.35">
      <c r="A9" s="21">
        <v>0.95833333333333337</v>
      </c>
      <c r="B9" s="5">
        <v>3.7</v>
      </c>
      <c r="E9">
        <f t="shared" ref="E9:E31" si="6">SUM(B4:B8)/5</f>
        <v>4.74</v>
      </c>
      <c r="K9">
        <f t="shared" si="2"/>
        <v>4.59</v>
      </c>
      <c r="Q9">
        <f t="shared" si="0"/>
        <v>-1.04</v>
      </c>
      <c r="R9">
        <f t="shared" si="1"/>
        <v>-0.88999999999999968</v>
      </c>
      <c r="S9">
        <f t="shared" si="3"/>
        <v>1.04</v>
      </c>
      <c r="T9">
        <f t="shared" si="3"/>
        <v>0.88999999999999968</v>
      </c>
      <c r="U9" s="31">
        <f t="shared" si="4"/>
        <v>28.108108108108109</v>
      </c>
      <c r="V9" s="31">
        <f t="shared" si="5"/>
        <v>24.054054054054046</v>
      </c>
      <c r="W9">
        <v>16.071428571428566</v>
      </c>
      <c r="X9">
        <v>32.261904761904745</v>
      </c>
    </row>
    <row r="10" spans="1:29" ht="15.5" x14ac:dyDescent="0.35">
      <c r="A10" s="21">
        <v>1.0833333333333299</v>
      </c>
      <c r="B10" s="5">
        <v>5.9</v>
      </c>
      <c r="E10">
        <f t="shared" si="6"/>
        <v>5.2</v>
      </c>
      <c r="K10">
        <f t="shared" si="2"/>
        <v>4.6150000000000002</v>
      </c>
      <c r="Q10">
        <f t="shared" si="0"/>
        <v>0.70000000000000018</v>
      </c>
      <c r="R10">
        <f t="shared" si="1"/>
        <v>1.2850000000000001</v>
      </c>
      <c r="S10">
        <f t="shared" si="3"/>
        <v>0.70000000000000018</v>
      </c>
      <c r="T10">
        <f t="shared" si="3"/>
        <v>1.2850000000000001</v>
      </c>
      <c r="U10" s="31">
        <f t="shared" si="4"/>
        <v>11.864406779661019</v>
      </c>
      <c r="V10" s="31">
        <f t="shared" si="5"/>
        <v>21.779661016949152</v>
      </c>
      <c r="W10">
        <v>50.67567567567567</v>
      </c>
      <c r="X10">
        <v>50.8108108108108</v>
      </c>
    </row>
    <row r="11" spans="1:29" ht="15.5" x14ac:dyDescent="0.35">
      <c r="A11" s="21">
        <v>1.2083333333333299</v>
      </c>
      <c r="B11" s="5">
        <v>3</v>
      </c>
      <c r="E11">
        <f t="shared" si="6"/>
        <v>5.5</v>
      </c>
      <c r="K11">
        <f t="shared" si="2"/>
        <v>4.78</v>
      </c>
      <c r="Q11">
        <f t="shared" si="0"/>
        <v>-2.5</v>
      </c>
      <c r="R11">
        <f t="shared" si="1"/>
        <v>-1.7800000000000002</v>
      </c>
      <c r="S11">
        <f t="shared" si="3"/>
        <v>2.5</v>
      </c>
      <c r="T11">
        <f t="shared" si="3"/>
        <v>1.7800000000000002</v>
      </c>
      <c r="U11" s="31">
        <f t="shared" si="4"/>
        <v>83.333333333333343</v>
      </c>
      <c r="V11" s="31">
        <f t="shared" si="5"/>
        <v>59.333333333333336</v>
      </c>
      <c r="W11">
        <v>8.4745762711864554</v>
      </c>
      <c r="X11">
        <v>15.847457627118652</v>
      </c>
    </row>
    <row r="12" spans="1:29" ht="15.5" x14ac:dyDescent="0.35">
      <c r="A12" s="21">
        <v>1.3333333333333299</v>
      </c>
      <c r="B12" s="5">
        <v>0.8</v>
      </c>
      <c r="E12">
        <f t="shared" si="6"/>
        <v>4.7799999999999994</v>
      </c>
      <c r="K12">
        <f t="shared" si="2"/>
        <v>4.01</v>
      </c>
      <c r="Q12">
        <f t="shared" si="0"/>
        <v>-3.9799999999999995</v>
      </c>
      <c r="R12">
        <f t="shared" si="1"/>
        <v>-3.21</v>
      </c>
      <c r="S12">
        <f t="shared" si="3"/>
        <v>3.9799999999999995</v>
      </c>
      <c r="T12">
        <f t="shared" si="3"/>
        <v>3.21</v>
      </c>
      <c r="U12" s="31">
        <f t="shared" si="4"/>
        <v>497.49999999999989</v>
      </c>
      <c r="V12" s="31">
        <f t="shared" si="5"/>
        <v>401.24999999999994</v>
      </c>
      <c r="W12">
        <v>74.166666666666657</v>
      </c>
      <c r="X12">
        <v>69.333333333333343</v>
      </c>
    </row>
    <row r="13" spans="1:29" ht="15.5" x14ac:dyDescent="0.35">
      <c r="A13" s="21">
        <v>1.4583333333333299</v>
      </c>
      <c r="B13" s="5">
        <v>4.3</v>
      </c>
      <c r="E13">
        <f t="shared" si="6"/>
        <v>3.5200000000000005</v>
      </c>
      <c r="K13">
        <f t="shared" si="2"/>
        <v>2.9550000000000001</v>
      </c>
      <c r="Q13">
        <f t="shared" si="0"/>
        <v>0.77999999999999936</v>
      </c>
      <c r="R13">
        <f t="shared" si="1"/>
        <v>1.3449999999999998</v>
      </c>
      <c r="S13">
        <f t="shared" si="3"/>
        <v>0.77999999999999936</v>
      </c>
      <c r="T13">
        <f t="shared" si="3"/>
        <v>1.3449999999999998</v>
      </c>
      <c r="U13" s="31">
        <f t="shared" si="4"/>
        <v>18.139534883720916</v>
      </c>
      <c r="V13" s="31">
        <f t="shared" si="5"/>
        <v>31.279069767441857</v>
      </c>
      <c r="W13">
        <v>425</v>
      </c>
      <c r="X13">
        <v>423.75000000000006</v>
      </c>
    </row>
    <row r="14" spans="1:29" ht="15.5" x14ac:dyDescent="0.35">
      <c r="A14" s="21">
        <v>1.5833333333333299</v>
      </c>
      <c r="B14" s="5">
        <v>3.5</v>
      </c>
      <c r="E14">
        <f t="shared" si="6"/>
        <v>3.5400000000000005</v>
      </c>
      <c r="K14">
        <f t="shared" si="2"/>
        <v>3.09</v>
      </c>
      <c r="Q14">
        <f t="shared" si="0"/>
        <v>-4.000000000000048E-2</v>
      </c>
      <c r="R14">
        <f t="shared" si="1"/>
        <v>0.41000000000000014</v>
      </c>
      <c r="S14">
        <f t="shared" si="3"/>
        <v>4.000000000000048E-2</v>
      </c>
      <c r="T14">
        <f t="shared" si="3"/>
        <v>0.41000000000000014</v>
      </c>
      <c r="U14" s="31">
        <f t="shared" si="4"/>
        <v>1.1428571428571566</v>
      </c>
      <c r="V14" s="31">
        <f t="shared" si="5"/>
        <v>11.714285714285719</v>
      </c>
      <c r="W14">
        <v>22.093023255813936</v>
      </c>
      <c r="X14">
        <v>32.20930232558139</v>
      </c>
    </row>
    <row r="15" spans="1:29" ht="15.5" x14ac:dyDescent="0.35">
      <c r="A15" s="21">
        <v>1.7083333333333299</v>
      </c>
      <c r="B15" s="5">
        <v>5.5</v>
      </c>
      <c r="E15">
        <f t="shared" si="6"/>
        <v>3.5</v>
      </c>
      <c r="K15">
        <f t="shared" si="2"/>
        <v>2.9350000000000001</v>
      </c>
      <c r="Q15">
        <f t="shared" si="0"/>
        <v>2</v>
      </c>
      <c r="R15">
        <f t="shared" si="1"/>
        <v>2.5649999999999999</v>
      </c>
      <c r="S15">
        <f t="shared" si="3"/>
        <v>2</v>
      </c>
      <c r="T15">
        <f t="shared" si="3"/>
        <v>2.5649999999999999</v>
      </c>
      <c r="U15" s="31">
        <f t="shared" si="4"/>
        <v>36.363636363636367</v>
      </c>
      <c r="V15" s="31">
        <f t="shared" si="5"/>
        <v>46.63636363636364</v>
      </c>
      <c r="W15">
        <v>0</v>
      </c>
      <c r="X15">
        <v>7.7142857142857153</v>
      </c>
    </row>
    <row r="16" spans="1:29" ht="15.5" x14ac:dyDescent="0.35">
      <c r="A16" s="21">
        <v>1.8333333333333299</v>
      </c>
      <c r="B16" s="5">
        <v>5.9</v>
      </c>
      <c r="E16">
        <f t="shared" si="6"/>
        <v>3.4200000000000004</v>
      </c>
      <c r="K16">
        <f t="shared" si="2"/>
        <v>3.355</v>
      </c>
      <c r="Q16">
        <f t="shared" si="0"/>
        <v>2.48</v>
      </c>
      <c r="R16">
        <f t="shared" si="1"/>
        <v>2.5450000000000004</v>
      </c>
      <c r="S16">
        <f t="shared" si="3"/>
        <v>2.48</v>
      </c>
      <c r="T16">
        <f t="shared" si="3"/>
        <v>2.5450000000000004</v>
      </c>
      <c r="U16" s="31">
        <f t="shared" si="4"/>
        <v>42.03389830508474</v>
      </c>
      <c r="V16" s="31">
        <f t="shared" si="5"/>
        <v>43.135593220338983</v>
      </c>
      <c r="W16">
        <v>47.272727272727273</v>
      </c>
      <c r="X16">
        <v>43.18181818181818</v>
      </c>
    </row>
    <row r="17" spans="1:24" ht="15.5" x14ac:dyDescent="0.35">
      <c r="A17" s="21">
        <v>1.9583333333333299</v>
      </c>
      <c r="B17" s="5">
        <v>3.5</v>
      </c>
      <c r="E17">
        <f t="shared" si="6"/>
        <v>4</v>
      </c>
      <c r="K17">
        <f t="shared" si="2"/>
        <v>4</v>
      </c>
      <c r="Q17">
        <f t="shared" si="0"/>
        <v>-0.5</v>
      </c>
      <c r="R17">
        <f t="shared" si="1"/>
        <v>-0.5</v>
      </c>
      <c r="S17">
        <f t="shared" si="3"/>
        <v>0.5</v>
      </c>
      <c r="T17">
        <f t="shared" si="3"/>
        <v>0.5</v>
      </c>
      <c r="U17" s="31">
        <f t="shared" si="4"/>
        <v>14.285714285714285</v>
      </c>
      <c r="V17" s="31">
        <f t="shared" si="5"/>
        <v>14.285714285714285</v>
      </c>
      <c r="W17">
        <v>40.254237288135599</v>
      </c>
      <c r="X17">
        <v>32.96610169491526</v>
      </c>
    </row>
    <row r="18" spans="1:24" ht="15.5" x14ac:dyDescent="0.35">
      <c r="A18" s="21">
        <v>2.0833333333333299</v>
      </c>
      <c r="B18" s="5">
        <v>1.6</v>
      </c>
      <c r="E18">
        <f t="shared" si="6"/>
        <v>4.5400000000000009</v>
      </c>
      <c r="K18">
        <f t="shared" si="2"/>
        <v>4.1100000000000003</v>
      </c>
      <c r="Q18">
        <f t="shared" si="0"/>
        <v>-2.9400000000000008</v>
      </c>
      <c r="R18">
        <f t="shared" si="1"/>
        <v>-2.5100000000000002</v>
      </c>
      <c r="S18">
        <f t="shared" si="3"/>
        <v>2.9400000000000008</v>
      </c>
      <c r="T18">
        <f t="shared" si="3"/>
        <v>2.5100000000000002</v>
      </c>
      <c r="U18" s="31">
        <f t="shared" si="4"/>
        <v>183.75000000000003</v>
      </c>
      <c r="V18" s="31">
        <f t="shared" si="5"/>
        <v>156.875</v>
      </c>
      <c r="W18">
        <v>37.14285714285716</v>
      </c>
      <c r="X18">
        <v>44.571428571428562</v>
      </c>
    </row>
    <row r="19" spans="1:24" ht="15.5" x14ac:dyDescent="0.35">
      <c r="A19" s="21">
        <v>2.2083333333333299</v>
      </c>
      <c r="B19" s="5">
        <v>-0.1</v>
      </c>
      <c r="E19">
        <f t="shared" si="6"/>
        <v>4</v>
      </c>
      <c r="K19">
        <f t="shared" si="2"/>
        <v>3.4550000000000001</v>
      </c>
      <c r="Q19">
        <f t="shared" si="0"/>
        <v>-4.0999999999999996</v>
      </c>
      <c r="R19">
        <f t="shared" si="1"/>
        <v>-3.5550000000000002</v>
      </c>
      <c r="S19">
        <f t="shared" si="3"/>
        <v>4.0999999999999996</v>
      </c>
      <c r="T19">
        <f t="shared" si="3"/>
        <v>3.5550000000000002</v>
      </c>
      <c r="U19" s="31">
        <f t="shared" si="4"/>
        <v>4099.9999999999991</v>
      </c>
      <c r="V19" s="31">
        <f t="shared" si="5"/>
        <v>3554.9999999999995</v>
      </c>
      <c r="W19">
        <v>187.49999999999994</v>
      </c>
      <c r="X19">
        <v>188.75</v>
      </c>
    </row>
    <row r="20" spans="1:24" ht="15.5" x14ac:dyDescent="0.35">
      <c r="A20" s="21">
        <v>2.3333333333333299</v>
      </c>
      <c r="B20" s="5">
        <v>-0.8</v>
      </c>
      <c r="E20">
        <f t="shared" si="6"/>
        <v>3.28</v>
      </c>
      <c r="K20">
        <f t="shared" si="2"/>
        <v>2.4300000000000002</v>
      </c>
      <c r="Q20">
        <f t="shared" si="0"/>
        <v>-4.08</v>
      </c>
      <c r="R20">
        <f t="shared" si="1"/>
        <v>-3.2300000000000004</v>
      </c>
      <c r="S20">
        <f t="shared" si="3"/>
        <v>4.08</v>
      </c>
      <c r="T20">
        <f t="shared" si="3"/>
        <v>3.2300000000000004</v>
      </c>
      <c r="U20" s="31">
        <f t="shared" si="4"/>
        <v>509.99999999999994</v>
      </c>
      <c r="V20" s="31">
        <f t="shared" si="5"/>
        <v>403.75000000000006</v>
      </c>
      <c r="W20">
        <v>4224.9999999999991</v>
      </c>
      <c r="X20">
        <v>3715</v>
      </c>
    </row>
    <row r="21" spans="1:24" ht="15.5" x14ac:dyDescent="0.35">
      <c r="A21" s="21">
        <v>2.4583333333333299</v>
      </c>
      <c r="B21" s="5">
        <v>1.7</v>
      </c>
      <c r="E21">
        <f t="shared" si="6"/>
        <v>2.02</v>
      </c>
      <c r="K21">
        <f t="shared" si="2"/>
        <v>1.2150000000000001</v>
      </c>
      <c r="Q21">
        <f t="shared" si="0"/>
        <v>-0.32000000000000006</v>
      </c>
      <c r="R21">
        <f t="shared" si="1"/>
        <v>0.48499999999999988</v>
      </c>
      <c r="S21">
        <f t="shared" si="3"/>
        <v>0.32000000000000006</v>
      </c>
      <c r="T21">
        <f t="shared" si="3"/>
        <v>0.48499999999999988</v>
      </c>
      <c r="U21" s="31">
        <f t="shared" si="4"/>
        <v>18.82352941176471</v>
      </c>
      <c r="V21" s="31">
        <f t="shared" si="5"/>
        <v>28.529411764705877</v>
      </c>
      <c r="W21">
        <v>440.625</v>
      </c>
      <c r="X21">
        <v>353.75</v>
      </c>
    </row>
    <row r="22" spans="1:24" ht="15.5" x14ac:dyDescent="0.35">
      <c r="A22" s="21">
        <v>2.5833333333333299</v>
      </c>
      <c r="B22" s="5">
        <v>4.2</v>
      </c>
      <c r="E22">
        <f t="shared" si="6"/>
        <v>1.1800000000000002</v>
      </c>
      <c r="K22">
        <f t="shared" si="2"/>
        <v>0.83499999999999996</v>
      </c>
      <c r="Q22">
        <f t="shared" si="0"/>
        <v>3.02</v>
      </c>
      <c r="R22">
        <f t="shared" si="1"/>
        <v>3.3650000000000002</v>
      </c>
      <c r="S22">
        <f t="shared" si="3"/>
        <v>3.02</v>
      </c>
      <c r="T22">
        <f t="shared" si="3"/>
        <v>3.3650000000000002</v>
      </c>
      <c r="U22" s="31">
        <f t="shared" si="4"/>
        <v>71.904761904761898</v>
      </c>
      <c r="V22" s="31">
        <f t="shared" si="5"/>
        <v>80.11904761904762</v>
      </c>
      <c r="W22">
        <v>38.235294117647058</v>
      </c>
      <c r="X22">
        <v>68.529411764705884</v>
      </c>
    </row>
    <row r="23" spans="1:24" ht="15.5" x14ac:dyDescent="0.35">
      <c r="A23" s="21">
        <v>2.7083333333333299</v>
      </c>
      <c r="B23" s="5">
        <v>5.0999999999999996</v>
      </c>
      <c r="E23">
        <f t="shared" si="6"/>
        <v>1.3199999999999998</v>
      </c>
      <c r="K23">
        <f t="shared" si="2"/>
        <v>1.375</v>
      </c>
      <c r="Q23">
        <f t="shared" si="0"/>
        <v>3.78</v>
      </c>
      <c r="R23">
        <f t="shared" si="1"/>
        <v>3.7249999999999996</v>
      </c>
      <c r="S23">
        <f t="shared" si="3"/>
        <v>3.78</v>
      </c>
      <c r="T23">
        <f t="shared" si="3"/>
        <v>3.7249999999999996</v>
      </c>
      <c r="U23" s="31">
        <f t="shared" si="4"/>
        <v>74.117647058823536</v>
      </c>
      <c r="V23" s="31">
        <f t="shared" si="5"/>
        <v>73.039215686274503</v>
      </c>
      <c r="W23">
        <v>85.714285714285708</v>
      </c>
      <c r="X23">
        <v>86.309523809523796</v>
      </c>
    </row>
    <row r="24" spans="1:24" ht="15.5" x14ac:dyDescent="0.35">
      <c r="A24" s="21">
        <v>2.8333333333333299</v>
      </c>
      <c r="B24" s="5">
        <v>1.5</v>
      </c>
      <c r="E24">
        <f t="shared" si="6"/>
        <v>2.02</v>
      </c>
      <c r="K24">
        <f t="shared" si="2"/>
        <v>2.3250000000000002</v>
      </c>
      <c r="Q24">
        <f t="shared" si="0"/>
        <v>-0.52</v>
      </c>
      <c r="R24">
        <f t="shared" si="1"/>
        <v>-0.82500000000000018</v>
      </c>
      <c r="S24">
        <f t="shared" si="3"/>
        <v>0.52</v>
      </c>
      <c r="T24">
        <f t="shared" si="3"/>
        <v>0.82500000000000018</v>
      </c>
      <c r="U24" s="31">
        <f t="shared" si="4"/>
        <v>34.666666666666671</v>
      </c>
      <c r="V24" s="31">
        <f t="shared" si="5"/>
        <v>55.000000000000014</v>
      </c>
      <c r="W24">
        <v>75.490196078431367</v>
      </c>
      <c r="X24">
        <v>64.607843137254903</v>
      </c>
    </row>
    <row r="25" spans="1:24" ht="15.5" x14ac:dyDescent="0.35">
      <c r="A25" s="21">
        <v>2.9583333333333299</v>
      </c>
      <c r="B25" s="5">
        <v>-1</v>
      </c>
      <c r="E25">
        <f t="shared" si="6"/>
        <v>2.34</v>
      </c>
      <c r="K25">
        <f t="shared" si="2"/>
        <v>2.41</v>
      </c>
      <c r="Q25">
        <f t="shared" si="0"/>
        <v>-3.34</v>
      </c>
      <c r="R25">
        <f t="shared" si="1"/>
        <v>-3.41</v>
      </c>
      <c r="S25">
        <f t="shared" si="3"/>
        <v>3.34</v>
      </c>
      <c r="T25">
        <f t="shared" si="3"/>
        <v>3.41</v>
      </c>
      <c r="U25" s="31">
        <f t="shared" si="4"/>
        <v>334</v>
      </c>
      <c r="V25" s="31">
        <f t="shared" si="5"/>
        <v>341</v>
      </c>
      <c r="W25">
        <v>69.999999999999986</v>
      </c>
      <c r="X25">
        <v>117.66666666666667</v>
      </c>
    </row>
    <row r="26" spans="1:24" ht="15.5" x14ac:dyDescent="0.35">
      <c r="A26" s="21">
        <v>3.0833333333333299</v>
      </c>
      <c r="B26" s="5">
        <v>-3.8</v>
      </c>
      <c r="E26">
        <f t="shared" si="6"/>
        <v>2.2999999999999998</v>
      </c>
      <c r="K26">
        <f t="shared" si="2"/>
        <v>1.87</v>
      </c>
      <c r="Q26">
        <f t="shared" si="0"/>
        <v>-6.1</v>
      </c>
      <c r="R26">
        <f t="shared" si="1"/>
        <v>-5.67</v>
      </c>
      <c r="S26">
        <f t="shared" si="3"/>
        <v>6.1</v>
      </c>
      <c r="T26">
        <f t="shared" si="3"/>
        <v>5.67</v>
      </c>
      <c r="U26" s="31">
        <f t="shared" si="4"/>
        <v>160.52631578947367</v>
      </c>
      <c r="V26" s="31">
        <f t="shared" si="5"/>
        <v>149.21052631578948</v>
      </c>
      <c r="W26">
        <v>412.5</v>
      </c>
      <c r="X26">
        <v>415.00000000000006</v>
      </c>
    </row>
    <row r="27" spans="1:24" ht="15.5" x14ac:dyDescent="0.35">
      <c r="A27" s="21">
        <v>3.2083333333333299</v>
      </c>
      <c r="B27" s="5">
        <v>-4</v>
      </c>
      <c r="E27">
        <f t="shared" si="6"/>
        <v>1.2000000000000002</v>
      </c>
      <c r="K27">
        <f t="shared" si="2"/>
        <v>0.33500000000000002</v>
      </c>
      <c r="Q27">
        <f t="shared" si="0"/>
        <v>-5.2</v>
      </c>
      <c r="R27">
        <f t="shared" si="1"/>
        <v>-4.335</v>
      </c>
      <c r="S27">
        <f t="shared" si="3"/>
        <v>5.2</v>
      </c>
      <c r="T27">
        <f t="shared" si="3"/>
        <v>4.335</v>
      </c>
      <c r="U27" s="31">
        <f t="shared" si="4"/>
        <v>130</v>
      </c>
      <c r="V27" s="31">
        <f t="shared" si="5"/>
        <v>108.375</v>
      </c>
      <c r="W27">
        <v>164.47368421052633</v>
      </c>
      <c r="X27">
        <v>146.05263157894737</v>
      </c>
    </row>
    <row r="28" spans="1:24" ht="15.5" x14ac:dyDescent="0.35">
      <c r="A28" s="21">
        <v>3.3333333333333299</v>
      </c>
      <c r="B28" s="5">
        <v>-2.8</v>
      </c>
      <c r="E28">
        <f t="shared" si="6"/>
        <v>-0.44000000000000006</v>
      </c>
      <c r="K28">
        <f t="shared" si="2"/>
        <v>-1.2250000000000001</v>
      </c>
      <c r="Q28">
        <f t="shared" si="0"/>
        <v>-2.36</v>
      </c>
      <c r="R28">
        <f t="shared" si="1"/>
        <v>-1.5749999999999997</v>
      </c>
      <c r="S28">
        <f t="shared" si="3"/>
        <v>2.36</v>
      </c>
      <c r="T28">
        <f t="shared" si="3"/>
        <v>1.5749999999999997</v>
      </c>
      <c r="U28" s="31">
        <f t="shared" si="4"/>
        <v>84.285714285714292</v>
      </c>
      <c r="V28" s="31">
        <f t="shared" si="5"/>
        <v>56.249999999999986</v>
      </c>
      <c r="W28">
        <v>111.25</v>
      </c>
      <c r="X28">
        <v>85.875</v>
      </c>
    </row>
    <row r="29" spans="1:24" ht="15.5" x14ac:dyDescent="0.35">
      <c r="A29" s="21">
        <v>3.4583333333333299</v>
      </c>
      <c r="B29" s="5">
        <v>-2.9</v>
      </c>
      <c r="E29">
        <f t="shared" si="6"/>
        <v>-2.02</v>
      </c>
      <c r="K29">
        <f t="shared" si="2"/>
        <v>-2.2599999999999998</v>
      </c>
      <c r="Q29">
        <f t="shared" si="0"/>
        <v>-0.87999999999999989</v>
      </c>
      <c r="R29">
        <f t="shared" si="1"/>
        <v>-0.64000000000000012</v>
      </c>
      <c r="S29">
        <f t="shared" si="3"/>
        <v>0.87999999999999989</v>
      </c>
      <c r="T29">
        <f t="shared" si="3"/>
        <v>0.64000000000000012</v>
      </c>
      <c r="U29" s="31">
        <f t="shared" si="4"/>
        <v>30.344827586206897</v>
      </c>
      <c r="V29" s="31">
        <f t="shared" si="5"/>
        <v>22.068965517241384</v>
      </c>
      <c r="W29">
        <v>34.821428571428569</v>
      </c>
      <c r="X29">
        <v>10.178571428571418</v>
      </c>
    </row>
    <row r="30" spans="1:24" ht="15.5" x14ac:dyDescent="0.35">
      <c r="A30" s="21">
        <v>3.5833333333333299</v>
      </c>
      <c r="B30" s="5">
        <v>-1.1000000000000001</v>
      </c>
      <c r="E30">
        <f t="shared" si="6"/>
        <v>-2.9000000000000004</v>
      </c>
      <c r="K30">
        <f t="shared" si="2"/>
        <v>-2.7549999999999999</v>
      </c>
      <c r="Q30">
        <f t="shared" si="0"/>
        <v>1.8000000000000003</v>
      </c>
      <c r="R30">
        <f t="shared" si="1"/>
        <v>1.6549999999999998</v>
      </c>
      <c r="S30">
        <f t="shared" si="3"/>
        <v>1.8000000000000003</v>
      </c>
      <c r="T30">
        <f t="shared" si="3"/>
        <v>1.6549999999999998</v>
      </c>
      <c r="U30" s="31">
        <f t="shared" si="4"/>
        <v>163.63636363636365</v>
      </c>
      <c r="V30" s="31">
        <f t="shared" si="5"/>
        <v>150.45454545454541</v>
      </c>
      <c r="W30">
        <v>1.5313421029312505E-14</v>
      </c>
      <c r="X30">
        <v>6.551724137931032</v>
      </c>
    </row>
    <row r="31" spans="1:24" ht="15.5" x14ac:dyDescent="0.35">
      <c r="A31" s="21">
        <v>3.7083333333333299</v>
      </c>
      <c r="B31" s="5">
        <v>1.2</v>
      </c>
      <c r="E31">
        <f t="shared" si="6"/>
        <v>-2.92</v>
      </c>
      <c r="K31">
        <f t="shared" si="2"/>
        <v>-2.395</v>
      </c>
      <c r="Q31">
        <f t="shared" si="0"/>
        <v>4.12</v>
      </c>
      <c r="R31">
        <f t="shared" si="1"/>
        <v>3.5949999999999998</v>
      </c>
      <c r="S31">
        <f t="shared" si="3"/>
        <v>4.12</v>
      </c>
      <c r="T31">
        <f t="shared" si="3"/>
        <v>3.5949999999999998</v>
      </c>
      <c r="U31" s="31">
        <f t="shared" si="4"/>
        <v>343.33333333333337</v>
      </c>
      <c r="V31" s="31">
        <f t="shared" si="5"/>
        <v>299.58333333333331</v>
      </c>
      <c r="W31">
        <v>206.81818181818178</v>
      </c>
      <c r="X31">
        <v>193.18181818181816</v>
      </c>
    </row>
    <row r="32" spans="1:24" ht="15.5" x14ac:dyDescent="0.35">
      <c r="A32" s="21">
        <v>3.8333333333333299</v>
      </c>
      <c r="B32" s="5">
        <v>-1.4</v>
      </c>
      <c r="E32">
        <f>SUM(B27:B31)/5</f>
        <v>-1.92</v>
      </c>
      <c r="K32">
        <f t="shared" si="2"/>
        <v>-1.32</v>
      </c>
      <c r="Q32">
        <f t="shared" si="0"/>
        <v>0.52</v>
      </c>
      <c r="R32">
        <f t="shared" si="1"/>
        <v>-7.9999999999999849E-2</v>
      </c>
      <c r="S32">
        <f t="shared" si="3"/>
        <v>0.52</v>
      </c>
      <c r="T32">
        <f t="shared" si="3"/>
        <v>7.9999999999999849E-2</v>
      </c>
      <c r="U32" s="31">
        <f t="shared" si="4"/>
        <v>37.142857142857146</v>
      </c>
      <c r="V32" s="31">
        <f t="shared" si="5"/>
        <v>5.7142857142857038</v>
      </c>
      <c r="W32">
        <v>324.99999999999994</v>
      </c>
      <c r="X32">
        <v>301.25</v>
      </c>
    </row>
    <row r="33" spans="1:24" ht="15.5" x14ac:dyDescent="0.35">
      <c r="A33" s="21">
        <v>3.9583333333333299</v>
      </c>
      <c r="B33" s="5">
        <v>-1.3</v>
      </c>
      <c r="E33">
        <f>SUM(B28:B32)/5</f>
        <v>-1.3999999999999997</v>
      </c>
      <c r="K33">
        <f>(B28*10+B29*15+B30*20+B31*20+B32*25)/100</f>
        <v>-1.0449999999999999</v>
      </c>
      <c r="Q33">
        <f t="shared" si="0"/>
        <v>9.9999999999999645E-2</v>
      </c>
      <c r="R33">
        <f t="shared" si="1"/>
        <v>-0.25500000000000012</v>
      </c>
      <c r="S33">
        <f t="shared" si="3"/>
        <v>9.9999999999999645E-2</v>
      </c>
      <c r="T33">
        <f t="shared" si="3"/>
        <v>0.25500000000000012</v>
      </c>
      <c r="U33" s="31">
        <f t="shared" si="4"/>
        <v>7.692307692307665</v>
      </c>
      <c r="V33" s="31">
        <f t="shared" si="5"/>
        <v>19.615384615384624</v>
      </c>
      <c r="W33">
        <v>0</v>
      </c>
      <c r="X33">
        <v>34.999999999999993</v>
      </c>
    </row>
    <row r="34" spans="1:24" x14ac:dyDescent="0.35">
      <c r="E34">
        <f>SUM(B29:B33)/5</f>
        <v>-1.0999999999999999</v>
      </c>
      <c r="K34">
        <f>(B29*10+B30*15+B31*20+B32*20+B33*25)/100</f>
        <v>-0.82</v>
      </c>
    </row>
    <row r="36" spans="1:24" x14ac:dyDescent="0.35">
      <c r="S36">
        <f>SUM(S7:S33)/27</f>
        <v>2.2659259259259263</v>
      </c>
      <c r="T36">
        <f>SUM(T7:T33)/27</f>
        <v>2.1264814814814819</v>
      </c>
      <c r="W36">
        <f>SUM(U7:U33)/27</f>
        <v>262.04413538619838</v>
      </c>
      <c r="X36">
        <f>SUM(V7:V33)/27</f>
        <v>230.23782724629726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zoomScale="90" zoomScaleNormal="90" workbookViewId="0">
      <selection activeCell="E7" sqref="E7"/>
    </sheetView>
  </sheetViews>
  <sheetFormatPr defaultRowHeight="14.5" x14ac:dyDescent="0.35"/>
  <cols>
    <col min="2" max="2" width="10.453125" customWidth="1"/>
  </cols>
  <sheetData>
    <row r="1" spans="1:29" ht="26.5" thickBot="1" x14ac:dyDescent="0.4">
      <c r="A1" s="3" t="s">
        <v>12</v>
      </c>
      <c r="B1" s="28" t="s">
        <v>13</v>
      </c>
      <c r="E1" t="s">
        <v>14</v>
      </c>
      <c r="K1" t="s">
        <v>15</v>
      </c>
      <c r="Q1" t="s">
        <v>16</v>
      </c>
      <c r="AB1" t="s">
        <v>17</v>
      </c>
    </row>
    <row r="2" spans="1:29" ht="15.5" x14ac:dyDescent="0.35">
      <c r="A2" s="21">
        <v>8.3333333333333329E-2</v>
      </c>
      <c r="B2" s="5">
        <v>1.7</v>
      </c>
      <c r="Q2" t="s">
        <v>18</v>
      </c>
      <c r="S2" t="s">
        <v>19</v>
      </c>
      <c r="U2" t="s">
        <v>20</v>
      </c>
      <c r="W2" t="s">
        <v>21</v>
      </c>
      <c r="Y2" t="s">
        <v>22</v>
      </c>
    </row>
    <row r="3" spans="1:29" ht="15.5" x14ac:dyDescent="0.35">
      <c r="A3" s="21">
        <v>0.20833333333333334</v>
      </c>
      <c r="B3" s="5">
        <v>2.6</v>
      </c>
    </row>
    <row r="4" spans="1:29" ht="15.5" x14ac:dyDescent="0.35">
      <c r="A4" s="21">
        <v>0.33333333333333331</v>
      </c>
      <c r="B4" s="5">
        <v>1.4</v>
      </c>
    </row>
    <row r="5" spans="1:29" ht="15.5" x14ac:dyDescent="0.35">
      <c r="A5" s="21">
        <v>0.45833333333333331</v>
      </c>
      <c r="B5" s="5">
        <v>4.4000000000000004</v>
      </c>
    </row>
    <row r="6" spans="1:29" ht="15.5" x14ac:dyDescent="0.35">
      <c r="A6" s="21">
        <v>0.58333333333333337</v>
      </c>
      <c r="B6" s="5">
        <v>6.6</v>
      </c>
      <c r="E6">
        <f>SUM(B2:B5)/4</f>
        <v>2.5249999999999999</v>
      </c>
      <c r="K6">
        <f>(B2*15+B3*20+B4*30+B5*35)/100</f>
        <v>2.7349999999999999</v>
      </c>
      <c r="Q6">
        <f>B6-E6</f>
        <v>4.0749999999999993</v>
      </c>
      <c r="R6">
        <f>B6-K6</f>
        <v>3.8649999999999998</v>
      </c>
      <c r="S6">
        <f>ABS(Q6)</f>
        <v>4.0749999999999993</v>
      </c>
      <c r="T6">
        <f>ABS(R6)</f>
        <v>3.8649999999999998</v>
      </c>
      <c r="U6" s="31">
        <f>((ABS(Q6))/(ABS(B6)))*100</f>
        <v>61.742424242424235</v>
      </c>
      <c r="V6" s="31">
        <f>((ABS(R6))/(ABS(B6)))*100</f>
        <v>58.560606060606055</v>
      </c>
      <c r="W6">
        <v>61.742424242424235</v>
      </c>
      <c r="X6">
        <v>58.560606060606055</v>
      </c>
      <c r="Y6">
        <f>((SUMSQ(Q6:Q33))^0.5)/28</f>
        <v>0.54094617833675729</v>
      </c>
      <c r="Z6">
        <f>((SUMSQ(R6:R33))^0.5)/28</f>
        <v>0.5001544404338667</v>
      </c>
      <c r="AB6" s="32">
        <f>((SUMSQ(Q6:Q33))^0.5)/((SUMSQ(B6:B33)^0.5))</f>
        <v>0.77315267173144187</v>
      </c>
      <c r="AC6" s="32">
        <f>((SUMSQ(R6:R33))^0.5)/((SUMSQ(B6:B33)^0.5))</f>
        <v>0.71485067717597794</v>
      </c>
    </row>
    <row r="7" spans="1:29" ht="15.5" x14ac:dyDescent="0.35">
      <c r="A7" s="21">
        <v>0.70833333333333337</v>
      </c>
      <c r="B7" s="5">
        <v>7.1</v>
      </c>
      <c r="E7">
        <f t="shared" ref="E7:E32" si="0">SUM(B3:B6)/4</f>
        <v>3.75</v>
      </c>
      <c r="K7">
        <f t="shared" ref="K7:K33" si="1">(B3*15+B4*20+B5*30+B6*35)/100</f>
        <v>4.3</v>
      </c>
      <c r="Q7">
        <f t="shared" ref="Q7:Q32" si="2">B7-E7</f>
        <v>3.3499999999999996</v>
      </c>
      <c r="R7">
        <f t="shared" ref="R7:R33" si="3">B7-K7</f>
        <v>2.8</v>
      </c>
      <c r="S7">
        <f t="shared" ref="S7:S33" si="4">ABS(Q7)</f>
        <v>3.3499999999999996</v>
      </c>
      <c r="T7">
        <f t="shared" ref="T7:T33" si="5">ABS(R7)</f>
        <v>2.8</v>
      </c>
      <c r="U7" s="31">
        <f t="shared" ref="U7:U33" si="6">((ABS(Q7))/(ABS(B7)))*100</f>
        <v>47.183098591549296</v>
      </c>
      <c r="V7" s="31">
        <f t="shared" ref="V7:V33" si="7">((ABS(R7))/(ABS(B7)))*100</f>
        <v>39.436619718309856</v>
      </c>
      <c r="W7">
        <v>47.183098591549296</v>
      </c>
      <c r="X7">
        <v>39.436619718309856</v>
      </c>
    </row>
    <row r="8" spans="1:29" ht="15.5" x14ac:dyDescent="0.35">
      <c r="A8" s="21">
        <v>0.83333333333333337</v>
      </c>
      <c r="B8" s="5">
        <v>4.2</v>
      </c>
      <c r="E8">
        <f t="shared" si="0"/>
        <v>4.875</v>
      </c>
      <c r="K8">
        <f t="shared" si="1"/>
        <v>5.5549999999999997</v>
      </c>
      <c r="Q8">
        <f t="shared" si="2"/>
        <v>-0.67499999999999982</v>
      </c>
      <c r="R8">
        <f t="shared" si="3"/>
        <v>-1.3549999999999995</v>
      </c>
      <c r="S8">
        <f t="shared" si="4"/>
        <v>0.67499999999999982</v>
      </c>
      <c r="T8">
        <f t="shared" si="5"/>
        <v>1.3549999999999995</v>
      </c>
      <c r="U8" s="31">
        <f t="shared" si="6"/>
        <v>16.071428571428566</v>
      </c>
      <c r="V8" s="31">
        <f t="shared" si="7"/>
        <v>32.261904761904745</v>
      </c>
      <c r="W8">
        <v>16.071428571428566</v>
      </c>
      <c r="X8">
        <v>32.261904761904745</v>
      </c>
    </row>
    <row r="9" spans="1:29" ht="15.5" x14ac:dyDescent="0.35">
      <c r="A9" s="21">
        <v>0.95833333333333337</v>
      </c>
      <c r="B9" s="5">
        <v>3.7</v>
      </c>
      <c r="E9">
        <f t="shared" si="0"/>
        <v>5.5750000000000002</v>
      </c>
      <c r="K9">
        <f t="shared" si="1"/>
        <v>5.58</v>
      </c>
      <c r="Q9">
        <f t="shared" si="2"/>
        <v>-1.875</v>
      </c>
      <c r="R9">
        <f t="shared" si="3"/>
        <v>-1.88</v>
      </c>
      <c r="S9">
        <f t="shared" si="4"/>
        <v>1.875</v>
      </c>
      <c r="T9">
        <f t="shared" si="5"/>
        <v>1.88</v>
      </c>
      <c r="U9" s="31">
        <f t="shared" si="6"/>
        <v>50.67567567567567</v>
      </c>
      <c r="V9" s="31">
        <f t="shared" si="7"/>
        <v>50.8108108108108</v>
      </c>
      <c r="W9">
        <v>50.67567567567567</v>
      </c>
      <c r="X9">
        <v>50.8108108108108</v>
      </c>
    </row>
    <row r="10" spans="1:29" ht="15.5" x14ac:dyDescent="0.35">
      <c r="A10" s="21">
        <v>1.0833333333333299</v>
      </c>
      <c r="B10" s="5">
        <v>5.9</v>
      </c>
      <c r="E10">
        <f t="shared" si="0"/>
        <v>5.3999999999999995</v>
      </c>
      <c r="K10">
        <f t="shared" si="1"/>
        <v>4.9649999999999999</v>
      </c>
      <c r="Q10">
        <f t="shared" si="2"/>
        <v>0.50000000000000089</v>
      </c>
      <c r="R10">
        <f t="shared" si="3"/>
        <v>0.9350000000000005</v>
      </c>
      <c r="S10">
        <f t="shared" si="4"/>
        <v>0.50000000000000089</v>
      </c>
      <c r="T10">
        <f t="shared" si="5"/>
        <v>0.9350000000000005</v>
      </c>
      <c r="U10" s="31">
        <f t="shared" si="6"/>
        <v>8.4745762711864554</v>
      </c>
      <c r="V10" s="31">
        <f t="shared" si="7"/>
        <v>15.847457627118652</v>
      </c>
      <c r="W10">
        <v>8.4745762711864554</v>
      </c>
      <c r="X10">
        <v>15.847457627118652</v>
      </c>
    </row>
    <row r="11" spans="1:29" ht="15.5" x14ac:dyDescent="0.35">
      <c r="A11" s="21">
        <v>1.2083333333333299</v>
      </c>
      <c r="B11" s="5">
        <v>3</v>
      </c>
      <c r="E11">
        <f t="shared" si="0"/>
        <v>5.2249999999999996</v>
      </c>
      <c r="K11">
        <f t="shared" si="1"/>
        <v>5.08</v>
      </c>
      <c r="Q11">
        <f t="shared" si="2"/>
        <v>-2.2249999999999996</v>
      </c>
      <c r="R11">
        <f t="shared" si="3"/>
        <v>-2.08</v>
      </c>
      <c r="S11">
        <f t="shared" si="4"/>
        <v>2.2249999999999996</v>
      </c>
      <c r="T11">
        <f t="shared" si="5"/>
        <v>2.08</v>
      </c>
      <c r="U11" s="31">
        <f t="shared" si="6"/>
        <v>74.166666666666657</v>
      </c>
      <c r="V11" s="31">
        <f t="shared" si="7"/>
        <v>69.333333333333343</v>
      </c>
      <c r="W11">
        <v>74.166666666666657</v>
      </c>
      <c r="X11">
        <v>69.333333333333343</v>
      </c>
    </row>
    <row r="12" spans="1:29" ht="15.5" x14ac:dyDescent="0.35">
      <c r="A12" s="21">
        <v>1.3333333333333299</v>
      </c>
      <c r="B12" s="5">
        <v>0.8</v>
      </c>
      <c r="E12">
        <f t="shared" si="0"/>
        <v>4.2</v>
      </c>
      <c r="K12">
        <f t="shared" si="1"/>
        <v>4.1900000000000004</v>
      </c>
      <c r="Q12">
        <f t="shared" si="2"/>
        <v>-3.4000000000000004</v>
      </c>
      <c r="R12">
        <f t="shared" si="3"/>
        <v>-3.3900000000000006</v>
      </c>
      <c r="S12">
        <f t="shared" si="4"/>
        <v>3.4000000000000004</v>
      </c>
      <c r="T12">
        <f t="shared" si="5"/>
        <v>3.3900000000000006</v>
      </c>
      <c r="U12" s="31">
        <f t="shared" si="6"/>
        <v>425</v>
      </c>
      <c r="V12" s="31">
        <f t="shared" si="7"/>
        <v>423.75000000000006</v>
      </c>
      <c r="W12">
        <v>425</v>
      </c>
      <c r="X12">
        <v>423.75000000000006</v>
      </c>
    </row>
    <row r="13" spans="1:29" ht="15.5" x14ac:dyDescent="0.35">
      <c r="A13" s="21">
        <v>1.4583333333333299</v>
      </c>
      <c r="B13" s="5">
        <v>4.3</v>
      </c>
      <c r="E13">
        <f t="shared" si="0"/>
        <v>3.3500000000000005</v>
      </c>
      <c r="K13">
        <f t="shared" si="1"/>
        <v>2.915</v>
      </c>
      <c r="Q13">
        <f t="shared" si="2"/>
        <v>0.94999999999999929</v>
      </c>
      <c r="R13">
        <f t="shared" si="3"/>
        <v>1.3849999999999998</v>
      </c>
      <c r="S13">
        <f t="shared" si="4"/>
        <v>0.94999999999999929</v>
      </c>
      <c r="T13">
        <f t="shared" si="5"/>
        <v>1.3849999999999998</v>
      </c>
      <c r="U13" s="31">
        <f t="shared" si="6"/>
        <v>22.093023255813936</v>
      </c>
      <c r="V13" s="31">
        <f t="shared" si="7"/>
        <v>32.20930232558139</v>
      </c>
      <c r="W13">
        <v>22.093023255813936</v>
      </c>
      <c r="X13">
        <v>32.20930232558139</v>
      </c>
    </row>
    <row r="14" spans="1:29" ht="15.5" x14ac:dyDescent="0.35">
      <c r="A14" s="21">
        <v>1.5833333333333299</v>
      </c>
      <c r="B14" s="5">
        <v>3.5</v>
      </c>
      <c r="E14">
        <f t="shared" si="0"/>
        <v>3.5</v>
      </c>
      <c r="K14">
        <f t="shared" si="1"/>
        <v>3.23</v>
      </c>
      <c r="Q14">
        <f t="shared" si="2"/>
        <v>0</v>
      </c>
      <c r="R14">
        <f t="shared" si="3"/>
        <v>0.27</v>
      </c>
      <c r="S14">
        <f t="shared" si="4"/>
        <v>0</v>
      </c>
      <c r="T14">
        <f t="shared" si="5"/>
        <v>0.27</v>
      </c>
      <c r="U14" s="31">
        <f t="shared" si="6"/>
        <v>0</v>
      </c>
      <c r="V14" s="31">
        <f t="shared" si="7"/>
        <v>7.7142857142857153</v>
      </c>
      <c r="W14">
        <v>0</v>
      </c>
      <c r="X14">
        <v>7.7142857142857153</v>
      </c>
    </row>
    <row r="15" spans="1:29" ht="15.5" x14ac:dyDescent="0.35">
      <c r="A15" s="21">
        <v>1.7083333333333299</v>
      </c>
      <c r="B15" s="5">
        <v>5.5</v>
      </c>
      <c r="E15">
        <f t="shared" si="0"/>
        <v>2.9</v>
      </c>
      <c r="K15">
        <f t="shared" si="1"/>
        <v>3.125</v>
      </c>
      <c r="Q15">
        <f t="shared" si="2"/>
        <v>2.6</v>
      </c>
      <c r="R15">
        <f t="shared" si="3"/>
        <v>2.375</v>
      </c>
      <c r="S15">
        <f t="shared" si="4"/>
        <v>2.6</v>
      </c>
      <c r="T15">
        <f t="shared" si="5"/>
        <v>2.375</v>
      </c>
      <c r="U15" s="31">
        <f t="shared" si="6"/>
        <v>47.272727272727273</v>
      </c>
      <c r="V15" s="31">
        <f t="shared" si="7"/>
        <v>43.18181818181818</v>
      </c>
      <c r="W15">
        <v>47.272727272727273</v>
      </c>
      <c r="X15">
        <v>43.18181818181818</v>
      </c>
    </row>
    <row r="16" spans="1:29" ht="15.5" x14ac:dyDescent="0.35">
      <c r="A16" s="21">
        <v>1.8333333333333299</v>
      </c>
      <c r="B16" s="5">
        <v>5.9</v>
      </c>
      <c r="E16">
        <f t="shared" si="0"/>
        <v>3.5249999999999999</v>
      </c>
      <c r="K16">
        <f t="shared" si="1"/>
        <v>3.9550000000000001</v>
      </c>
      <c r="Q16">
        <f t="shared" si="2"/>
        <v>2.3750000000000004</v>
      </c>
      <c r="R16">
        <f t="shared" si="3"/>
        <v>1.9450000000000003</v>
      </c>
      <c r="S16">
        <f t="shared" si="4"/>
        <v>2.3750000000000004</v>
      </c>
      <c r="T16">
        <f t="shared" si="5"/>
        <v>1.9450000000000003</v>
      </c>
      <c r="U16" s="31">
        <f t="shared" si="6"/>
        <v>40.254237288135599</v>
      </c>
      <c r="V16" s="31">
        <f t="shared" si="7"/>
        <v>32.96610169491526</v>
      </c>
      <c r="W16">
        <v>40.254237288135599</v>
      </c>
      <c r="X16">
        <v>32.96610169491526</v>
      </c>
    </row>
    <row r="17" spans="1:24" ht="15.5" x14ac:dyDescent="0.35">
      <c r="A17" s="21">
        <v>1.9583333333333299</v>
      </c>
      <c r="B17" s="5">
        <v>3.5</v>
      </c>
      <c r="E17">
        <f t="shared" si="0"/>
        <v>4.8000000000000007</v>
      </c>
      <c r="K17">
        <f t="shared" si="1"/>
        <v>5.0599999999999996</v>
      </c>
      <c r="Q17">
        <f t="shared" si="2"/>
        <v>-1.3000000000000007</v>
      </c>
      <c r="R17">
        <f t="shared" si="3"/>
        <v>-1.5599999999999996</v>
      </c>
      <c r="S17">
        <f t="shared" si="4"/>
        <v>1.3000000000000007</v>
      </c>
      <c r="T17">
        <f t="shared" si="5"/>
        <v>1.5599999999999996</v>
      </c>
      <c r="U17" s="31">
        <f t="shared" si="6"/>
        <v>37.14285714285716</v>
      </c>
      <c r="V17" s="31">
        <f t="shared" si="7"/>
        <v>44.571428571428562</v>
      </c>
      <c r="W17">
        <v>37.14285714285716</v>
      </c>
      <c r="X17">
        <v>44.571428571428562</v>
      </c>
    </row>
    <row r="18" spans="1:24" ht="15.5" x14ac:dyDescent="0.35">
      <c r="A18" s="21">
        <v>2.0833333333333299</v>
      </c>
      <c r="B18" s="5">
        <v>1.6</v>
      </c>
      <c r="E18">
        <f t="shared" si="0"/>
        <v>4.5999999999999996</v>
      </c>
      <c r="K18">
        <f t="shared" si="1"/>
        <v>4.62</v>
      </c>
      <c r="Q18">
        <f t="shared" si="2"/>
        <v>-2.9999999999999996</v>
      </c>
      <c r="R18">
        <f t="shared" si="3"/>
        <v>-3.02</v>
      </c>
      <c r="S18">
        <f t="shared" si="4"/>
        <v>2.9999999999999996</v>
      </c>
      <c r="T18">
        <f t="shared" si="5"/>
        <v>3.02</v>
      </c>
      <c r="U18" s="31">
        <f t="shared" si="6"/>
        <v>187.49999999999994</v>
      </c>
      <c r="V18" s="31">
        <f t="shared" si="7"/>
        <v>188.75</v>
      </c>
      <c r="W18">
        <v>187.49999999999994</v>
      </c>
      <c r="X18">
        <v>188.75</v>
      </c>
    </row>
    <row r="19" spans="1:24" ht="15.5" x14ac:dyDescent="0.35">
      <c r="A19" s="21">
        <v>2.2083333333333299</v>
      </c>
      <c r="B19" s="5">
        <v>-0.1</v>
      </c>
      <c r="E19">
        <f t="shared" si="0"/>
        <v>4.125</v>
      </c>
      <c r="K19">
        <f t="shared" si="1"/>
        <v>3.6150000000000002</v>
      </c>
      <c r="Q19">
        <f t="shared" si="2"/>
        <v>-4.2249999999999996</v>
      </c>
      <c r="R19">
        <f t="shared" si="3"/>
        <v>-3.7150000000000003</v>
      </c>
      <c r="S19">
        <f t="shared" si="4"/>
        <v>4.2249999999999996</v>
      </c>
      <c r="T19">
        <f t="shared" si="5"/>
        <v>3.7150000000000003</v>
      </c>
      <c r="U19" s="31">
        <f t="shared" si="6"/>
        <v>4224.9999999999991</v>
      </c>
      <c r="V19" s="31">
        <f t="shared" si="7"/>
        <v>3715</v>
      </c>
      <c r="W19">
        <v>4224.9999999999991</v>
      </c>
      <c r="X19">
        <v>3715</v>
      </c>
    </row>
    <row r="20" spans="1:24" ht="15.5" x14ac:dyDescent="0.35">
      <c r="A20" s="21">
        <v>2.3333333333333299</v>
      </c>
      <c r="B20" s="5">
        <v>-0.8</v>
      </c>
      <c r="E20">
        <f t="shared" si="0"/>
        <v>2.7250000000000001</v>
      </c>
      <c r="K20">
        <f t="shared" si="1"/>
        <v>2.0299999999999998</v>
      </c>
      <c r="Q20">
        <f t="shared" si="2"/>
        <v>-3.5250000000000004</v>
      </c>
      <c r="R20">
        <f t="shared" si="3"/>
        <v>-2.83</v>
      </c>
      <c r="S20">
        <f t="shared" si="4"/>
        <v>3.5250000000000004</v>
      </c>
      <c r="T20">
        <f t="shared" si="5"/>
        <v>2.83</v>
      </c>
      <c r="U20" s="31">
        <f t="shared" si="6"/>
        <v>440.625</v>
      </c>
      <c r="V20" s="31">
        <f t="shared" si="7"/>
        <v>353.75</v>
      </c>
      <c r="W20">
        <v>440.625</v>
      </c>
      <c r="X20">
        <v>353.75</v>
      </c>
    </row>
    <row r="21" spans="1:24" ht="15.5" x14ac:dyDescent="0.35">
      <c r="A21" s="21">
        <v>2.4583333333333299</v>
      </c>
      <c r="B21" s="5">
        <v>1.7</v>
      </c>
      <c r="E21">
        <f t="shared" si="0"/>
        <v>1.05</v>
      </c>
      <c r="K21">
        <f t="shared" si="1"/>
        <v>0.53500000000000003</v>
      </c>
      <c r="Q21">
        <f t="shared" si="2"/>
        <v>0.64999999999999991</v>
      </c>
      <c r="R21">
        <f t="shared" si="3"/>
        <v>1.165</v>
      </c>
      <c r="S21">
        <f t="shared" si="4"/>
        <v>0.64999999999999991</v>
      </c>
      <c r="T21">
        <f t="shared" si="5"/>
        <v>1.165</v>
      </c>
      <c r="U21" s="31">
        <f t="shared" si="6"/>
        <v>38.235294117647058</v>
      </c>
      <c r="V21" s="31">
        <f t="shared" si="7"/>
        <v>68.529411764705884</v>
      </c>
      <c r="W21">
        <v>38.235294117647058</v>
      </c>
      <c r="X21">
        <v>68.529411764705884</v>
      </c>
    </row>
    <row r="22" spans="1:24" ht="15.5" x14ac:dyDescent="0.35">
      <c r="A22" s="21">
        <v>2.5833333333333299</v>
      </c>
      <c r="B22" s="5">
        <v>4.2</v>
      </c>
      <c r="E22">
        <f t="shared" si="0"/>
        <v>0.6</v>
      </c>
      <c r="K22">
        <f t="shared" si="1"/>
        <v>0.57499999999999996</v>
      </c>
      <c r="Q22">
        <f t="shared" si="2"/>
        <v>3.6</v>
      </c>
      <c r="R22">
        <f t="shared" si="3"/>
        <v>3.625</v>
      </c>
      <c r="S22">
        <f t="shared" si="4"/>
        <v>3.6</v>
      </c>
      <c r="T22">
        <f t="shared" si="5"/>
        <v>3.625</v>
      </c>
      <c r="U22" s="31">
        <f t="shared" si="6"/>
        <v>85.714285714285708</v>
      </c>
      <c r="V22" s="31">
        <f t="shared" si="7"/>
        <v>86.309523809523796</v>
      </c>
      <c r="W22">
        <v>85.714285714285708</v>
      </c>
      <c r="X22">
        <v>86.309523809523796</v>
      </c>
    </row>
    <row r="23" spans="1:24" ht="15.5" x14ac:dyDescent="0.35">
      <c r="A23" s="21">
        <v>2.7083333333333299</v>
      </c>
      <c r="B23" s="5">
        <v>5.0999999999999996</v>
      </c>
      <c r="E23">
        <f t="shared" si="0"/>
        <v>1.25</v>
      </c>
      <c r="K23">
        <f t="shared" si="1"/>
        <v>1.8049999999999999</v>
      </c>
      <c r="Q23">
        <f t="shared" si="2"/>
        <v>3.8499999999999996</v>
      </c>
      <c r="R23">
        <f t="shared" si="3"/>
        <v>3.2949999999999999</v>
      </c>
      <c r="S23">
        <f t="shared" si="4"/>
        <v>3.8499999999999996</v>
      </c>
      <c r="T23">
        <f t="shared" si="5"/>
        <v>3.2949999999999999</v>
      </c>
      <c r="U23" s="31">
        <f t="shared" si="6"/>
        <v>75.490196078431367</v>
      </c>
      <c r="V23" s="31">
        <f t="shared" si="7"/>
        <v>64.607843137254903</v>
      </c>
      <c r="W23">
        <v>75.490196078431367</v>
      </c>
      <c r="X23">
        <v>64.607843137254903</v>
      </c>
    </row>
    <row r="24" spans="1:24" ht="15.5" x14ac:dyDescent="0.35">
      <c r="A24" s="21">
        <v>2.8333333333333299</v>
      </c>
      <c r="B24" s="5">
        <v>1.5</v>
      </c>
      <c r="E24">
        <f t="shared" si="0"/>
        <v>2.5499999999999998</v>
      </c>
      <c r="K24">
        <f t="shared" si="1"/>
        <v>3.2650000000000001</v>
      </c>
      <c r="Q24">
        <f t="shared" si="2"/>
        <v>-1.0499999999999998</v>
      </c>
      <c r="R24">
        <f t="shared" si="3"/>
        <v>-1.7650000000000001</v>
      </c>
      <c r="S24">
        <f t="shared" si="4"/>
        <v>1.0499999999999998</v>
      </c>
      <c r="T24">
        <f t="shared" si="5"/>
        <v>1.7650000000000001</v>
      </c>
      <c r="U24" s="31">
        <f t="shared" si="6"/>
        <v>69.999999999999986</v>
      </c>
      <c r="V24" s="31">
        <f t="shared" si="7"/>
        <v>117.66666666666667</v>
      </c>
      <c r="W24">
        <v>69.999999999999986</v>
      </c>
      <c r="X24">
        <v>117.66666666666667</v>
      </c>
    </row>
    <row r="25" spans="1:24" ht="15.5" x14ac:dyDescent="0.35">
      <c r="A25" s="21">
        <v>2.9583333333333299</v>
      </c>
      <c r="B25" s="5">
        <v>-1</v>
      </c>
      <c r="E25">
        <f t="shared" si="0"/>
        <v>3.125</v>
      </c>
      <c r="K25">
        <f t="shared" si="1"/>
        <v>3.15</v>
      </c>
      <c r="Q25">
        <f t="shared" si="2"/>
        <v>-4.125</v>
      </c>
      <c r="R25">
        <f t="shared" si="3"/>
        <v>-4.1500000000000004</v>
      </c>
      <c r="S25">
        <f t="shared" si="4"/>
        <v>4.125</v>
      </c>
      <c r="T25">
        <f t="shared" si="5"/>
        <v>4.1500000000000004</v>
      </c>
      <c r="U25" s="31">
        <f t="shared" si="6"/>
        <v>412.5</v>
      </c>
      <c r="V25" s="31">
        <f t="shared" si="7"/>
        <v>415.00000000000006</v>
      </c>
      <c r="W25">
        <v>412.5</v>
      </c>
      <c r="X25">
        <v>415.00000000000006</v>
      </c>
    </row>
    <row r="26" spans="1:24" ht="15.5" x14ac:dyDescent="0.35">
      <c r="A26" s="21">
        <v>3.0833333333333299</v>
      </c>
      <c r="B26" s="5">
        <v>-3.8</v>
      </c>
      <c r="E26">
        <f t="shared" si="0"/>
        <v>2.4500000000000002</v>
      </c>
      <c r="K26">
        <f t="shared" si="1"/>
        <v>1.75</v>
      </c>
      <c r="Q26">
        <f t="shared" si="2"/>
        <v>-6.25</v>
      </c>
      <c r="R26">
        <f t="shared" si="3"/>
        <v>-5.55</v>
      </c>
      <c r="S26">
        <f t="shared" si="4"/>
        <v>6.25</v>
      </c>
      <c r="T26">
        <f t="shared" si="5"/>
        <v>5.55</v>
      </c>
      <c r="U26" s="31">
        <f t="shared" si="6"/>
        <v>164.47368421052633</v>
      </c>
      <c r="V26" s="31">
        <f t="shared" si="7"/>
        <v>146.05263157894737</v>
      </c>
      <c r="W26">
        <v>164.47368421052633</v>
      </c>
      <c r="X26">
        <v>146.05263157894737</v>
      </c>
    </row>
    <row r="27" spans="1:24" ht="15.5" x14ac:dyDescent="0.35">
      <c r="A27" s="21">
        <v>3.2083333333333299</v>
      </c>
      <c r="B27" s="5">
        <v>-4</v>
      </c>
      <c r="E27">
        <f t="shared" si="0"/>
        <v>0.44999999999999996</v>
      </c>
      <c r="K27">
        <f t="shared" si="1"/>
        <v>-0.56499999999999995</v>
      </c>
      <c r="Q27">
        <f t="shared" si="2"/>
        <v>-4.45</v>
      </c>
      <c r="R27">
        <f t="shared" si="3"/>
        <v>-3.4350000000000001</v>
      </c>
      <c r="S27">
        <f t="shared" si="4"/>
        <v>4.45</v>
      </c>
      <c r="T27">
        <f t="shared" si="5"/>
        <v>3.4350000000000001</v>
      </c>
      <c r="U27" s="31">
        <f t="shared" si="6"/>
        <v>111.25</v>
      </c>
      <c r="V27" s="31">
        <f t="shared" si="7"/>
        <v>85.875</v>
      </c>
      <c r="W27">
        <v>111.25</v>
      </c>
      <c r="X27">
        <v>85.875</v>
      </c>
    </row>
    <row r="28" spans="1:24" ht="15.5" x14ac:dyDescent="0.35">
      <c r="A28" s="21">
        <v>3.3333333333333299</v>
      </c>
      <c r="B28" s="5">
        <v>-2.8</v>
      </c>
      <c r="E28">
        <f t="shared" si="0"/>
        <v>-1.825</v>
      </c>
      <c r="K28">
        <f t="shared" si="1"/>
        <v>-2.5150000000000001</v>
      </c>
      <c r="Q28">
        <f t="shared" si="2"/>
        <v>-0.97499999999999987</v>
      </c>
      <c r="R28">
        <f t="shared" si="3"/>
        <v>-0.2849999999999997</v>
      </c>
      <c r="S28">
        <f t="shared" si="4"/>
        <v>0.97499999999999987</v>
      </c>
      <c r="T28">
        <f t="shared" si="5"/>
        <v>0.2849999999999997</v>
      </c>
      <c r="U28" s="31">
        <f t="shared" si="6"/>
        <v>34.821428571428569</v>
      </c>
      <c r="V28" s="31">
        <f t="shared" si="7"/>
        <v>10.178571428571418</v>
      </c>
      <c r="W28">
        <v>34.821428571428569</v>
      </c>
      <c r="X28">
        <v>10.178571428571418</v>
      </c>
    </row>
    <row r="29" spans="1:24" ht="15.5" x14ac:dyDescent="0.35">
      <c r="A29" s="21">
        <v>3.4583333333333299</v>
      </c>
      <c r="B29" s="5">
        <v>-2.9</v>
      </c>
      <c r="E29">
        <f t="shared" si="0"/>
        <v>-2.9000000000000004</v>
      </c>
      <c r="K29">
        <f t="shared" si="1"/>
        <v>-3.09</v>
      </c>
      <c r="Q29">
        <f t="shared" si="2"/>
        <v>0</v>
      </c>
      <c r="R29">
        <f t="shared" si="3"/>
        <v>0.18999999999999995</v>
      </c>
      <c r="S29">
        <f t="shared" si="4"/>
        <v>0</v>
      </c>
      <c r="T29">
        <f t="shared" si="5"/>
        <v>0.18999999999999995</v>
      </c>
      <c r="U29" s="31">
        <f t="shared" si="6"/>
        <v>0</v>
      </c>
      <c r="V29" s="31">
        <f t="shared" si="7"/>
        <v>6.551724137931032</v>
      </c>
      <c r="W29">
        <v>1.5313421029312505E-14</v>
      </c>
      <c r="X29">
        <v>6.551724137931032</v>
      </c>
    </row>
    <row r="30" spans="1:24" ht="15.5" x14ac:dyDescent="0.35">
      <c r="A30" s="21">
        <v>3.5833333333333299</v>
      </c>
      <c r="B30" s="5">
        <v>-1.1000000000000001</v>
      </c>
      <c r="E30">
        <f t="shared" si="0"/>
        <v>-3.375</v>
      </c>
      <c r="K30">
        <f t="shared" si="1"/>
        <v>-3.2250000000000001</v>
      </c>
      <c r="Q30">
        <f t="shared" si="2"/>
        <v>2.2749999999999999</v>
      </c>
      <c r="R30">
        <f t="shared" si="3"/>
        <v>2.125</v>
      </c>
      <c r="S30">
        <f t="shared" si="4"/>
        <v>2.2749999999999999</v>
      </c>
      <c r="T30">
        <f t="shared" si="5"/>
        <v>2.125</v>
      </c>
      <c r="U30" s="31">
        <f t="shared" si="6"/>
        <v>206.81818181818178</v>
      </c>
      <c r="V30" s="31">
        <f t="shared" si="7"/>
        <v>193.18181818181816</v>
      </c>
      <c r="W30">
        <v>206.81818181818178</v>
      </c>
      <c r="X30">
        <v>193.18181818181816</v>
      </c>
    </row>
    <row r="31" spans="1:24" ht="15.5" x14ac:dyDescent="0.35">
      <c r="A31" s="21">
        <v>3.7083333333333299</v>
      </c>
      <c r="B31" s="5">
        <v>1.2</v>
      </c>
      <c r="E31">
        <f t="shared" si="0"/>
        <v>-2.6999999999999997</v>
      </c>
      <c r="K31">
        <f t="shared" si="1"/>
        <v>-2.415</v>
      </c>
      <c r="Q31">
        <f t="shared" si="2"/>
        <v>3.8999999999999995</v>
      </c>
      <c r="R31">
        <f t="shared" si="3"/>
        <v>3.6150000000000002</v>
      </c>
      <c r="S31">
        <f t="shared" si="4"/>
        <v>3.8999999999999995</v>
      </c>
      <c r="T31">
        <f t="shared" si="5"/>
        <v>3.6150000000000002</v>
      </c>
      <c r="U31" s="31">
        <f t="shared" si="6"/>
        <v>324.99999999999994</v>
      </c>
      <c r="V31" s="31">
        <f t="shared" si="7"/>
        <v>301.25</v>
      </c>
      <c r="W31">
        <v>324.99999999999994</v>
      </c>
      <c r="X31">
        <v>301.25</v>
      </c>
    </row>
    <row r="32" spans="1:24" ht="15.5" x14ac:dyDescent="0.35">
      <c r="A32" s="21">
        <v>3.8333333333333299</v>
      </c>
      <c r="B32" s="5">
        <v>-1.4</v>
      </c>
      <c r="E32">
        <f t="shared" si="0"/>
        <v>-1.3999999999999997</v>
      </c>
      <c r="K32">
        <f t="shared" si="1"/>
        <v>-0.91</v>
      </c>
      <c r="Q32">
        <f t="shared" si="2"/>
        <v>0</v>
      </c>
      <c r="R32">
        <f t="shared" si="3"/>
        <v>-0.48999999999999988</v>
      </c>
      <c r="S32">
        <f t="shared" si="4"/>
        <v>0</v>
      </c>
      <c r="T32">
        <f t="shared" si="5"/>
        <v>0.48999999999999988</v>
      </c>
      <c r="U32" s="31">
        <f>((ABS(Q32))/(ABS(B32)))*100</f>
        <v>0</v>
      </c>
      <c r="V32" s="31">
        <f t="shared" si="7"/>
        <v>34.999999999999993</v>
      </c>
      <c r="W32">
        <v>0</v>
      </c>
      <c r="X32">
        <v>34.999999999999993</v>
      </c>
    </row>
    <row r="33" spans="1:24" ht="15.5" x14ac:dyDescent="0.35">
      <c r="A33" s="21">
        <v>3.9583333333333299</v>
      </c>
      <c r="B33" s="5">
        <v>-1.3</v>
      </c>
      <c r="E33">
        <f>SUM(B29:B32)/4</f>
        <v>-1.0499999999999998</v>
      </c>
      <c r="K33">
        <f t="shared" si="1"/>
        <v>-0.78500000000000003</v>
      </c>
      <c r="Q33">
        <f>B33-E33</f>
        <v>-0.25000000000000022</v>
      </c>
      <c r="R33">
        <f t="shared" si="3"/>
        <v>-0.51500000000000001</v>
      </c>
      <c r="S33">
        <f t="shared" si="4"/>
        <v>0.25000000000000022</v>
      </c>
      <c r="T33">
        <f t="shared" si="5"/>
        <v>0.51500000000000001</v>
      </c>
      <c r="U33" s="31">
        <f t="shared" si="6"/>
        <v>19.230769230769248</v>
      </c>
      <c r="V33" s="31">
        <f t="shared" si="7"/>
        <v>39.615384615384613</v>
      </c>
      <c r="W33">
        <v>19.230769230769248</v>
      </c>
      <c r="X33">
        <v>39.615384615384613</v>
      </c>
    </row>
    <row r="34" spans="1:24" x14ac:dyDescent="0.35">
      <c r="E34">
        <f>SUM(B30:B33)/4</f>
        <v>-0.65</v>
      </c>
      <c r="K34">
        <f>(B30*15+B31*20+B32*30+B33*35)/100</f>
        <v>-0.8</v>
      </c>
    </row>
    <row r="35" spans="1:24" x14ac:dyDescent="0.35">
      <c r="S35">
        <f>SUM(S6:S33)/28</f>
        <v>2.3374999999999999</v>
      </c>
      <c r="T35">
        <f>SUM(T6:T33)/28</f>
        <v>2.2717857142857141</v>
      </c>
      <c r="W35">
        <f>SUM(W6:W33)/28</f>
        <v>258.09769838284762</v>
      </c>
      <c r="X35">
        <f>SUM(X6:X33)/28</f>
        <v>238.49865157574706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5"/>
  <sheetViews>
    <sheetView zoomScale="90" zoomScaleNormal="90" workbookViewId="0">
      <selection activeCell="I11" sqref="I11"/>
    </sheetView>
  </sheetViews>
  <sheetFormatPr defaultRowHeight="14.5" x14ac:dyDescent="0.35"/>
  <cols>
    <col min="2" max="2" width="10.453125" customWidth="1"/>
  </cols>
  <sheetData>
    <row r="1" spans="1:29" ht="26.5" thickBot="1" x14ac:dyDescent="0.4">
      <c r="A1" s="3" t="s">
        <v>12</v>
      </c>
      <c r="B1" s="28" t="s">
        <v>13</v>
      </c>
      <c r="E1" t="s">
        <v>14</v>
      </c>
      <c r="K1" t="s">
        <v>15</v>
      </c>
      <c r="Q1" t="s">
        <v>16</v>
      </c>
      <c r="AB1" t="s">
        <v>17</v>
      </c>
    </row>
    <row r="2" spans="1:29" ht="15.5" x14ac:dyDescent="0.35">
      <c r="A2" s="21">
        <v>8.3333333333333329E-2</v>
      </c>
      <c r="B2" s="5">
        <v>1.7</v>
      </c>
      <c r="Q2" t="s">
        <v>18</v>
      </c>
      <c r="S2" t="s">
        <v>19</v>
      </c>
      <c r="U2" t="s">
        <v>20</v>
      </c>
      <c r="W2" t="s">
        <v>21</v>
      </c>
      <c r="Y2" t="s">
        <v>22</v>
      </c>
    </row>
    <row r="3" spans="1:29" ht="15.5" x14ac:dyDescent="0.35">
      <c r="A3" s="21">
        <v>0.20833333333333334</v>
      </c>
      <c r="B3" s="5">
        <v>2.6</v>
      </c>
    </row>
    <row r="4" spans="1:29" ht="15.5" x14ac:dyDescent="0.35">
      <c r="A4" s="21">
        <v>0.33333333333333331</v>
      </c>
      <c r="B4" s="5">
        <v>1.4</v>
      </c>
    </row>
    <row r="5" spans="1:29" ht="15.5" x14ac:dyDescent="0.35">
      <c r="A5" s="21">
        <v>0.45833333333333331</v>
      </c>
      <c r="B5" s="5">
        <v>4.4000000000000004</v>
      </c>
      <c r="E5">
        <f>SUM(B2:B4)/3</f>
        <v>1.8999999999999997</v>
      </c>
      <c r="K5">
        <f>(B2*20+B3*30+B4*50)/100</f>
        <v>1.82</v>
      </c>
      <c r="P5">
        <v>1</v>
      </c>
      <c r="Q5">
        <f>B5-E5</f>
        <v>2.5000000000000009</v>
      </c>
      <c r="R5">
        <f>B5-K5</f>
        <v>2.58</v>
      </c>
      <c r="S5">
        <f>ABS(Q5)</f>
        <v>2.5000000000000009</v>
      </c>
      <c r="T5">
        <f>ABS(R5)</f>
        <v>2.58</v>
      </c>
      <c r="U5">
        <f>((ABS(Q5))/(ABS(B5)))*100</f>
        <v>56.818181818181834</v>
      </c>
      <c r="V5">
        <f>((ABS(R5))/(ABS(B5)))*100</f>
        <v>58.636363636363633</v>
      </c>
      <c r="W5">
        <v>56.818181818181834</v>
      </c>
      <c r="X5">
        <v>59.318181818181827</v>
      </c>
    </row>
    <row r="6" spans="1:29" ht="15.5" x14ac:dyDescent="0.35">
      <c r="A6" s="21">
        <v>0.58333333333333337</v>
      </c>
      <c r="B6" s="5">
        <v>6.6</v>
      </c>
      <c r="E6">
        <f t="shared" ref="E6:E33" si="0">SUM(B3:B5)/3</f>
        <v>2.8000000000000003</v>
      </c>
      <c r="K6">
        <f t="shared" ref="K6:K33" si="1">(B3*20+B4*30+B5*50)/100</f>
        <v>3.14</v>
      </c>
      <c r="P6">
        <v>2</v>
      </c>
      <c r="Q6">
        <f t="shared" ref="Q6:Q33" si="2">B6-E6</f>
        <v>3.7999999999999994</v>
      </c>
      <c r="R6">
        <f>B6-K6</f>
        <v>3.4599999999999995</v>
      </c>
      <c r="S6">
        <f t="shared" ref="S6:S33" si="3">ABS(Q6)</f>
        <v>3.7999999999999994</v>
      </c>
      <c r="T6">
        <f t="shared" ref="T6:T33" si="4">ABS(R6)</f>
        <v>3.4599999999999995</v>
      </c>
      <c r="U6">
        <f t="shared" ref="U6:U33" si="5">((ABS(Q6))/(ABS(B6)))*100</f>
        <v>57.575757575757571</v>
      </c>
      <c r="V6">
        <f t="shared" ref="V6:V33" si="6">((ABS(R6))/(ABS(B6)))*100</f>
        <v>52.424242424242415</v>
      </c>
      <c r="W6">
        <v>57.575757575757571</v>
      </c>
      <c r="X6">
        <v>49.696969696969695</v>
      </c>
      <c r="Y6">
        <f>((SUMSQ(Q5:Q33))^0.5)/29</f>
        <v>0.50095693867450353</v>
      </c>
      <c r="Z6">
        <f>((SUMSQ(R5:R33))^0.5)/29</f>
        <v>0.45570736589325578</v>
      </c>
      <c r="AB6">
        <f>((SUMSQ(Q5:Q33))^0.5)/((SUMSQ(B5:B33)^0.5))</f>
        <v>0.72354419272298542</v>
      </c>
      <c r="AC6">
        <f>((SUMSQ(R5:R33))^0.5)/((SUMSQ(B5:B33)^0.5))</f>
        <v>0.65818914305405429</v>
      </c>
    </row>
    <row r="7" spans="1:29" ht="15.5" x14ac:dyDescent="0.35">
      <c r="A7" s="21">
        <v>0.70833333333333337</v>
      </c>
      <c r="B7" s="5">
        <v>7.1</v>
      </c>
      <c r="E7">
        <f t="shared" si="0"/>
        <v>4.1333333333333337</v>
      </c>
      <c r="K7">
        <f t="shared" si="1"/>
        <v>4.9000000000000004</v>
      </c>
      <c r="P7">
        <v>3</v>
      </c>
      <c r="Q7">
        <f t="shared" si="2"/>
        <v>2.9666666666666659</v>
      </c>
      <c r="R7">
        <f>B7-K7</f>
        <v>2.1999999999999993</v>
      </c>
      <c r="S7">
        <f t="shared" si="3"/>
        <v>2.9666666666666659</v>
      </c>
      <c r="T7">
        <f t="shared" si="4"/>
        <v>2.1999999999999993</v>
      </c>
      <c r="U7">
        <f t="shared" si="5"/>
        <v>41.784037558685441</v>
      </c>
      <c r="V7">
        <f t="shared" si="6"/>
        <v>30.985915492957737</v>
      </c>
      <c r="W7">
        <v>41.784037558685441</v>
      </c>
      <c r="X7">
        <v>23.661971830985912</v>
      </c>
    </row>
    <row r="8" spans="1:29" ht="15.5" x14ac:dyDescent="0.35">
      <c r="A8" s="21">
        <v>0.83333333333333337</v>
      </c>
      <c r="B8" s="5">
        <v>4.2</v>
      </c>
      <c r="E8">
        <f t="shared" si="0"/>
        <v>6.0333333333333341</v>
      </c>
      <c r="K8">
        <f t="shared" si="1"/>
        <v>6.41</v>
      </c>
      <c r="P8">
        <v>4</v>
      </c>
      <c r="Q8">
        <f t="shared" si="2"/>
        <v>-1.8333333333333339</v>
      </c>
      <c r="R8">
        <f>B8-K8</f>
        <v>-2.21</v>
      </c>
      <c r="S8">
        <f t="shared" si="3"/>
        <v>1.8333333333333339</v>
      </c>
      <c r="T8">
        <f t="shared" si="4"/>
        <v>2.21</v>
      </c>
      <c r="U8">
        <f t="shared" si="5"/>
        <v>43.650793650793659</v>
      </c>
      <c r="V8">
        <f t="shared" si="6"/>
        <v>52.61904761904762</v>
      </c>
      <c r="W8">
        <v>43.650793650793659</v>
      </c>
      <c r="X8">
        <v>59.047619047619037</v>
      </c>
    </row>
    <row r="9" spans="1:29" ht="15.5" x14ac:dyDescent="0.35">
      <c r="A9" s="21">
        <v>0.95833333333333337</v>
      </c>
      <c r="B9" s="5">
        <v>3.7</v>
      </c>
      <c r="E9">
        <f t="shared" si="0"/>
        <v>5.9666666666666659</v>
      </c>
      <c r="K9">
        <f t="shared" si="1"/>
        <v>5.55</v>
      </c>
      <c r="P9">
        <v>5</v>
      </c>
      <c r="Q9">
        <f t="shared" si="2"/>
        <v>-2.2666666666666657</v>
      </c>
      <c r="R9">
        <f>B9-K9</f>
        <v>-1.8499999999999996</v>
      </c>
      <c r="S9">
        <f t="shared" si="3"/>
        <v>2.2666666666666657</v>
      </c>
      <c r="T9">
        <f t="shared" si="4"/>
        <v>1.8499999999999996</v>
      </c>
      <c r="U9">
        <f t="shared" si="5"/>
        <v>61.261261261261232</v>
      </c>
      <c r="V9">
        <f t="shared" si="6"/>
        <v>49.999999999999986</v>
      </c>
      <c r="W9">
        <v>61.261261261261232</v>
      </c>
      <c r="X9">
        <v>43.513513513513495</v>
      </c>
    </row>
    <row r="10" spans="1:29" ht="15.5" x14ac:dyDescent="0.35">
      <c r="A10" s="21">
        <v>1.0833333333333299</v>
      </c>
      <c r="B10" s="5">
        <v>5.9</v>
      </c>
      <c r="E10">
        <f t="shared" si="0"/>
        <v>5</v>
      </c>
      <c r="K10">
        <f t="shared" si="1"/>
        <v>4.53</v>
      </c>
      <c r="P10">
        <v>6</v>
      </c>
      <c r="Q10">
        <f t="shared" si="2"/>
        <v>0.90000000000000036</v>
      </c>
      <c r="R10">
        <f t="shared" ref="R10:R33" si="7">B10-K10</f>
        <v>1.37</v>
      </c>
      <c r="S10">
        <f t="shared" si="3"/>
        <v>0.90000000000000036</v>
      </c>
      <c r="T10">
        <f t="shared" si="4"/>
        <v>1.37</v>
      </c>
      <c r="U10">
        <f t="shared" si="5"/>
        <v>15.254237288135597</v>
      </c>
      <c r="V10">
        <f t="shared" si="6"/>
        <v>23.220338983050848</v>
      </c>
      <c r="W10">
        <v>15.254237288135597</v>
      </c>
      <c r="X10">
        <v>28.983050847457626</v>
      </c>
    </row>
    <row r="11" spans="1:29" ht="15.5" x14ac:dyDescent="0.35">
      <c r="A11" s="21">
        <v>1.2083333333333299</v>
      </c>
      <c r="B11" s="5">
        <v>3</v>
      </c>
      <c r="E11">
        <f t="shared" si="0"/>
        <v>4.6000000000000005</v>
      </c>
      <c r="K11">
        <f t="shared" si="1"/>
        <v>4.9000000000000004</v>
      </c>
      <c r="P11">
        <v>7</v>
      </c>
      <c r="Q11">
        <f t="shared" si="2"/>
        <v>-1.6000000000000005</v>
      </c>
      <c r="R11">
        <f t="shared" si="7"/>
        <v>-1.9000000000000004</v>
      </c>
      <c r="S11">
        <f t="shared" si="3"/>
        <v>1.6000000000000005</v>
      </c>
      <c r="T11">
        <f t="shared" si="4"/>
        <v>1.9000000000000004</v>
      </c>
      <c r="U11">
        <f t="shared" si="5"/>
        <v>53.333333333333357</v>
      </c>
      <c r="V11">
        <f t="shared" si="6"/>
        <v>63.333333333333343</v>
      </c>
      <c r="W11">
        <v>53.333333333333357</v>
      </c>
      <c r="X11">
        <v>69</v>
      </c>
    </row>
    <row r="12" spans="1:29" ht="15.5" x14ac:dyDescent="0.35">
      <c r="A12" s="21">
        <v>1.3333333333333299</v>
      </c>
      <c r="B12" s="5">
        <v>0.8</v>
      </c>
      <c r="E12">
        <f t="shared" si="0"/>
        <v>4.2</v>
      </c>
      <c r="K12">
        <f t="shared" si="1"/>
        <v>4.01</v>
      </c>
      <c r="P12">
        <v>8</v>
      </c>
      <c r="Q12">
        <f t="shared" si="2"/>
        <v>-3.4000000000000004</v>
      </c>
      <c r="R12">
        <f t="shared" si="7"/>
        <v>-3.21</v>
      </c>
      <c r="S12">
        <f t="shared" si="3"/>
        <v>3.4000000000000004</v>
      </c>
      <c r="T12">
        <f t="shared" si="4"/>
        <v>3.21</v>
      </c>
      <c r="U12">
        <f t="shared" si="5"/>
        <v>425</v>
      </c>
      <c r="V12">
        <f t="shared" si="6"/>
        <v>401.24999999999994</v>
      </c>
      <c r="W12">
        <v>425</v>
      </c>
      <c r="X12">
        <v>392.49999999999994</v>
      </c>
    </row>
    <row r="13" spans="1:29" ht="15.5" x14ac:dyDescent="0.35">
      <c r="A13" s="21">
        <v>1.4583333333333299</v>
      </c>
      <c r="B13" s="5">
        <v>4.3</v>
      </c>
      <c r="E13">
        <f t="shared" si="0"/>
        <v>3.2333333333333338</v>
      </c>
      <c r="K13">
        <f t="shared" si="1"/>
        <v>2.48</v>
      </c>
      <c r="P13">
        <v>9</v>
      </c>
      <c r="Q13">
        <f t="shared" si="2"/>
        <v>1.066666666666666</v>
      </c>
      <c r="R13">
        <f t="shared" si="7"/>
        <v>1.8199999999999998</v>
      </c>
      <c r="S13">
        <f t="shared" si="3"/>
        <v>1.066666666666666</v>
      </c>
      <c r="T13">
        <f t="shared" si="4"/>
        <v>1.8199999999999998</v>
      </c>
      <c r="U13">
        <f t="shared" si="5"/>
        <v>24.806201550387584</v>
      </c>
      <c r="V13">
        <f t="shared" si="6"/>
        <v>42.325581395348841</v>
      </c>
      <c r="W13">
        <v>24.806201550387584</v>
      </c>
      <c r="X13">
        <v>54.186046511627907</v>
      </c>
    </row>
    <row r="14" spans="1:29" ht="15.5" x14ac:dyDescent="0.35">
      <c r="A14" s="21">
        <v>1.5833333333333299</v>
      </c>
      <c r="B14" s="5">
        <v>3.5</v>
      </c>
      <c r="E14">
        <f t="shared" si="0"/>
        <v>2.6999999999999997</v>
      </c>
      <c r="K14">
        <f t="shared" si="1"/>
        <v>2.99</v>
      </c>
      <c r="P14">
        <v>10</v>
      </c>
      <c r="Q14">
        <f t="shared" si="2"/>
        <v>0.80000000000000027</v>
      </c>
      <c r="R14">
        <f t="shared" si="7"/>
        <v>0.50999999999999979</v>
      </c>
      <c r="S14">
        <f t="shared" si="3"/>
        <v>0.80000000000000027</v>
      </c>
      <c r="T14">
        <f t="shared" si="4"/>
        <v>0.50999999999999979</v>
      </c>
      <c r="U14">
        <f t="shared" si="5"/>
        <v>22.857142857142865</v>
      </c>
      <c r="V14">
        <f t="shared" si="6"/>
        <v>14.571428571428566</v>
      </c>
      <c r="W14">
        <v>22.857142857142865</v>
      </c>
      <c r="X14">
        <v>10.857142857142854</v>
      </c>
    </row>
    <row r="15" spans="1:29" ht="15.5" x14ac:dyDescent="0.35">
      <c r="A15" s="21">
        <v>1.7083333333333299</v>
      </c>
      <c r="B15" s="5">
        <v>5.5</v>
      </c>
      <c r="E15">
        <f t="shared" si="0"/>
        <v>2.8666666666666667</v>
      </c>
      <c r="K15">
        <f t="shared" si="1"/>
        <v>3.2</v>
      </c>
      <c r="P15">
        <v>11</v>
      </c>
      <c r="Q15">
        <f t="shared" si="2"/>
        <v>2.6333333333333333</v>
      </c>
      <c r="R15">
        <f t="shared" si="7"/>
        <v>2.2999999999999998</v>
      </c>
      <c r="S15">
        <f t="shared" si="3"/>
        <v>2.6333333333333333</v>
      </c>
      <c r="T15">
        <f t="shared" si="4"/>
        <v>2.2999999999999998</v>
      </c>
      <c r="U15">
        <f t="shared" si="5"/>
        <v>47.878787878787875</v>
      </c>
      <c r="V15">
        <f t="shared" si="6"/>
        <v>41.818181818181813</v>
      </c>
      <c r="W15">
        <v>47.878787878787875</v>
      </c>
      <c r="X15">
        <v>36.909090909090907</v>
      </c>
    </row>
    <row r="16" spans="1:29" ht="15.5" x14ac:dyDescent="0.35">
      <c r="A16" s="21">
        <v>1.8333333333333299</v>
      </c>
      <c r="B16" s="5">
        <v>5.9</v>
      </c>
      <c r="E16">
        <f t="shared" si="0"/>
        <v>4.4333333333333336</v>
      </c>
      <c r="K16">
        <f t="shared" si="1"/>
        <v>4.66</v>
      </c>
      <c r="P16">
        <v>12</v>
      </c>
      <c r="Q16">
        <f t="shared" si="2"/>
        <v>1.4666666666666668</v>
      </c>
      <c r="R16">
        <f t="shared" si="7"/>
        <v>1.2400000000000002</v>
      </c>
      <c r="S16">
        <f t="shared" si="3"/>
        <v>1.4666666666666668</v>
      </c>
      <c r="T16">
        <f t="shared" si="4"/>
        <v>1.2400000000000002</v>
      </c>
      <c r="U16">
        <f t="shared" si="5"/>
        <v>24.858757062146893</v>
      </c>
      <c r="V16">
        <f t="shared" si="6"/>
        <v>21.016949152542374</v>
      </c>
      <c r="W16">
        <v>24.858757062146893</v>
      </c>
      <c r="X16">
        <v>18.983050847457626</v>
      </c>
    </row>
    <row r="17" spans="1:24" ht="15.5" x14ac:dyDescent="0.35">
      <c r="A17" s="21">
        <v>1.9583333333333299</v>
      </c>
      <c r="B17" s="5">
        <v>3.5</v>
      </c>
      <c r="E17">
        <f t="shared" si="0"/>
        <v>4.9666666666666668</v>
      </c>
      <c r="K17">
        <f t="shared" si="1"/>
        <v>5.3</v>
      </c>
      <c r="P17">
        <v>13</v>
      </c>
      <c r="Q17">
        <f t="shared" si="2"/>
        <v>-1.4666666666666668</v>
      </c>
      <c r="R17">
        <f t="shared" si="7"/>
        <v>-1.7999999999999998</v>
      </c>
      <c r="S17">
        <f t="shared" si="3"/>
        <v>1.4666666666666668</v>
      </c>
      <c r="T17">
        <f t="shared" si="4"/>
        <v>1.7999999999999998</v>
      </c>
      <c r="U17">
        <f t="shared" si="5"/>
        <v>41.904761904761905</v>
      </c>
      <c r="V17">
        <f t="shared" si="6"/>
        <v>51.428571428571423</v>
      </c>
      <c r="W17">
        <v>41.904761904761905</v>
      </c>
      <c r="X17">
        <v>58.285714285714285</v>
      </c>
    </row>
    <row r="18" spans="1:24" ht="15.5" x14ac:dyDescent="0.35">
      <c r="A18" s="21">
        <v>2.0833333333333299</v>
      </c>
      <c r="B18" s="5">
        <v>1.6</v>
      </c>
      <c r="E18">
        <f t="shared" si="0"/>
        <v>4.9666666666666668</v>
      </c>
      <c r="K18">
        <f t="shared" si="1"/>
        <v>4.62</v>
      </c>
      <c r="P18">
        <v>14</v>
      </c>
      <c r="Q18">
        <f t="shared" si="2"/>
        <v>-3.3666666666666667</v>
      </c>
      <c r="R18">
        <f t="shared" si="7"/>
        <v>-3.02</v>
      </c>
      <c r="S18">
        <f t="shared" si="3"/>
        <v>3.3666666666666667</v>
      </c>
      <c r="T18">
        <f t="shared" si="4"/>
        <v>3.02</v>
      </c>
      <c r="U18">
        <f t="shared" si="5"/>
        <v>210.41666666666666</v>
      </c>
      <c r="V18">
        <f t="shared" si="6"/>
        <v>188.75</v>
      </c>
      <c r="W18">
        <v>210.41666666666666</v>
      </c>
      <c r="X18">
        <v>176.24999999999997</v>
      </c>
    </row>
    <row r="19" spans="1:24" ht="15.5" x14ac:dyDescent="0.35">
      <c r="A19" s="21">
        <v>2.2083333333333299</v>
      </c>
      <c r="B19" s="5">
        <v>-0.1</v>
      </c>
      <c r="E19">
        <f t="shared" si="0"/>
        <v>3.6666666666666665</v>
      </c>
      <c r="K19">
        <f t="shared" si="1"/>
        <v>3.03</v>
      </c>
      <c r="P19">
        <v>15</v>
      </c>
      <c r="Q19">
        <f t="shared" si="2"/>
        <v>-3.7666666666666666</v>
      </c>
      <c r="R19">
        <f t="shared" si="7"/>
        <v>-3.13</v>
      </c>
      <c r="S19">
        <f t="shared" si="3"/>
        <v>3.7666666666666666</v>
      </c>
      <c r="T19">
        <f t="shared" si="4"/>
        <v>3.13</v>
      </c>
      <c r="U19">
        <f t="shared" si="5"/>
        <v>3766.6666666666665</v>
      </c>
      <c r="V19">
        <f t="shared" si="6"/>
        <v>3129.9999999999995</v>
      </c>
      <c r="W19">
        <v>3766.6666666666665</v>
      </c>
      <c r="X19">
        <v>2700</v>
      </c>
    </row>
    <row r="20" spans="1:24" ht="15.5" x14ac:dyDescent="0.35">
      <c r="A20" s="21">
        <v>2.3333333333333299</v>
      </c>
      <c r="B20" s="5">
        <v>-0.8</v>
      </c>
      <c r="E20">
        <f t="shared" si="0"/>
        <v>1.6666666666666667</v>
      </c>
      <c r="K20">
        <f t="shared" si="1"/>
        <v>1.1299999999999999</v>
      </c>
      <c r="P20">
        <v>16</v>
      </c>
      <c r="Q20">
        <f t="shared" si="2"/>
        <v>-2.4666666666666668</v>
      </c>
      <c r="R20">
        <f t="shared" si="7"/>
        <v>-1.93</v>
      </c>
      <c r="S20">
        <f t="shared" si="3"/>
        <v>2.4666666666666668</v>
      </c>
      <c r="T20">
        <f t="shared" si="4"/>
        <v>1.93</v>
      </c>
      <c r="U20">
        <f t="shared" si="5"/>
        <v>308.33333333333337</v>
      </c>
      <c r="V20">
        <f t="shared" si="6"/>
        <v>241.24999999999997</v>
      </c>
      <c r="W20">
        <v>308.33333333333337</v>
      </c>
      <c r="X20">
        <v>196.25</v>
      </c>
    </row>
    <row r="21" spans="1:24" ht="15.5" x14ac:dyDescent="0.35">
      <c r="A21" s="21">
        <v>2.4583333333333299</v>
      </c>
      <c r="B21" s="5">
        <v>1.7</v>
      </c>
      <c r="E21">
        <f t="shared" si="0"/>
        <v>0.23333333333333331</v>
      </c>
      <c r="K21">
        <f t="shared" si="1"/>
        <v>-0.11</v>
      </c>
      <c r="P21">
        <v>17</v>
      </c>
      <c r="Q21">
        <f t="shared" si="2"/>
        <v>1.4666666666666666</v>
      </c>
      <c r="R21">
        <f t="shared" si="7"/>
        <v>1.81</v>
      </c>
      <c r="S21">
        <f t="shared" si="3"/>
        <v>1.4666666666666666</v>
      </c>
      <c r="T21">
        <f t="shared" si="4"/>
        <v>1.81</v>
      </c>
      <c r="U21">
        <f t="shared" si="5"/>
        <v>86.274509803921561</v>
      </c>
      <c r="V21">
        <f t="shared" si="6"/>
        <v>106.47058823529412</v>
      </c>
      <c r="W21">
        <v>86.274509803921561</v>
      </c>
      <c r="X21">
        <v>120.58823529411764</v>
      </c>
    </row>
    <row r="22" spans="1:24" ht="15.5" x14ac:dyDescent="0.35">
      <c r="A22" s="21">
        <v>2.5833333333333299</v>
      </c>
      <c r="B22" s="5">
        <v>4.2</v>
      </c>
      <c r="E22">
        <f t="shared" si="0"/>
        <v>0.26666666666666666</v>
      </c>
      <c r="K22">
        <f t="shared" si="1"/>
        <v>0.59</v>
      </c>
      <c r="P22">
        <v>18</v>
      </c>
      <c r="Q22">
        <f t="shared" si="2"/>
        <v>3.9333333333333336</v>
      </c>
      <c r="R22">
        <f t="shared" si="7"/>
        <v>3.6100000000000003</v>
      </c>
      <c r="S22">
        <f t="shared" si="3"/>
        <v>3.9333333333333336</v>
      </c>
      <c r="T22">
        <f t="shared" si="4"/>
        <v>3.6100000000000003</v>
      </c>
      <c r="U22">
        <f t="shared" si="5"/>
        <v>93.650793650793645</v>
      </c>
      <c r="V22">
        <f t="shared" si="6"/>
        <v>85.952380952380963</v>
      </c>
      <c r="W22">
        <v>93.650793650793645</v>
      </c>
      <c r="X22">
        <v>81.666666666666671</v>
      </c>
    </row>
    <row r="23" spans="1:24" ht="15.5" x14ac:dyDescent="0.35">
      <c r="A23" s="21">
        <v>2.7083333333333299</v>
      </c>
      <c r="B23" s="5">
        <v>5.0999999999999996</v>
      </c>
      <c r="E23">
        <f t="shared" si="0"/>
        <v>1.7</v>
      </c>
      <c r="K23">
        <f t="shared" si="1"/>
        <v>2.4500000000000002</v>
      </c>
      <c r="P23">
        <v>19</v>
      </c>
      <c r="Q23">
        <f t="shared" si="2"/>
        <v>3.3999999999999995</v>
      </c>
      <c r="R23">
        <f t="shared" si="7"/>
        <v>2.6499999999999995</v>
      </c>
      <c r="S23">
        <f t="shared" si="3"/>
        <v>3.3999999999999995</v>
      </c>
      <c r="T23">
        <f t="shared" si="4"/>
        <v>2.6499999999999995</v>
      </c>
      <c r="U23">
        <f t="shared" si="5"/>
        <v>66.666666666666657</v>
      </c>
      <c r="V23">
        <f t="shared" si="6"/>
        <v>51.960784313725483</v>
      </c>
      <c r="W23">
        <v>66.666666666666657</v>
      </c>
      <c r="X23">
        <v>42.156862745098032</v>
      </c>
    </row>
    <row r="24" spans="1:24" ht="15.5" x14ac:dyDescent="0.35">
      <c r="A24" s="21">
        <v>2.8333333333333299</v>
      </c>
      <c r="B24" s="5">
        <v>1.5</v>
      </c>
      <c r="E24">
        <f t="shared" si="0"/>
        <v>3.6666666666666665</v>
      </c>
      <c r="K24">
        <f t="shared" si="1"/>
        <v>4.1500000000000004</v>
      </c>
      <c r="P24">
        <v>20</v>
      </c>
      <c r="Q24">
        <f t="shared" si="2"/>
        <v>-2.1666666666666665</v>
      </c>
      <c r="R24">
        <f t="shared" si="7"/>
        <v>-2.6500000000000004</v>
      </c>
      <c r="S24">
        <f t="shared" si="3"/>
        <v>2.1666666666666665</v>
      </c>
      <c r="T24">
        <f t="shared" si="4"/>
        <v>2.6500000000000004</v>
      </c>
      <c r="U24">
        <f t="shared" si="5"/>
        <v>144.44444444444443</v>
      </c>
      <c r="V24">
        <f t="shared" si="6"/>
        <v>176.66666666666669</v>
      </c>
      <c r="W24">
        <v>144.44444444444443</v>
      </c>
      <c r="X24">
        <v>199.33333333333334</v>
      </c>
    </row>
    <row r="25" spans="1:24" ht="15.5" x14ac:dyDescent="0.35">
      <c r="A25" s="21">
        <v>2.9583333333333299</v>
      </c>
      <c r="B25" s="5">
        <v>-1</v>
      </c>
      <c r="E25">
        <f t="shared" si="0"/>
        <v>3.6</v>
      </c>
      <c r="K25">
        <f t="shared" si="1"/>
        <v>3.12</v>
      </c>
      <c r="P25">
        <v>21</v>
      </c>
      <c r="Q25">
        <f t="shared" si="2"/>
        <v>-4.5999999999999996</v>
      </c>
      <c r="R25">
        <f t="shared" si="7"/>
        <v>-4.12</v>
      </c>
      <c r="S25">
        <f t="shared" si="3"/>
        <v>4.5999999999999996</v>
      </c>
      <c r="T25">
        <f t="shared" si="4"/>
        <v>4.12</v>
      </c>
      <c r="U25">
        <f t="shared" si="5"/>
        <v>459.99999999999994</v>
      </c>
      <c r="V25">
        <f t="shared" si="6"/>
        <v>412</v>
      </c>
      <c r="W25">
        <v>459.99999999999994</v>
      </c>
      <c r="X25">
        <v>385</v>
      </c>
    </row>
    <row r="26" spans="1:24" ht="15.5" x14ac:dyDescent="0.35">
      <c r="A26" s="21">
        <v>3.0833333333333299</v>
      </c>
      <c r="B26" s="5">
        <v>-3.8</v>
      </c>
      <c r="E26">
        <f t="shared" si="0"/>
        <v>1.8666666666666665</v>
      </c>
      <c r="K26">
        <f t="shared" si="1"/>
        <v>0.97</v>
      </c>
      <c r="P26">
        <v>22</v>
      </c>
      <c r="Q26">
        <f t="shared" si="2"/>
        <v>-5.6666666666666661</v>
      </c>
      <c r="R26">
        <f t="shared" si="7"/>
        <v>-4.7699999999999996</v>
      </c>
      <c r="S26">
        <f t="shared" si="3"/>
        <v>5.6666666666666661</v>
      </c>
      <c r="T26">
        <f t="shared" si="4"/>
        <v>4.7699999999999996</v>
      </c>
      <c r="U26">
        <f t="shared" si="5"/>
        <v>149.12280701754386</v>
      </c>
      <c r="V26">
        <f t="shared" si="6"/>
        <v>125.52631578947368</v>
      </c>
      <c r="W26">
        <v>149.12280701754386</v>
      </c>
      <c r="X26">
        <v>109.47368421052633</v>
      </c>
    </row>
    <row r="27" spans="1:24" ht="15.5" x14ac:dyDescent="0.35">
      <c r="A27" s="21">
        <v>3.2083333333333299</v>
      </c>
      <c r="B27" s="5">
        <v>-4</v>
      </c>
      <c r="E27">
        <f t="shared" si="0"/>
        <v>-1.0999999999999999</v>
      </c>
      <c r="K27">
        <f t="shared" si="1"/>
        <v>-1.9</v>
      </c>
      <c r="P27">
        <v>23</v>
      </c>
      <c r="Q27">
        <f t="shared" si="2"/>
        <v>-2.9000000000000004</v>
      </c>
      <c r="R27">
        <f t="shared" si="7"/>
        <v>-2.1</v>
      </c>
      <c r="S27">
        <f t="shared" si="3"/>
        <v>2.9000000000000004</v>
      </c>
      <c r="T27">
        <f t="shared" si="4"/>
        <v>2.1</v>
      </c>
      <c r="U27">
        <f t="shared" si="5"/>
        <v>72.500000000000014</v>
      </c>
      <c r="V27">
        <f t="shared" si="6"/>
        <v>52.5</v>
      </c>
      <c r="W27">
        <v>72.500000000000014</v>
      </c>
      <c r="X27">
        <v>39.249999999999993</v>
      </c>
    </row>
    <row r="28" spans="1:24" ht="15.5" x14ac:dyDescent="0.35">
      <c r="A28" s="21">
        <v>3.3333333333333299</v>
      </c>
      <c r="B28" s="5">
        <v>-2.8</v>
      </c>
      <c r="E28">
        <f t="shared" si="0"/>
        <v>-2.9333333333333336</v>
      </c>
      <c r="K28">
        <f t="shared" si="1"/>
        <v>-3.34</v>
      </c>
      <c r="P28">
        <v>24</v>
      </c>
      <c r="Q28">
        <f t="shared" si="2"/>
        <v>0.13333333333333375</v>
      </c>
      <c r="R28">
        <f t="shared" si="7"/>
        <v>0.54</v>
      </c>
      <c r="S28">
        <f t="shared" si="3"/>
        <v>0.13333333333333375</v>
      </c>
      <c r="T28">
        <f t="shared" si="4"/>
        <v>0.54</v>
      </c>
      <c r="U28">
        <f t="shared" si="5"/>
        <v>4.761904761904777</v>
      </c>
      <c r="V28">
        <f t="shared" si="6"/>
        <v>19.285714285714288</v>
      </c>
      <c r="W28">
        <v>4.761904761904777</v>
      </c>
      <c r="X28">
        <v>30.000000000000011</v>
      </c>
    </row>
    <row r="29" spans="1:24" ht="15.5" x14ac:dyDescent="0.35">
      <c r="A29" s="21">
        <v>3.4583333333333299</v>
      </c>
      <c r="B29" s="5">
        <v>-2.9</v>
      </c>
      <c r="E29">
        <f t="shared" si="0"/>
        <v>-3.5333333333333332</v>
      </c>
      <c r="K29">
        <f t="shared" si="1"/>
        <v>-3.36</v>
      </c>
      <c r="P29">
        <v>25</v>
      </c>
      <c r="Q29">
        <f t="shared" si="2"/>
        <v>0.6333333333333333</v>
      </c>
      <c r="R29">
        <f t="shared" si="7"/>
        <v>0.45999999999999996</v>
      </c>
      <c r="S29">
        <f t="shared" si="3"/>
        <v>0.6333333333333333</v>
      </c>
      <c r="T29">
        <f t="shared" si="4"/>
        <v>0.45999999999999996</v>
      </c>
      <c r="U29">
        <f t="shared" si="5"/>
        <v>21.839080459770113</v>
      </c>
      <c r="V29">
        <f t="shared" si="6"/>
        <v>15.86206896551724</v>
      </c>
      <c r="W29">
        <v>21.839080459770113</v>
      </c>
      <c r="X29">
        <v>12.413793103448272</v>
      </c>
    </row>
    <row r="30" spans="1:24" ht="15.5" x14ac:dyDescent="0.35">
      <c r="A30" s="21">
        <v>3.5833333333333299</v>
      </c>
      <c r="B30" s="5">
        <v>-1.1000000000000001</v>
      </c>
      <c r="E30">
        <f t="shared" si="0"/>
        <v>-3.2333333333333329</v>
      </c>
      <c r="K30">
        <f t="shared" si="1"/>
        <v>-3.09</v>
      </c>
      <c r="P30">
        <v>26</v>
      </c>
      <c r="Q30">
        <f t="shared" si="2"/>
        <v>2.1333333333333329</v>
      </c>
      <c r="R30">
        <f t="shared" si="7"/>
        <v>1.9899999999999998</v>
      </c>
      <c r="S30">
        <f t="shared" si="3"/>
        <v>2.1333333333333329</v>
      </c>
      <c r="T30">
        <f t="shared" si="4"/>
        <v>1.9899999999999998</v>
      </c>
      <c r="U30">
        <f t="shared" si="5"/>
        <v>193.93939393939388</v>
      </c>
      <c r="V30">
        <f t="shared" si="6"/>
        <v>180.90909090909088</v>
      </c>
      <c r="W30">
        <v>193.93939393939388</v>
      </c>
      <c r="X30">
        <v>170.90909090909088</v>
      </c>
    </row>
    <row r="31" spans="1:24" ht="15.5" x14ac:dyDescent="0.35">
      <c r="A31" s="21">
        <v>3.7083333333333299</v>
      </c>
      <c r="B31" s="5">
        <v>1.2</v>
      </c>
      <c r="E31">
        <f t="shared" si="0"/>
        <v>-2.2666666666666662</v>
      </c>
      <c r="K31">
        <f t="shared" si="1"/>
        <v>-1.98</v>
      </c>
      <c r="P31">
        <v>27</v>
      </c>
      <c r="Q31">
        <f t="shared" si="2"/>
        <v>3.4666666666666659</v>
      </c>
      <c r="R31">
        <f t="shared" si="7"/>
        <v>3.1799999999999997</v>
      </c>
      <c r="S31">
        <f t="shared" si="3"/>
        <v>3.4666666666666659</v>
      </c>
      <c r="T31">
        <f t="shared" si="4"/>
        <v>3.1799999999999997</v>
      </c>
      <c r="U31">
        <f t="shared" si="5"/>
        <v>288.88888888888886</v>
      </c>
      <c r="V31">
        <f t="shared" si="6"/>
        <v>265</v>
      </c>
      <c r="W31">
        <v>288.88888888888886</v>
      </c>
      <c r="X31">
        <v>250.83333333333334</v>
      </c>
    </row>
    <row r="32" spans="1:24" ht="15.5" x14ac:dyDescent="0.35">
      <c r="A32" s="21">
        <v>3.8333333333333299</v>
      </c>
      <c r="B32" s="5">
        <v>-1.4</v>
      </c>
      <c r="E32">
        <f t="shared" si="0"/>
        <v>-0.93333333333333324</v>
      </c>
      <c r="K32">
        <f t="shared" si="1"/>
        <v>-0.31</v>
      </c>
      <c r="P32">
        <v>28</v>
      </c>
      <c r="Q32">
        <f t="shared" si="2"/>
        <v>-0.46666666666666667</v>
      </c>
      <c r="R32">
        <f t="shared" si="7"/>
        <v>-1.0899999999999999</v>
      </c>
      <c r="S32">
        <f t="shared" si="3"/>
        <v>0.46666666666666667</v>
      </c>
      <c r="T32">
        <f t="shared" si="4"/>
        <v>1.0899999999999999</v>
      </c>
      <c r="U32">
        <f t="shared" si="5"/>
        <v>33.333333333333336</v>
      </c>
      <c r="V32">
        <f t="shared" si="6"/>
        <v>77.857142857142847</v>
      </c>
      <c r="W32">
        <v>33.333333333333336</v>
      </c>
      <c r="X32">
        <v>107.14285714285714</v>
      </c>
    </row>
    <row r="33" spans="1:24" ht="15.5" x14ac:dyDescent="0.35">
      <c r="A33" s="21">
        <v>3.9583333333333299</v>
      </c>
      <c r="B33" s="5">
        <v>-1.3</v>
      </c>
      <c r="E33">
        <f t="shared" si="0"/>
        <v>-0.43333333333333335</v>
      </c>
      <c r="K33">
        <f t="shared" si="1"/>
        <v>-0.56000000000000005</v>
      </c>
      <c r="P33">
        <v>29</v>
      </c>
      <c r="Q33">
        <f t="shared" si="2"/>
        <v>-0.8666666666666667</v>
      </c>
      <c r="R33">
        <f t="shared" si="7"/>
        <v>-0.74</v>
      </c>
      <c r="S33">
        <f t="shared" si="3"/>
        <v>0.8666666666666667</v>
      </c>
      <c r="T33">
        <f t="shared" si="4"/>
        <v>0.74</v>
      </c>
      <c r="U33">
        <f t="shared" si="5"/>
        <v>66.666666666666657</v>
      </c>
      <c r="V33">
        <f t="shared" si="6"/>
        <v>56.92307692307692</v>
      </c>
      <c r="W33">
        <v>66.666666666666657</v>
      </c>
      <c r="X33">
        <v>54.61538461538462</v>
      </c>
    </row>
    <row r="34" spans="1:24" x14ac:dyDescent="0.35">
      <c r="E34">
        <f>SUM(B31:B33)/3</f>
        <v>-0.5</v>
      </c>
      <c r="K34">
        <f>(B31*20+B32*30+B33*50)/100</f>
        <v>-0.83</v>
      </c>
    </row>
    <row r="35" spans="1:24" x14ac:dyDescent="0.35">
      <c r="S35" s="30">
        <f>SUM(S5:S33)/29</f>
        <v>2.3494252873563215</v>
      </c>
      <c r="T35" s="30">
        <f>SUM(T5:T33)/29</f>
        <v>2.2151724137931033</v>
      </c>
      <c r="W35" s="32">
        <f>SUM(W6:W33)/29</f>
        <v>235.43690442142025</v>
      </c>
      <c r="X35" s="32">
        <f>SUM(X6:X33)/29</f>
        <v>190.39680730004949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5"/>
  <sheetViews>
    <sheetView zoomScale="90" zoomScaleNormal="90" workbookViewId="0">
      <selection activeCell="E5" sqref="E5"/>
    </sheetView>
  </sheetViews>
  <sheetFormatPr defaultRowHeight="14.5" x14ac:dyDescent="0.35"/>
  <cols>
    <col min="2" max="2" width="10.453125" customWidth="1"/>
  </cols>
  <sheetData>
    <row r="1" spans="1:28" ht="26.5" thickBot="1" x14ac:dyDescent="0.4">
      <c r="A1" s="3" t="s">
        <v>12</v>
      </c>
      <c r="B1" s="28" t="s">
        <v>13</v>
      </c>
      <c r="E1" t="s">
        <v>14</v>
      </c>
      <c r="K1" t="s">
        <v>15</v>
      </c>
      <c r="Q1" t="s">
        <v>16</v>
      </c>
      <c r="AB1" t="s">
        <v>17</v>
      </c>
    </row>
    <row r="2" spans="1:28" ht="15.5" x14ac:dyDescent="0.35">
      <c r="A2" s="21">
        <v>8.3333333333333329E-2</v>
      </c>
      <c r="B2" s="5">
        <v>1.7</v>
      </c>
      <c r="Q2" t="s">
        <v>18</v>
      </c>
      <c r="S2" t="s">
        <v>19</v>
      </c>
      <c r="U2" t="s">
        <v>20</v>
      </c>
      <c r="W2" t="s">
        <v>21</v>
      </c>
      <c r="Y2" t="s">
        <v>22</v>
      </c>
    </row>
    <row r="3" spans="1:28" ht="15.5" x14ac:dyDescent="0.35">
      <c r="A3" s="21">
        <v>0.20833333333333334</v>
      </c>
      <c r="B3" s="5">
        <v>2.6</v>
      </c>
    </row>
    <row r="4" spans="1:28" ht="15.5" x14ac:dyDescent="0.35">
      <c r="A4" s="21">
        <v>0.33333333333333331</v>
      </c>
      <c r="B4" s="5">
        <v>1.4</v>
      </c>
      <c r="E4">
        <f>SUM(B2:B3)/2</f>
        <v>2.15</v>
      </c>
      <c r="K4">
        <f>(B2*35+B3*65)/100</f>
        <v>2.2850000000000001</v>
      </c>
      <c r="Q4">
        <f>B4-E4</f>
        <v>-0.75</v>
      </c>
      <c r="R4">
        <f>B4-K4</f>
        <v>-0.88500000000000023</v>
      </c>
      <c r="S4">
        <f>ABS(Q4)</f>
        <v>0.75</v>
      </c>
      <c r="T4">
        <f>ABS(R4)</f>
        <v>0.88500000000000023</v>
      </c>
      <c r="U4">
        <f>((ABS(Q4))/(ABS(B4)))*100</f>
        <v>53.571428571428569</v>
      </c>
      <c r="V4">
        <f>((ABS(R4))/(ABS(B4)))*100</f>
        <v>63.214285714285737</v>
      </c>
      <c r="W4">
        <v>53.571428571428569</v>
      </c>
      <c r="X4">
        <v>63.214285714285737</v>
      </c>
    </row>
    <row r="5" spans="1:28" ht="15.5" x14ac:dyDescent="0.35">
      <c r="A5" s="21">
        <v>0.45833333333333331</v>
      </c>
      <c r="B5" s="5">
        <v>4.4000000000000004</v>
      </c>
      <c r="E5">
        <f t="shared" ref="E5:E32" si="0">SUM(B3:B4)/2</f>
        <v>2</v>
      </c>
      <c r="K5">
        <f t="shared" ref="K5:K34" si="1">(B3*35+B4*65)/100</f>
        <v>1.82</v>
      </c>
      <c r="Q5">
        <f t="shared" ref="Q5:Q33" si="2">B5-E5</f>
        <v>2.4000000000000004</v>
      </c>
      <c r="R5">
        <f t="shared" ref="R5:R33" si="3">B5-K5</f>
        <v>2.58</v>
      </c>
      <c r="S5">
        <f t="shared" ref="S5:S33" si="4">ABS(Q5)</f>
        <v>2.4000000000000004</v>
      </c>
      <c r="T5">
        <f t="shared" ref="T5:T33" si="5">ABS(R5)</f>
        <v>2.58</v>
      </c>
      <c r="U5">
        <f>((ABS(Q5))/(ABS(B5)))*100</f>
        <v>54.545454545454554</v>
      </c>
      <c r="V5">
        <f t="shared" ref="V5:V33" si="6">((ABS(R5))/(ABS(B5)))*100</f>
        <v>58.636363636363633</v>
      </c>
      <c r="W5">
        <v>54.545454545454554</v>
      </c>
      <c r="X5">
        <v>58.636363636363633</v>
      </c>
    </row>
    <row r="6" spans="1:28" ht="15.5" x14ac:dyDescent="0.35">
      <c r="A6" s="21">
        <v>0.58333333333333337</v>
      </c>
      <c r="B6" s="5">
        <v>6.6</v>
      </c>
      <c r="E6">
        <f t="shared" si="0"/>
        <v>2.9000000000000004</v>
      </c>
      <c r="K6">
        <f t="shared" si="1"/>
        <v>3.35</v>
      </c>
      <c r="Q6">
        <f t="shared" si="2"/>
        <v>3.6999999999999993</v>
      </c>
      <c r="R6">
        <f t="shared" si="3"/>
        <v>3.2499999999999996</v>
      </c>
      <c r="S6">
        <f t="shared" si="4"/>
        <v>3.6999999999999993</v>
      </c>
      <c r="T6">
        <f t="shared" si="5"/>
        <v>3.2499999999999996</v>
      </c>
      <c r="U6">
        <f t="shared" ref="U6:U33" si="7">((ABS(Q6))/(ABS(B6)))*100</f>
        <v>56.060606060606055</v>
      </c>
      <c r="V6">
        <f t="shared" si="6"/>
        <v>49.242424242424235</v>
      </c>
      <c r="W6">
        <v>56.060606060606055</v>
      </c>
      <c r="X6">
        <v>49.242424242424235</v>
      </c>
      <c r="Y6">
        <f>((SUMSQ(Q4:Q33))^0.5)/32</f>
        <v>0.41670149594013944</v>
      </c>
      <c r="Z6">
        <f>((SUMSQ(R4:R33))^0.5)/32</f>
        <v>0.39082204405226112</v>
      </c>
      <c r="AB6">
        <f>((SUMSQ(Q4:Q33))^0.5)/((SUMSQ(B4:B33)^0.5))</f>
        <v>0.66250407819495094</v>
      </c>
    </row>
    <row r="7" spans="1:28" ht="15.5" x14ac:dyDescent="0.35">
      <c r="A7" s="21">
        <v>0.70833333333333337</v>
      </c>
      <c r="B7" s="5">
        <v>7.1</v>
      </c>
      <c r="E7">
        <f t="shared" si="0"/>
        <v>5.5</v>
      </c>
      <c r="K7">
        <f t="shared" si="1"/>
        <v>5.83</v>
      </c>
      <c r="Q7">
        <f t="shared" si="2"/>
        <v>1.5999999999999996</v>
      </c>
      <c r="R7">
        <f t="shared" si="3"/>
        <v>1.2699999999999996</v>
      </c>
      <c r="S7">
        <f t="shared" si="4"/>
        <v>1.5999999999999996</v>
      </c>
      <c r="T7">
        <f t="shared" si="5"/>
        <v>1.2699999999999996</v>
      </c>
      <c r="U7">
        <f t="shared" si="7"/>
        <v>22.535211267605629</v>
      </c>
      <c r="V7">
        <f t="shared" si="6"/>
        <v>17.887323943661968</v>
      </c>
      <c r="W7">
        <v>22.535211267605629</v>
      </c>
      <c r="X7">
        <v>17.887323943661968</v>
      </c>
    </row>
    <row r="8" spans="1:28" ht="15.5" x14ac:dyDescent="0.35">
      <c r="A8" s="21">
        <v>0.83333333333333337</v>
      </c>
      <c r="B8" s="5">
        <v>4.2</v>
      </c>
      <c r="E8">
        <f t="shared" si="0"/>
        <v>6.85</v>
      </c>
      <c r="K8">
        <f t="shared" si="1"/>
        <v>6.9249999999999998</v>
      </c>
      <c r="Q8">
        <f t="shared" si="2"/>
        <v>-2.6499999999999995</v>
      </c>
      <c r="R8">
        <f t="shared" si="3"/>
        <v>-2.7249999999999996</v>
      </c>
      <c r="S8">
        <f t="shared" si="4"/>
        <v>2.6499999999999995</v>
      </c>
      <c r="T8">
        <f t="shared" si="5"/>
        <v>2.7249999999999996</v>
      </c>
      <c r="U8">
        <f t="shared" si="7"/>
        <v>63.095238095238081</v>
      </c>
      <c r="V8">
        <f t="shared" si="6"/>
        <v>64.88095238095238</v>
      </c>
      <c r="W8">
        <v>63.095238095238081</v>
      </c>
      <c r="X8">
        <v>64.88095238095238</v>
      </c>
    </row>
    <row r="9" spans="1:28" ht="15.5" x14ac:dyDescent="0.35">
      <c r="A9" s="21">
        <v>0.95833333333333337</v>
      </c>
      <c r="B9" s="5">
        <v>3.7</v>
      </c>
      <c r="E9">
        <f t="shared" si="0"/>
        <v>5.65</v>
      </c>
      <c r="K9">
        <f t="shared" si="1"/>
        <v>5.2149999999999999</v>
      </c>
      <c r="Q9">
        <f t="shared" si="2"/>
        <v>-1.9500000000000002</v>
      </c>
      <c r="R9">
        <f t="shared" si="3"/>
        <v>-1.5149999999999997</v>
      </c>
      <c r="S9">
        <f t="shared" si="4"/>
        <v>1.9500000000000002</v>
      </c>
      <c r="T9">
        <f t="shared" si="5"/>
        <v>1.5149999999999997</v>
      </c>
      <c r="U9">
        <f t="shared" si="7"/>
        <v>52.702702702702709</v>
      </c>
      <c r="V9">
        <f t="shared" si="6"/>
        <v>40.94594594594593</v>
      </c>
      <c r="W9">
        <v>52.702702702702709</v>
      </c>
      <c r="X9">
        <v>40.94594594594593</v>
      </c>
    </row>
    <row r="10" spans="1:28" ht="15.5" x14ac:dyDescent="0.35">
      <c r="A10" s="21">
        <v>1.0833333333333299</v>
      </c>
      <c r="B10" s="5">
        <v>5.9</v>
      </c>
      <c r="E10">
        <f t="shared" si="0"/>
        <v>3.95</v>
      </c>
      <c r="K10">
        <f t="shared" si="1"/>
        <v>3.875</v>
      </c>
      <c r="Q10">
        <f t="shared" si="2"/>
        <v>1.9500000000000002</v>
      </c>
      <c r="R10">
        <f t="shared" si="3"/>
        <v>2.0250000000000004</v>
      </c>
      <c r="S10">
        <f t="shared" si="4"/>
        <v>1.9500000000000002</v>
      </c>
      <c r="T10">
        <f t="shared" si="5"/>
        <v>2.0250000000000004</v>
      </c>
      <c r="U10">
        <f t="shared" si="7"/>
        <v>33.050847457627121</v>
      </c>
      <c r="V10">
        <f t="shared" si="6"/>
        <v>34.322033898305087</v>
      </c>
      <c r="W10">
        <v>33.050847457627121</v>
      </c>
      <c r="X10">
        <v>34.322033898305087</v>
      </c>
    </row>
    <row r="11" spans="1:28" ht="15.5" x14ac:dyDescent="0.35">
      <c r="A11" s="21">
        <v>1.2083333333333299</v>
      </c>
      <c r="B11" s="5">
        <v>3</v>
      </c>
      <c r="E11">
        <f t="shared" si="0"/>
        <v>4.8000000000000007</v>
      </c>
      <c r="K11">
        <f t="shared" si="1"/>
        <v>5.13</v>
      </c>
      <c r="Q11">
        <f t="shared" si="2"/>
        <v>-1.8000000000000007</v>
      </c>
      <c r="R11">
        <f t="shared" si="3"/>
        <v>-2.13</v>
      </c>
      <c r="S11">
        <f t="shared" si="4"/>
        <v>1.8000000000000007</v>
      </c>
      <c r="T11">
        <f t="shared" si="5"/>
        <v>2.13</v>
      </c>
      <c r="U11">
        <f t="shared" si="7"/>
        <v>60.000000000000021</v>
      </c>
      <c r="V11">
        <f t="shared" si="6"/>
        <v>71</v>
      </c>
      <c r="W11">
        <v>60.000000000000021</v>
      </c>
      <c r="X11">
        <v>71</v>
      </c>
    </row>
    <row r="12" spans="1:28" ht="15.5" x14ac:dyDescent="0.35">
      <c r="A12" s="21">
        <v>1.3333333333333299</v>
      </c>
      <c r="B12" s="5">
        <v>0.8</v>
      </c>
      <c r="E12">
        <f t="shared" si="0"/>
        <v>4.45</v>
      </c>
      <c r="K12">
        <f t="shared" si="1"/>
        <v>4.0149999999999997</v>
      </c>
      <c r="Q12">
        <f t="shared" si="2"/>
        <v>-3.6500000000000004</v>
      </c>
      <c r="R12">
        <f t="shared" si="3"/>
        <v>-3.2149999999999999</v>
      </c>
      <c r="S12">
        <f t="shared" si="4"/>
        <v>3.6500000000000004</v>
      </c>
      <c r="T12">
        <f t="shared" si="5"/>
        <v>3.2149999999999999</v>
      </c>
      <c r="U12">
        <f t="shared" si="7"/>
        <v>456.25</v>
      </c>
      <c r="V12">
        <f t="shared" si="6"/>
        <v>401.875</v>
      </c>
      <c r="W12">
        <v>456.25</v>
      </c>
      <c r="X12">
        <v>401.875</v>
      </c>
    </row>
    <row r="13" spans="1:28" ht="15.5" x14ac:dyDescent="0.35">
      <c r="A13" s="21">
        <v>1.4583333333333299</v>
      </c>
      <c r="B13" s="5">
        <v>4.3</v>
      </c>
      <c r="E13">
        <f t="shared" si="0"/>
        <v>1.9</v>
      </c>
      <c r="K13">
        <f t="shared" si="1"/>
        <v>1.57</v>
      </c>
      <c r="Q13">
        <f t="shared" si="2"/>
        <v>2.4</v>
      </c>
      <c r="R13">
        <f t="shared" si="3"/>
        <v>2.7299999999999995</v>
      </c>
      <c r="S13">
        <f t="shared" si="4"/>
        <v>2.4</v>
      </c>
      <c r="T13">
        <f t="shared" si="5"/>
        <v>2.7299999999999995</v>
      </c>
      <c r="U13">
        <f t="shared" si="7"/>
        <v>55.813953488372093</v>
      </c>
      <c r="V13">
        <f t="shared" si="6"/>
        <v>63.488372093023251</v>
      </c>
      <c r="W13">
        <v>55.813953488372093</v>
      </c>
      <c r="X13">
        <v>63.488372093023251</v>
      </c>
    </row>
    <row r="14" spans="1:28" ht="15.5" x14ac:dyDescent="0.35">
      <c r="A14" s="21">
        <v>1.5833333333333299</v>
      </c>
      <c r="B14" s="5">
        <v>3.5</v>
      </c>
      <c r="E14">
        <f t="shared" si="0"/>
        <v>2.5499999999999998</v>
      </c>
      <c r="K14">
        <f t="shared" si="1"/>
        <v>3.0750000000000002</v>
      </c>
      <c r="Q14">
        <f t="shared" si="2"/>
        <v>0.95000000000000018</v>
      </c>
      <c r="R14">
        <f t="shared" si="3"/>
        <v>0.42499999999999982</v>
      </c>
      <c r="S14">
        <f t="shared" si="4"/>
        <v>0.95000000000000018</v>
      </c>
      <c r="T14">
        <f t="shared" si="5"/>
        <v>0.42499999999999982</v>
      </c>
      <c r="U14">
        <f t="shared" si="7"/>
        <v>27.142857142857146</v>
      </c>
      <c r="V14">
        <f t="shared" si="6"/>
        <v>12.142857142857137</v>
      </c>
      <c r="W14">
        <v>27.142857142857146</v>
      </c>
      <c r="X14">
        <v>12.142857142857137</v>
      </c>
    </row>
    <row r="15" spans="1:28" ht="15.5" x14ac:dyDescent="0.35">
      <c r="A15" s="21">
        <v>1.7083333333333299</v>
      </c>
      <c r="B15" s="5">
        <v>5.5</v>
      </c>
      <c r="E15">
        <f t="shared" si="0"/>
        <v>3.9</v>
      </c>
      <c r="K15">
        <f t="shared" si="1"/>
        <v>3.78</v>
      </c>
      <c r="Q15">
        <f t="shared" si="2"/>
        <v>1.6</v>
      </c>
      <c r="R15">
        <f t="shared" si="3"/>
        <v>1.7200000000000002</v>
      </c>
      <c r="S15">
        <f t="shared" si="4"/>
        <v>1.6</v>
      </c>
      <c r="T15">
        <f t="shared" si="5"/>
        <v>1.7200000000000002</v>
      </c>
      <c r="U15">
        <f t="shared" si="7"/>
        <v>29.090909090909093</v>
      </c>
      <c r="V15">
        <f t="shared" si="6"/>
        <v>31.272727272727273</v>
      </c>
      <c r="W15">
        <v>29.090909090909093</v>
      </c>
      <c r="X15">
        <v>31.272727272727273</v>
      </c>
    </row>
    <row r="16" spans="1:28" ht="15.5" x14ac:dyDescent="0.35">
      <c r="A16" s="21">
        <v>1.8333333333333299</v>
      </c>
      <c r="B16" s="5">
        <v>5.9</v>
      </c>
      <c r="E16">
        <f t="shared" si="0"/>
        <v>4.5</v>
      </c>
      <c r="K16">
        <f t="shared" si="1"/>
        <v>4.8</v>
      </c>
      <c r="Q16">
        <f t="shared" si="2"/>
        <v>1.4000000000000004</v>
      </c>
      <c r="R16">
        <f t="shared" si="3"/>
        <v>1.1000000000000005</v>
      </c>
      <c r="S16">
        <f t="shared" si="4"/>
        <v>1.4000000000000004</v>
      </c>
      <c r="T16">
        <f t="shared" si="5"/>
        <v>1.1000000000000005</v>
      </c>
      <c r="U16">
        <f t="shared" si="7"/>
        <v>23.728813559322038</v>
      </c>
      <c r="V16">
        <f t="shared" si="6"/>
        <v>18.644067796610177</v>
      </c>
      <c r="W16">
        <v>23.728813559322038</v>
      </c>
      <c r="X16">
        <v>18.644067796610177</v>
      </c>
    </row>
    <row r="17" spans="1:24" ht="15.5" x14ac:dyDescent="0.35">
      <c r="A17" s="21">
        <v>1.9583333333333299</v>
      </c>
      <c r="B17" s="5">
        <v>3.5</v>
      </c>
      <c r="E17">
        <f t="shared" si="0"/>
        <v>5.7</v>
      </c>
      <c r="K17">
        <f t="shared" si="1"/>
        <v>5.76</v>
      </c>
      <c r="Q17">
        <f t="shared" si="2"/>
        <v>-2.2000000000000002</v>
      </c>
      <c r="R17">
        <f t="shared" si="3"/>
        <v>-2.2599999999999998</v>
      </c>
      <c r="S17">
        <f t="shared" si="4"/>
        <v>2.2000000000000002</v>
      </c>
      <c r="T17">
        <f t="shared" si="5"/>
        <v>2.2599999999999998</v>
      </c>
      <c r="U17">
        <f t="shared" si="7"/>
        <v>62.857142857142868</v>
      </c>
      <c r="V17">
        <f t="shared" si="6"/>
        <v>64.571428571428569</v>
      </c>
      <c r="W17">
        <v>62.857142857142868</v>
      </c>
      <c r="X17">
        <v>64.571428571428569</v>
      </c>
    </row>
    <row r="18" spans="1:24" ht="15.5" x14ac:dyDescent="0.35">
      <c r="A18" s="21">
        <v>2.0833333333333299</v>
      </c>
      <c r="B18" s="5">
        <v>1.6</v>
      </c>
      <c r="E18">
        <f t="shared" si="0"/>
        <v>4.7</v>
      </c>
      <c r="K18">
        <f t="shared" si="1"/>
        <v>4.34</v>
      </c>
      <c r="Q18">
        <f t="shared" si="2"/>
        <v>-3.1</v>
      </c>
      <c r="R18">
        <f t="shared" si="3"/>
        <v>-2.7399999999999998</v>
      </c>
      <c r="S18">
        <f t="shared" si="4"/>
        <v>3.1</v>
      </c>
      <c r="T18">
        <f t="shared" si="5"/>
        <v>2.7399999999999998</v>
      </c>
      <c r="U18">
        <f t="shared" si="7"/>
        <v>193.75</v>
      </c>
      <c r="V18">
        <f t="shared" si="6"/>
        <v>171.24999999999997</v>
      </c>
      <c r="W18">
        <v>193.75</v>
      </c>
      <c r="X18">
        <v>171.24999999999997</v>
      </c>
    </row>
    <row r="19" spans="1:24" ht="15.5" x14ac:dyDescent="0.35">
      <c r="A19" s="21">
        <v>2.2083333333333299</v>
      </c>
      <c r="B19" s="5">
        <v>-0.1</v>
      </c>
      <c r="E19">
        <f t="shared" si="0"/>
        <v>2.5499999999999998</v>
      </c>
      <c r="K19">
        <f t="shared" si="1"/>
        <v>2.2650000000000001</v>
      </c>
      <c r="Q19">
        <f t="shared" si="2"/>
        <v>-2.65</v>
      </c>
      <c r="R19">
        <f t="shared" si="3"/>
        <v>-2.3650000000000002</v>
      </c>
      <c r="S19">
        <f t="shared" si="4"/>
        <v>2.65</v>
      </c>
      <c r="T19">
        <f t="shared" si="5"/>
        <v>2.3650000000000002</v>
      </c>
      <c r="U19">
        <f t="shared" si="7"/>
        <v>2649.9999999999995</v>
      </c>
      <c r="V19">
        <f t="shared" si="6"/>
        <v>2365</v>
      </c>
      <c r="W19">
        <v>2649.9999999999995</v>
      </c>
      <c r="X19">
        <v>2365</v>
      </c>
    </row>
    <row r="20" spans="1:24" ht="15.5" x14ac:dyDescent="0.35">
      <c r="A20" s="21">
        <v>2.3333333333333299</v>
      </c>
      <c r="B20" s="5">
        <v>-0.8</v>
      </c>
      <c r="E20">
        <f t="shared" si="0"/>
        <v>0.75</v>
      </c>
      <c r="K20">
        <f t="shared" si="1"/>
        <v>0.495</v>
      </c>
      <c r="Q20">
        <f t="shared" si="2"/>
        <v>-1.55</v>
      </c>
      <c r="R20">
        <f t="shared" si="3"/>
        <v>-1.2949999999999999</v>
      </c>
      <c r="S20">
        <f t="shared" si="4"/>
        <v>1.55</v>
      </c>
      <c r="T20">
        <f t="shared" si="5"/>
        <v>1.2949999999999999</v>
      </c>
      <c r="U20">
        <f t="shared" si="7"/>
        <v>193.75</v>
      </c>
      <c r="V20">
        <f t="shared" si="6"/>
        <v>161.875</v>
      </c>
      <c r="W20">
        <v>193.75</v>
      </c>
      <c r="X20">
        <v>161.875</v>
      </c>
    </row>
    <row r="21" spans="1:24" ht="15.5" x14ac:dyDescent="0.35">
      <c r="A21" s="21">
        <v>2.4583333333333299</v>
      </c>
      <c r="B21" s="5">
        <v>1.7</v>
      </c>
      <c r="E21">
        <f t="shared" si="0"/>
        <v>-0.45</v>
      </c>
      <c r="K21">
        <f t="shared" si="1"/>
        <v>-0.55500000000000005</v>
      </c>
      <c r="Q21">
        <f t="shared" si="2"/>
        <v>2.15</v>
      </c>
      <c r="R21">
        <f t="shared" si="3"/>
        <v>2.2549999999999999</v>
      </c>
      <c r="S21">
        <f t="shared" si="4"/>
        <v>2.15</v>
      </c>
      <c r="T21">
        <f t="shared" si="5"/>
        <v>2.2549999999999999</v>
      </c>
      <c r="U21">
        <f t="shared" si="7"/>
        <v>126.47058823529412</v>
      </c>
      <c r="V21">
        <f t="shared" si="6"/>
        <v>132.64705882352942</v>
      </c>
      <c r="W21">
        <v>126.47058823529412</v>
      </c>
      <c r="X21">
        <v>132.64705882352942</v>
      </c>
    </row>
    <row r="22" spans="1:24" ht="15.5" x14ac:dyDescent="0.35">
      <c r="A22" s="21">
        <v>2.5833333333333299</v>
      </c>
      <c r="B22" s="5">
        <v>4.2</v>
      </c>
      <c r="E22">
        <f t="shared" si="0"/>
        <v>0.44999999999999996</v>
      </c>
      <c r="K22">
        <f t="shared" si="1"/>
        <v>0.82499999999999996</v>
      </c>
      <c r="Q22">
        <f t="shared" si="2"/>
        <v>3.75</v>
      </c>
      <c r="R22">
        <f t="shared" si="3"/>
        <v>3.375</v>
      </c>
      <c r="S22">
        <f t="shared" si="4"/>
        <v>3.75</v>
      </c>
      <c r="T22">
        <f t="shared" si="5"/>
        <v>3.375</v>
      </c>
      <c r="U22">
        <f t="shared" si="7"/>
        <v>89.285714285714278</v>
      </c>
      <c r="V22">
        <f t="shared" si="6"/>
        <v>80.357142857142847</v>
      </c>
      <c r="W22">
        <v>89.285714285714278</v>
      </c>
      <c r="X22">
        <v>80.357142857142847</v>
      </c>
    </row>
    <row r="23" spans="1:24" ht="15.5" x14ac:dyDescent="0.35">
      <c r="A23" s="21">
        <v>2.7083333333333299</v>
      </c>
      <c r="B23" s="5">
        <v>5.0999999999999996</v>
      </c>
      <c r="E23">
        <f t="shared" si="0"/>
        <v>2.95</v>
      </c>
      <c r="K23">
        <f t="shared" si="1"/>
        <v>3.3250000000000002</v>
      </c>
      <c r="Q23">
        <f t="shared" si="2"/>
        <v>2.1499999999999995</v>
      </c>
      <c r="R23">
        <f t="shared" si="3"/>
        <v>1.7749999999999995</v>
      </c>
      <c r="S23">
        <f t="shared" si="4"/>
        <v>2.1499999999999995</v>
      </c>
      <c r="T23">
        <f t="shared" si="5"/>
        <v>1.7749999999999995</v>
      </c>
      <c r="U23">
        <f t="shared" si="7"/>
        <v>42.156862745098032</v>
      </c>
      <c r="V23">
        <f t="shared" si="6"/>
        <v>34.803921568627445</v>
      </c>
      <c r="W23">
        <v>42.156862745098032</v>
      </c>
      <c r="X23">
        <v>34.803921568627445</v>
      </c>
    </row>
    <row r="24" spans="1:24" ht="15.5" x14ac:dyDescent="0.35">
      <c r="A24" s="21">
        <v>2.8333333333333299</v>
      </c>
      <c r="B24" s="5">
        <v>1.5</v>
      </c>
      <c r="E24">
        <f t="shared" si="0"/>
        <v>4.6500000000000004</v>
      </c>
      <c r="K24">
        <f t="shared" si="1"/>
        <v>4.7850000000000001</v>
      </c>
      <c r="Q24">
        <f t="shared" si="2"/>
        <v>-3.1500000000000004</v>
      </c>
      <c r="R24">
        <f t="shared" si="3"/>
        <v>-3.2850000000000001</v>
      </c>
      <c r="S24">
        <f t="shared" si="4"/>
        <v>3.1500000000000004</v>
      </c>
      <c r="T24">
        <f t="shared" si="5"/>
        <v>3.2850000000000001</v>
      </c>
      <c r="U24">
        <f t="shared" si="7"/>
        <v>210</v>
      </c>
      <c r="V24">
        <f t="shared" si="6"/>
        <v>219</v>
      </c>
      <c r="W24">
        <v>210</v>
      </c>
      <c r="X24">
        <v>219</v>
      </c>
    </row>
    <row r="25" spans="1:24" ht="15.5" x14ac:dyDescent="0.35">
      <c r="A25" s="21">
        <v>2.9583333333333299</v>
      </c>
      <c r="B25" s="5">
        <v>-1</v>
      </c>
      <c r="E25">
        <f t="shared" si="0"/>
        <v>3.3</v>
      </c>
      <c r="K25">
        <f t="shared" si="1"/>
        <v>2.76</v>
      </c>
      <c r="Q25">
        <f t="shared" si="2"/>
        <v>-4.3</v>
      </c>
      <c r="R25">
        <f t="shared" si="3"/>
        <v>-3.76</v>
      </c>
      <c r="S25">
        <f t="shared" si="4"/>
        <v>4.3</v>
      </c>
      <c r="T25">
        <f t="shared" si="5"/>
        <v>3.76</v>
      </c>
      <c r="U25">
        <f t="shared" si="7"/>
        <v>430</v>
      </c>
      <c r="V25">
        <f t="shared" si="6"/>
        <v>376</v>
      </c>
      <c r="W25">
        <v>430</v>
      </c>
      <c r="X25">
        <v>376</v>
      </c>
    </row>
    <row r="26" spans="1:24" ht="15.5" x14ac:dyDescent="0.35">
      <c r="A26" s="21">
        <v>3.0833333333333299</v>
      </c>
      <c r="B26" s="5">
        <v>-3.8</v>
      </c>
      <c r="E26">
        <f t="shared" si="0"/>
        <v>0.25</v>
      </c>
      <c r="K26">
        <f t="shared" si="1"/>
        <v>-0.125</v>
      </c>
      <c r="Q26">
        <f t="shared" si="2"/>
        <v>-4.05</v>
      </c>
      <c r="R26">
        <f t="shared" si="3"/>
        <v>-3.6749999999999998</v>
      </c>
      <c r="S26">
        <f t="shared" si="4"/>
        <v>4.05</v>
      </c>
      <c r="T26">
        <f t="shared" si="5"/>
        <v>3.6749999999999998</v>
      </c>
      <c r="U26">
        <f t="shared" si="7"/>
        <v>106.57894736842107</v>
      </c>
      <c r="V26">
        <f t="shared" si="6"/>
        <v>96.710526315789465</v>
      </c>
      <c r="W26">
        <v>106.57894736842107</v>
      </c>
      <c r="X26">
        <v>96.710526315789465</v>
      </c>
    </row>
    <row r="27" spans="1:24" ht="15.5" x14ac:dyDescent="0.35">
      <c r="A27" s="21">
        <v>3.2083333333333299</v>
      </c>
      <c r="B27" s="5">
        <v>-4</v>
      </c>
      <c r="E27">
        <f t="shared" si="0"/>
        <v>-2.4</v>
      </c>
      <c r="K27">
        <f t="shared" si="1"/>
        <v>-2.82</v>
      </c>
      <c r="Q27">
        <f t="shared" si="2"/>
        <v>-1.6</v>
      </c>
      <c r="R27">
        <f t="shared" si="3"/>
        <v>-1.1800000000000002</v>
      </c>
      <c r="S27">
        <f t="shared" si="4"/>
        <v>1.6</v>
      </c>
      <c r="T27">
        <f t="shared" si="5"/>
        <v>1.1800000000000002</v>
      </c>
      <c r="U27">
        <f t="shared" si="7"/>
        <v>40</v>
      </c>
      <c r="V27">
        <f t="shared" si="6"/>
        <v>29.500000000000004</v>
      </c>
      <c r="W27">
        <v>40</v>
      </c>
      <c r="X27">
        <v>29.500000000000004</v>
      </c>
    </row>
    <row r="28" spans="1:24" ht="15.5" x14ac:dyDescent="0.35">
      <c r="A28" s="21">
        <v>3.3333333333333299</v>
      </c>
      <c r="B28" s="5">
        <v>-2.8</v>
      </c>
      <c r="E28">
        <f t="shared" si="0"/>
        <v>-3.9</v>
      </c>
      <c r="K28">
        <f t="shared" si="1"/>
        <v>-3.93</v>
      </c>
      <c r="Q28">
        <f t="shared" si="2"/>
        <v>1.1000000000000001</v>
      </c>
      <c r="R28">
        <f t="shared" si="3"/>
        <v>1.1300000000000003</v>
      </c>
      <c r="S28">
        <f t="shared" si="4"/>
        <v>1.1000000000000001</v>
      </c>
      <c r="T28">
        <f t="shared" si="5"/>
        <v>1.1300000000000003</v>
      </c>
      <c r="U28">
        <f t="shared" si="7"/>
        <v>39.285714285714292</v>
      </c>
      <c r="V28">
        <f t="shared" si="6"/>
        <v>40.357142857142868</v>
      </c>
      <c r="W28">
        <v>39.285714285714292</v>
      </c>
      <c r="X28">
        <v>40.357142857142868</v>
      </c>
    </row>
    <row r="29" spans="1:24" ht="15.5" x14ac:dyDescent="0.35">
      <c r="A29" s="21">
        <v>3.4583333333333299</v>
      </c>
      <c r="B29" s="5">
        <v>-2.9</v>
      </c>
      <c r="E29">
        <f t="shared" si="0"/>
        <v>-3.4</v>
      </c>
      <c r="K29">
        <f t="shared" si="1"/>
        <v>-3.22</v>
      </c>
      <c r="Q29">
        <f t="shared" si="2"/>
        <v>0.5</v>
      </c>
      <c r="R29">
        <f t="shared" si="3"/>
        <v>0.32000000000000028</v>
      </c>
      <c r="S29">
        <f t="shared" si="4"/>
        <v>0.5</v>
      </c>
      <c r="T29">
        <f t="shared" si="5"/>
        <v>0.32000000000000028</v>
      </c>
      <c r="U29">
        <f t="shared" si="7"/>
        <v>17.241379310344829</v>
      </c>
      <c r="V29">
        <f t="shared" si="6"/>
        <v>11.034482758620699</v>
      </c>
      <c r="W29">
        <v>17.241379310344829</v>
      </c>
      <c r="X29">
        <v>11.034482758620699</v>
      </c>
    </row>
    <row r="30" spans="1:24" ht="15.5" x14ac:dyDescent="0.35">
      <c r="A30" s="21">
        <v>3.5833333333333299</v>
      </c>
      <c r="B30" s="5">
        <v>-1.1000000000000001</v>
      </c>
      <c r="E30">
        <f t="shared" si="0"/>
        <v>-2.8499999999999996</v>
      </c>
      <c r="K30">
        <f t="shared" si="1"/>
        <v>-2.8650000000000002</v>
      </c>
      <c r="Q30">
        <f t="shared" si="2"/>
        <v>1.7499999999999996</v>
      </c>
      <c r="R30">
        <f t="shared" si="3"/>
        <v>1.7650000000000001</v>
      </c>
      <c r="S30">
        <f t="shared" si="4"/>
        <v>1.7499999999999996</v>
      </c>
      <c r="T30">
        <f t="shared" si="5"/>
        <v>1.7650000000000001</v>
      </c>
      <c r="U30">
        <f t="shared" si="7"/>
        <v>159.09090909090904</v>
      </c>
      <c r="V30">
        <f t="shared" si="6"/>
        <v>160.45454545454544</v>
      </c>
      <c r="W30">
        <v>159.09090909090904</v>
      </c>
      <c r="X30">
        <v>160.45454545454544</v>
      </c>
    </row>
    <row r="31" spans="1:24" ht="15.5" x14ac:dyDescent="0.35">
      <c r="A31" s="21">
        <v>3.7083333333333299</v>
      </c>
      <c r="B31" s="5">
        <v>1.2</v>
      </c>
      <c r="E31">
        <f t="shared" si="0"/>
        <v>-2</v>
      </c>
      <c r="K31">
        <f t="shared" si="1"/>
        <v>-1.73</v>
      </c>
      <c r="Q31">
        <f t="shared" si="2"/>
        <v>3.2</v>
      </c>
      <c r="R31">
        <f t="shared" si="3"/>
        <v>2.9299999999999997</v>
      </c>
      <c r="S31">
        <f t="shared" si="4"/>
        <v>3.2</v>
      </c>
      <c r="T31">
        <f t="shared" si="5"/>
        <v>2.9299999999999997</v>
      </c>
      <c r="U31">
        <f t="shared" si="7"/>
        <v>266.66666666666669</v>
      </c>
      <c r="V31">
        <f t="shared" si="6"/>
        <v>244.16666666666663</v>
      </c>
      <c r="W31">
        <v>266.66666666666669</v>
      </c>
      <c r="X31">
        <v>244.16666666666663</v>
      </c>
    </row>
    <row r="32" spans="1:24" ht="15.5" x14ac:dyDescent="0.35">
      <c r="A32" s="21">
        <v>3.8333333333333299</v>
      </c>
      <c r="B32" s="5">
        <v>-1.4</v>
      </c>
      <c r="E32">
        <f t="shared" si="0"/>
        <v>4.9999999999999933E-2</v>
      </c>
      <c r="K32">
        <f t="shared" si="1"/>
        <v>0.39500000000000002</v>
      </c>
      <c r="Q32">
        <f t="shared" si="2"/>
        <v>-1.4499999999999997</v>
      </c>
      <c r="R32">
        <f t="shared" si="3"/>
        <v>-1.7949999999999999</v>
      </c>
      <c r="S32">
        <f t="shared" si="4"/>
        <v>1.4499999999999997</v>
      </c>
      <c r="T32">
        <f t="shared" si="5"/>
        <v>1.7949999999999999</v>
      </c>
      <c r="U32">
        <f t="shared" si="7"/>
        <v>103.57142857142856</v>
      </c>
      <c r="V32">
        <f t="shared" si="6"/>
        <v>128.21428571428572</v>
      </c>
      <c r="W32">
        <v>103.57142857142856</v>
      </c>
      <c r="X32">
        <v>128.21428571428572</v>
      </c>
    </row>
    <row r="33" spans="1:24" ht="15.5" x14ac:dyDescent="0.35">
      <c r="A33" s="21">
        <v>3.9583333333333299</v>
      </c>
      <c r="B33" s="5">
        <v>-1.3</v>
      </c>
      <c r="E33">
        <f>SUM(B31:B32)/2</f>
        <v>-9.9999999999999978E-2</v>
      </c>
      <c r="K33">
        <f t="shared" si="1"/>
        <v>-0.49</v>
      </c>
      <c r="Q33">
        <f t="shared" si="2"/>
        <v>-1.2000000000000002</v>
      </c>
      <c r="R33">
        <f t="shared" si="3"/>
        <v>-0.81</v>
      </c>
      <c r="S33">
        <f t="shared" si="4"/>
        <v>1.2000000000000002</v>
      </c>
      <c r="T33">
        <f t="shared" si="5"/>
        <v>0.81</v>
      </c>
      <c r="U33">
        <f t="shared" si="7"/>
        <v>92.307692307692307</v>
      </c>
      <c r="V33">
        <f t="shared" si="6"/>
        <v>62.307692307692307</v>
      </c>
      <c r="W33">
        <v>92.307692307692307</v>
      </c>
      <c r="X33">
        <v>62.307692307692307</v>
      </c>
    </row>
    <row r="34" spans="1:24" x14ac:dyDescent="0.35">
      <c r="E34">
        <f>SUM(B32:B33)/2</f>
        <v>-1.35</v>
      </c>
      <c r="K34">
        <f t="shared" si="1"/>
        <v>-1.335</v>
      </c>
    </row>
    <row r="35" spans="1:24" x14ac:dyDescent="0.35">
      <c r="S35">
        <f>SUM(S4:S33)/32</f>
        <v>2.0828124999999997</v>
      </c>
      <c r="T35">
        <f>SUM(T4:T33)/32</f>
        <v>1.9464062500000001</v>
      </c>
      <c r="W35">
        <f>SUM(W6:W33)/32</f>
        <v>178.20263076842707</v>
      </c>
      <c r="X35">
        <f>SUM(X6:X33)/32</f>
        <v>161.9984874566243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5"/>
  <sheetViews>
    <sheetView topLeftCell="O1" workbookViewId="0">
      <selection activeCell="AC2" sqref="AC2"/>
    </sheetView>
  </sheetViews>
  <sheetFormatPr defaultRowHeight="14.5" x14ac:dyDescent="0.35"/>
  <sheetData>
    <row r="1" spans="1:25" ht="33.75" customHeight="1" thickBot="1" x14ac:dyDescent="0.4">
      <c r="A1" s="3" t="s">
        <v>12</v>
      </c>
      <c r="B1" s="28" t="s">
        <v>13</v>
      </c>
      <c r="C1" s="29" t="s">
        <v>26</v>
      </c>
      <c r="D1">
        <v>0.3</v>
      </c>
      <c r="E1" t="s">
        <v>23</v>
      </c>
      <c r="I1" t="s">
        <v>24</v>
      </c>
      <c r="N1" t="s">
        <v>25</v>
      </c>
      <c r="S1" t="s">
        <v>27</v>
      </c>
      <c r="W1" t="s">
        <v>28</v>
      </c>
    </row>
    <row r="2" spans="1:25" ht="15.5" x14ac:dyDescent="0.35">
      <c r="A2" s="21">
        <v>8.3333333333333329E-2</v>
      </c>
      <c r="B2" s="5">
        <v>1.7</v>
      </c>
      <c r="C2" s="29" t="s">
        <v>29</v>
      </c>
      <c r="D2">
        <v>0.5</v>
      </c>
      <c r="E2">
        <f>B2</f>
        <v>1.7</v>
      </c>
      <c r="I2">
        <f>E2</f>
        <v>1.7</v>
      </c>
      <c r="N2">
        <f>I2</f>
        <v>1.7</v>
      </c>
      <c r="R2" s="29" t="s">
        <v>33</v>
      </c>
      <c r="S2" t="s">
        <v>30</v>
      </c>
      <c r="T2" t="s">
        <v>31</v>
      </c>
      <c r="U2" t="s">
        <v>32</v>
      </c>
      <c r="W2" t="s">
        <v>34</v>
      </c>
      <c r="X2" t="s">
        <v>35</v>
      </c>
      <c r="Y2" t="s">
        <v>36</v>
      </c>
    </row>
    <row r="3" spans="1:25" ht="15.5" x14ac:dyDescent="0.35">
      <c r="A3" s="21">
        <v>0.20833333333333334</v>
      </c>
      <c r="B3" s="5">
        <v>2.6</v>
      </c>
      <c r="E3">
        <f>$D$1*B3+(1-$D$1)*E2</f>
        <v>1.97</v>
      </c>
      <c r="I3">
        <f>$D$1*E3+(1-$D$1)*I2</f>
        <v>1.7809999999999999</v>
      </c>
      <c r="N3">
        <f>$D$1*I3+(1-$D$1)*N2</f>
        <v>1.7242999999999999</v>
      </c>
      <c r="R3">
        <f>ABS(S3/T3)</f>
        <v>1</v>
      </c>
      <c r="S3">
        <f>$D$2*(B2-$B$34)</f>
        <v>-9.0625000000000178E-2</v>
      </c>
      <c r="T3">
        <f>$D$2*ABS(B2-$B$34)</f>
        <v>9.0625000000000178E-2</v>
      </c>
      <c r="U3">
        <f>B2</f>
        <v>1.7</v>
      </c>
      <c r="W3">
        <f>B2</f>
        <v>1.7</v>
      </c>
      <c r="X3">
        <v>0</v>
      </c>
      <c r="Y3">
        <f>B2</f>
        <v>1.7</v>
      </c>
    </row>
    <row r="4" spans="1:25" ht="15.5" x14ac:dyDescent="0.35">
      <c r="A4" s="21">
        <v>0.33333333333333331</v>
      </c>
      <c r="B4" s="5">
        <v>1.4</v>
      </c>
      <c r="E4">
        <f t="shared" ref="E4:E33" si="0">$D$1*B4+(1-$D$1)*E3</f>
        <v>1.7989999999999999</v>
      </c>
      <c r="I4">
        <f t="shared" ref="I4:I33" si="1">$D$1*E4+(1-$D$1)*I3</f>
        <v>1.7864</v>
      </c>
      <c r="N4">
        <f t="shared" ref="N4:N33" si="2">$D$1*I4+(1-$D$1)*N3</f>
        <v>1.7429299999999999</v>
      </c>
      <c r="R4">
        <f>ABS(S4/T4)</f>
        <v>0.77606177606177562</v>
      </c>
      <c r="S4">
        <f>$D$2*(B3-$B$34)+(1-$D$2)*S3</f>
        <v>0.3140624999999998</v>
      </c>
      <c r="T4">
        <f>$D$2*ABS(B3-$B$34)+(1-$D$2)*T3</f>
        <v>0.40468749999999998</v>
      </c>
      <c r="U4">
        <f>R4*B3+(1-R4)*U3</f>
        <v>2.3984555984555982</v>
      </c>
      <c r="V4">
        <v>1</v>
      </c>
      <c r="W4">
        <f>B3</f>
        <v>2.6</v>
      </c>
      <c r="X4">
        <f>B3-B2</f>
        <v>0.90000000000000013</v>
      </c>
      <c r="Y4">
        <f>W4+X4</f>
        <v>3.5</v>
      </c>
    </row>
    <row r="5" spans="1:25" ht="15.5" x14ac:dyDescent="0.35">
      <c r="A5" s="21">
        <v>0.45833333333333331</v>
      </c>
      <c r="B5" s="5">
        <v>4.4000000000000004</v>
      </c>
      <c r="E5">
        <f t="shared" si="0"/>
        <v>2.5792999999999999</v>
      </c>
      <c r="I5">
        <f t="shared" si="1"/>
        <v>2.0242699999999996</v>
      </c>
      <c r="N5">
        <f t="shared" si="2"/>
        <v>1.8273319999999997</v>
      </c>
      <c r="R5">
        <f t="shared" ref="R5:R33" si="3">ABS(S5/T5)</f>
        <v>0.18871252204585598</v>
      </c>
      <c r="S5">
        <f>$D$2*(B4-$B$34)+(1-$D$2)*S4</f>
        <v>-8.35937500000003E-2</v>
      </c>
      <c r="T5">
        <f t="shared" ref="T5:T34" si="4">$D$2*ABS(B4-$B$34)+(1-$D$2)*T4</f>
        <v>0.44296875000000019</v>
      </c>
      <c r="U5">
        <f t="shared" ref="U5:U33" si="5">R5*B4+(1-R5)*U4</f>
        <v>2.2100345243202377</v>
      </c>
      <c r="V5">
        <v>2</v>
      </c>
      <c r="W5">
        <f>$D$1*B4+(1-$D$1)*(W4+X4)</f>
        <v>2.8699999999999997</v>
      </c>
      <c r="X5">
        <f>$D$2*(W5-W4)+(1-$D$2)*X4</f>
        <v>0.58499999999999985</v>
      </c>
      <c r="Y5">
        <f t="shared" ref="Y5:Y33" si="6">W5+X5</f>
        <v>3.4549999999999996</v>
      </c>
    </row>
    <row r="6" spans="1:25" ht="15.5" x14ac:dyDescent="0.35">
      <c r="A6" s="21">
        <v>0.58333333333333337</v>
      </c>
      <c r="B6" s="5">
        <v>6.6</v>
      </c>
      <c r="E6">
        <f t="shared" si="0"/>
        <v>3.7855099999999995</v>
      </c>
      <c r="I6">
        <f t="shared" si="1"/>
        <v>2.5526419999999996</v>
      </c>
      <c r="N6">
        <f t="shared" si="2"/>
        <v>2.0449249999999997</v>
      </c>
      <c r="R6">
        <f t="shared" si="3"/>
        <v>0.82221049854919526</v>
      </c>
      <c r="S6">
        <f t="shared" ref="S6:S33" si="7">$D$2*(B5-$B$34)+(1-$D$2)*S5</f>
        <v>1.2175781249999997</v>
      </c>
      <c r="T6">
        <f t="shared" si="4"/>
        <v>1.4808593750000001</v>
      </c>
      <c r="U6">
        <f t="shared" si="5"/>
        <v>4.0106471298844211</v>
      </c>
      <c r="V6">
        <v>3</v>
      </c>
      <c r="W6">
        <f t="shared" ref="W6:W34" si="8">$D$1*B5+(1-$D$1)*(W5+X5)</f>
        <v>3.7384999999999993</v>
      </c>
      <c r="X6">
        <f t="shared" ref="X6:X34" si="9">$D$2*(W6-W5)+(1-$D$2)*X5</f>
        <v>0.72674999999999979</v>
      </c>
      <c r="Y6">
        <f t="shared" si="6"/>
        <v>4.4652499999999993</v>
      </c>
    </row>
    <row r="7" spans="1:25" ht="15.5" x14ac:dyDescent="0.35">
      <c r="A7" s="21">
        <v>0.70833333333333337</v>
      </c>
      <c r="B7" s="5">
        <v>7.1</v>
      </c>
      <c r="E7">
        <f t="shared" si="0"/>
        <v>4.7798569999999998</v>
      </c>
      <c r="I7">
        <f t="shared" si="1"/>
        <v>3.2208064999999997</v>
      </c>
      <c r="N7">
        <f t="shared" si="2"/>
        <v>2.3976894499999997</v>
      </c>
      <c r="R7">
        <f t="shared" si="3"/>
        <v>0.95753260664104334</v>
      </c>
      <c r="S7">
        <f t="shared" si="7"/>
        <v>2.9681640624999996</v>
      </c>
      <c r="T7">
        <f t="shared" si="4"/>
        <v>3.0998046874999998</v>
      </c>
      <c r="U7">
        <f t="shared" si="5"/>
        <v>6.4900369331196579</v>
      </c>
      <c r="V7">
        <v>4</v>
      </c>
      <c r="W7">
        <f t="shared" si="8"/>
        <v>5.1056749999999989</v>
      </c>
      <c r="X7">
        <f t="shared" si="9"/>
        <v>1.0469624999999998</v>
      </c>
      <c r="Y7">
        <f t="shared" si="6"/>
        <v>6.1526374999999991</v>
      </c>
    </row>
    <row r="8" spans="1:25" ht="15.5" x14ac:dyDescent="0.35">
      <c r="A8" s="21">
        <v>0.83333333333333337</v>
      </c>
      <c r="B8" s="5">
        <v>4.2</v>
      </c>
      <c r="E8">
        <f t="shared" si="0"/>
        <v>4.6058998999999998</v>
      </c>
      <c r="I8">
        <f t="shared" si="1"/>
        <v>3.6363345199999992</v>
      </c>
      <c r="N8">
        <f t="shared" si="2"/>
        <v>2.7692829709999991</v>
      </c>
      <c r="R8">
        <f t="shared" si="3"/>
        <v>0.98417506045878222</v>
      </c>
      <c r="S8">
        <f t="shared" si="7"/>
        <v>4.0934570312499989</v>
      </c>
      <c r="T8">
        <f t="shared" si="4"/>
        <v>4.1592773437499995</v>
      </c>
      <c r="U8">
        <f t="shared" si="5"/>
        <v>7.0903473713442429</v>
      </c>
      <c r="V8">
        <v>5</v>
      </c>
      <c r="W8">
        <f t="shared" si="8"/>
        <v>6.4368462499999985</v>
      </c>
      <c r="X8">
        <f t="shared" si="9"/>
        <v>1.1890668749999997</v>
      </c>
      <c r="Y8">
        <f t="shared" si="6"/>
        <v>7.6259131249999985</v>
      </c>
    </row>
    <row r="9" spans="1:25" ht="15.5" x14ac:dyDescent="0.35">
      <c r="A9" s="21">
        <v>0.95833333333333337</v>
      </c>
      <c r="B9" s="5">
        <v>3.7</v>
      </c>
      <c r="E9">
        <f t="shared" si="0"/>
        <v>4.3341299299999996</v>
      </c>
      <c r="I9">
        <f t="shared" si="1"/>
        <v>3.8456731429999991</v>
      </c>
      <c r="N9">
        <f t="shared" si="2"/>
        <v>3.0922000225999993</v>
      </c>
      <c r="R9">
        <f t="shared" si="3"/>
        <v>0.98983945127006856</v>
      </c>
      <c r="S9">
        <f t="shared" si="7"/>
        <v>3.2061035156249993</v>
      </c>
      <c r="T9">
        <f t="shared" si="4"/>
        <v>3.2390136718749996</v>
      </c>
      <c r="U9">
        <f t="shared" si="5"/>
        <v>4.2293675153129726</v>
      </c>
      <c r="V9">
        <v>6</v>
      </c>
      <c r="W9">
        <f t="shared" si="8"/>
        <v>6.5981391874999984</v>
      </c>
      <c r="X9">
        <f t="shared" si="9"/>
        <v>0.67517990624999979</v>
      </c>
      <c r="Y9">
        <f t="shared" si="6"/>
        <v>7.2733190937499979</v>
      </c>
    </row>
    <row r="10" spans="1:25" ht="15.5" x14ac:dyDescent="0.35">
      <c r="A10" s="21">
        <v>1.0833333333333299</v>
      </c>
      <c r="B10" s="5">
        <v>5.9</v>
      </c>
      <c r="E10">
        <f t="shared" si="0"/>
        <v>4.8038909509999996</v>
      </c>
      <c r="I10">
        <f t="shared" si="1"/>
        <v>4.1331384853999991</v>
      </c>
      <c r="N10">
        <f t="shared" si="2"/>
        <v>3.404481561439999</v>
      </c>
      <c r="R10">
        <f t="shared" si="3"/>
        <v>0.99349314076634188</v>
      </c>
      <c r="S10">
        <f t="shared" si="7"/>
        <v>2.5124267578124995</v>
      </c>
      <c r="T10">
        <f t="shared" si="4"/>
        <v>2.5288818359374998</v>
      </c>
      <c r="U10">
        <f t="shared" si="5"/>
        <v>3.703444519905013</v>
      </c>
      <c r="V10">
        <v>7</v>
      </c>
      <c r="W10">
        <f t="shared" si="8"/>
        <v>6.2013233656249982</v>
      </c>
      <c r="X10">
        <f t="shared" si="9"/>
        <v>0.1391820421874998</v>
      </c>
      <c r="Y10">
        <f t="shared" si="6"/>
        <v>6.3405054078124978</v>
      </c>
    </row>
    <row r="11" spans="1:25" ht="15.5" x14ac:dyDescent="0.35">
      <c r="A11" s="21">
        <v>1.2083333333333299</v>
      </c>
      <c r="B11" s="5">
        <v>3</v>
      </c>
      <c r="E11">
        <f t="shared" si="0"/>
        <v>4.2627236656999994</v>
      </c>
      <c r="I11">
        <f t="shared" si="1"/>
        <v>4.1720140394899987</v>
      </c>
      <c r="N11">
        <f t="shared" si="2"/>
        <v>3.634741304854999</v>
      </c>
      <c r="R11">
        <f t="shared" si="3"/>
        <v>0.99748686570391987</v>
      </c>
      <c r="S11">
        <f t="shared" si="7"/>
        <v>3.2655883789062496</v>
      </c>
      <c r="T11">
        <f t="shared" si="4"/>
        <v>3.2738159179687498</v>
      </c>
      <c r="U11">
        <f t="shared" si="5"/>
        <v>5.8944797610897304</v>
      </c>
      <c r="V11">
        <v>8</v>
      </c>
      <c r="W11">
        <f t="shared" si="8"/>
        <v>6.2083537854687485</v>
      </c>
      <c r="X11">
        <f t="shared" si="9"/>
        <v>7.3106231015625051E-2</v>
      </c>
      <c r="Y11">
        <f t="shared" si="6"/>
        <v>6.2814600164843739</v>
      </c>
    </row>
    <row r="12" spans="1:25" ht="15.5" x14ac:dyDescent="0.35">
      <c r="A12" s="21">
        <v>1.3333333333333299</v>
      </c>
      <c r="B12" s="5">
        <v>0.8</v>
      </c>
      <c r="E12">
        <f t="shared" si="0"/>
        <v>3.2239065659899993</v>
      </c>
      <c r="I12">
        <f t="shared" si="1"/>
        <v>3.8875817974399984</v>
      </c>
      <c r="N12">
        <f t="shared" si="2"/>
        <v>3.7105934526304987</v>
      </c>
      <c r="R12">
        <f t="shared" si="3"/>
        <v>0.99812694010376857</v>
      </c>
      <c r="S12">
        <f t="shared" si="7"/>
        <v>2.1921691894531246</v>
      </c>
      <c r="T12">
        <f t="shared" si="4"/>
        <v>2.1962829589843746</v>
      </c>
      <c r="U12">
        <f t="shared" si="5"/>
        <v>3.0054215339609507</v>
      </c>
      <c r="V12">
        <v>9</v>
      </c>
      <c r="W12">
        <f t="shared" si="8"/>
        <v>5.2970220115390614</v>
      </c>
      <c r="X12">
        <f t="shared" si="9"/>
        <v>-0.41911277145703102</v>
      </c>
      <c r="Y12">
        <f t="shared" si="6"/>
        <v>4.8779092400820305</v>
      </c>
    </row>
    <row r="13" spans="1:25" ht="15.5" x14ac:dyDescent="0.35">
      <c r="A13" s="21">
        <v>1.4583333333333299</v>
      </c>
      <c r="B13" s="5">
        <v>4.3</v>
      </c>
      <c r="E13">
        <f t="shared" si="0"/>
        <v>3.5467345961929988</v>
      </c>
      <c r="I13">
        <f t="shared" si="1"/>
        <v>3.7853276370658984</v>
      </c>
      <c r="N13">
        <f t="shared" si="2"/>
        <v>3.7330137079611183</v>
      </c>
      <c r="R13">
        <f t="shared" si="3"/>
        <v>0.33894981480136516</v>
      </c>
      <c r="S13">
        <f t="shared" si="7"/>
        <v>0.55545959472656214</v>
      </c>
      <c r="T13">
        <f t="shared" si="4"/>
        <v>1.6387664794921875</v>
      </c>
      <c r="U13">
        <f t="shared" si="5"/>
        <v>2.2578943134659437</v>
      </c>
      <c r="V13">
        <v>10</v>
      </c>
      <c r="W13">
        <f t="shared" si="8"/>
        <v>3.6545364680574215</v>
      </c>
      <c r="X13">
        <f t="shared" si="9"/>
        <v>-1.0307991574693354</v>
      </c>
      <c r="Y13">
        <f t="shared" si="6"/>
        <v>2.6237373105880861</v>
      </c>
    </row>
    <row r="14" spans="1:25" ht="15.5" x14ac:dyDescent="0.35">
      <c r="A14" s="21">
        <v>1.5833333333333299</v>
      </c>
      <c r="B14" s="5">
        <v>3.5</v>
      </c>
      <c r="E14">
        <f t="shared" si="0"/>
        <v>3.5327142173350987</v>
      </c>
      <c r="I14">
        <f t="shared" si="1"/>
        <v>3.7095436111466586</v>
      </c>
      <c r="N14">
        <f t="shared" si="2"/>
        <v>3.7259726789167802</v>
      </c>
      <c r="R14">
        <f t="shared" si="3"/>
        <v>0.73301232656947701</v>
      </c>
      <c r="S14">
        <f t="shared" si="7"/>
        <v>1.4871047973632807</v>
      </c>
      <c r="T14">
        <f t="shared" si="4"/>
        <v>2.0287582397460935</v>
      </c>
      <c r="U14">
        <f t="shared" si="5"/>
        <v>3.7547829538530313</v>
      </c>
      <c r="V14">
        <v>11</v>
      </c>
      <c r="W14">
        <f t="shared" si="8"/>
        <v>3.1266161174116602</v>
      </c>
      <c r="X14">
        <f t="shared" si="9"/>
        <v>-0.77935975405754832</v>
      </c>
      <c r="Y14">
        <f t="shared" si="6"/>
        <v>2.3472563633541119</v>
      </c>
    </row>
    <row r="15" spans="1:25" ht="15.5" x14ac:dyDescent="0.35">
      <c r="A15" s="21">
        <v>1.7083333333333299</v>
      </c>
      <c r="B15" s="5">
        <v>5.5</v>
      </c>
      <c r="E15">
        <f t="shared" si="0"/>
        <v>4.1228999521345688</v>
      </c>
      <c r="I15">
        <f t="shared" si="1"/>
        <v>3.8335505134430314</v>
      </c>
      <c r="N15">
        <f t="shared" si="2"/>
        <v>3.7582460292746553</v>
      </c>
      <c r="R15">
        <f t="shared" si="3"/>
        <v>0.85150041979877245</v>
      </c>
      <c r="S15">
        <f t="shared" si="7"/>
        <v>1.5529273986816401</v>
      </c>
      <c r="T15">
        <f t="shared" si="4"/>
        <v>1.8237541198730467</v>
      </c>
      <c r="U15">
        <f t="shared" si="5"/>
        <v>3.5378351616896038</v>
      </c>
      <c r="V15">
        <v>12</v>
      </c>
      <c r="W15">
        <f t="shared" si="8"/>
        <v>2.6930794543478784</v>
      </c>
      <c r="X15">
        <f t="shared" si="9"/>
        <v>-0.60644820856066506</v>
      </c>
      <c r="Y15">
        <f t="shared" si="6"/>
        <v>2.0866312457872134</v>
      </c>
    </row>
    <row r="16" spans="1:25" ht="15.5" x14ac:dyDescent="0.35">
      <c r="A16" s="21">
        <v>1.8333333333333299</v>
      </c>
      <c r="B16" s="5">
        <v>5.9</v>
      </c>
      <c r="E16">
        <f t="shared" si="0"/>
        <v>4.6560299664941986</v>
      </c>
      <c r="I16">
        <f t="shared" si="1"/>
        <v>4.0802943493583816</v>
      </c>
      <c r="N16">
        <f t="shared" si="2"/>
        <v>3.854860525299773</v>
      </c>
      <c r="R16">
        <f t="shared" si="3"/>
        <v>0.95023858223597923</v>
      </c>
      <c r="S16">
        <f t="shared" si="7"/>
        <v>2.5858386993408198</v>
      </c>
      <c r="T16">
        <f t="shared" si="4"/>
        <v>2.7212520599365231</v>
      </c>
      <c r="U16">
        <f t="shared" si="5"/>
        <v>5.4023598957589645</v>
      </c>
      <c r="V16">
        <v>13</v>
      </c>
      <c r="W16">
        <f t="shared" si="8"/>
        <v>3.1106418720510494</v>
      </c>
      <c r="X16">
        <f t="shared" si="9"/>
        <v>-9.4442895428747065E-2</v>
      </c>
      <c r="Y16">
        <f t="shared" si="6"/>
        <v>3.0161989766223023</v>
      </c>
    </row>
    <row r="17" spans="1:25" ht="15.5" x14ac:dyDescent="0.35">
      <c r="A17" s="21">
        <v>1.9583333333333299</v>
      </c>
      <c r="B17" s="5">
        <v>3.5</v>
      </c>
      <c r="E17">
        <f t="shared" si="0"/>
        <v>4.3092209765459391</v>
      </c>
      <c r="I17">
        <f t="shared" si="1"/>
        <v>4.1489723375146488</v>
      </c>
      <c r="N17">
        <f t="shared" si="2"/>
        <v>3.9430940689642355</v>
      </c>
      <c r="R17">
        <f t="shared" si="3"/>
        <v>0.97990900308464024</v>
      </c>
      <c r="S17">
        <f t="shared" si="7"/>
        <v>3.3022943496704098</v>
      </c>
      <c r="T17">
        <f t="shared" si="4"/>
        <v>3.3700010299682615</v>
      </c>
      <c r="U17">
        <f t="shared" si="5"/>
        <v>5.8900019142007345</v>
      </c>
      <c r="V17">
        <v>14</v>
      </c>
      <c r="W17">
        <f t="shared" si="8"/>
        <v>3.8813392836356115</v>
      </c>
      <c r="X17">
        <f t="shared" si="9"/>
        <v>0.33812725807790756</v>
      </c>
      <c r="Y17">
        <f t="shared" si="6"/>
        <v>4.2194665417135191</v>
      </c>
    </row>
    <row r="18" spans="1:25" ht="15.5" x14ac:dyDescent="0.35">
      <c r="A18" s="21">
        <v>2.0833333333333299</v>
      </c>
      <c r="B18" s="5">
        <v>1.6</v>
      </c>
      <c r="E18">
        <f t="shared" si="0"/>
        <v>3.4964546835821571</v>
      </c>
      <c r="I18">
        <f t="shared" si="1"/>
        <v>3.9532170413349008</v>
      </c>
      <c r="N18">
        <f t="shared" si="2"/>
        <v>3.9461309606754349</v>
      </c>
      <c r="R18">
        <f t="shared" si="3"/>
        <v>0.98642813002871321</v>
      </c>
      <c r="S18">
        <f t="shared" si="7"/>
        <v>2.4605221748352046</v>
      </c>
      <c r="T18">
        <f t="shared" si="4"/>
        <v>2.4943755149841307</v>
      </c>
      <c r="U18">
        <f t="shared" si="5"/>
        <v>3.5324367952106588</v>
      </c>
      <c r="V18">
        <v>15</v>
      </c>
      <c r="W18">
        <f t="shared" si="8"/>
        <v>4.0036265791994632</v>
      </c>
      <c r="X18">
        <f t="shared" si="9"/>
        <v>0.2302072768208796</v>
      </c>
      <c r="Y18">
        <f t="shared" si="6"/>
        <v>4.2338338560203432</v>
      </c>
    </row>
    <row r="19" spans="1:25" ht="15.5" x14ac:dyDescent="0.35">
      <c r="A19" s="21">
        <v>2.2083333333333299</v>
      </c>
      <c r="B19" s="5">
        <v>-0.1</v>
      </c>
      <c r="E19">
        <f t="shared" si="0"/>
        <v>2.4175182785075098</v>
      </c>
      <c r="I19">
        <f t="shared" si="1"/>
        <v>3.4925074124866837</v>
      </c>
      <c r="N19">
        <f t="shared" si="2"/>
        <v>3.8100438962188097</v>
      </c>
      <c r="R19">
        <f t="shared" si="3"/>
        <v>0.78514632578151089</v>
      </c>
      <c r="S19">
        <f t="shared" si="7"/>
        <v>1.0896360874176021</v>
      </c>
      <c r="T19">
        <f t="shared" si="4"/>
        <v>1.3878127574920653</v>
      </c>
      <c r="U19">
        <f t="shared" si="5"/>
        <v>2.0151911456460123</v>
      </c>
      <c r="V19">
        <v>16</v>
      </c>
      <c r="W19">
        <f t="shared" si="8"/>
        <v>3.4436836992142399</v>
      </c>
      <c r="X19">
        <f t="shared" si="9"/>
        <v>-0.16486780158217185</v>
      </c>
      <c r="Y19">
        <f t="shared" si="6"/>
        <v>3.278815897632068</v>
      </c>
    </row>
    <row r="20" spans="1:25" ht="15.5" x14ac:dyDescent="0.35">
      <c r="A20" s="21">
        <v>2.3333333333333299</v>
      </c>
      <c r="B20" s="5">
        <v>-0.8</v>
      </c>
      <c r="E20">
        <f t="shared" si="0"/>
        <v>1.4522627949552567</v>
      </c>
      <c r="I20">
        <f t="shared" si="1"/>
        <v>2.8804340272272553</v>
      </c>
      <c r="N20">
        <f t="shared" si="2"/>
        <v>3.5311609355213429</v>
      </c>
      <c r="R20">
        <f t="shared" si="3"/>
        <v>0.26464746333372452</v>
      </c>
      <c r="S20">
        <f t="shared" si="7"/>
        <v>-0.44580695629119915</v>
      </c>
      <c r="T20">
        <f t="shared" si="4"/>
        <v>1.684531378746033</v>
      </c>
      <c r="U20">
        <f t="shared" si="5"/>
        <v>1.4554111744848404</v>
      </c>
      <c r="V20">
        <v>17</v>
      </c>
      <c r="W20">
        <f t="shared" si="8"/>
        <v>2.2651711283424478</v>
      </c>
      <c r="X20">
        <f t="shared" si="9"/>
        <v>-0.67169018622698196</v>
      </c>
      <c r="Y20">
        <f t="shared" si="6"/>
        <v>1.5934809421154659</v>
      </c>
    </row>
    <row r="21" spans="1:25" ht="15.5" x14ac:dyDescent="0.35">
      <c r="A21" s="21">
        <v>2.4583333333333299</v>
      </c>
      <c r="B21" s="5">
        <v>1.7</v>
      </c>
      <c r="E21">
        <f t="shared" si="0"/>
        <v>1.5265839564686796</v>
      </c>
      <c r="I21">
        <f t="shared" si="1"/>
        <v>2.4742790059996822</v>
      </c>
      <c r="N21">
        <f t="shared" si="2"/>
        <v>3.2140963566648448</v>
      </c>
      <c r="R21">
        <f t="shared" si="3"/>
        <v>0.716265127593121</v>
      </c>
      <c r="S21">
        <f t="shared" si="7"/>
        <v>-1.5635284781455998</v>
      </c>
      <c r="T21">
        <f t="shared" si="4"/>
        <v>2.1828906893730169</v>
      </c>
      <c r="U21">
        <f t="shared" si="5"/>
        <v>-0.1600611981824947</v>
      </c>
      <c r="V21">
        <v>18</v>
      </c>
      <c r="W21">
        <f t="shared" si="8"/>
        <v>0.87543665948082605</v>
      </c>
      <c r="X21">
        <f t="shared" si="9"/>
        <v>-1.0307123275443018</v>
      </c>
      <c r="Y21">
        <f t="shared" si="6"/>
        <v>-0.1552756680634757</v>
      </c>
    </row>
    <row r="22" spans="1:25" ht="15.5" x14ac:dyDescent="0.35">
      <c r="A22" s="21">
        <v>2.5833333333333299</v>
      </c>
      <c r="B22" s="5">
        <v>4.2</v>
      </c>
      <c r="E22">
        <f t="shared" si="0"/>
        <v>2.3286087695280759</v>
      </c>
      <c r="I22">
        <f t="shared" si="1"/>
        <v>2.4305779350582002</v>
      </c>
      <c r="N22">
        <f t="shared" si="2"/>
        <v>2.9790408301828513</v>
      </c>
      <c r="R22">
        <f t="shared" si="3"/>
        <v>0.73801804012278338</v>
      </c>
      <c r="S22">
        <f t="shared" si="7"/>
        <v>-0.87238923907280008</v>
      </c>
      <c r="T22">
        <f t="shared" si="4"/>
        <v>1.1820703446865086</v>
      </c>
      <c r="U22">
        <f t="shared" si="5"/>
        <v>1.2126975218085863</v>
      </c>
      <c r="V22">
        <v>19</v>
      </c>
      <c r="W22">
        <f t="shared" si="8"/>
        <v>0.40130703235556703</v>
      </c>
      <c r="X22">
        <f t="shared" si="9"/>
        <v>-0.75242097733478042</v>
      </c>
      <c r="Y22">
        <f t="shared" si="6"/>
        <v>-0.35111394497921339</v>
      </c>
    </row>
    <row r="23" spans="1:25" ht="15.5" x14ac:dyDescent="0.35">
      <c r="A23" s="21">
        <v>2.7083333333333299</v>
      </c>
      <c r="B23" s="5">
        <v>5.0999999999999996</v>
      </c>
      <c r="E23">
        <f t="shared" si="0"/>
        <v>3.1600261386696529</v>
      </c>
      <c r="I23">
        <f t="shared" si="1"/>
        <v>2.6494123961416358</v>
      </c>
      <c r="N23">
        <f t="shared" si="2"/>
        <v>2.8801522999704865</v>
      </c>
      <c r="R23">
        <f t="shared" si="3"/>
        <v>0.41314909607471401</v>
      </c>
      <c r="S23">
        <f t="shared" si="7"/>
        <v>0.72318038046359978</v>
      </c>
      <c r="T23">
        <f t="shared" si="4"/>
        <v>1.7504101723432541</v>
      </c>
      <c r="U23">
        <f t="shared" si="5"/>
        <v>2.446898840375122</v>
      </c>
      <c r="V23">
        <v>20</v>
      </c>
      <c r="W23">
        <f t="shared" si="8"/>
        <v>1.0142202385145507</v>
      </c>
      <c r="X23">
        <f t="shared" si="9"/>
        <v>-6.9753885587898357E-2</v>
      </c>
      <c r="Y23">
        <f t="shared" si="6"/>
        <v>0.94446635292665237</v>
      </c>
    </row>
    <row r="24" spans="1:25" ht="15.5" x14ac:dyDescent="0.35">
      <c r="A24" s="21">
        <v>2.8333333333333299</v>
      </c>
      <c r="B24" s="5">
        <v>1.5</v>
      </c>
      <c r="E24">
        <f t="shared" si="0"/>
        <v>2.6620182970687569</v>
      </c>
      <c r="I24">
        <f t="shared" si="1"/>
        <v>2.6531941664197718</v>
      </c>
      <c r="N24">
        <f t="shared" si="2"/>
        <v>2.8120648599052722</v>
      </c>
      <c r="R24">
        <f t="shared" si="3"/>
        <v>0.79327899358187637</v>
      </c>
      <c r="S24">
        <f t="shared" si="7"/>
        <v>1.9709651902317995</v>
      </c>
      <c r="T24">
        <f t="shared" si="4"/>
        <v>2.4845800861716265</v>
      </c>
      <c r="U24">
        <f t="shared" si="5"/>
        <v>4.5515482581532538</v>
      </c>
      <c r="V24">
        <v>21</v>
      </c>
      <c r="W24">
        <f t="shared" si="8"/>
        <v>2.1911264470486564</v>
      </c>
      <c r="X24">
        <f t="shared" si="9"/>
        <v>0.55357616147310373</v>
      </c>
      <c r="Y24">
        <f t="shared" si="6"/>
        <v>2.7447026085217603</v>
      </c>
    </row>
    <row r="25" spans="1:25" ht="15.5" x14ac:dyDescent="0.35">
      <c r="A25" s="21">
        <v>2.9583333333333299</v>
      </c>
      <c r="B25" s="5">
        <v>-1</v>
      </c>
      <c r="E25">
        <f t="shared" si="0"/>
        <v>1.5634128079481298</v>
      </c>
      <c r="I25">
        <f t="shared" si="1"/>
        <v>2.3262597588782792</v>
      </c>
      <c r="N25">
        <f t="shared" si="2"/>
        <v>2.6663233295971742</v>
      </c>
      <c r="R25">
        <f t="shared" si="3"/>
        <v>0.55471369286776173</v>
      </c>
      <c r="S25">
        <f t="shared" si="7"/>
        <v>0.7948575951158996</v>
      </c>
      <c r="T25">
        <f t="shared" si="4"/>
        <v>1.4329150430858135</v>
      </c>
      <c r="U25">
        <f t="shared" si="5"/>
        <v>2.8588126549088768</v>
      </c>
      <c r="V25">
        <v>22</v>
      </c>
      <c r="W25">
        <f t="shared" si="8"/>
        <v>2.371291825965232</v>
      </c>
      <c r="X25">
        <f t="shared" si="9"/>
        <v>0.36687077019483966</v>
      </c>
      <c r="Y25">
        <f t="shared" si="6"/>
        <v>2.7381625961600715</v>
      </c>
    </row>
    <row r="26" spans="1:25" ht="15.5" x14ac:dyDescent="0.35">
      <c r="A26" s="21">
        <v>3.0833333333333299</v>
      </c>
      <c r="B26" s="5">
        <v>-3.8</v>
      </c>
      <c r="E26">
        <f t="shared" si="0"/>
        <v>-4.5611034436309206E-2</v>
      </c>
      <c r="I26">
        <f t="shared" si="1"/>
        <v>1.6146985208839024</v>
      </c>
      <c r="N26">
        <f t="shared" si="2"/>
        <v>2.3508358869831927</v>
      </c>
      <c r="R26">
        <f t="shared" si="3"/>
        <v>0.48361441531494048</v>
      </c>
      <c r="S26">
        <f t="shared" si="7"/>
        <v>-1.0431962024420505</v>
      </c>
      <c r="T26">
        <f t="shared" si="4"/>
        <v>2.157082521542907</v>
      </c>
      <c r="U26">
        <f t="shared" si="5"/>
        <v>0.99263522899522738</v>
      </c>
      <c r="V26">
        <v>23</v>
      </c>
      <c r="W26">
        <f t="shared" si="8"/>
        <v>1.6167138173120499</v>
      </c>
      <c r="X26">
        <f t="shared" si="9"/>
        <v>-0.19385361922917124</v>
      </c>
      <c r="Y26">
        <f t="shared" si="6"/>
        <v>1.4228601980828786</v>
      </c>
    </row>
    <row r="27" spans="1:25" ht="15.5" x14ac:dyDescent="0.35">
      <c r="A27" s="21">
        <v>3.2083333333333299</v>
      </c>
      <c r="B27" s="5">
        <v>-4</v>
      </c>
      <c r="E27">
        <f t="shared" si="0"/>
        <v>-1.2319277241054163</v>
      </c>
      <c r="I27">
        <f t="shared" si="1"/>
        <v>0.76071064738710659</v>
      </c>
      <c r="N27">
        <f t="shared" si="2"/>
        <v>1.8737983151043669</v>
      </c>
      <c r="R27">
        <f t="shared" si="3"/>
        <v>0.85789243872476106</v>
      </c>
      <c r="S27">
        <f t="shared" si="7"/>
        <v>-3.3622231012210255</v>
      </c>
      <c r="T27">
        <f t="shared" si="4"/>
        <v>3.9191662607714539</v>
      </c>
      <c r="U27">
        <f t="shared" si="5"/>
        <v>-3.1189302955256921</v>
      </c>
      <c r="V27">
        <v>24</v>
      </c>
      <c r="W27">
        <f t="shared" si="8"/>
        <v>-0.143997861341985</v>
      </c>
      <c r="X27">
        <f t="shared" si="9"/>
        <v>-0.9772826489416031</v>
      </c>
      <c r="Y27">
        <f t="shared" si="6"/>
        <v>-1.1212805102835881</v>
      </c>
    </row>
    <row r="28" spans="1:25" ht="15.5" x14ac:dyDescent="0.35">
      <c r="A28" s="21">
        <v>3.3333333333333299</v>
      </c>
      <c r="B28" s="5">
        <v>-2.8</v>
      </c>
      <c r="E28">
        <f t="shared" si="0"/>
        <v>-1.7023494068737914</v>
      </c>
      <c r="I28">
        <f t="shared" si="1"/>
        <v>2.1792631108837113E-2</v>
      </c>
      <c r="N28">
        <f t="shared" si="2"/>
        <v>1.3181966099057079</v>
      </c>
      <c r="R28">
        <f t="shared" si="3"/>
        <v>0.94317147917688671</v>
      </c>
      <c r="S28">
        <f t="shared" si="7"/>
        <v>-4.621736550610513</v>
      </c>
      <c r="T28">
        <f t="shared" si="4"/>
        <v>4.9002081303857272</v>
      </c>
      <c r="U28">
        <f t="shared" si="5"/>
        <v>-3.9499301119526677</v>
      </c>
      <c r="V28">
        <v>25</v>
      </c>
      <c r="W28">
        <f t="shared" si="8"/>
        <v>-1.9848963571985117</v>
      </c>
      <c r="X28">
        <f t="shared" si="9"/>
        <v>-1.409090572399065</v>
      </c>
      <c r="Y28">
        <f t="shared" si="6"/>
        <v>-3.3939869295975766</v>
      </c>
    </row>
    <row r="29" spans="1:25" ht="15.5" x14ac:dyDescent="0.35">
      <c r="A29" s="21">
        <v>3.4583333333333299</v>
      </c>
      <c r="B29" s="5">
        <v>-2.9</v>
      </c>
      <c r="E29">
        <f t="shared" si="0"/>
        <v>-2.061644584811654</v>
      </c>
      <c r="I29">
        <f t="shared" si="1"/>
        <v>-0.60323853366731017</v>
      </c>
      <c r="N29">
        <f t="shared" si="2"/>
        <v>0.74176606683380242</v>
      </c>
      <c r="R29">
        <f t="shared" si="3"/>
        <v>0.97093640905322165</v>
      </c>
      <c r="S29">
        <f t="shared" si="7"/>
        <v>-4.6514932753052562</v>
      </c>
      <c r="T29">
        <f t="shared" si="4"/>
        <v>4.7907290651928633</v>
      </c>
      <c r="U29">
        <f t="shared" si="5"/>
        <v>-2.8334210983911752</v>
      </c>
      <c r="V29">
        <v>26</v>
      </c>
      <c r="W29">
        <f t="shared" si="8"/>
        <v>-3.2157908507183035</v>
      </c>
      <c r="X29">
        <f t="shared" si="9"/>
        <v>-1.3199925329594284</v>
      </c>
      <c r="Y29">
        <f t="shared" si="6"/>
        <v>-4.5357833836777317</v>
      </c>
    </row>
    <row r="30" spans="1:25" ht="15.5" x14ac:dyDescent="0.35">
      <c r="A30" s="21">
        <v>3.5833333333333299</v>
      </c>
      <c r="B30" s="5">
        <v>-1.1000000000000001</v>
      </c>
      <c r="E30">
        <f t="shared" si="0"/>
        <v>-1.7731512093681578</v>
      </c>
      <c r="I30">
        <f t="shared" si="1"/>
        <v>-0.95421233637756453</v>
      </c>
      <c r="N30">
        <f t="shared" si="2"/>
        <v>0.23297254587039229</v>
      </c>
      <c r="R30">
        <f t="shared" si="3"/>
        <v>0.98545381378925934</v>
      </c>
      <c r="S30">
        <f t="shared" si="7"/>
        <v>-4.7163716376526281</v>
      </c>
      <c r="T30">
        <f t="shared" si="4"/>
        <v>4.7859895325964317</v>
      </c>
      <c r="U30">
        <f t="shared" si="5"/>
        <v>-2.8990315308994914</v>
      </c>
      <c r="V30">
        <v>27</v>
      </c>
      <c r="W30">
        <f t="shared" si="8"/>
        <v>-4.0450483685744123</v>
      </c>
      <c r="X30">
        <f t="shared" si="9"/>
        <v>-1.0746250254077685</v>
      </c>
      <c r="Y30">
        <f t="shared" si="6"/>
        <v>-5.1196733939821808</v>
      </c>
    </row>
    <row r="31" spans="1:25" ht="15.5" x14ac:dyDescent="0.35">
      <c r="A31" s="21">
        <v>3.7083333333333299</v>
      </c>
      <c r="B31" s="5">
        <v>1.2</v>
      </c>
      <c r="E31">
        <f t="shared" si="0"/>
        <v>-0.8812058465577105</v>
      </c>
      <c r="I31">
        <f t="shared" si="1"/>
        <v>-0.93231038943160827</v>
      </c>
      <c r="N31">
        <f t="shared" si="2"/>
        <v>-0.11661233472020785</v>
      </c>
      <c r="R31">
        <f t="shared" si="3"/>
        <v>0.99103698364758275</v>
      </c>
      <c r="S31">
        <f t="shared" si="7"/>
        <v>-3.8488108188263142</v>
      </c>
      <c r="T31">
        <f t="shared" si="4"/>
        <v>3.8836197662982159</v>
      </c>
      <c r="U31">
        <f t="shared" si="5"/>
        <v>-1.1161247490299666</v>
      </c>
      <c r="V31">
        <v>28</v>
      </c>
      <c r="W31">
        <f t="shared" si="8"/>
        <v>-3.9137713757875265</v>
      </c>
      <c r="X31">
        <f t="shared" si="9"/>
        <v>-0.47167401631044137</v>
      </c>
      <c r="Y31">
        <f t="shared" si="6"/>
        <v>-4.3854453920979681</v>
      </c>
    </row>
    <row r="32" spans="1:25" ht="15.5" x14ac:dyDescent="0.35">
      <c r="A32" s="21">
        <v>3.8333333333333299</v>
      </c>
      <c r="B32" s="5">
        <v>-1.4</v>
      </c>
      <c r="E32">
        <f t="shared" si="0"/>
        <v>-1.0368440925903972</v>
      </c>
      <c r="I32">
        <f t="shared" si="1"/>
        <v>-0.96367050037924495</v>
      </c>
      <c r="N32">
        <f t="shared" si="2"/>
        <v>-0.37072978441791893</v>
      </c>
      <c r="R32">
        <f t="shared" si="3"/>
        <v>0.99237460228791385</v>
      </c>
      <c r="S32">
        <f t="shared" si="7"/>
        <v>-2.265030409413157</v>
      </c>
      <c r="T32">
        <f t="shared" si="4"/>
        <v>2.2824348831491079</v>
      </c>
      <c r="U32">
        <f t="shared" si="5"/>
        <v>1.1823386276378407</v>
      </c>
      <c r="V32">
        <v>29</v>
      </c>
      <c r="W32">
        <f t="shared" si="8"/>
        <v>-2.7098117744685775</v>
      </c>
      <c r="X32">
        <f t="shared" si="9"/>
        <v>0.36614279250425386</v>
      </c>
      <c r="Y32">
        <f t="shared" si="6"/>
        <v>-2.3436689819643237</v>
      </c>
    </row>
    <row r="33" spans="1:25" ht="15.5" x14ac:dyDescent="0.35">
      <c r="A33" s="21">
        <v>3.9583333333333299</v>
      </c>
      <c r="B33" s="5">
        <v>-1.3</v>
      </c>
      <c r="E33">
        <f t="shared" si="0"/>
        <v>-1.1157908648132779</v>
      </c>
      <c r="I33">
        <f t="shared" si="1"/>
        <v>-1.0093066097094547</v>
      </c>
      <c r="N33">
        <f t="shared" si="2"/>
        <v>-0.56230283200537967</v>
      </c>
      <c r="R33">
        <f t="shared" si="3"/>
        <v>0.9968717721974758</v>
      </c>
      <c r="S33">
        <f t="shared" si="7"/>
        <v>-2.7731402047065785</v>
      </c>
      <c r="T33">
        <f t="shared" si="4"/>
        <v>2.781842441574554</v>
      </c>
      <c r="U33">
        <f t="shared" si="5"/>
        <v>-1.3919218565094911</v>
      </c>
      <c r="V33">
        <v>30</v>
      </c>
      <c r="W33">
        <f t="shared" si="8"/>
        <v>-2.0605682873750264</v>
      </c>
      <c r="X33">
        <f t="shared" si="9"/>
        <v>0.5076931397989024</v>
      </c>
      <c r="Y33">
        <f t="shared" si="6"/>
        <v>-1.552875147576124</v>
      </c>
    </row>
    <row r="34" spans="1:25" ht="15.5" x14ac:dyDescent="0.35">
      <c r="A34" s="21">
        <v>4.0833333333333304</v>
      </c>
      <c r="B34">
        <f>AVERAGE(B2:B33)</f>
        <v>1.8812500000000003</v>
      </c>
      <c r="C34">
        <v>-2.1</v>
      </c>
      <c r="E34">
        <f>E33</f>
        <v>-1.1157908648132779</v>
      </c>
      <c r="I34">
        <f>I33</f>
        <v>-1.0093066097094547</v>
      </c>
      <c r="N34">
        <f>N33</f>
        <v>-0.56230283200537967</v>
      </c>
      <c r="R34">
        <f>ABS(S34/T34)</f>
        <v>0.99854065034992523</v>
      </c>
      <c r="S34">
        <f>$D$2*(B33-$B$34)+(1-$D$2)*S33</f>
        <v>-2.9771951023532894</v>
      </c>
      <c r="T34">
        <f t="shared" si="4"/>
        <v>2.9815462207872772</v>
      </c>
      <c r="U34">
        <f>R34*B33+(1-R34)*U33</f>
        <v>-1.3001341461291314</v>
      </c>
      <c r="V34">
        <v>31</v>
      </c>
      <c r="W34">
        <f t="shared" si="8"/>
        <v>-1.4770126033032867</v>
      </c>
      <c r="X34">
        <f t="shared" si="9"/>
        <v>0.54562441193532107</v>
      </c>
      <c r="Y34">
        <f>W34+1*X34</f>
        <v>-0.93138819136796558</v>
      </c>
    </row>
    <row r="35" spans="1:25" x14ac:dyDescent="0.35">
      <c r="U35">
        <f>R35*B34+(1-R35)*U34</f>
        <v>-1.3001341461291314</v>
      </c>
      <c r="Y35">
        <f>W34+2*X34</f>
        <v>-0.3857637794326445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211E-11A1-4EBA-B4DD-5217AC9D1DF1}">
  <dimension ref="A1:AS87"/>
  <sheetViews>
    <sheetView topLeftCell="Z1" zoomScale="85" zoomScaleNormal="85" workbookViewId="0">
      <selection activeCell="AI3" sqref="AI3"/>
    </sheetView>
  </sheetViews>
  <sheetFormatPr defaultRowHeight="14.5" x14ac:dyDescent="0.35"/>
  <cols>
    <col min="2" max="2" width="11" customWidth="1"/>
    <col min="35" max="35" width="12" customWidth="1"/>
    <col min="37" max="37" width="11.36328125" customWidth="1"/>
    <col min="39" max="39" width="11.6328125" customWidth="1"/>
    <col min="41" max="41" width="11" customWidth="1"/>
    <col min="43" max="43" width="10.54296875" customWidth="1"/>
    <col min="45" max="45" width="12.08984375" customWidth="1"/>
  </cols>
  <sheetData>
    <row r="1" spans="1:45" ht="39.5" thickBot="1" x14ac:dyDescent="0.4">
      <c r="A1" s="3" t="s">
        <v>12</v>
      </c>
      <c r="B1" s="28" t="s">
        <v>13</v>
      </c>
      <c r="C1" t="s">
        <v>39</v>
      </c>
      <c r="D1" t="s">
        <v>40</v>
      </c>
      <c r="E1" t="s">
        <v>41</v>
      </c>
      <c r="N1" t="s">
        <v>37</v>
      </c>
      <c r="Q1" s="3" t="s">
        <v>12</v>
      </c>
      <c r="R1" s="28" t="s">
        <v>13</v>
      </c>
      <c r="S1" t="s">
        <v>39</v>
      </c>
      <c r="T1" t="s">
        <v>40</v>
      </c>
      <c r="U1" t="s">
        <v>41</v>
      </c>
      <c r="V1" t="s">
        <v>58</v>
      </c>
      <c r="W1" t="s">
        <v>56</v>
      </c>
      <c r="AF1" s="3" t="s">
        <v>12</v>
      </c>
      <c r="AG1" s="35" t="s">
        <v>52</v>
      </c>
      <c r="AH1" s="33" t="s">
        <v>46</v>
      </c>
      <c r="AI1" s="35" t="s">
        <v>53</v>
      </c>
      <c r="AJ1" s="35" t="s">
        <v>47</v>
      </c>
      <c r="AK1" s="35" t="s">
        <v>53</v>
      </c>
      <c r="AL1" s="35" t="s">
        <v>48</v>
      </c>
      <c r="AM1" s="35" t="s">
        <v>53</v>
      </c>
      <c r="AN1" s="35" t="s">
        <v>49</v>
      </c>
      <c r="AO1" s="35" t="s">
        <v>53</v>
      </c>
      <c r="AP1" s="35" t="s">
        <v>50</v>
      </c>
      <c r="AQ1" s="35" t="s">
        <v>53</v>
      </c>
      <c r="AR1" s="35" t="s">
        <v>51</v>
      </c>
      <c r="AS1" s="35" t="s">
        <v>53</v>
      </c>
    </row>
    <row r="2" spans="1:45" ht="15.5" x14ac:dyDescent="0.35">
      <c r="A2" s="21">
        <v>8.3333333333333329E-2</v>
      </c>
      <c r="B2" s="5">
        <v>1.7</v>
      </c>
      <c r="C2">
        <v>1</v>
      </c>
      <c r="D2">
        <f>B2*C2</f>
        <v>1.7</v>
      </c>
      <c r="E2">
        <f>C2^2</f>
        <v>1</v>
      </c>
      <c r="Q2" s="21">
        <v>0</v>
      </c>
      <c r="R2" s="5">
        <v>5.3</v>
      </c>
      <c r="S2">
        <v>1</v>
      </c>
      <c r="T2">
        <f>R2*S2</f>
        <v>5.3</v>
      </c>
      <c r="U2">
        <f>S2^2</f>
        <v>1</v>
      </c>
      <c r="V2">
        <f>LOG10(R2)</f>
        <v>0.72427586960078905</v>
      </c>
      <c r="AF2" s="21">
        <v>8.3333333333333329E-2</v>
      </c>
      <c r="AG2" s="24">
        <v>8.1</v>
      </c>
      <c r="AH2" s="24">
        <f>0.0372*R33+7.9401</f>
        <v>8.3492999999999995</v>
      </c>
      <c r="AI2" s="24">
        <f>(ABS(AH2-AG2)/AG2)*100</f>
        <v>3.0777777777777762</v>
      </c>
      <c r="AJ2" s="24">
        <f>0.0022*R33^2-0.035*R33+8.3489</f>
        <v>8.2301000000000002</v>
      </c>
      <c r="AK2" s="24">
        <f>(ABS(AJ2-AG2)/AG2)*100</f>
        <v>1.6061728395061796</v>
      </c>
      <c r="AL2" s="24">
        <f>3*10^(-5)*R33^4+0.0017*R33^3-0.129*R33^2+1.9292*R33+2.2443</f>
        <v>10.558429999999998</v>
      </c>
      <c r="AM2" s="24">
        <f>(ABS(AL2-AG2)/AG2)*100</f>
        <v>30.350987654320967</v>
      </c>
      <c r="AN2" s="24">
        <f>6.8413*EXP(0.0071*R33)</f>
        <v>7.3970241101867718</v>
      </c>
      <c r="AO2" s="24">
        <f>(ABS(AN2-AG2)/AG2)*100</f>
        <v>8.6787146890521978</v>
      </c>
      <c r="AP2" s="24">
        <f>10^0.8351*10^(0.0031*R33)</f>
        <v>7.3994595431272403</v>
      </c>
      <c r="AQ2" s="24">
        <f>(ABS(AP2-AG2)/AG2)*100</f>
        <v>8.6486476157130792</v>
      </c>
      <c r="AR2" s="24">
        <f>0.7072*LN(R33)+6.7506</f>
        <v>8.4463915369230076</v>
      </c>
      <c r="AS2" s="24">
        <f>(ABS(AR2-AG2)/AG2)*100</f>
        <v>4.2764387274445426</v>
      </c>
    </row>
    <row r="3" spans="1:45" ht="15.5" x14ac:dyDescent="0.35">
      <c r="A3" s="21">
        <v>0.20833333333333334</v>
      </c>
      <c r="B3" s="5">
        <v>2.6</v>
      </c>
      <c r="C3">
        <v>2</v>
      </c>
      <c r="D3">
        <f>B3*C3</f>
        <v>5.2</v>
      </c>
      <c r="E3">
        <f>C3^2</f>
        <v>4</v>
      </c>
      <c r="N3" t="s">
        <v>42</v>
      </c>
      <c r="Q3" s="21">
        <v>0.125</v>
      </c>
      <c r="R3" s="5">
        <v>3.8</v>
      </c>
      <c r="S3">
        <v>2</v>
      </c>
      <c r="T3">
        <f>R3*S3</f>
        <v>7.6</v>
      </c>
      <c r="U3">
        <f>S3^2</f>
        <v>4</v>
      </c>
      <c r="V3">
        <f t="shared" ref="V3:V33" si="0">LOG10(R3)</f>
        <v>0.57978359661681012</v>
      </c>
      <c r="W3">
        <f>10^0.8351*10^(0.0031*R2)</f>
        <v>7.1044424405775155</v>
      </c>
      <c r="X3">
        <f>10^0.8351*10^(0.0031*S2)</f>
        <v>6.8896950548113676</v>
      </c>
      <c r="AF3" s="21">
        <v>0.20833333333333334</v>
      </c>
      <c r="AG3" s="24">
        <v>7.4</v>
      </c>
      <c r="AH3" s="24">
        <f>0.0372*AH2+7.9401</f>
        <v>8.2506939599999995</v>
      </c>
      <c r="AI3" s="24">
        <f>(ABS(AH3-AG3)/AG3)*100</f>
        <v>11.495864324324314</v>
      </c>
      <c r="AJ3" s="24">
        <f>0.0022*AJ2^2-0.035*AJ2+8.3489</f>
        <v>8.2098625012220001</v>
      </c>
      <c r="AK3" s="24">
        <f t="shared" ref="AK3:AK4" si="1">(ABS(AJ3-AG3)/AG3)*100</f>
        <v>10.944087854351348</v>
      </c>
      <c r="AL3" s="24">
        <f>3*10^(-5)*AL2^4+0.0017*AL2^3-0.129*AL2^2+1.9292*AL2+2.2443</f>
        <v>10.606481944442994</v>
      </c>
      <c r="AM3" s="24">
        <f t="shared" ref="AM3:AM4" si="2">(ABS(AL3-AG3)/AG3)*100</f>
        <v>43.330837087067472</v>
      </c>
      <c r="AN3" s="24">
        <f>6.8413*EXP(0.0071*AN2)</f>
        <v>7.2101996616564739</v>
      </c>
      <c r="AO3" s="24">
        <f t="shared" ref="AO3:AO4" si="3">(ABS(AN3-AG3)/AG3)*100</f>
        <v>2.5648694370746821</v>
      </c>
      <c r="AP3" s="24">
        <f>10^0.8351*10^(0.0031*AP2)</f>
        <v>7.2117111656377935</v>
      </c>
      <c r="AQ3" s="24">
        <f t="shared" ref="AQ3:AQ4" si="4">(ABS(AP3-AG3)/AG3)*100</f>
        <v>2.5444437075973902</v>
      </c>
      <c r="AR3" s="24">
        <f>0.7072*LN(AR2)+6.7506</f>
        <v>8.259580442232993</v>
      </c>
      <c r="AS3" s="24">
        <f t="shared" ref="AS3:AS4" si="5">(ABS(AR3-AG3)/AG3)*100</f>
        <v>11.615951922067467</v>
      </c>
    </row>
    <row r="4" spans="1:45" ht="15.5" x14ac:dyDescent="0.35">
      <c r="A4" s="21">
        <v>0.33333333333333331</v>
      </c>
      <c r="B4" s="5">
        <v>1.4</v>
      </c>
      <c r="C4">
        <v>3</v>
      </c>
      <c r="D4">
        <f t="shared" ref="D4:D32" si="6">B4*C4</f>
        <v>4.1999999999999993</v>
      </c>
      <c r="E4">
        <f t="shared" ref="E4:E33" si="7">C4^2</f>
        <v>9</v>
      </c>
      <c r="N4" t="s">
        <v>45</v>
      </c>
      <c r="Q4" s="21">
        <v>0.25</v>
      </c>
      <c r="R4" s="5">
        <v>2.4</v>
      </c>
      <c r="S4">
        <v>3</v>
      </c>
      <c r="T4">
        <f t="shared" ref="T4:T32" si="8">R4*S4</f>
        <v>7.1999999999999993</v>
      </c>
      <c r="U4">
        <f t="shared" ref="U4:U33" si="9">S4^2</f>
        <v>9</v>
      </c>
      <c r="V4">
        <f t="shared" si="0"/>
        <v>0.38021124171160603</v>
      </c>
      <c r="W4">
        <f>10^0.8351*10^(0.0031*R3)</f>
        <v>7.0287808065904258</v>
      </c>
      <c r="X4">
        <f t="shared" ref="X4:X33" si="10">10^0.8351*10^(0.0031*S3)</f>
        <v>6.9390497307316297</v>
      </c>
      <c r="AF4" s="21">
        <v>0.33333333333333331</v>
      </c>
      <c r="AG4" s="24">
        <v>6.3</v>
      </c>
      <c r="AH4" s="24">
        <f>0.0372*AH3+7.9401</f>
        <v>8.247025815312</v>
      </c>
      <c r="AI4" s="24">
        <f>(ABS(AH4-AG4)/AG4)*100</f>
        <v>30.905171671619051</v>
      </c>
      <c r="AJ4" s="24">
        <f>0.0022*AJ3^2-0.035*AJ3+8.3489</f>
        <v>8.2098388654929675</v>
      </c>
      <c r="AK4" s="24">
        <f t="shared" si="1"/>
        <v>30.314902626872502</v>
      </c>
      <c r="AL4" s="24">
        <f>3*10^(-5)*AL3^4+0.0017*AL3^3-0.129*AL3^2+1.9292*AL3+2.2443</f>
        <v>10.602266934934978</v>
      </c>
      <c r="AM4" s="24">
        <f t="shared" si="2"/>
        <v>68.289951348174256</v>
      </c>
      <c r="AN4" s="24">
        <f>6.8413*EXP(0.0071*AN3)</f>
        <v>7.2006420067640109</v>
      </c>
      <c r="AO4" s="24">
        <f t="shared" si="3"/>
        <v>14.295904869270018</v>
      </c>
      <c r="AP4" s="24">
        <f>10^0.8351*10^(0.0031*AP3)</f>
        <v>7.2020528604978384</v>
      </c>
      <c r="AQ4" s="24">
        <f t="shared" si="4"/>
        <v>14.318299372981565</v>
      </c>
      <c r="AR4" s="24">
        <f>0.7072*LN(AR3)+6.7506</f>
        <v>8.2437635459317509</v>
      </c>
      <c r="AS4" s="24">
        <f t="shared" si="5"/>
        <v>30.853389617964304</v>
      </c>
    </row>
    <row r="5" spans="1:45" ht="15.5" x14ac:dyDescent="0.35">
      <c r="A5" s="21">
        <v>0.45833333333333331</v>
      </c>
      <c r="B5" s="5">
        <v>4.4000000000000004</v>
      </c>
      <c r="C5">
        <v>4</v>
      </c>
      <c r="D5">
        <f t="shared" si="6"/>
        <v>17.600000000000001</v>
      </c>
      <c r="E5">
        <f t="shared" si="7"/>
        <v>16</v>
      </c>
      <c r="N5" t="s">
        <v>43</v>
      </c>
      <c r="O5">
        <f>-0.22034</f>
        <v>-0.22034000000000001</v>
      </c>
      <c r="Q5" s="21">
        <v>0.375</v>
      </c>
      <c r="R5" s="5">
        <v>9</v>
      </c>
      <c r="S5">
        <v>4</v>
      </c>
      <c r="T5">
        <f t="shared" si="8"/>
        <v>36</v>
      </c>
      <c r="U5">
        <f t="shared" si="9"/>
        <v>16</v>
      </c>
      <c r="V5">
        <f t="shared" si="0"/>
        <v>0.95424250943932487</v>
      </c>
      <c r="W5">
        <f t="shared" ref="W5:W32" si="11">10^0.8351*10^(0.0031*R4)</f>
        <v>6.9588904549877144</v>
      </c>
      <c r="X5">
        <f t="shared" si="10"/>
        <v>6.9887579613471029</v>
      </c>
      <c r="AF5" s="34"/>
      <c r="AI5">
        <f>AVERAGE(AI2:AI4)</f>
        <v>15.159604591240381</v>
      </c>
      <c r="AK5">
        <f>AVERAGE(AK2:AK4)</f>
        <v>14.288387773576678</v>
      </c>
      <c r="AM5">
        <f>AVERAGE(AM2:AM4)</f>
        <v>47.323925363187563</v>
      </c>
      <c r="AO5">
        <f>AVERAGE(AO2:AO4)</f>
        <v>8.5131629984656332</v>
      </c>
      <c r="AQ5">
        <f>AVERAGE(AQ2:AQ4)</f>
        <v>8.5037968987640102</v>
      </c>
      <c r="AS5">
        <f>AVERAGE(AS2:AS4)</f>
        <v>15.581926755825437</v>
      </c>
    </row>
    <row r="6" spans="1:45" ht="43.5" x14ac:dyDescent="0.35">
      <c r="A6" s="21">
        <v>0.58333333333333337</v>
      </c>
      <c r="B6" s="5">
        <v>6.6</v>
      </c>
      <c r="C6">
        <v>5</v>
      </c>
      <c r="D6">
        <f t="shared" si="6"/>
        <v>33</v>
      </c>
      <c r="E6">
        <f t="shared" si="7"/>
        <v>25</v>
      </c>
      <c r="N6" t="s">
        <v>44</v>
      </c>
      <c r="O6">
        <f>5.51693</f>
        <v>5.5169300000000003</v>
      </c>
      <c r="Q6" s="21">
        <v>0.5</v>
      </c>
      <c r="R6" s="5">
        <v>12.8</v>
      </c>
      <c r="S6">
        <v>5</v>
      </c>
      <c r="T6">
        <f t="shared" si="8"/>
        <v>64</v>
      </c>
      <c r="U6">
        <f t="shared" si="9"/>
        <v>25</v>
      </c>
      <c r="V6">
        <f t="shared" si="0"/>
        <v>1.1072099696478683</v>
      </c>
      <c r="W6">
        <f t="shared" si="11"/>
        <v>7.2945751025456884</v>
      </c>
      <c r="X6">
        <f t="shared" si="10"/>
        <v>7.0388222793645694</v>
      </c>
      <c r="AF6" s="3" t="s">
        <v>12</v>
      </c>
      <c r="AG6" s="35" t="s">
        <v>49</v>
      </c>
      <c r="AH6" s="35" t="s">
        <v>53</v>
      </c>
      <c r="AI6" s="35" t="s">
        <v>50</v>
      </c>
      <c r="AJ6" s="35" t="s">
        <v>53</v>
      </c>
      <c r="AK6" s="35" t="s">
        <v>51</v>
      </c>
      <c r="AL6" s="35" t="s">
        <v>53</v>
      </c>
    </row>
    <row r="7" spans="1:45" ht="15.5" x14ac:dyDescent="0.35">
      <c r="A7" s="21">
        <v>0.70833333333333337</v>
      </c>
      <c r="B7" s="5">
        <v>7.1</v>
      </c>
      <c r="C7">
        <v>6</v>
      </c>
      <c r="D7">
        <f t="shared" si="6"/>
        <v>42.599999999999994</v>
      </c>
      <c r="E7">
        <f t="shared" si="7"/>
        <v>36</v>
      </c>
      <c r="Q7" s="21">
        <v>0.625</v>
      </c>
      <c r="R7" s="5">
        <v>13.8</v>
      </c>
      <c r="S7">
        <v>6</v>
      </c>
      <c r="T7">
        <f t="shared" si="8"/>
        <v>82.800000000000011</v>
      </c>
      <c r="U7">
        <f t="shared" si="9"/>
        <v>36</v>
      </c>
      <c r="V7">
        <f t="shared" si="0"/>
        <v>1.1398790864012365</v>
      </c>
      <c r="W7">
        <f t="shared" si="11"/>
        <v>7.4951443258198749</v>
      </c>
      <c r="X7">
        <f t="shared" si="10"/>
        <v>7.0892452356339852</v>
      </c>
      <c r="AF7" s="21">
        <v>8.3333333333333329E-2</v>
      </c>
      <c r="AG7" s="24">
        <v>7.3970241101867718</v>
      </c>
      <c r="AH7" s="24">
        <v>8.6787146890521978</v>
      </c>
      <c r="AI7" s="24">
        <v>7.3994595431272403</v>
      </c>
      <c r="AJ7" s="24">
        <v>8.6486476157130792</v>
      </c>
      <c r="AK7" s="24">
        <v>8.4463915369230076</v>
      </c>
      <c r="AL7" s="24">
        <v>4.2764387274445426</v>
      </c>
    </row>
    <row r="8" spans="1:45" ht="15.5" x14ac:dyDescent="0.35">
      <c r="A8" s="21">
        <v>0.83333333333333337</v>
      </c>
      <c r="B8" s="5">
        <v>4.2</v>
      </c>
      <c r="C8">
        <v>7</v>
      </c>
      <c r="D8">
        <f t="shared" si="6"/>
        <v>29.400000000000002</v>
      </c>
      <c r="E8">
        <f t="shared" si="7"/>
        <v>49</v>
      </c>
      <c r="Q8" s="21">
        <v>0.75</v>
      </c>
      <c r="R8" s="5">
        <v>14.8</v>
      </c>
      <c r="S8">
        <v>7</v>
      </c>
      <c r="T8">
        <f t="shared" si="8"/>
        <v>103.60000000000001</v>
      </c>
      <c r="U8">
        <f t="shared" si="9"/>
        <v>49</v>
      </c>
      <c r="V8">
        <f t="shared" si="0"/>
        <v>1.1702617153949575</v>
      </c>
      <c r="W8">
        <f t="shared" si="11"/>
        <v>7.5488361679454714</v>
      </c>
      <c r="X8">
        <f t="shared" si="10"/>
        <v>7.1400293992784478</v>
      </c>
      <c r="AF8" s="21">
        <v>0.20833333333333334</v>
      </c>
      <c r="AG8" s="24">
        <v>7.2101996616564739</v>
      </c>
      <c r="AH8" s="24">
        <v>2.5648694370746821</v>
      </c>
      <c r="AI8" s="24">
        <v>7.2117111656377935</v>
      </c>
      <c r="AJ8" s="24">
        <v>2.5444437075973902</v>
      </c>
      <c r="AK8" s="24">
        <v>8.259580442232993</v>
      </c>
      <c r="AL8" s="24">
        <v>11.615951922067467</v>
      </c>
    </row>
    <row r="9" spans="1:45" ht="15.5" x14ac:dyDescent="0.35">
      <c r="A9" s="21">
        <v>0.95833333333333337</v>
      </c>
      <c r="B9" s="5">
        <v>3.7</v>
      </c>
      <c r="C9">
        <v>8</v>
      </c>
      <c r="D9">
        <f t="shared" si="6"/>
        <v>29.6</v>
      </c>
      <c r="E9">
        <f t="shared" si="7"/>
        <v>64</v>
      </c>
      <c r="Q9" s="21">
        <v>0.875</v>
      </c>
      <c r="R9" s="5">
        <v>10.4</v>
      </c>
      <c r="S9">
        <v>8</v>
      </c>
      <c r="T9">
        <f t="shared" si="8"/>
        <v>83.2</v>
      </c>
      <c r="U9">
        <f t="shared" si="9"/>
        <v>64</v>
      </c>
      <c r="V9">
        <f t="shared" si="0"/>
        <v>1.0170333392987803</v>
      </c>
      <c r="W9">
        <f t="shared" si="11"/>
        <v>7.6029126342738218</v>
      </c>
      <c r="X9">
        <f t="shared" si="10"/>
        <v>7.1911773578250946</v>
      </c>
      <c r="AF9" s="21">
        <v>0.33333333333333331</v>
      </c>
      <c r="AG9" s="24">
        <v>7.2006420067640109</v>
      </c>
      <c r="AH9" s="24">
        <v>14.295904869270018</v>
      </c>
      <c r="AI9" s="24">
        <v>7.2020528604978384</v>
      </c>
      <c r="AJ9" s="24">
        <v>14.318299372981565</v>
      </c>
      <c r="AK9" s="24">
        <v>8.2437635459317509</v>
      </c>
      <c r="AL9" s="24">
        <v>30.853389617964304</v>
      </c>
    </row>
    <row r="10" spans="1:45" ht="15.5" x14ac:dyDescent="0.35">
      <c r="A10" s="21">
        <v>1.0833333333333299</v>
      </c>
      <c r="B10" s="5">
        <v>5.9</v>
      </c>
      <c r="C10">
        <v>9</v>
      </c>
      <c r="D10">
        <f t="shared" si="6"/>
        <v>53.1</v>
      </c>
      <c r="E10">
        <f t="shared" si="7"/>
        <v>81</v>
      </c>
      <c r="Q10" s="21">
        <v>1</v>
      </c>
      <c r="R10" s="5">
        <v>7</v>
      </c>
      <c r="S10">
        <v>9</v>
      </c>
      <c r="T10">
        <f t="shared" si="8"/>
        <v>63</v>
      </c>
      <c r="U10">
        <f t="shared" si="9"/>
        <v>81</v>
      </c>
      <c r="V10">
        <f t="shared" si="0"/>
        <v>0.84509804001425681</v>
      </c>
      <c r="W10">
        <f t="shared" si="11"/>
        <v>7.3678368419001128</v>
      </c>
      <c r="X10">
        <f t="shared" si="10"/>
        <v>7.2426917173369469</v>
      </c>
      <c r="AH10">
        <v>8.5131629984656332</v>
      </c>
      <c r="AJ10">
        <v>8.5037968987640102</v>
      </c>
      <c r="AL10">
        <v>15.581926755825437</v>
      </c>
    </row>
    <row r="11" spans="1:45" ht="15.5" x14ac:dyDescent="0.35">
      <c r="A11" s="21">
        <v>1.2083333333333299</v>
      </c>
      <c r="B11" s="5">
        <v>3</v>
      </c>
      <c r="C11">
        <v>10</v>
      </c>
      <c r="D11">
        <f t="shared" si="6"/>
        <v>30</v>
      </c>
      <c r="E11">
        <f t="shared" si="7"/>
        <v>100</v>
      </c>
      <c r="Q11" s="21">
        <v>1.125</v>
      </c>
      <c r="R11" s="5">
        <v>3.3</v>
      </c>
      <c r="S11">
        <v>10</v>
      </c>
      <c r="T11">
        <f t="shared" si="8"/>
        <v>33</v>
      </c>
      <c r="U11">
        <f t="shared" si="9"/>
        <v>100</v>
      </c>
      <c r="V11">
        <f t="shared" si="0"/>
        <v>0.51851393987788741</v>
      </c>
      <c r="W11">
        <f t="shared" si="11"/>
        <v>7.1911773578250946</v>
      </c>
      <c r="X11">
        <f t="shared" si="10"/>
        <v>7.2945751025456884</v>
      </c>
    </row>
    <row r="12" spans="1:45" ht="15.5" x14ac:dyDescent="0.35">
      <c r="A12" s="21">
        <v>1.3333333333333299</v>
      </c>
      <c r="B12" s="5">
        <v>0.8</v>
      </c>
      <c r="C12">
        <v>11</v>
      </c>
      <c r="D12">
        <f t="shared" si="6"/>
        <v>8.8000000000000007</v>
      </c>
      <c r="E12">
        <f t="shared" si="7"/>
        <v>121</v>
      </c>
      <c r="Q12" s="21">
        <v>1.25</v>
      </c>
      <c r="R12" s="5">
        <v>5.5</v>
      </c>
      <c r="S12">
        <v>11</v>
      </c>
      <c r="T12">
        <f t="shared" si="8"/>
        <v>60.5</v>
      </c>
      <c r="U12">
        <f t="shared" si="9"/>
        <v>121</v>
      </c>
      <c r="V12">
        <f t="shared" si="0"/>
        <v>0.74036268949424389</v>
      </c>
      <c r="W12">
        <f t="shared" si="11"/>
        <v>7.0037397518634572</v>
      </c>
      <c r="X12">
        <f t="shared" si="10"/>
        <v>7.3468301569853969</v>
      </c>
    </row>
    <row r="13" spans="1:45" ht="15.5" x14ac:dyDescent="0.35">
      <c r="A13" s="21">
        <v>1.4583333333333299</v>
      </c>
      <c r="B13" s="5">
        <v>4.3</v>
      </c>
      <c r="C13">
        <v>12</v>
      </c>
      <c r="D13">
        <f t="shared" si="6"/>
        <v>51.599999999999994</v>
      </c>
      <c r="E13">
        <f t="shared" si="7"/>
        <v>144</v>
      </c>
      <c r="Q13" s="21">
        <v>1.375</v>
      </c>
      <c r="R13" s="5">
        <v>7.4</v>
      </c>
      <c r="S13">
        <v>12</v>
      </c>
      <c r="T13">
        <f t="shared" si="8"/>
        <v>88.800000000000011</v>
      </c>
      <c r="U13">
        <f t="shared" si="9"/>
        <v>144</v>
      </c>
      <c r="V13">
        <f t="shared" si="0"/>
        <v>0.86923171973097624</v>
      </c>
      <c r="W13">
        <f t="shared" si="11"/>
        <v>7.1145920052467746</v>
      </c>
      <c r="X13">
        <f t="shared" si="10"/>
        <v>7.3994595431272403</v>
      </c>
    </row>
    <row r="14" spans="1:45" ht="15.5" x14ac:dyDescent="0.35">
      <c r="A14" s="21">
        <v>1.5833333333333299</v>
      </c>
      <c r="B14" s="5">
        <v>3.5</v>
      </c>
      <c r="C14">
        <v>13</v>
      </c>
      <c r="D14">
        <f t="shared" si="6"/>
        <v>45.5</v>
      </c>
      <c r="E14">
        <f t="shared" si="7"/>
        <v>169</v>
      </c>
      <c r="Q14" s="21">
        <v>1.5</v>
      </c>
      <c r="R14" s="5">
        <v>12.6</v>
      </c>
      <c r="S14">
        <v>13</v>
      </c>
      <c r="T14">
        <f t="shared" si="8"/>
        <v>163.79999999999998</v>
      </c>
      <c r="U14">
        <f t="shared" si="9"/>
        <v>169</v>
      </c>
      <c r="V14">
        <f t="shared" si="0"/>
        <v>1.1003705451175629</v>
      </c>
      <c r="W14">
        <f t="shared" si="11"/>
        <v>7.2117389869486477</v>
      </c>
      <c r="X14">
        <f t="shared" si="10"/>
        <v>7.4524659425151372</v>
      </c>
    </row>
    <row r="15" spans="1:45" ht="15.5" x14ac:dyDescent="0.35">
      <c r="A15" s="21">
        <v>1.7083333333333299</v>
      </c>
      <c r="B15" s="5">
        <v>5.5</v>
      </c>
      <c r="C15">
        <v>14</v>
      </c>
      <c r="D15">
        <f t="shared" si="6"/>
        <v>77</v>
      </c>
      <c r="E15">
        <f t="shared" si="7"/>
        <v>196</v>
      </c>
      <c r="Q15" s="21">
        <v>1.625</v>
      </c>
      <c r="R15" s="5">
        <v>13.8</v>
      </c>
      <c r="S15">
        <v>14</v>
      </c>
      <c r="T15">
        <f t="shared" si="8"/>
        <v>193.20000000000002</v>
      </c>
      <c r="U15">
        <f t="shared" si="9"/>
        <v>196</v>
      </c>
      <c r="V15">
        <f t="shared" si="0"/>
        <v>1.1398790864012365</v>
      </c>
      <c r="W15">
        <f t="shared" si="11"/>
        <v>7.4844518712161205</v>
      </c>
      <c r="X15">
        <f t="shared" si="10"/>
        <v>7.5058520559023707</v>
      </c>
    </row>
    <row r="16" spans="1:45" ht="15.5" x14ac:dyDescent="0.35">
      <c r="A16" s="21">
        <v>1.8333333333333299</v>
      </c>
      <c r="B16" s="5">
        <v>5.9</v>
      </c>
      <c r="C16">
        <v>15</v>
      </c>
      <c r="D16">
        <f t="shared" si="6"/>
        <v>88.5</v>
      </c>
      <c r="E16">
        <f t="shared" si="7"/>
        <v>225</v>
      </c>
      <c r="Q16" s="21">
        <v>1.75</v>
      </c>
      <c r="R16" s="5">
        <v>13.1</v>
      </c>
      <c r="S16">
        <v>15</v>
      </c>
      <c r="T16">
        <f t="shared" si="8"/>
        <v>196.5</v>
      </c>
      <c r="U16">
        <f t="shared" si="9"/>
        <v>225</v>
      </c>
      <c r="V16">
        <f t="shared" si="0"/>
        <v>1.1172712956557642</v>
      </c>
      <c r="W16">
        <f t="shared" si="11"/>
        <v>7.5488361679454714</v>
      </c>
      <c r="X16">
        <f t="shared" si="10"/>
        <v>7.5596206033892157</v>
      </c>
    </row>
    <row r="17" spans="1:33" ht="15.5" x14ac:dyDescent="0.35">
      <c r="A17" s="21">
        <v>1.9583333333333299</v>
      </c>
      <c r="B17" s="5">
        <v>3.5</v>
      </c>
      <c r="C17">
        <v>16</v>
      </c>
      <c r="D17">
        <f t="shared" si="6"/>
        <v>56</v>
      </c>
      <c r="E17">
        <f t="shared" si="7"/>
        <v>256</v>
      </c>
      <c r="Q17" s="21">
        <v>1.875</v>
      </c>
      <c r="R17" s="5">
        <v>11</v>
      </c>
      <c r="S17">
        <v>16</v>
      </c>
      <c r="T17">
        <f t="shared" si="8"/>
        <v>176</v>
      </c>
      <c r="U17">
        <f t="shared" si="9"/>
        <v>256</v>
      </c>
      <c r="V17">
        <f t="shared" si="0"/>
        <v>1.0413926851582251</v>
      </c>
      <c r="W17">
        <f t="shared" si="11"/>
        <v>7.5112116560665827</v>
      </c>
      <c r="X17">
        <f t="shared" si="10"/>
        <v>7.613774324561513</v>
      </c>
    </row>
    <row r="18" spans="1:33" ht="15.5" x14ac:dyDescent="0.35">
      <c r="A18" s="21">
        <v>2.0833333333333299</v>
      </c>
      <c r="B18" s="5">
        <v>1.6</v>
      </c>
      <c r="C18">
        <v>17</v>
      </c>
      <c r="D18">
        <f t="shared" si="6"/>
        <v>27.200000000000003</v>
      </c>
      <c r="E18">
        <f t="shared" si="7"/>
        <v>289</v>
      </c>
      <c r="Q18" s="21">
        <v>2</v>
      </c>
      <c r="R18" s="5">
        <v>8.1</v>
      </c>
      <c r="S18">
        <v>17</v>
      </c>
      <c r="T18">
        <f t="shared" si="8"/>
        <v>137.69999999999999</v>
      </c>
      <c r="U18">
        <f t="shared" si="9"/>
        <v>289</v>
      </c>
      <c r="V18">
        <f t="shared" si="0"/>
        <v>0.90848501887864974</v>
      </c>
      <c r="W18">
        <f t="shared" si="11"/>
        <v>7.3994595431272403</v>
      </c>
      <c r="X18">
        <f t="shared" si="10"/>
        <v>7.6683159786302699</v>
      </c>
    </row>
    <row r="19" spans="1:33" ht="15.5" x14ac:dyDescent="0.35">
      <c r="A19" s="21">
        <v>2.2083333333333299</v>
      </c>
      <c r="B19" s="5">
        <v>-0.1</v>
      </c>
      <c r="C19">
        <v>18</v>
      </c>
      <c r="D19">
        <f t="shared" si="6"/>
        <v>-1.8</v>
      </c>
      <c r="E19">
        <f t="shared" si="7"/>
        <v>324</v>
      </c>
      <c r="Q19" s="21">
        <v>2.125</v>
      </c>
      <c r="R19" s="5">
        <v>7.4</v>
      </c>
      <c r="S19">
        <v>18</v>
      </c>
      <c r="T19">
        <f t="shared" si="8"/>
        <v>133.20000000000002</v>
      </c>
      <c r="U19">
        <f t="shared" si="9"/>
        <v>324</v>
      </c>
      <c r="V19">
        <f t="shared" si="0"/>
        <v>0.86923171973097624</v>
      </c>
      <c r="W19">
        <f t="shared" si="11"/>
        <v>7.2478634062309544</v>
      </c>
      <c r="X19">
        <f t="shared" si="10"/>
        <v>7.7232483445722382</v>
      </c>
    </row>
    <row r="20" spans="1:33" ht="15.5" x14ac:dyDescent="0.35">
      <c r="A20" s="21">
        <v>2.3333333333333299</v>
      </c>
      <c r="B20" s="5">
        <v>-0.8</v>
      </c>
      <c r="C20">
        <v>19</v>
      </c>
      <c r="D20">
        <f t="shared" si="6"/>
        <v>-15.200000000000001</v>
      </c>
      <c r="E20">
        <f t="shared" si="7"/>
        <v>361</v>
      </c>
      <c r="Q20" s="21">
        <v>2.25</v>
      </c>
      <c r="R20" s="5">
        <v>6</v>
      </c>
      <c r="S20">
        <v>19</v>
      </c>
      <c r="T20">
        <f t="shared" si="8"/>
        <v>114</v>
      </c>
      <c r="U20">
        <f t="shared" si="9"/>
        <v>361</v>
      </c>
      <c r="V20">
        <f t="shared" si="0"/>
        <v>0.77815125038364363</v>
      </c>
      <c r="W20">
        <f t="shared" si="11"/>
        <v>7.2117389869486477</v>
      </c>
      <c r="X20">
        <f t="shared" si="10"/>
        <v>7.7785742212715077</v>
      </c>
    </row>
    <row r="21" spans="1:33" ht="15.5" x14ac:dyDescent="0.35">
      <c r="A21" s="21">
        <v>2.4583333333333299</v>
      </c>
      <c r="B21" s="5">
        <v>1.7</v>
      </c>
      <c r="C21">
        <v>20</v>
      </c>
      <c r="D21">
        <f t="shared" si="6"/>
        <v>34</v>
      </c>
      <c r="E21">
        <f t="shared" si="7"/>
        <v>400</v>
      </c>
      <c r="Q21" s="21">
        <v>2.375</v>
      </c>
      <c r="R21" s="5">
        <v>6.3</v>
      </c>
      <c r="S21">
        <v>20</v>
      </c>
      <c r="T21">
        <f t="shared" si="8"/>
        <v>126</v>
      </c>
      <c r="U21">
        <f t="shared" si="9"/>
        <v>400</v>
      </c>
      <c r="V21">
        <f t="shared" si="0"/>
        <v>0.79934054945358168</v>
      </c>
      <c r="W21">
        <f t="shared" si="11"/>
        <v>7.1400293992784478</v>
      </c>
      <c r="X21">
        <f t="shared" si="10"/>
        <v>7.8342964276621183</v>
      </c>
    </row>
    <row r="22" spans="1:33" ht="15.5" x14ac:dyDescent="0.35">
      <c r="A22" s="21">
        <v>2.5833333333333299</v>
      </c>
      <c r="B22" s="5">
        <v>4.2</v>
      </c>
      <c r="C22">
        <v>21</v>
      </c>
      <c r="D22">
        <f t="shared" si="6"/>
        <v>88.2</v>
      </c>
      <c r="E22">
        <f t="shared" si="7"/>
        <v>441</v>
      </c>
      <c r="Q22" s="21">
        <v>2.5</v>
      </c>
      <c r="R22" s="5">
        <v>7</v>
      </c>
      <c r="S22">
        <v>21</v>
      </c>
      <c r="T22">
        <f t="shared" si="8"/>
        <v>147</v>
      </c>
      <c r="U22">
        <f t="shared" si="9"/>
        <v>441</v>
      </c>
      <c r="V22">
        <f t="shared" si="0"/>
        <v>0.84509804001425681</v>
      </c>
      <c r="W22">
        <f t="shared" si="11"/>
        <v>7.1553354701614591</v>
      </c>
      <c r="X22">
        <f t="shared" si="10"/>
        <v>7.8904178028716814</v>
      </c>
      <c r="AG22" t="s">
        <v>57</v>
      </c>
    </row>
    <row r="23" spans="1:33" ht="15.5" x14ac:dyDescent="0.35">
      <c r="A23" s="21">
        <v>2.7083333333333299</v>
      </c>
      <c r="B23" s="5">
        <v>5.0999999999999996</v>
      </c>
      <c r="C23">
        <v>22</v>
      </c>
      <c r="D23">
        <f t="shared" si="6"/>
        <v>112.19999999999999</v>
      </c>
      <c r="E23">
        <f t="shared" si="7"/>
        <v>484</v>
      </c>
      <c r="Q23" s="21">
        <v>2.625</v>
      </c>
      <c r="R23" s="5">
        <v>7.4</v>
      </c>
      <c r="S23">
        <v>22</v>
      </c>
      <c r="T23">
        <f t="shared" si="8"/>
        <v>162.80000000000001</v>
      </c>
      <c r="U23">
        <f t="shared" si="9"/>
        <v>484</v>
      </c>
      <c r="V23">
        <f t="shared" si="0"/>
        <v>0.86923171973097624</v>
      </c>
      <c r="W23">
        <f t="shared" si="11"/>
        <v>7.1911773578250946</v>
      </c>
      <c r="X23">
        <f t="shared" si="10"/>
        <v>7.9469412063660405</v>
      </c>
    </row>
    <row r="24" spans="1:33" ht="15.5" x14ac:dyDescent="0.35">
      <c r="A24" s="21">
        <v>2.8333333333333299</v>
      </c>
      <c r="B24" s="5">
        <v>1.5</v>
      </c>
      <c r="C24">
        <v>23</v>
      </c>
      <c r="D24">
        <f t="shared" si="6"/>
        <v>34.5</v>
      </c>
      <c r="E24">
        <f t="shared" si="7"/>
        <v>529</v>
      </c>
      <c r="Q24" s="21">
        <v>2.75</v>
      </c>
      <c r="R24" s="5">
        <v>6.7</v>
      </c>
      <c r="S24">
        <v>23</v>
      </c>
      <c r="T24">
        <f t="shared" si="8"/>
        <v>154.1</v>
      </c>
      <c r="U24">
        <f t="shared" si="9"/>
        <v>529</v>
      </c>
      <c r="V24">
        <f t="shared" si="0"/>
        <v>0.82607480270082645</v>
      </c>
      <c r="W24">
        <f t="shared" si="11"/>
        <v>7.2117389869486477</v>
      </c>
      <c r="X24">
        <f t="shared" si="10"/>
        <v>8.003869518094973</v>
      </c>
    </row>
    <row r="25" spans="1:33" ht="15.5" x14ac:dyDescent="0.35">
      <c r="A25" s="21">
        <v>2.9583333333333299</v>
      </c>
      <c r="B25" s="5">
        <v>-1</v>
      </c>
      <c r="C25">
        <v>24</v>
      </c>
      <c r="D25">
        <f t="shared" si="6"/>
        <v>-24</v>
      </c>
      <c r="E25">
        <f t="shared" si="7"/>
        <v>576</v>
      </c>
      <c r="Q25" s="21">
        <v>2.875</v>
      </c>
      <c r="R25" s="5">
        <v>5.9</v>
      </c>
      <c r="S25">
        <v>24</v>
      </c>
      <c r="T25">
        <f t="shared" si="8"/>
        <v>141.60000000000002</v>
      </c>
      <c r="U25">
        <f t="shared" si="9"/>
        <v>576</v>
      </c>
      <c r="V25">
        <f t="shared" si="0"/>
        <v>0.77085201164214423</v>
      </c>
      <c r="W25">
        <f t="shared" si="11"/>
        <v>7.1757946170954412</v>
      </c>
      <c r="X25">
        <f t="shared" si="10"/>
        <v>8.0612056386389117</v>
      </c>
    </row>
    <row r="26" spans="1:33" ht="15.5" x14ac:dyDescent="0.35">
      <c r="A26" s="21">
        <v>3.0833333333333299</v>
      </c>
      <c r="B26" s="5">
        <v>-3.8</v>
      </c>
      <c r="C26">
        <v>25</v>
      </c>
      <c r="D26">
        <f t="shared" si="6"/>
        <v>-95</v>
      </c>
      <c r="E26">
        <f t="shared" si="7"/>
        <v>625</v>
      </c>
      <c r="Q26" s="21">
        <v>3</v>
      </c>
      <c r="R26" s="5">
        <v>6.3</v>
      </c>
      <c r="S26">
        <v>25</v>
      </c>
      <c r="T26">
        <f t="shared" si="8"/>
        <v>157.5</v>
      </c>
      <c r="U26">
        <f t="shared" si="9"/>
        <v>625</v>
      </c>
      <c r="V26">
        <f t="shared" si="0"/>
        <v>0.79934054945358168</v>
      </c>
      <c r="W26">
        <f t="shared" si="11"/>
        <v>7.1349346549824402</v>
      </c>
      <c r="X26">
        <f t="shared" si="10"/>
        <v>8.1189524893567491</v>
      </c>
    </row>
    <row r="27" spans="1:33" ht="15.5" x14ac:dyDescent="0.35">
      <c r="A27" s="21">
        <v>3.2083333333333299</v>
      </c>
      <c r="B27" s="5">
        <v>-4</v>
      </c>
      <c r="C27">
        <v>26</v>
      </c>
      <c r="D27">
        <f t="shared" si="6"/>
        <v>-104</v>
      </c>
      <c r="E27">
        <f t="shared" si="7"/>
        <v>676</v>
      </c>
      <c r="Q27" s="21">
        <v>3.125</v>
      </c>
      <c r="R27" s="5">
        <v>5.2</v>
      </c>
      <c r="S27">
        <v>26</v>
      </c>
      <c r="T27">
        <f t="shared" si="8"/>
        <v>135.20000000000002</v>
      </c>
      <c r="U27">
        <f t="shared" si="9"/>
        <v>676</v>
      </c>
      <c r="V27">
        <f t="shared" si="0"/>
        <v>0.71600334363479923</v>
      </c>
      <c r="W27">
        <f t="shared" si="11"/>
        <v>7.1553354701614591</v>
      </c>
      <c r="X27">
        <f t="shared" si="10"/>
        <v>8.1771130125346758</v>
      </c>
    </row>
    <row r="28" spans="1:33" ht="15.5" x14ac:dyDescent="0.35">
      <c r="A28" s="21">
        <v>3.3333333333333299</v>
      </c>
      <c r="B28" s="5">
        <v>-2.8</v>
      </c>
      <c r="C28">
        <v>27</v>
      </c>
      <c r="D28">
        <f t="shared" si="6"/>
        <v>-75.599999999999994</v>
      </c>
      <c r="E28">
        <f t="shared" si="7"/>
        <v>729</v>
      </c>
      <c r="Q28" s="21">
        <v>3.25</v>
      </c>
      <c r="R28" s="5">
        <v>3</v>
      </c>
      <c r="S28">
        <v>27</v>
      </c>
      <c r="T28">
        <f t="shared" si="8"/>
        <v>81</v>
      </c>
      <c r="U28">
        <f t="shared" si="9"/>
        <v>729</v>
      </c>
      <c r="V28">
        <f t="shared" si="0"/>
        <v>0.47712125471966244</v>
      </c>
      <c r="W28">
        <f t="shared" si="11"/>
        <v>7.0993730892378553</v>
      </c>
      <c r="X28">
        <f t="shared" si="10"/>
        <v>8.2356901715361008</v>
      </c>
    </row>
    <row r="29" spans="1:33" ht="15.5" x14ac:dyDescent="0.35">
      <c r="A29" s="21">
        <v>3.4583333333333299</v>
      </c>
      <c r="B29" s="5">
        <v>-2.9</v>
      </c>
      <c r="C29">
        <v>28</v>
      </c>
      <c r="D29">
        <f t="shared" si="6"/>
        <v>-81.2</v>
      </c>
      <c r="E29">
        <f t="shared" si="7"/>
        <v>784</v>
      </c>
      <c r="Q29" s="21">
        <v>3.375</v>
      </c>
      <c r="R29" s="5">
        <v>6</v>
      </c>
      <c r="S29">
        <v>28</v>
      </c>
      <c r="T29">
        <f t="shared" si="8"/>
        <v>168</v>
      </c>
      <c r="U29">
        <f t="shared" si="9"/>
        <v>784</v>
      </c>
      <c r="V29">
        <f t="shared" si="0"/>
        <v>0.77815125038364363</v>
      </c>
      <c r="W29">
        <f t="shared" si="11"/>
        <v>6.9887579613471029</v>
      </c>
      <c r="X29">
        <f t="shared" si="10"/>
        <v>8.2946869509526309</v>
      </c>
    </row>
    <row r="30" spans="1:33" ht="15.5" x14ac:dyDescent="0.35">
      <c r="A30" s="21">
        <v>3.5833333333333299</v>
      </c>
      <c r="B30" s="5">
        <v>-1.1000000000000001</v>
      </c>
      <c r="C30">
        <v>29</v>
      </c>
      <c r="D30">
        <f t="shared" si="6"/>
        <v>-31.900000000000002</v>
      </c>
      <c r="E30">
        <f t="shared" si="7"/>
        <v>841</v>
      </c>
      <c r="Q30" s="21">
        <v>3.5</v>
      </c>
      <c r="R30" s="5">
        <v>13</v>
      </c>
      <c r="S30">
        <v>29</v>
      </c>
      <c r="T30">
        <f t="shared" si="8"/>
        <v>377</v>
      </c>
      <c r="U30">
        <f t="shared" si="9"/>
        <v>841</v>
      </c>
      <c r="V30">
        <f t="shared" si="0"/>
        <v>1.1139433523068367</v>
      </c>
      <c r="W30">
        <f t="shared" si="11"/>
        <v>7.1400293992784478</v>
      </c>
      <c r="X30">
        <f t="shared" si="10"/>
        <v>8.3541063567561444</v>
      </c>
    </row>
    <row r="31" spans="1:33" ht="15.5" x14ac:dyDescent="0.35">
      <c r="A31" s="21">
        <v>3.7083333333333299</v>
      </c>
      <c r="B31" s="5">
        <v>1.2</v>
      </c>
      <c r="C31">
        <v>30</v>
      </c>
      <c r="D31">
        <f t="shared" si="6"/>
        <v>36</v>
      </c>
      <c r="E31">
        <f t="shared" si="7"/>
        <v>900</v>
      </c>
      <c r="Q31" s="21">
        <v>3.625</v>
      </c>
      <c r="R31" s="5">
        <v>14.6</v>
      </c>
      <c r="S31">
        <v>30</v>
      </c>
      <c r="T31">
        <f t="shared" si="8"/>
        <v>438</v>
      </c>
      <c r="U31">
        <f t="shared" si="9"/>
        <v>900</v>
      </c>
      <c r="V31">
        <f t="shared" si="0"/>
        <v>1.1643528557844371</v>
      </c>
      <c r="W31">
        <f t="shared" si="11"/>
        <v>7.5058520559023707</v>
      </c>
      <c r="X31">
        <f t="shared" si="10"/>
        <v>8.4139514164519511</v>
      </c>
    </row>
    <row r="32" spans="1:33" ht="15.5" x14ac:dyDescent="0.35">
      <c r="A32" s="21">
        <v>3.8333333333333299</v>
      </c>
      <c r="B32" s="5">
        <v>-1.4</v>
      </c>
      <c r="C32">
        <v>31</v>
      </c>
      <c r="D32">
        <f t="shared" si="6"/>
        <v>-43.4</v>
      </c>
      <c r="E32">
        <f t="shared" si="7"/>
        <v>961</v>
      </c>
      <c r="Q32" s="21">
        <v>3.75</v>
      </c>
      <c r="R32" s="5">
        <v>13.8</v>
      </c>
      <c r="S32">
        <v>31</v>
      </c>
      <c r="T32">
        <f t="shared" si="8"/>
        <v>427.8</v>
      </c>
      <c r="U32">
        <f t="shared" si="9"/>
        <v>961</v>
      </c>
      <c r="V32">
        <f t="shared" si="0"/>
        <v>1.1398790864012365</v>
      </c>
      <c r="W32">
        <f t="shared" si="11"/>
        <v>7.5920664391020711</v>
      </c>
      <c r="X32">
        <f t="shared" si="10"/>
        <v>8.4742251792330521</v>
      </c>
    </row>
    <row r="33" spans="1:24" ht="15.5" x14ac:dyDescent="0.35">
      <c r="A33" s="21">
        <v>3.9583333333333299</v>
      </c>
      <c r="B33" s="5">
        <v>-1.3</v>
      </c>
      <c r="C33">
        <v>32</v>
      </c>
      <c r="D33">
        <f>B33*C33</f>
        <v>-41.6</v>
      </c>
      <c r="E33">
        <f t="shared" si="7"/>
        <v>1024</v>
      </c>
      <c r="Q33" s="21">
        <v>3.875</v>
      </c>
      <c r="R33" s="5">
        <v>11</v>
      </c>
      <c r="S33">
        <v>32</v>
      </c>
      <c r="T33">
        <f>R33*S33</f>
        <v>352</v>
      </c>
      <c r="U33">
        <f t="shared" si="9"/>
        <v>1024</v>
      </c>
      <c r="V33">
        <f t="shared" si="0"/>
        <v>1.0413926851582251</v>
      </c>
      <c r="W33">
        <f>10^0.8351*10^(0.0031*R32)</f>
        <v>7.5488361679454714</v>
      </c>
      <c r="X33">
        <f t="shared" si="10"/>
        <v>8.5349307161354879</v>
      </c>
    </row>
    <row r="34" spans="1:24" x14ac:dyDescent="0.35">
      <c r="A34" t="s">
        <v>38</v>
      </c>
      <c r="B34" s="23">
        <f>SUM(B2:B33)</f>
        <v>60.20000000000001</v>
      </c>
      <c r="C34" s="23">
        <f>SUM(C2:C33)</f>
        <v>528</v>
      </c>
      <c r="D34" s="23">
        <f>SUM(D2:D33)</f>
        <v>392.2000000000001</v>
      </c>
      <c r="E34" s="23">
        <f>SUM(E2:E33)</f>
        <v>11440</v>
      </c>
      <c r="Q34" t="s">
        <v>38</v>
      </c>
      <c r="R34" s="23">
        <f>SUM(R2:R33)</f>
        <v>273.7</v>
      </c>
      <c r="S34" s="23">
        <f>SUM(S2:S33)</f>
        <v>528</v>
      </c>
      <c r="T34" s="23">
        <f>SUM(T2:T33)</f>
        <v>4617.3999999999996</v>
      </c>
      <c r="U34" s="23">
        <f>SUM(U2:U33)</f>
        <v>11440</v>
      </c>
      <c r="W34">
        <f>10^0.8351*10^(0.0031*R33)</f>
        <v>7.3994595431272403</v>
      </c>
    </row>
    <row r="35" spans="1:24" x14ac:dyDescent="0.35">
      <c r="S35">
        <f>AVERAGE(S2:S33)</f>
        <v>16.5</v>
      </c>
      <c r="W35">
        <f>10^0.8351*10^(0.0031*W3)</f>
        <v>7.196540462705836</v>
      </c>
    </row>
    <row r="36" spans="1:24" x14ac:dyDescent="0.35">
      <c r="R36" t="s">
        <v>37</v>
      </c>
      <c r="W36">
        <f t="shared" ref="W36:W87" si="12">10^0.8351*10^(0.0031*W4)</f>
        <v>7.1926548492008529</v>
      </c>
    </row>
    <row r="37" spans="1:24" x14ac:dyDescent="0.35">
      <c r="W37">
        <f t="shared" si="12"/>
        <v>7.1890674847281462</v>
      </c>
    </row>
    <row r="38" spans="1:24" x14ac:dyDescent="0.35">
      <c r="R38" t="s">
        <v>54</v>
      </c>
      <c r="W38">
        <f t="shared" si="12"/>
        <v>7.206314019065224</v>
      </c>
    </row>
    <row r="39" spans="1:24" x14ac:dyDescent="0.35">
      <c r="R39" t="s">
        <v>55</v>
      </c>
      <c r="W39">
        <f t="shared" si="12"/>
        <v>7.216638441774192</v>
      </c>
    </row>
    <row r="40" spans="1:24" x14ac:dyDescent="0.35">
      <c r="R40" t="s">
        <v>43</v>
      </c>
      <c r="S40">
        <f>0.037</f>
        <v>3.6999999999999998E-2</v>
      </c>
      <c r="W40">
        <f t="shared" si="12"/>
        <v>7.2194047709647666</v>
      </c>
    </row>
    <row r="41" spans="1:24" x14ac:dyDescent="0.35">
      <c r="R41" t="s">
        <v>44</v>
      </c>
      <c r="S41">
        <f>7.94</f>
        <v>7.94</v>
      </c>
      <c r="W41">
        <f t="shared" si="12"/>
        <v>7.2221919887232442</v>
      </c>
    </row>
    <row r="42" spans="1:24" x14ac:dyDescent="0.35">
      <c r="W42">
        <f t="shared" si="12"/>
        <v>7.2100834982660711</v>
      </c>
    </row>
    <row r="43" spans="1:24" x14ac:dyDescent="0.35">
      <c r="W43">
        <f t="shared" si="12"/>
        <v>7.2009973286219893</v>
      </c>
    </row>
    <row r="44" spans="1:24" x14ac:dyDescent="0.35">
      <c r="W44">
        <f t="shared" si="12"/>
        <v>7.1913693245547945</v>
      </c>
    </row>
    <row r="45" spans="1:24" x14ac:dyDescent="0.35">
      <c r="W45">
        <f t="shared" si="12"/>
        <v>7.1970618546311966</v>
      </c>
    </row>
    <row r="46" spans="1:24" x14ac:dyDescent="0.35">
      <c r="W46">
        <f t="shared" si="12"/>
        <v>7.202054290745739</v>
      </c>
    </row>
    <row r="47" spans="1:24" x14ac:dyDescent="0.35">
      <c r="W47">
        <f t="shared" si="12"/>
        <v>7.2160876681024186</v>
      </c>
    </row>
    <row r="48" spans="1:24" x14ac:dyDescent="0.35">
      <c r="W48">
        <f t="shared" si="12"/>
        <v>7.2194047709647666</v>
      </c>
    </row>
    <row r="49" spans="23:23" x14ac:dyDescent="0.35">
      <c r="W49">
        <f t="shared" si="12"/>
        <v>7.2174661570203247</v>
      </c>
    </row>
    <row r="50" spans="23:23" x14ac:dyDescent="0.35">
      <c r="W50">
        <f t="shared" si="12"/>
        <v>7.2117111656377935</v>
      </c>
    </row>
    <row r="51" spans="23:23" x14ac:dyDescent="0.35">
      <c r="W51">
        <f t="shared" si="12"/>
        <v>7.2039116274522499</v>
      </c>
    </row>
    <row r="52" spans="23:23" x14ac:dyDescent="0.35">
      <c r="W52">
        <f t="shared" si="12"/>
        <v>7.202054290745739</v>
      </c>
    </row>
    <row r="53" spans="23:23" x14ac:dyDescent="0.35">
      <c r="W53">
        <f t="shared" si="12"/>
        <v>7.1983687615696752</v>
      </c>
    </row>
    <row r="54" spans="23:23" x14ac:dyDescent="0.35">
      <c r="W54">
        <f t="shared" si="12"/>
        <v>7.1991552619166077</v>
      </c>
    </row>
    <row r="55" spans="23:23" x14ac:dyDescent="0.35">
      <c r="W55">
        <f t="shared" si="12"/>
        <v>7.2009973286219893</v>
      </c>
    </row>
    <row r="56" spans="23:23" x14ac:dyDescent="0.35">
      <c r="W56">
        <f t="shared" si="12"/>
        <v>7.202054290745739</v>
      </c>
    </row>
    <row r="57" spans="23:23" x14ac:dyDescent="0.35">
      <c r="W57">
        <f t="shared" si="12"/>
        <v>7.2002066865699215</v>
      </c>
    </row>
    <row r="58" spans="23:23" x14ac:dyDescent="0.35">
      <c r="W58">
        <f t="shared" si="12"/>
        <v>7.1981069878955424</v>
      </c>
    </row>
    <row r="59" spans="23:23" x14ac:dyDescent="0.35">
      <c r="W59">
        <f t="shared" si="12"/>
        <v>7.1991552619166077</v>
      </c>
    </row>
    <row r="60" spans="23:23" x14ac:dyDescent="0.35">
      <c r="W60">
        <f t="shared" si="12"/>
        <v>7.1962800598826444</v>
      </c>
    </row>
    <row r="61" spans="23:23" x14ac:dyDescent="0.35">
      <c r="W61">
        <f t="shared" si="12"/>
        <v>7.1906003190043277</v>
      </c>
    </row>
    <row r="62" spans="23:23" x14ac:dyDescent="0.35">
      <c r="W62">
        <f t="shared" si="12"/>
        <v>7.1983687615696752</v>
      </c>
    </row>
    <row r="63" spans="23:23" x14ac:dyDescent="0.35">
      <c r="W63">
        <f t="shared" si="12"/>
        <v>7.2171900444218666</v>
      </c>
    </row>
    <row r="64" spans="23:23" x14ac:dyDescent="0.35">
      <c r="W64">
        <f t="shared" si="12"/>
        <v>7.2216328661640805</v>
      </c>
    </row>
    <row r="65" spans="23:23" x14ac:dyDescent="0.35">
      <c r="W65">
        <f t="shared" si="12"/>
        <v>7.2194047709647666</v>
      </c>
    </row>
    <row r="66" spans="23:23" x14ac:dyDescent="0.35">
      <c r="W66">
        <f t="shared" si="12"/>
        <v>7.2117111656377935</v>
      </c>
    </row>
    <row r="67" spans="23:23" x14ac:dyDescent="0.35">
      <c r="W67">
        <f t="shared" si="12"/>
        <v>7.2012730018776816</v>
      </c>
    </row>
    <row r="68" spans="23:23" x14ac:dyDescent="0.35">
      <c r="W68">
        <f t="shared" si="12"/>
        <v>7.2010732732880856</v>
      </c>
    </row>
    <row r="69" spans="23:23" x14ac:dyDescent="0.35">
      <c r="W69">
        <f t="shared" si="12"/>
        <v>7.2008888802350981</v>
      </c>
    </row>
    <row r="70" spans="23:23" x14ac:dyDescent="0.35">
      <c r="W70">
        <f t="shared" si="12"/>
        <v>7.2017754074281424</v>
      </c>
    </row>
    <row r="71" spans="23:23" x14ac:dyDescent="0.35">
      <c r="W71">
        <f t="shared" si="12"/>
        <v>7.2023061681014351</v>
      </c>
    </row>
    <row r="72" spans="23:23" x14ac:dyDescent="0.35">
      <c r="W72">
        <f t="shared" si="12"/>
        <v>7.2024483869338987</v>
      </c>
    </row>
    <row r="73" spans="23:23" x14ac:dyDescent="0.35">
      <c r="W73">
        <f t="shared" si="12"/>
        <v>7.2025916825017804</v>
      </c>
    </row>
    <row r="74" spans="23:23" x14ac:dyDescent="0.35">
      <c r="W74">
        <f t="shared" si="12"/>
        <v>7.2019691852857246</v>
      </c>
    </row>
    <row r="75" spans="23:23" x14ac:dyDescent="0.35">
      <c r="W75">
        <f t="shared" si="12"/>
        <v>7.2015021008466755</v>
      </c>
    </row>
    <row r="76" spans="23:23" x14ac:dyDescent="0.35">
      <c r="W76">
        <f t="shared" si="12"/>
        <v>7.2010071958757269</v>
      </c>
    </row>
    <row r="77" spans="23:23" x14ac:dyDescent="0.35">
      <c r="W77">
        <f t="shared" si="12"/>
        <v>7.2012998029251047</v>
      </c>
    </row>
    <row r="78" spans="23:23" x14ac:dyDescent="0.35">
      <c r="W78">
        <f t="shared" si="12"/>
        <v>7.2015564335779345</v>
      </c>
    </row>
    <row r="79" spans="23:23" x14ac:dyDescent="0.35">
      <c r="W79">
        <f t="shared" si="12"/>
        <v>7.2022778527941007</v>
      </c>
    </row>
    <row r="80" spans="23:23" x14ac:dyDescent="0.35">
      <c r="W80">
        <f t="shared" si="12"/>
        <v>7.2024483869338987</v>
      </c>
    </row>
    <row r="81" spans="23:23" x14ac:dyDescent="0.35">
      <c r="W81">
        <f t="shared" si="12"/>
        <v>7.2023487212009885</v>
      </c>
    </row>
    <row r="82" spans="23:23" x14ac:dyDescent="0.35">
      <c r="W82">
        <f t="shared" si="12"/>
        <v>7.2020528604978384</v>
      </c>
    </row>
    <row r="83" spans="23:23" x14ac:dyDescent="0.35">
      <c r="W83">
        <f t="shared" si="12"/>
        <v>7.2016519102497041</v>
      </c>
    </row>
    <row r="84" spans="23:23" x14ac:dyDescent="0.35">
      <c r="W84">
        <f t="shared" si="12"/>
        <v>7.2015564335779345</v>
      </c>
    </row>
    <row r="85" spans="23:23" x14ac:dyDescent="0.35">
      <c r="W85">
        <f t="shared" si="12"/>
        <v>7.2013669821461272</v>
      </c>
    </row>
    <row r="86" spans="23:23" x14ac:dyDescent="0.35">
      <c r="W86">
        <f t="shared" si="12"/>
        <v>7.2014074110962287</v>
      </c>
    </row>
    <row r="87" spans="23:23" x14ac:dyDescent="0.35">
      <c r="W87">
        <f t="shared" si="12"/>
        <v>7.2015021008466755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1894-2106-4B0F-BEF1-99914138A790}">
  <dimension ref="A1:AK301"/>
  <sheetViews>
    <sheetView topLeftCell="A49" workbookViewId="0">
      <selection activeCell="G70" sqref="G70"/>
    </sheetView>
  </sheetViews>
  <sheetFormatPr defaultRowHeight="14.5" x14ac:dyDescent="0.35"/>
  <cols>
    <col min="3" max="3" width="9.36328125" bestFit="1" customWidth="1"/>
    <col min="4" max="4" width="9.54296875" customWidth="1"/>
    <col min="6" max="6" width="13.54296875" bestFit="1" customWidth="1"/>
    <col min="11" max="13" width="10.81640625" customWidth="1"/>
    <col min="14" max="14" width="10.7265625" customWidth="1"/>
    <col min="15" max="15" width="10.90625" customWidth="1"/>
  </cols>
  <sheetData>
    <row r="1" spans="1:19" ht="42.5" thickBot="1" x14ac:dyDescent="0.4">
      <c r="A1" s="3" t="s">
        <v>12</v>
      </c>
      <c r="B1" s="20" t="s">
        <v>13</v>
      </c>
      <c r="C1" t="s">
        <v>61</v>
      </c>
      <c r="D1" s="36" t="s">
        <v>60</v>
      </c>
      <c r="E1" t="s">
        <v>59</v>
      </c>
      <c r="H1" t="s">
        <v>63</v>
      </c>
      <c r="I1" t="s">
        <v>64</v>
      </c>
      <c r="J1" t="s">
        <v>65</v>
      </c>
      <c r="K1" t="s">
        <v>72</v>
      </c>
      <c r="L1" t="s">
        <v>66</v>
      </c>
      <c r="M1" t="s">
        <v>67</v>
      </c>
      <c r="N1" t="s">
        <v>68</v>
      </c>
      <c r="O1" t="s">
        <v>73</v>
      </c>
      <c r="P1" t="s">
        <v>69</v>
      </c>
      <c r="Q1" t="s">
        <v>70</v>
      </c>
      <c r="R1" t="s">
        <v>71</v>
      </c>
      <c r="S1" t="s">
        <v>74</v>
      </c>
    </row>
    <row r="2" spans="1:19" ht="15.5" x14ac:dyDescent="0.35">
      <c r="A2" s="21">
        <v>8.3333333333333329E-2</v>
      </c>
      <c r="B2" s="5">
        <v>1.7</v>
      </c>
      <c r="C2">
        <v>8</v>
      </c>
      <c r="D2">
        <v>2</v>
      </c>
      <c r="E2">
        <v>747.7</v>
      </c>
      <c r="F2">
        <v>1</v>
      </c>
      <c r="H2">
        <f>B2-$B$34</f>
        <v>-0.18125000000000036</v>
      </c>
      <c r="I2">
        <f>C2-$C$34</f>
        <v>2.25</v>
      </c>
      <c r="J2">
        <f>D2-$D$34</f>
        <v>-1.28125</v>
      </c>
      <c r="K2">
        <f>E2-$E$34</f>
        <v>-2.7281249999998636</v>
      </c>
      <c r="L2">
        <f>H2^2</f>
        <v>3.2851562500000125E-2</v>
      </c>
      <c r="M2">
        <f>I2^2</f>
        <v>5.0625</v>
      </c>
      <c r="N2">
        <f>J2^2</f>
        <v>1.6416015625</v>
      </c>
      <c r="O2">
        <f>K2^2</f>
        <v>7.4426660156242557</v>
      </c>
      <c r="P2">
        <f>H2/$E$36</f>
        <v>-1.0438258676271045E-2</v>
      </c>
      <c r="Q2">
        <f>I2/$E$37</f>
        <v>0.14523687548277814</v>
      </c>
      <c r="R2">
        <f>J2/$E$38</f>
        <v>-0.17050212312472457</v>
      </c>
      <c r="S2">
        <f>K2/$E$39</f>
        <v>-0.32083448223638034</v>
      </c>
    </row>
    <row r="3" spans="1:19" ht="15.5" x14ac:dyDescent="0.35">
      <c r="A3" s="21">
        <v>0.20833333333333334</v>
      </c>
      <c r="B3" s="5">
        <v>2.6</v>
      </c>
      <c r="C3">
        <v>8</v>
      </c>
      <c r="D3">
        <v>1</v>
      </c>
      <c r="E3">
        <v>747.8</v>
      </c>
      <c r="F3">
        <v>2</v>
      </c>
      <c r="H3">
        <f t="shared" ref="H3:H32" si="0">B3-$B$34</f>
        <v>0.71874999999999978</v>
      </c>
      <c r="I3">
        <f t="shared" ref="I3:I33" si="1">C3-$C$34</f>
        <v>2.25</v>
      </c>
      <c r="J3">
        <f t="shared" ref="J3:J33" si="2">D3-$D$34</f>
        <v>-2.28125</v>
      </c>
      <c r="K3">
        <f t="shared" ref="K3:K33" si="3">E3-$E$34</f>
        <v>-2.6281249999999545</v>
      </c>
      <c r="L3">
        <f t="shared" ref="L3:L33" si="4">H3^2</f>
        <v>0.51660156249999967</v>
      </c>
      <c r="M3">
        <f t="shared" ref="M3:M33" si="5">I3^2</f>
        <v>5.0625</v>
      </c>
      <c r="N3">
        <f t="shared" ref="N3:N33" si="6">J3^2</f>
        <v>5.2041015625</v>
      </c>
      <c r="O3">
        <f t="shared" ref="O3:O33" si="7">K3^2</f>
        <v>6.9070410156247606</v>
      </c>
      <c r="P3">
        <f>H3/$E$36</f>
        <v>4.1393094750729914E-2</v>
      </c>
      <c r="Q3">
        <f t="shared" ref="Q3:Q33" si="8">I3/$E$37</f>
        <v>0.14523687548277814</v>
      </c>
      <c r="R3">
        <f t="shared" ref="R3:R33" si="9">J3/$E$38</f>
        <v>-0.30357695092938763</v>
      </c>
      <c r="S3">
        <f t="shared" ref="S3:S33" si="10">K3/$E$39</f>
        <v>-0.30907422630103631</v>
      </c>
    </row>
    <row r="4" spans="1:19" ht="15.5" x14ac:dyDescent="0.35">
      <c r="A4" s="21">
        <v>0.33333333333333331</v>
      </c>
      <c r="B4" s="5">
        <v>1.4</v>
      </c>
      <c r="C4">
        <v>8</v>
      </c>
      <c r="D4">
        <v>2</v>
      </c>
      <c r="E4">
        <v>748.7</v>
      </c>
      <c r="F4">
        <v>3</v>
      </c>
      <c r="H4">
        <f t="shared" si="0"/>
        <v>-0.4812500000000004</v>
      </c>
      <c r="I4">
        <f t="shared" si="1"/>
        <v>2.25</v>
      </c>
      <c r="J4">
        <f t="shared" si="2"/>
        <v>-1.28125</v>
      </c>
      <c r="K4">
        <f t="shared" si="3"/>
        <v>-1.7281249999998636</v>
      </c>
      <c r="L4">
        <f t="shared" si="4"/>
        <v>0.23160156250000039</v>
      </c>
      <c r="M4">
        <f t="shared" si="5"/>
        <v>5.0625</v>
      </c>
      <c r="N4">
        <f t="shared" si="6"/>
        <v>1.6416015625</v>
      </c>
      <c r="O4">
        <f t="shared" si="7"/>
        <v>2.9864160156245285</v>
      </c>
      <c r="P4">
        <f t="shared" ref="P4:P33" si="11">H4/$E$36</f>
        <v>-2.7715376485271365E-2</v>
      </c>
      <c r="Q4">
        <f t="shared" si="8"/>
        <v>0.14523687548277814</v>
      </c>
      <c r="R4">
        <f t="shared" si="9"/>
        <v>-0.17050212312472457</v>
      </c>
      <c r="S4">
        <f t="shared" si="10"/>
        <v>-0.20323192288283298</v>
      </c>
    </row>
    <row r="5" spans="1:19" ht="15.5" x14ac:dyDescent="0.35">
      <c r="A5" s="21">
        <v>0.45833333333333331</v>
      </c>
      <c r="B5" s="5">
        <v>4.4000000000000004</v>
      </c>
      <c r="C5">
        <v>6</v>
      </c>
      <c r="D5">
        <v>1</v>
      </c>
      <c r="E5">
        <v>748.9</v>
      </c>
      <c r="F5">
        <v>4</v>
      </c>
      <c r="H5">
        <f t="shared" si="0"/>
        <v>2.5187499999999998</v>
      </c>
      <c r="I5">
        <f t="shared" si="1"/>
        <v>0.25</v>
      </c>
      <c r="J5">
        <f t="shared" si="2"/>
        <v>-2.28125</v>
      </c>
      <c r="K5">
        <f t="shared" si="3"/>
        <v>-1.5281249999999318</v>
      </c>
      <c r="L5">
        <f t="shared" si="4"/>
        <v>6.3441015624999988</v>
      </c>
      <c r="M5">
        <f t="shared" si="5"/>
        <v>6.25E-2</v>
      </c>
      <c r="N5">
        <f t="shared" si="6"/>
        <v>5.2041015625</v>
      </c>
      <c r="O5">
        <f t="shared" si="7"/>
        <v>2.3351660156247913</v>
      </c>
      <c r="P5">
        <f t="shared" si="11"/>
        <v>0.14505580160473183</v>
      </c>
      <c r="Q5">
        <f t="shared" si="8"/>
        <v>1.6137430609197569E-2</v>
      </c>
      <c r="R5">
        <f t="shared" si="9"/>
        <v>-0.30357695092938763</v>
      </c>
      <c r="S5">
        <f t="shared" si="10"/>
        <v>-0.17971141101213153</v>
      </c>
    </row>
    <row r="6" spans="1:19" ht="15.5" x14ac:dyDescent="0.35">
      <c r="A6" s="21">
        <v>0.58333333333333337</v>
      </c>
      <c r="B6" s="5">
        <v>6.6</v>
      </c>
      <c r="C6">
        <v>8</v>
      </c>
      <c r="D6">
        <v>2</v>
      </c>
      <c r="E6">
        <v>748.8</v>
      </c>
      <c r="F6">
        <v>5</v>
      </c>
      <c r="H6">
        <f t="shared" si="0"/>
        <v>4.7187499999999991</v>
      </c>
      <c r="I6">
        <f t="shared" si="1"/>
        <v>2.25</v>
      </c>
      <c r="J6">
        <f t="shared" si="2"/>
        <v>-1.28125</v>
      </c>
      <c r="K6">
        <f t="shared" si="3"/>
        <v>-1.6281249999999545</v>
      </c>
      <c r="L6">
        <f t="shared" si="4"/>
        <v>22.266601562499993</v>
      </c>
      <c r="M6">
        <f t="shared" si="5"/>
        <v>5.0625</v>
      </c>
      <c r="N6">
        <f t="shared" si="6"/>
        <v>1.6416015625</v>
      </c>
      <c r="O6">
        <f t="shared" si="7"/>
        <v>2.650791015624852</v>
      </c>
      <c r="P6">
        <f t="shared" si="11"/>
        <v>0.2717546655374008</v>
      </c>
      <c r="Q6">
        <f t="shared" si="8"/>
        <v>0.14523687548277814</v>
      </c>
      <c r="R6">
        <f t="shared" si="9"/>
        <v>-0.17050212312472457</v>
      </c>
      <c r="S6">
        <f t="shared" si="10"/>
        <v>-0.19147166694748893</v>
      </c>
    </row>
    <row r="7" spans="1:19" ht="15.5" x14ac:dyDescent="0.35">
      <c r="A7" s="21">
        <v>0.70833333333333337</v>
      </c>
      <c r="B7" s="5">
        <v>7.1</v>
      </c>
      <c r="C7">
        <v>6</v>
      </c>
      <c r="D7">
        <v>2</v>
      </c>
      <c r="E7">
        <v>748.4</v>
      </c>
      <c r="F7">
        <v>6</v>
      </c>
      <c r="H7">
        <f t="shared" si="0"/>
        <v>5.2187499999999991</v>
      </c>
      <c r="I7">
        <f t="shared" si="1"/>
        <v>0.25</v>
      </c>
      <c r="J7">
        <f t="shared" si="2"/>
        <v>-1.28125</v>
      </c>
      <c r="K7">
        <f t="shared" si="3"/>
        <v>-2.0281249999999318</v>
      </c>
      <c r="L7">
        <f t="shared" si="4"/>
        <v>27.235351562499989</v>
      </c>
      <c r="M7">
        <f t="shared" si="5"/>
        <v>6.25E-2</v>
      </c>
      <c r="N7">
        <f t="shared" si="6"/>
        <v>1.6416015625</v>
      </c>
      <c r="O7">
        <f t="shared" si="7"/>
        <v>4.1132910156247231</v>
      </c>
      <c r="P7">
        <f t="shared" si="11"/>
        <v>0.30054986188573463</v>
      </c>
      <c r="Q7">
        <f t="shared" si="8"/>
        <v>1.6137430609197569E-2</v>
      </c>
      <c r="R7">
        <f t="shared" si="9"/>
        <v>-0.17050212312472457</v>
      </c>
      <c r="S7">
        <f t="shared" si="10"/>
        <v>-0.23851269068890521</v>
      </c>
    </row>
    <row r="8" spans="1:19" ht="15.5" x14ac:dyDescent="0.35">
      <c r="A8" s="21">
        <v>0.83333333333333337</v>
      </c>
      <c r="B8" s="5">
        <v>4.2</v>
      </c>
      <c r="C8">
        <v>7</v>
      </c>
      <c r="D8">
        <v>3</v>
      </c>
      <c r="E8">
        <v>749.2</v>
      </c>
      <c r="F8">
        <v>7</v>
      </c>
      <c r="H8">
        <f t="shared" si="0"/>
        <v>2.3187499999999996</v>
      </c>
      <c r="I8">
        <f t="shared" si="1"/>
        <v>1.25</v>
      </c>
      <c r="J8">
        <f t="shared" si="2"/>
        <v>-0.28125</v>
      </c>
      <c r="K8">
        <f t="shared" si="3"/>
        <v>-1.2281249999998636</v>
      </c>
      <c r="L8">
        <f t="shared" si="4"/>
        <v>5.3766015624999985</v>
      </c>
      <c r="M8">
        <f t="shared" si="5"/>
        <v>1.5625</v>
      </c>
      <c r="N8">
        <f t="shared" si="6"/>
        <v>7.91015625E-2</v>
      </c>
      <c r="O8">
        <f t="shared" si="7"/>
        <v>1.5082910156246649</v>
      </c>
      <c r="P8">
        <f t="shared" si="11"/>
        <v>0.13353772306539827</v>
      </c>
      <c r="Q8">
        <f t="shared" si="8"/>
        <v>8.068715304598785E-2</v>
      </c>
      <c r="R8">
        <f t="shared" si="9"/>
        <v>-3.7427295320061491E-2</v>
      </c>
      <c r="S8">
        <f t="shared" si="10"/>
        <v>-0.14443064320605931</v>
      </c>
    </row>
    <row r="9" spans="1:19" ht="15.5" x14ac:dyDescent="0.35">
      <c r="A9" s="21">
        <v>0.95833333333333337</v>
      </c>
      <c r="B9" s="5">
        <v>3.7</v>
      </c>
      <c r="C9">
        <v>8</v>
      </c>
      <c r="D9">
        <v>4</v>
      </c>
      <c r="E9">
        <v>749.1</v>
      </c>
      <c r="F9">
        <v>8</v>
      </c>
      <c r="H9">
        <f t="shared" si="0"/>
        <v>1.8187499999999999</v>
      </c>
      <c r="I9">
        <f t="shared" si="1"/>
        <v>2.25</v>
      </c>
      <c r="J9">
        <f t="shared" si="2"/>
        <v>0.71875</v>
      </c>
      <c r="K9">
        <f t="shared" si="3"/>
        <v>-1.3281249999998863</v>
      </c>
      <c r="L9">
        <f t="shared" si="4"/>
        <v>3.3078515624999993</v>
      </c>
      <c r="M9">
        <f t="shared" si="5"/>
        <v>5.0625</v>
      </c>
      <c r="N9">
        <f t="shared" si="6"/>
        <v>0.5166015625</v>
      </c>
      <c r="O9">
        <f t="shared" si="7"/>
        <v>1.763916015624698</v>
      </c>
      <c r="P9">
        <f t="shared" si="11"/>
        <v>0.10474252671706442</v>
      </c>
      <c r="Q9">
        <f t="shared" si="8"/>
        <v>0.14523687548277814</v>
      </c>
      <c r="R9">
        <f t="shared" si="9"/>
        <v>9.5647532484601588E-2</v>
      </c>
      <c r="S9">
        <f t="shared" si="10"/>
        <v>-0.15619089914141671</v>
      </c>
    </row>
    <row r="10" spans="1:19" ht="15.5" x14ac:dyDescent="0.35">
      <c r="A10" s="21">
        <v>1.0833333333333299</v>
      </c>
      <c r="B10" s="5">
        <v>5.9</v>
      </c>
      <c r="C10">
        <v>8</v>
      </c>
      <c r="D10">
        <v>1</v>
      </c>
      <c r="E10">
        <v>748.9</v>
      </c>
      <c r="F10">
        <v>9</v>
      </c>
      <c r="H10">
        <f t="shared" si="0"/>
        <v>4.0187499999999998</v>
      </c>
      <c r="I10">
        <f t="shared" si="1"/>
        <v>2.25</v>
      </c>
      <c r="J10">
        <f t="shared" si="2"/>
        <v>-2.28125</v>
      </c>
      <c r="K10">
        <f t="shared" si="3"/>
        <v>-1.5281249999999318</v>
      </c>
      <c r="L10">
        <f t="shared" si="4"/>
        <v>16.150351562499999</v>
      </c>
      <c r="M10">
        <f t="shared" si="5"/>
        <v>5.0625</v>
      </c>
      <c r="N10">
        <f t="shared" si="6"/>
        <v>5.2041015625</v>
      </c>
      <c r="O10">
        <f t="shared" si="7"/>
        <v>2.3351660156247913</v>
      </c>
      <c r="P10">
        <f t="shared" si="11"/>
        <v>0.2314413906497334</v>
      </c>
      <c r="Q10">
        <f t="shared" si="8"/>
        <v>0.14523687548277814</v>
      </c>
      <c r="R10">
        <f t="shared" si="9"/>
        <v>-0.30357695092938763</v>
      </c>
      <c r="S10">
        <f t="shared" si="10"/>
        <v>-0.17971141101213153</v>
      </c>
    </row>
    <row r="11" spans="1:19" ht="15.5" x14ac:dyDescent="0.35">
      <c r="A11" s="21">
        <v>1.2083333333333299</v>
      </c>
      <c r="B11" s="5">
        <v>3</v>
      </c>
      <c r="C11">
        <v>6</v>
      </c>
      <c r="D11">
        <v>4</v>
      </c>
      <c r="E11">
        <v>748.6</v>
      </c>
      <c r="F11">
        <v>10</v>
      </c>
      <c r="H11">
        <f t="shared" si="0"/>
        <v>1.1187499999999997</v>
      </c>
      <c r="I11">
        <f t="shared" si="1"/>
        <v>0.25</v>
      </c>
      <c r="J11">
        <f t="shared" si="2"/>
        <v>0.71875</v>
      </c>
      <c r="K11">
        <f t="shared" si="3"/>
        <v>-1.8281249999998863</v>
      </c>
      <c r="L11">
        <f t="shared" si="4"/>
        <v>1.2516015624999992</v>
      </c>
      <c r="M11">
        <f t="shared" si="5"/>
        <v>6.25E-2</v>
      </c>
      <c r="N11">
        <f t="shared" si="6"/>
        <v>0.5166015625</v>
      </c>
      <c r="O11">
        <f t="shared" si="7"/>
        <v>3.3420410156245843</v>
      </c>
      <c r="P11">
        <f t="shared" si="11"/>
        <v>6.4429251829397002E-2</v>
      </c>
      <c r="Q11">
        <f t="shared" si="8"/>
        <v>1.6137430609197569E-2</v>
      </c>
      <c r="R11">
        <f t="shared" si="9"/>
        <v>9.5647532484601588E-2</v>
      </c>
      <c r="S11">
        <f t="shared" si="10"/>
        <v>-0.21499217881819038</v>
      </c>
    </row>
    <row r="12" spans="1:19" ht="15.5" x14ac:dyDescent="0.35">
      <c r="A12" s="21">
        <v>1.3333333333333299</v>
      </c>
      <c r="B12" s="5">
        <v>0.8</v>
      </c>
      <c r="C12">
        <v>8</v>
      </c>
      <c r="D12">
        <v>5</v>
      </c>
      <c r="E12">
        <v>749.6</v>
      </c>
      <c r="F12">
        <v>11</v>
      </c>
      <c r="H12">
        <f t="shared" si="0"/>
        <v>-1.0812500000000003</v>
      </c>
      <c r="I12">
        <f t="shared" si="1"/>
        <v>2.25</v>
      </c>
      <c r="J12">
        <f t="shared" si="2"/>
        <v>1.71875</v>
      </c>
      <c r="K12">
        <f t="shared" si="3"/>
        <v>-0.82812499999988631</v>
      </c>
      <c r="L12">
        <f t="shared" si="4"/>
        <v>1.1691015625000005</v>
      </c>
      <c r="M12">
        <f t="shared" si="5"/>
        <v>5.0625</v>
      </c>
      <c r="N12">
        <f t="shared" si="6"/>
        <v>2.9541015625</v>
      </c>
      <c r="O12">
        <f t="shared" si="7"/>
        <v>0.68579101562481171</v>
      </c>
      <c r="P12">
        <f t="shared" si="11"/>
        <v>-6.226961210327199E-2</v>
      </c>
      <c r="Q12">
        <f t="shared" si="8"/>
        <v>0.14523687548277814</v>
      </c>
      <c r="R12">
        <f t="shared" si="9"/>
        <v>0.22872236028926465</v>
      </c>
      <c r="S12">
        <f t="shared" si="10"/>
        <v>-9.7389619464643029E-2</v>
      </c>
    </row>
    <row r="13" spans="1:19" ht="15.5" x14ac:dyDescent="0.35">
      <c r="A13" s="21">
        <v>1.4583333333333299</v>
      </c>
      <c r="B13" s="5">
        <v>4.3</v>
      </c>
      <c r="C13">
        <v>6</v>
      </c>
      <c r="D13">
        <v>5</v>
      </c>
      <c r="E13">
        <v>750.1</v>
      </c>
      <c r="F13">
        <v>12</v>
      </c>
      <c r="H13">
        <f t="shared" si="0"/>
        <v>2.4187499999999993</v>
      </c>
      <c r="I13">
        <f t="shared" si="1"/>
        <v>0.25</v>
      </c>
      <c r="J13">
        <f t="shared" si="2"/>
        <v>1.71875</v>
      </c>
      <c r="K13">
        <f t="shared" si="3"/>
        <v>-0.32812499999988631</v>
      </c>
      <c r="L13">
        <f t="shared" si="4"/>
        <v>5.8503515624999967</v>
      </c>
      <c r="M13">
        <f t="shared" si="5"/>
        <v>6.25E-2</v>
      </c>
      <c r="N13">
        <f t="shared" si="6"/>
        <v>2.9541015625</v>
      </c>
      <c r="O13">
        <f t="shared" si="7"/>
        <v>0.10766601562492539</v>
      </c>
      <c r="P13">
        <f t="shared" si="11"/>
        <v>0.13929676233506502</v>
      </c>
      <c r="Q13">
        <f t="shared" si="8"/>
        <v>1.6137430609197569E-2</v>
      </c>
      <c r="R13">
        <f t="shared" si="9"/>
        <v>0.22872236028926465</v>
      </c>
      <c r="S13">
        <f t="shared" si="10"/>
        <v>-3.8588339787869359E-2</v>
      </c>
    </row>
    <row r="14" spans="1:19" ht="15.5" x14ac:dyDescent="0.35">
      <c r="A14" s="21">
        <v>1.5833333333333299</v>
      </c>
      <c r="B14" s="5">
        <v>3.5</v>
      </c>
      <c r="C14">
        <v>6</v>
      </c>
      <c r="D14">
        <v>6</v>
      </c>
      <c r="E14">
        <v>750</v>
      </c>
      <c r="F14">
        <v>13</v>
      </c>
      <c r="H14">
        <f t="shared" si="0"/>
        <v>1.6187499999999997</v>
      </c>
      <c r="I14">
        <f t="shared" si="1"/>
        <v>0.25</v>
      </c>
      <c r="J14">
        <f t="shared" si="2"/>
        <v>2.71875</v>
      </c>
      <c r="K14">
        <f t="shared" si="3"/>
        <v>-0.42812499999990905</v>
      </c>
      <c r="L14">
        <f t="shared" si="4"/>
        <v>2.6203515624999989</v>
      </c>
      <c r="M14">
        <f t="shared" si="5"/>
        <v>6.25E-2</v>
      </c>
      <c r="N14">
        <f t="shared" si="6"/>
        <v>7.3916015625</v>
      </c>
      <c r="O14">
        <f t="shared" si="7"/>
        <v>0.18329101562492212</v>
      </c>
      <c r="P14">
        <f t="shared" si="11"/>
        <v>9.3224448177730859E-2</v>
      </c>
      <c r="Q14">
        <f t="shared" si="8"/>
        <v>1.6137430609197569E-2</v>
      </c>
      <c r="R14">
        <f t="shared" si="9"/>
        <v>0.36179718809392775</v>
      </c>
      <c r="S14">
        <f t="shared" si="10"/>
        <v>-5.0348595723226766E-2</v>
      </c>
    </row>
    <row r="15" spans="1:19" ht="15.5" x14ac:dyDescent="0.35">
      <c r="A15" s="21">
        <v>1.7083333333333299</v>
      </c>
      <c r="B15" s="5">
        <v>5.5</v>
      </c>
      <c r="C15">
        <v>6</v>
      </c>
      <c r="D15">
        <v>4</v>
      </c>
      <c r="E15">
        <v>750.2</v>
      </c>
      <c r="F15">
        <v>14</v>
      </c>
      <c r="H15">
        <f t="shared" si="0"/>
        <v>3.6187499999999995</v>
      </c>
      <c r="I15">
        <f t="shared" si="1"/>
        <v>0.25</v>
      </c>
      <c r="J15">
        <f t="shared" si="2"/>
        <v>0.71875</v>
      </c>
      <c r="K15">
        <f t="shared" si="3"/>
        <v>-0.22812499999986358</v>
      </c>
      <c r="L15">
        <f t="shared" si="4"/>
        <v>13.095351562499996</v>
      </c>
      <c r="M15">
        <f t="shared" si="5"/>
        <v>6.25E-2</v>
      </c>
      <c r="N15">
        <f t="shared" si="6"/>
        <v>0.5166015625</v>
      </c>
      <c r="O15">
        <f t="shared" si="7"/>
        <v>5.2041015624937757E-2</v>
      </c>
      <c r="P15">
        <f t="shared" si="11"/>
        <v>0.2084052335710663</v>
      </c>
      <c r="Q15">
        <f t="shared" si="8"/>
        <v>1.6137430609197569E-2</v>
      </c>
      <c r="R15">
        <f t="shared" si="9"/>
        <v>9.5647532484601588E-2</v>
      </c>
      <c r="S15">
        <f t="shared" si="10"/>
        <v>-2.6828083852511946E-2</v>
      </c>
    </row>
    <row r="16" spans="1:19" ht="15.5" x14ac:dyDescent="0.35">
      <c r="A16" s="21">
        <v>1.8333333333333299</v>
      </c>
      <c r="B16" s="5">
        <v>5.9</v>
      </c>
      <c r="C16">
        <v>6</v>
      </c>
      <c r="D16">
        <v>4</v>
      </c>
      <c r="E16">
        <v>750.8</v>
      </c>
      <c r="F16">
        <v>15</v>
      </c>
      <c r="H16">
        <f t="shared" si="0"/>
        <v>4.0187499999999998</v>
      </c>
      <c r="I16">
        <f t="shared" si="1"/>
        <v>0.25</v>
      </c>
      <c r="J16">
        <f t="shared" si="2"/>
        <v>0.71875</v>
      </c>
      <c r="K16">
        <f t="shared" si="3"/>
        <v>0.37187500000004547</v>
      </c>
      <c r="L16">
        <f t="shared" si="4"/>
        <v>16.150351562499999</v>
      </c>
      <c r="M16">
        <f t="shared" si="5"/>
        <v>6.25E-2</v>
      </c>
      <c r="N16">
        <f t="shared" si="6"/>
        <v>0.5166015625</v>
      </c>
      <c r="O16">
        <f t="shared" si="7"/>
        <v>0.13829101562503382</v>
      </c>
      <c r="P16">
        <f t="shared" si="11"/>
        <v>0.2314413906497334</v>
      </c>
      <c r="Q16">
        <f t="shared" si="8"/>
        <v>1.6137430609197569E-2</v>
      </c>
      <c r="R16">
        <f t="shared" si="9"/>
        <v>9.5647532484601588E-2</v>
      </c>
      <c r="S16">
        <f t="shared" si="10"/>
        <v>4.3733451759605774E-2</v>
      </c>
    </row>
    <row r="17" spans="1:19" ht="15.5" x14ac:dyDescent="0.35">
      <c r="A17" s="21">
        <v>1.9583333333333299</v>
      </c>
      <c r="B17" s="5">
        <v>3.5</v>
      </c>
      <c r="C17">
        <v>6</v>
      </c>
      <c r="D17">
        <v>5</v>
      </c>
      <c r="E17">
        <v>751.2</v>
      </c>
      <c r="F17">
        <v>16</v>
      </c>
      <c r="H17">
        <f t="shared" si="0"/>
        <v>1.6187499999999997</v>
      </c>
      <c r="I17">
        <f t="shared" si="1"/>
        <v>0.25</v>
      </c>
      <c r="J17">
        <f t="shared" si="2"/>
        <v>1.71875</v>
      </c>
      <c r="K17">
        <f t="shared" si="3"/>
        <v>0.77187500000013642</v>
      </c>
      <c r="L17">
        <f t="shared" si="4"/>
        <v>2.6203515624999989</v>
      </c>
      <c r="M17">
        <f t="shared" si="5"/>
        <v>6.25E-2</v>
      </c>
      <c r="N17">
        <f t="shared" si="6"/>
        <v>2.9541015625</v>
      </c>
      <c r="O17">
        <f t="shared" si="7"/>
        <v>0.59579101562521064</v>
      </c>
      <c r="P17">
        <f t="shared" si="11"/>
        <v>9.3224448177730859E-2</v>
      </c>
      <c r="Q17">
        <f t="shared" si="8"/>
        <v>1.6137430609197569E-2</v>
      </c>
      <c r="R17">
        <f t="shared" si="9"/>
        <v>0.22872236028926465</v>
      </c>
      <c r="S17">
        <f t="shared" si="10"/>
        <v>9.0774475501035415E-2</v>
      </c>
    </row>
    <row r="18" spans="1:19" ht="15.5" x14ac:dyDescent="0.35">
      <c r="A18" s="21">
        <v>2.0833333333333299</v>
      </c>
      <c r="B18" s="5">
        <v>1.6</v>
      </c>
      <c r="C18">
        <v>7</v>
      </c>
      <c r="D18">
        <v>5</v>
      </c>
      <c r="E18">
        <v>751.3</v>
      </c>
      <c r="F18">
        <v>17</v>
      </c>
      <c r="H18">
        <f t="shared" si="0"/>
        <v>-0.28125000000000022</v>
      </c>
      <c r="I18">
        <f t="shared" si="1"/>
        <v>1.25</v>
      </c>
      <c r="J18">
        <f t="shared" si="2"/>
        <v>1.71875</v>
      </c>
      <c r="K18">
        <f t="shared" si="3"/>
        <v>0.87187500000004547</v>
      </c>
      <c r="L18">
        <f t="shared" si="4"/>
        <v>7.9101562500000125E-2</v>
      </c>
      <c r="M18">
        <f t="shared" si="5"/>
        <v>1.5625</v>
      </c>
      <c r="N18">
        <f t="shared" si="6"/>
        <v>2.9541015625</v>
      </c>
      <c r="O18">
        <f t="shared" si="7"/>
        <v>0.76016601562507935</v>
      </c>
      <c r="P18">
        <f t="shared" si="11"/>
        <v>-1.619729794593781E-2</v>
      </c>
      <c r="Q18">
        <f t="shared" si="8"/>
        <v>8.068715304598785E-2</v>
      </c>
      <c r="R18">
        <f t="shared" si="9"/>
        <v>0.22872236028926465</v>
      </c>
      <c r="S18">
        <f t="shared" si="10"/>
        <v>0.10253473143637945</v>
      </c>
    </row>
    <row r="19" spans="1:19" ht="15.5" x14ac:dyDescent="0.35">
      <c r="A19" s="21">
        <v>2.2083333333333299</v>
      </c>
      <c r="B19" s="5">
        <v>-0.1</v>
      </c>
      <c r="C19">
        <v>7</v>
      </c>
      <c r="D19">
        <v>5</v>
      </c>
      <c r="E19">
        <v>751.3</v>
      </c>
      <c r="F19">
        <v>18</v>
      </c>
      <c r="H19">
        <f t="shared" si="0"/>
        <v>-1.9812500000000004</v>
      </c>
      <c r="I19">
        <f t="shared" si="1"/>
        <v>1.25</v>
      </c>
      <c r="J19">
        <f t="shared" si="2"/>
        <v>1.71875</v>
      </c>
      <c r="K19">
        <f t="shared" si="3"/>
        <v>0.87187500000004547</v>
      </c>
      <c r="L19">
        <f t="shared" si="4"/>
        <v>3.9253515625000017</v>
      </c>
      <c r="M19">
        <f t="shared" si="5"/>
        <v>1.5625</v>
      </c>
      <c r="N19">
        <f t="shared" si="6"/>
        <v>2.9541015625</v>
      </c>
      <c r="O19">
        <f t="shared" si="7"/>
        <v>0.76016601562507935</v>
      </c>
      <c r="P19">
        <f t="shared" si="11"/>
        <v>-0.11410096553027295</v>
      </c>
      <c r="Q19">
        <f t="shared" si="8"/>
        <v>8.068715304598785E-2</v>
      </c>
      <c r="R19">
        <f t="shared" si="9"/>
        <v>0.22872236028926465</v>
      </c>
      <c r="S19">
        <f t="shared" si="10"/>
        <v>0.10253473143637945</v>
      </c>
    </row>
    <row r="20" spans="1:19" ht="15.5" x14ac:dyDescent="0.35">
      <c r="A20" s="21">
        <v>2.3333333333333299</v>
      </c>
      <c r="B20" s="5">
        <v>-0.8</v>
      </c>
      <c r="C20">
        <v>7</v>
      </c>
      <c r="D20">
        <v>5</v>
      </c>
      <c r="E20">
        <v>752.3</v>
      </c>
      <c r="F20">
        <v>19</v>
      </c>
      <c r="H20">
        <f t="shared" si="0"/>
        <v>-2.6812500000000004</v>
      </c>
      <c r="I20">
        <f t="shared" si="1"/>
        <v>1.25</v>
      </c>
      <c r="J20">
        <f t="shared" si="2"/>
        <v>1.71875</v>
      </c>
      <c r="K20">
        <f t="shared" si="3"/>
        <v>1.8718750000000455</v>
      </c>
      <c r="L20">
        <f t="shared" si="4"/>
        <v>7.1891015625000021</v>
      </c>
      <c r="M20">
        <f t="shared" si="5"/>
        <v>1.5625</v>
      </c>
      <c r="N20">
        <f t="shared" si="6"/>
        <v>2.9541015625</v>
      </c>
      <c r="O20">
        <f t="shared" si="7"/>
        <v>3.5039160156251703</v>
      </c>
      <c r="P20">
        <f t="shared" si="11"/>
        <v>-0.15441424041794036</v>
      </c>
      <c r="Q20">
        <f t="shared" si="8"/>
        <v>8.068715304598785E-2</v>
      </c>
      <c r="R20">
        <f t="shared" si="9"/>
        <v>0.22872236028926465</v>
      </c>
      <c r="S20">
        <f t="shared" si="10"/>
        <v>0.2201372907899268</v>
      </c>
    </row>
    <row r="21" spans="1:19" ht="15.5" x14ac:dyDescent="0.35">
      <c r="A21" s="21">
        <v>2.4583333333333299</v>
      </c>
      <c r="B21" s="5">
        <v>1.7</v>
      </c>
      <c r="C21">
        <v>7</v>
      </c>
      <c r="D21">
        <v>4</v>
      </c>
      <c r="E21">
        <v>752.5</v>
      </c>
      <c r="F21">
        <v>20</v>
      </c>
      <c r="H21">
        <f t="shared" si="0"/>
        <v>-0.18125000000000036</v>
      </c>
      <c r="I21">
        <f t="shared" si="1"/>
        <v>1.25</v>
      </c>
      <c r="J21">
        <f t="shared" si="2"/>
        <v>0.71875</v>
      </c>
      <c r="K21">
        <f t="shared" si="3"/>
        <v>2.0718750000000909</v>
      </c>
      <c r="L21">
        <f t="shared" si="4"/>
        <v>3.2851562500000125E-2</v>
      </c>
      <c r="M21">
        <f t="shared" si="5"/>
        <v>1.5625</v>
      </c>
      <c r="N21">
        <f t="shared" si="6"/>
        <v>0.5166015625</v>
      </c>
      <c r="O21">
        <f t="shared" si="7"/>
        <v>4.2926660156253771</v>
      </c>
      <c r="P21">
        <f t="shared" si="11"/>
        <v>-1.0438258676271045E-2</v>
      </c>
      <c r="Q21">
        <f t="shared" si="8"/>
        <v>8.068715304598785E-2</v>
      </c>
      <c r="R21">
        <f t="shared" si="9"/>
        <v>9.5647532484601588E-2</v>
      </c>
      <c r="S21">
        <f t="shared" si="10"/>
        <v>0.24365780266064163</v>
      </c>
    </row>
    <row r="22" spans="1:19" ht="15.5" x14ac:dyDescent="0.35">
      <c r="A22" s="21">
        <v>2.5833333333333299</v>
      </c>
      <c r="B22" s="5">
        <v>4.2</v>
      </c>
      <c r="C22">
        <v>7</v>
      </c>
      <c r="D22">
        <v>3</v>
      </c>
      <c r="E22">
        <v>752.2</v>
      </c>
      <c r="F22">
        <v>21</v>
      </c>
      <c r="H22">
        <f t="shared" si="0"/>
        <v>2.3187499999999996</v>
      </c>
      <c r="I22">
        <f t="shared" si="1"/>
        <v>1.25</v>
      </c>
      <c r="J22">
        <f t="shared" si="2"/>
        <v>-0.28125</v>
      </c>
      <c r="K22">
        <f t="shared" si="3"/>
        <v>1.7718750000001364</v>
      </c>
      <c r="L22">
        <f t="shared" si="4"/>
        <v>5.3766015624999985</v>
      </c>
      <c r="M22">
        <f t="shared" si="5"/>
        <v>1.5625</v>
      </c>
      <c r="N22">
        <f t="shared" si="6"/>
        <v>7.91015625E-2</v>
      </c>
      <c r="O22">
        <f t="shared" si="7"/>
        <v>3.1395410156254835</v>
      </c>
      <c r="P22">
        <f t="shared" si="11"/>
        <v>0.13353772306539827</v>
      </c>
      <c r="Q22">
        <f t="shared" si="8"/>
        <v>8.068715304598785E-2</v>
      </c>
      <c r="R22">
        <f t="shared" si="9"/>
        <v>-3.7427295320061491E-2</v>
      </c>
      <c r="S22">
        <f t="shared" si="10"/>
        <v>0.20837703485458275</v>
      </c>
    </row>
    <row r="23" spans="1:19" ht="15.5" x14ac:dyDescent="0.35">
      <c r="A23" s="21">
        <v>2.7083333333333299</v>
      </c>
      <c r="B23" s="5">
        <v>5.0999999999999996</v>
      </c>
      <c r="C23">
        <v>6</v>
      </c>
      <c r="D23">
        <v>3</v>
      </c>
      <c r="E23">
        <v>752.1</v>
      </c>
      <c r="F23">
        <v>22</v>
      </c>
      <c r="H23">
        <f t="shared" si="0"/>
        <v>3.2187499999999991</v>
      </c>
      <c r="I23">
        <f t="shared" si="1"/>
        <v>0.25</v>
      </c>
      <c r="J23">
        <f t="shared" si="2"/>
        <v>-0.28125</v>
      </c>
      <c r="K23">
        <f t="shared" si="3"/>
        <v>1.6718750000001137</v>
      </c>
      <c r="L23">
        <f t="shared" si="4"/>
        <v>10.360351562499995</v>
      </c>
      <c r="M23">
        <f t="shared" si="5"/>
        <v>6.25E-2</v>
      </c>
      <c r="N23">
        <f t="shared" si="6"/>
        <v>7.91015625E-2</v>
      </c>
      <c r="O23">
        <f t="shared" si="7"/>
        <v>2.7951660156253801</v>
      </c>
      <c r="P23">
        <f t="shared" si="11"/>
        <v>0.1853690764923992</v>
      </c>
      <c r="Q23">
        <f t="shared" si="8"/>
        <v>1.6137430609197569E-2</v>
      </c>
      <c r="R23">
        <f t="shared" si="9"/>
        <v>-3.7427295320061491E-2</v>
      </c>
      <c r="S23">
        <f t="shared" si="10"/>
        <v>0.19661677891922535</v>
      </c>
    </row>
    <row r="24" spans="1:19" ht="15.5" x14ac:dyDescent="0.35">
      <c r="A24" s="21">
        <v>2.8333333333333299</v>
      </c>
      <c r="B24" s="5">
        <v>1.5</v>
      </c>
      <c r="C24">
        <v>6</v>
      </c>
      <c r="D24">
        <v>3</v>
      </c>
      <c r="E24">
        <v>752.8</v>
      </c>
      <c r="F24">
        <v>23</v>
      </c>
      <c r="H24">
        <f t="shared" si="0"/>
        <v>-0.38125000000000031</v>
      </c>
      <c r="I24">
        <f t="shared" si="1"/>
        <v>0.25</v>
      </c>
      <c r="J24">
        <f t="shared" si="2"/>
        <v>-0.28125</v>
      </c>
      <c r="K24">
        <f t="shared" si="3"/>
        <v>2.3718750000000455</v>
      </c>
      <c r="L24">
        <f t="shared" si="4"/>
        <v>0.14535156250000023</v>
      </c>
      <c r="M24">
        <f t="shared" si="5"/>
        <v>6.25E-2</v>
      </c>
      <c r="N24">
        <f t="shared" si="6"/>
        <v>7.91015625E-2</v>
      </c>
      <c r="O24">
        <f t="shared" si="7"/>
        <v>5.6257910156252153</v>
      </c>
      <c r="P24">
        <f t="shared" si="11"/>
        <v>-2.1956337215604589E-2</v>
      </c>
      <c r="Q24">
        <f t="shared" si="8"/>
        <v>1.6137430609197569E-2</v>
      </c>
      <c r="R24">
        <f t="shared" si="9"/>
        <v>-3.7427295320061491E-2</v>
      </c>
      <c r="S24">
        <f t="shared" si="10"/>
        <v>0.27893857046670051</v>
      </c>
    </row>
    <row r="25" spans="1:19" ht="15.5" x14ac:dyDescent="0.35">
      <c r="A25" s="21">
        <v>2.9583333333333299</v>
      </c>
      <c r="B25" s="5">
        <v>-1</v>
      </c>
      <c r="C25">
        <v>0</v>
      </c>
      <c r="D25">
        <v>3</v>
      </c>
      <c r="E25">
        <v>752.6</v>
      </c>
      <c r="F25">
        <v>24</v>
      </c>
      <c r="H25">
        <f t="shared" si="0"/>
        <v>-2.8812500000000005</v>
      </c>
      <c r="I25">
        <f t="shared" si="1"/>
        <v>-5.75</v>
      </c>
      <c r="J25">
        <f t="shared" si="2"/>
        <v>-0.28125</v>
      </c>
      <c r="K25">
        <f t="shared" si="3"/>
        <v>2.1718750000001137</v>
      </c>
      <c r="L25">
        <f t="shared" si="4"/>
        <v>8.3016015625000037</v>
      </c>
      <c r="M25">
        <f t="shared" si="5"/>
        <v>33.0625</v>
      </c>
      <c r="N25">
        <f t="shared" si="6"/>
        <v>7.91015625E-2</v>
      </c>
      <c r="O25">
        <f t="shared" si="7"/>
        <v>4.7170410156254938</v>
      </c>
      <c r="P25">
        <f t="shared" si="11"/>
        <v>-0.16593231895727392</v>
      </c>
      <c r="Q25">
        <f t="shared" si="8"/>
        <v>-0.37116090401154411</v>
      </c>
      <c r="R25">
        <f t="shared" si="9"/>
        <v>-3.7427295320061491E-2</v>
      </c>
      <c r="S25">
        <f t="shared" si="10"/>
        <v>0.25541805859599903</v>
      </c>
    </row>
    <row r="26" spans="1:19" ht="15.5" x14ac:dyDescent="0.35">
      <c r="A26" s="21">
        <v>3.0833333333333299</v>
      </c>
      <c r="B26" s="5">
        <v>-3.8</v>
      </c>
      <c r="C26">
        <v>0</v>
      </c>
      <c r="D26">
        <v>2</v>
      </c>
      <c r="E26">
        <v>752.2</v>
      </c>
      <c r="F26">
        <v>25</v>
      </c>
      <c r="H26">
        <f t="shared" si="0"/>
        <v>-5.6812500000000004</v>
      </c>
      <c r="I26">
        <f t="shared" si="1"/>
        <v>-5.75</v>
      </c>
      <c r="J26">
        <f t="shared" si="2"/>
        <v>-1.28125</v>
      </c>
      <c r="K26">
        <f t="shared" si="3"/>
        <v>1.7718750000001364</v>
      </c>
      <c r="L26">
        <f t="shared" si="4"/>
        <v>32.276601562500005</v>
      </c>
      <c r="M26">
        <f t="shared" si="5"/>
        <v>33.0625</v>
      </c>
      <c r="N26">
        <f t="shared" si="6"/>
        <v>1.6416015625</v>
      </c>
      <c r="O26">
        <f t="shared" si="7"/>
        <v>3.1395410156254835</v>
      </c>
      <c r="P26">
        <f t="shared" si="11"/>
        <v>-0.32718541850794353</v>
      </c>
      <c r="Q26">
        <f t="shared" si="8"/>
        <v>-0.37116090401154411</v>
      </c>
      <c r="R26">
        <f t="shared" si="9"/>
        <v>-0.17050212312472457</v>
      </c>
      <c r="S26">
        <f t="shared" si="10"/>
        <v>0.20837703485458275</v>
      </c>
    </row>
    <row r="27" spans="1:19" ht="15.5" x14ac:dyDescent="0.35">
      <c r="A27" s="21">
        <v>3.2083333333333299</v>
      </c>
      <c r="B27" s="5">
        <v>-4</v>
      </c>
      <c r="C27">
        <v>0</v>
      </c>
      <c r="D27">
        <v>2</v>
      </c>
      <c r="E27">
        <v>751.9</v>
      </c>
      <c r="F27">
        <v>26</v>
      </c>
      <c r="H27">
        <f t="shared" si="0"/>
        <v>-5.8812500000000005</v>
      </c>
      <c r="I27">
        <f t="shared" si="1"/>
        <v>-5.75</v>
      </c>
      <c r="J27">
        <f t="shared" si="2"/>
        <v>-1.28125</v>
      </c>
      <c r="K27">
        <f t="shared" si="3"/>
        <v>1.4718750000000682</v>
      </c>
      <c r="L27">
        <f t="shared" si="4"/>
        <v>34.589101562500005</v>
      </c>
      <c r="M27">
        <f t="shared" si="5"/>
        <v>33.0625</v>
      </c>
      <c r="N27">
        <f t="shared" si="6"/>
        <v>1.6416015625</v>
      </c>
      <c r="O27">
        <f t="shared" si="7"/>
        <v>2.1664160156252006</v>
      </c>
      <c r="P27">
        <f t="shared" si="11"/>
        <v>-0.33870349704727709</v>
      </c>
      <c r="Q27">
        <f t="shared" si="8"/>
        <v>-0.37116090401154411</v>
      </c>
      <c r="R27">
        <f t="shared" si="9"/>
        <v>-0.17050212312472457</v>
      </c>
      <c r="S27">
        <f t="shared" si="10"/>
        <v>0.17309626704851053</v>
      </c>
    </row>
    <row r="28" spans="1:19" ht="15.5" x14ac:dyDescent="0.35">
      <c r="A28" s="21">
        <v>3.3333333333333299</v>
      </c>
      <c r="B28" s="5">
        <v>-2.8</v>
      </c>
      <c r="C28">
        <v>8</v>
      </c>
      <c r="D28">
        <v>2</v>
      </c>
      <c r="E28">
        <v>751.9</v>
      </c>
      <c r="F28">
        <v>27</v>
      </c>
      <c r="H28">
        <f t="shared" si="0"/>
        <v>-4.6812500000000004</v>
      </c>
      <c r="I28">
        <f t="shared" si="1"/>
        <v>2.25</v>
      </c>
      <c r="J28">
        <f t="shared" si="2"/>
        <v>-1.28125</v>
      </c>
      <c r="K28">
        <f t="shared" si="3"/>
        <v>1.4718750000000682</v>
      </c>
      <c r="L28">
        <f t="shared" si="4"/>
        <v>21.914101562500004</v>
      </c>
      <c r="M28">
        <f t="shared" si="5"/>
        <v>5.0625</v>
      </c>
      <c r="N28">
        <f t="shared" si="6"/>
        <v>1.6416015625</v>
      </c>
      <c r="O28">
        <f t="shared" si="7"/>
        <v>2.1664160156252006</v>
      </c>
      <c r="P28">
        <f t="shared" si="11"/>
        <v>-0.26959502581127581</v>
      </c>
      <c r="Q28">
        <f t="shared" si="8"/>
        <v>0.14523687548277814</v>
      </c>
      <c r="R28">
        <f t="shared" si="9"/>
        <v>-0.17050212312472457</v>
      </c>
      <c r="S28">
        <f t="shared" si="10"/>
        <v>0.17309626704851053</v>
      </c>
    </row>
    <row r="29" spans="1:19" ht="15.5" x14ac:dyDescent="0.35">
      <c r="A29" s="21">
        <v>3.4583333333333299</v>
      </c>
      <c r="B29" s="5">
        <v>-2.9</v>
      </c>
      <c r="C29">
        <v>8</v>
      </c>
      <c r="D29">
        <v>4</v>
      </c>
      <c r="E29">
        <v>751.6</v>
      </c>
      <c r="F29">
        <v>28</v>
      </c>
      <c r="H29">
        <f t="shared" si="0"/>
        <v>-4.78125</v>
      </c>
      <c r="I29">
        <f t="shared" si="1"/>
        <v>2.25</v>
      </c>
      <c r="J29">
        <f t="shared" si="2"/>
        <v>0.71875</v>
      </c>
      <c r="K29">
        <f t="shared" si="3"/>
        <v>1.1718750000001137</v>
      </c>
      <c r="L29">
        <f t="shared" si="4"/>
        <v>22.8603515625</v>
      </c>
      <c r="M29">
        <f t="shared" si="5"/>
        <v>5.0625</v>
      </c>
      <c r="N29">
        <f t="shared" si="6"/>
        <v>0.5166015625</v>
      </c>
      <c r="O29">
        <f t="shared" si="7"/>
        <v>1.3732910156252665</v>
      </c>
      <c r="P29">
        <f t="shared" si="11"/>
        <v>-0.27535406508094257</v>
      </c>
      <c r="Q29">
        <f t="shared" si="8"/>
        <v>0.14523687548277814</v>
      </c>
      <c r="R29">
        <f t="shared" si="9"/>
        <v>9.5647532484601588E-2</v>
      </c>
      <c r="S29">
        <f t="shared" si="10"/>
        <v>0.13781549924245168</v>
      </c>
    </row>
    <row r="30" spans="1:19" ht="15.5" x14ac:dyDescent="0.35">
      <c r="A30" s="21">
        <v>3.5833333333333299</v>
      </c>
      <c r="B30" s="5">
        <v>-1.1000000000000001</v>
      </c>
      <c r="C30">
        <v>8</v>
      </c>
      <c r="D30">
        <v>4</v>
      </c>
      <c r="E30">
        <v>750.9</v>
      </c>
      <c r="F30">
        <v>29</v>
      </c>
      <c r="H30">
        <f t="shared" si="0"/>
        <v>-2.9812500000000002</v>
      </c>
      <c r="I30">
        <f t="shared" si="1"/>
        <v>2.25</v>
      </c>
      <c r="J30">
        <f t="shared" si="2"/>
        <v>0.71875</v>
      </c>
      <c r="K30">
        <f t="shared" si="3"/>
        <v>0.47187500000006821</v>
      </c>
      <c r="L30">
        <f t="shared" si="4"/>
        <v>8.8878515625000016</v>
      </c>
      <c r="M30">
        <f t="shared" si="5"/>
        <v>5.0625</v>
      </c>
      <c r="N30">
        <f t="shared" si="6"/>
        <v>0.5166015625</v>
      </c>
      <c r="O30">
        <f t="shared" si="7"/>
        <v>0.22266601562506438</v>
      </c>
      <c r="P30">
        <f t="shared" si="11"/>
        <v>-0.17169135822694068</v>
      </c>
      <c r="Q30">
        <f t="shared" si="8"/>
        <v>0.14523687548277814</v>
      </c>
      <c r="R30">
        <f t="shared" si="9"/>
        <v>9.5647532484601588E-2</v>
      </c>
      <c r="S30">
        <f t="shared" si="10"/>
        <v>5.5493707694963181E-2</v>
      </c>
    </row>
    <row r="31" spans="1:19" ht="15.5" x14ac:dyDescent="0.35">
      <c r="A31" s="21">
        <v>3.7083333333333299</v>
      </c>
      <c r="B31" s="5">
        <v>1.2</v>
      </c>
      <c r="C31">
        <v>2</v>
      </c>
      <c r="D31">
        <v>3</v>
      </c>
      <c r="E31">
        <v>750.1</v>
      </c>
      <c r="F31">
        <v>30</v>
      </c>
      <c r="H31">
        <f t="shared" si="0"/>
        <v>-0.68125000000000036</v>
      </c>
      <c r="I31">
        <f t="shared" si="1"/>
        <v>-3.75</v>
      </c>
      <c r="J31">
        <f t="shared" si="2"/>
        <v>-0.28125</v>
      </c>
      <c r="K31">
        <f t="shared" si="3"/>
        <v>-0.32812499999988631</v>
      </c>
      <c r="L31">
        <f t="shared" si="4"/>
        <v>0.46410156250000051</v>
      </c>
      <c r="M31">
        <f t="shared" si="5"/>
        <v>14.0625</v>
      </c>
      <c r="N31">
        <f t="shared" si="6"/>
        <v>7.91015625E-2</v>
      </c>
      <c r="O31">
        <f t="shared" si="7"/>
        <v>0.10766601562492539</v>
      </c>
      <c r="P31">
        <f t="shared" si="11"/>
        <v>-3.9233455024604909E-2</v>
      </c>
      <c r="Q31">
        <f t="shared" si="8"/>
        <v>-0.24206145913796354</v>
      </c>
      <c r="R31">
        <f t="shared" si="9"/>
        <v>-3.7427295320061491E-2</v>
      </c>
      <c r="S31">
        <f t="shared" si="10"/>
        <v>-3.8588339787869359E-2</v>
      </c>
    </row>
    <row r="32" spans="1:19" ht="15.5" x14ac:dyDescent="0.35">
      <c r="A32" s="21">
        <v>3.8333333333333299</v>
      </c>
      <c r="B32" s="5">
        <v>-1.4</v>
      </c>
      <c r="C32">
        <v>0</v>
      </c>
      <c r="D32">
        <v>3</v>
      </c>
      <c r="E32">
        <v>750.1</v>
      </c>
      <c r="F32">
        <v>31</v>
      </c>
      <c r="H32">
        <f t="shared" si="0"/>
        <v>-3.28125</v>
      </c>
      <c r="I32">
        <f t="shared" si="1"/>
        <v>-5.75</v>
      </c>
      <c r="J32">
        <f t="shared" si="2"/>
        <v>-0.28125</v>
      </c>
      <c r="K32">
        <f t="shared" si="3"/>
        <v>-0.32812499999988631</v>
      </c>
      <c r="L32">
        <f t="shared" si="4"/>
        <v>10.7666015625</v>
      </c>
      <c r="M32">
        <f t="shared" si="5"/>
        <v>33.0625</v>
      </c>
      <c r="N32">
        <f t="shared" si="6"/>
        <v>7.91015625E-2</v>
      </c>
      <c r="O32">
        <f t="shared" si="7"/>
        <v>0.10766601562492539</v>
      </c>
      <c r="P32">
        <f t="shared" si="11"/>
        <v>-0.18896847603594097</v>
      </c>
      <c r="Q32">
        <f t="shared" si="8"/>
        <v>-0.37116090401154411</v>
      </c>
      <c r="R32">
        <f t="shared" si="9"/>
        <v>-3.7427295320061491E-2</v>
      </c>
      <c r="S32">
        <f t="shared" si="10"/>
        <v>-3.8588339787869359E-2</v>
      </c>
    </row>
    <row r="33" spans="1:37" ht="15.5" x14ac:dyDescent="0.35">
      <c r="A33" s="21">
        <v>3.9583333333333299</v>
      </c>
      <c r="B33" s="5">
        <v>-1.3</v>
      </c>
      <c r="C33">
        <v>0</v>
      </c>
      <c r="D33">
        <v>3</v>
      </c>
      <c r="E33">
        <v>749.9</v>
      </c>
      <c r="F33">
        <v>32</v>
      </c>
      <c r="H33">
        <f>B33-$B$34</f>
        <v>-3.1812500000000004</v>
      </c>
      <c r="I33">
        <f t="shared" si="1"/>
        <v>-5.75</v>
      </c>
      <c r="J33">
        <f t="shared" si="2"/>
        <v>-0.28125</v>
      </c>
      <c r="K33">
        <f t="shared" si="3"/>
        <v>-0.52812499999993179</v>
      </c>
      <c r="L33">
        <f t="shared" si="4"/>
        <v>10.120351562500002</v>
      </c>
      <c r="M33">
        <f t="shared" si="5"/>
        <v>33.0625</v>
      </c>
      <c r="N33">
        <f t="shared" si="6"/>
        <v>7.91015625E-2</v>
      </c>
      <c r="O33">
        <f t="shared" si="7"/>
        <v>0.27891601562492796</v>
      </c>
      <c r="P33">
        <f t="shared" si="11"/>
        <v>-0.18320943676627421</v>
      </c>
      <c r="Q33">
        <f t="shared" si="8"/>
        <v>-0.37116090401154411</v>
      </c>
      <c r="R33">
        <f t="shared" si="9"/>
        <v>-3.7427295320061491E-2</v>
      </c>
      <c r="S33">
        <f t="shared" si="10"/>
        <v>-6.2108851658584173E-2</v>
      </c>
    </row>
    <row r="34" spans="1:37" x14ac:dyDescent="0.35">
      <c r="A34" t="s">
        <v>62</v>
      </c>
      <c r="B34">
        <f>AVERAGE(B2:B33)</f>
        <v>1.8812500000000003</v>
      </c>
      <c r="C34">
        <f t="shared" ref="C34:E34" si="12">AVERAGE(C2:C33)</f>
        <v>5.75</v>
      </c>
      <c r="D34">
        <f t="shared" si="12"/>
        <v>3.28125</v>
      </c>
      <c r="E34">
        <f t="shared" si="12"/>
        <v>750.42812499999991</v>
      </c>
      <c r="L34">
        <f>SUM(L2:L33)</f>
        <v>301.50874999999991</v>
      </c>
      <c r="M34">
        <f t="shared" ref="M34:O34" si="13">SUM(M2:M33)</f>
        <v>240</v>
      </c>
      <c r="N34">
        <f t="shared" si="13"/>
        <v>56.46875</v>
      </c>
      <c r="O34">
        <f t="shared" si="13"/>
        <v>72.304687499999801</v>
      </c>
    </row>
    <row r="36" spans="1:37" x14ac:dyDescent="0.35">
      <c r="A36" s="7" t="s">
        <v>75</v>
      </c>
      <c r="B36">
        <f>L34/32</f>
        <v>9.4221484374999971</v>
      </c>
      <c r="D36" s="7" t="s">
        <v>79</v>
      </c>
      <c r="E36">
        <f>(32*B36)^0.5</f>
        <v>17.364007313981411</v>
      </c>
      <c r="G36" t="s">
        <v>119</v>
      </c>
      <c r="H36">
        <v>9.4221484375000006</v>
      </c>
      <c r="J36" t="s">
        <v>119</v>
      </c>
      <c r="K36" t="s">
        <v>120</v>
      </c>
      <c r="L36" t="s">
        <v>121</v>
      </c>
      <c r="M36" t="s">
        <v>122</v>
      </c>
    </row>
    <row r="37" spans="1:37" x14ac:dyDescent="0.35">
      <c r="A37" s="7" t="s">
        <v>76</v>
      </c>
      <c r="B37">
        <f>M34/32</f>
        <v>7.5</v>
      </c>
      <c r="D37" s="7" t="s">
        <v>80</v>
      </c>
      <c r="E37">
        <f>(32*B37)^0.5</f>
        <v>15.491933384829668</v>
      </c>
      <c r="G37" t="s">
        <v>120</v>
      </c>
      <c r="H37">
        <v>7.5</v>
      </c>
      <c r="J37">
        <v>9.4221484374999971</v>
      </c>
      <c r="K37">
        <v>7.5</v>
      </c>
      <c r="L37">
        <v>1.7646484375</v>
      </c>
      <c r="M37">
        <v>2.2595214843749938</v>
      </c>
    </row>
    <row r="38" spans="1:37" x14ac:dyDescent="0.35">
      <c r="A38" s="7" t="s">
        <v>77</v>
      </c>
      <c r="B38">
        <f>N34/32</f>
        <v>1.7646484375</v>
      </c>
      <c r="D38" s="7" t="s">
        <v>81</v>
      </c>
      <c r="E38">
        <f t="shared" ref="E38:E39" si="14">(32*B38)^0.5</f>
        <v>7.5145691825945686</v>
      </c>
      <c r="G38" t="s">
        <v>121</v>
      </c>
      <c r="H38">
        <v>1.7646484375</v>
      </c>
    </row>
    <row r="39" spans="1:37" x14ac:dyDescent="0.35">
      <c r="A39" s="7" t="s">
        <v>78</v>
      </c>
      <c r="B39">
        <f>O34/32</f>
        <v>2.2595214843749938</v>
      </c>
      <c r="D39" s="7" t="s">
        <v>82</v>
      </c>
      <c r="E39">
        <f t="shared" si="14"/>
        <v>8.5032163032584211</v>
      </c>
      <c r="G39" t="s">
        <v>122</v>
      </c>
      <c r="H39">
        <v>2.2595214843749938</v>
      </c>
    </row>
    <row r="41" spans="1:37" x14ac:dyDescent="0.35">
      <c r="A41" s="7" t="s">
        <v>83</v>
      </c>
      <c r="F41" t="s">
        <v>84</v>
      </c>
    </row>
    <row r="42" spans="1:37" x14ac:dyDescent="0.35">
      <c r="A42">
        <v>-1.0438258676271E-2</v>
      </c>
      <c r="B42">
        <v>0.14523687548277814</v>
      </c>
      <c r="C42">
        <v>-0.17050212312472457</v>
      </c>
      <c r="D42">
        <v>-0.32083448223638034</v>
      </c>
      <c r="F42">
        <f t="array" ref="F42:AK45">TRANSPOSE(A42:D73)</f>
        <v>-1.0438258676271E-2</v>
      </c>
      <c r="G42">
        <v>4.1393094750729914E-2</v>
      </c>
      <c r="H42">
        <v>-2.7715376485271365E-2</v>
      </c>
      <c r="I42">
        <v>0.14505580160473183</v>
      </c>
      <c r="J42">
        <v>0.2717546655374008</v>
      </c>
      <c r="K42">
        <v>0.30054986188573463</v>
      </c>
      <c r="L42">
        <v>0.13353772306539827</v>
      </c>
      <c r="M42">
        <v>0.10474252671706442</v>
      </c>
      <c r="N42">
        <v>0.2314413906497334</v>
      </c>
      <c r="O42">
        <v>6.4429251829397002E-2</v>
      </c>
      <c r="P42">
        <v>-6.226961210327199E-2</v>
      </c>
      <c r="Q42">
        <v>0.13929676233506502</v>
      </c>
      <c r="R42">
        <v>9.3224448177730859E-2</v>
      </c>
      <c r="S42">
        <v>0.2084052335710663</v>
      </c>
      <c r="T42">
        <v>0.2314413906497334</v>
      </c>
      <c r="U42">
        <v>9.3224448177730859E-2</v>
      </c>
      <c r="V42">
        <v>-1.619729794593781E-2</v>
      </c>
      <c r="W42">
        <v>-0.11410096553027295</v>
      </c>
      <c r="X42">
        <v>-0.15441424041794036</v>
      </c>
      <c r="Y42">
        <v>-1.0438258676271045E-2</v>
      </c>
      <c r="Z42">
        <v>0.13353772306539827</v>
      </c>
      <c r="AA42">
        <v>0.1853690764923992</v>
      </c>
      <c r="AB42">
        <v>-2.1956337215604589E-2</v>
      </c>
      <c r="AC42">
        <v>-0.16593231895727392</v>
      </c>
      <c r="AD42">
        <v>-0.32718541850794353</v>
      </c>
      <c r="AE42">
        <v>-0.33870349704727709</v>
      </c>
      <c r="AF42">
        <v>-0.26959502581127581</v>
      </c>
      <c r="AG42">
        <v>-0.27535406508094257</v>
      </c>
      <c r="AH42">
        <v>-0.17169135822694068</v>
      </c>
      <c r="AI42">
        <v>-3.9233455024604909E-2</v>
      </c>
      <c r="AJ42">
        <v>-0.18896847603594097</v>
      </c>
      <c r="AK42">
        <v>-0.18320943676627421</v>
      </c>
    </row>
    <row r="43" spans="1:37" x14ac:dyDescent="0.35">
      <c r="A43">
        <v>4.1393094750729914E-2</v>
      </c>
      <c r="B43">
        <v>0.14523687548277814</v>
      </c>
      <c r="C43">
        <v>-0.30357695092938763</v>
      </c>
      <c r="D43">
        <v>-0.30907422630103631</v>
      </c>
      <c r="F43">
        <v>0.14523687548277814</v>
      </c>
      <c r="G43">
        <v>0.14523687548277814</v>
      </c>
      <c r="H43">
        <v>0.14523687548277814</v>
      </c>
      <c r="I43">
        <v>1.6137430609197569E-2</v>
      </c>
      <c r="J43">
        <v>0.14523687548277814</v>
      </c>
      <c r="K43">
        <v>1.6137430609197569E-2</v>
      </c>
      <c r="L43">
        <v>8.068715304598785E-2</v>
      </c>
      <c r="M43">
        <v>0.14523687548277814</v>
      </c>
      <c r="N43">
        <v>0.14523687548277814</v>
      </c>
      <c r="O43">
        <v>1.6137430609197569E-2</v>
      </c>
      <c r="P43">
        <v>0.14523687548277814</v>
      </c>
      <c r="Q43">
        <v>1.6137430609197569E-2</v>
      </c>
      <c r="R43">
        <v>1.6137430609197569E-2</v>
      </c>
      <c r="S43">
        <v>1.6137430609197569E-2</v>
      </c>
      <c r="T43">
        <v>1.6137430609197569E-2</v>
      </c>
      <c r="U43">
        <v>1.6137430609197569E-2</v>
      </c>
      <c r="V43">
        <v>8.068715304598785E-2</v>
      </c>
      <c r="W43">
        <v>8.068715304598785E-2</v>
      </c>
      <c r="X43">
        <v>8.068715304598785E-2</v>
      </c>
      <c r="Y43">
        <v>8.068715304598785E-2</v>
      </c>
      <c r="Z43">
        <v>8.068715304598785E-2</v>
      </c>
      <c r="AA43">
        <v>1.6137430609197569E-2</v>
      </c>
      <c r="AB43">
        <v>1.6137430609197569E-2</v>
      </c>
      <c r="AC43">
        <v>-0.37116090401154411</v>
      </c>
      <c r="AD43">
        <v>-0.37116090401154411</v>
      </c>
      <c r="AE43">
        <v>-0.37116090401154411</v>
      </c>
      <c r="AF43">
        <v>0.14523687548277814</v>
      </c>
      <c r="AG43">
        <v>0.14523687548277814</v>
      </c>
      <c r="AH43">
        <v>0.14523687548277814</v>
      </c>
      <c r="AI43">
        <v>-0.24206145913796354</v>
      </c>
      <c r="AJ43">
        <v>-0.37116090401154411</v>
      </c>
      <c r="AK43">
        <v>-0.37116090401154411</v>
      </c>
    </row>
    <row r="44" spans="1:37" x14ac:dyDescent="0.35">
      <c r="A44">
        <v>-2.7715376485271365E-2</v>
      </c>
      <c r="B44">
        <v>0.14523687548277814</v>
      </c>
      <c r="C44">
        <v>-0.17050212312472457</v>
      </c>
      <c r="D44">
        <v>-0.20323192288283298</v>
      </c>
      <c r="F44">
        <v>-0.17050212312472457</v>
      </c>
      <c r="G44">
        <v>-0.30357695092938763</v>
      </c>
      <c r="H44">
        <v>-0.17050212312472457</v>
      </c>
      <c r="I44">
        <v>-0.30357695092938763</v>
      </c>
      <c r="J44">
        <v>-0.17050212312472457</v>
      </c>
      <c r="K44">
        <v>-0.17050212312472457</v>
      </c>
      <c r="L44">
        <v>-3.7427295320061491E-2</v>
      </c>
      <c r="M44">
        <v>9.5647532484601588E-2</v>
      </c>
      <c r="N44">
        <v>-0.30357695092938763</v>
      </c>
      <c r="O44">
        <v>9.5647532484601588E-2</v>
      </c>
      <c r="P44">
        <v>0.22872236028926465</v>
      </c>
      <c r="Q44">
        <v>0.22872236028926465</v>
      </c>
      <c r="R44">
        <v>0.36179718809392775</v>
      </c>
      <c r="S44">
        <v>9.5647532484601588E-2</v>
      </c>
      <c r="T44">
        <v>9.5647532484601588E-2</v>
      </c>
      <c r="U44">
        <v>0.22872236028926465</v>
      </c>
      <c r="V44">
        <v>0.22872236028926465</v>
      </c>
      <c r="W44">
        <v>0.22872236028926465</v>
      </c>
      <c r="X44">
        <v>0.22872236028926465</v>
      </c>
      <c r="Y44">
        <v>9.5647532484601588E-2</v>
      </c>
      <c r="Z44">
        <v>-3.7427295320061491E-2</v>
      </c>
      <c r="AA44">
        <v>-3.7427295320061491E-2</v>
      </c>
      <c r="AB44">
        <v>-3.7427295320061491E-2</v>
      </c>
      <c r="AC44">
        <v>-3.7427295320061491E-2</v>
      </c>
      <c r="AD44">
        <v>-0.17050212312472457</v>
      </c>
      <c r="AE44">
        <v>-0.17050212312472457</v>
      </c>
      <c r="AF44">
        <v>-0.17050212312472457</v>
      </c>
      <c r="AG44">
        <v>9.5647532484601588E-2</v>
      </c>
      <c r="AH44">
        <v>9.5647532484601588E-2</v>
      </c>
      <c r="AI44">
        <v>-3.7427295320061491E-2</v>
      </c>
      <c r="AJ44">
        <v>-3.7427295320061491E-2</v>
      </c>
      <c r="AK44">
        <v>-3.7427295320061491E-2</v>
      </c>
    </row>
    <row r="45" spans="1:37" x14ac:dyDescent="0.35">
      <c r="A45">
        <v>0.14505580160473183</v>
      </c>
      <c r="B45">
        <v>1.6137430609197569E-2</v>
      </c>
      <c r="C45">
        <v>-0.30357695092938763</v>
      </c>
      <c r="D45">
        <v>-0.17971141101213153</v>
      </c>
      <c r="F45">
        <v>-0.32083448223638034</v>
      </c>
      <c r="G45">
        <v>-0.30907422630103631</v>
      </c>
      <c r="H45">
        <v>-0.20323192288283298</v>
      </c>
      <c r="I45">
        <v>-0.17971141101213153</v>
      </c>
      <c r="J45">
        <v>-0.19147166694748893</v>
      </c>
      <c r="K45">
        <v>-0.23851269068890521</v>
      </c>
      <c r="L45">
        <v>-0.14443064320605931</v>
      </c>
      <c r="M45">
        <v>-0.15619089914141671</v>
      </c>
      <c r="N45">
        <v>-0.17971141101213153</v>
      </c>
      <c r="O45">
        <v>-0.21499217881819038</v>
      </c>
      <c r="P45">
        <v>-9.7389619464643029E-2</v>
      </c>
      <c r="Q45">
        <v>-3.8588339787869359E-2</v>
      </c>
      <c r="R45">
        <v>-5.0348595723226766E-2</v>
      </c>
      <c r="S45">
        <v>-2.6828083852511946E-2</v>
      </c>
      <c r="T45">
        <v>4.3733451759605774E-2</v>
      </c>
      <c r="U45">
        <v>9.0774475501035415E-2</v>
      </c>
      <c r="V45">
        <v>0.10253473143637945</v>
      </c>
      <c r="W45">
        <v>0.10253473143637945</v>
      </c>
      <c r="X45">
        <v>0.2201372907899268</v>
      </c>
      <c r="Y45">
        <v>0.24365780266064163</v>
      </c>
      <c r="Z45">
        <v>0.20837703485458275</v>
      </c>
      <c r="AA45">
        <v>0.19661677891922535</v>
      </c>
      <c r="AB45">
        <v>0.27893857046670051</v>
      </c>
      <c r="AC45">
        <v>0.25541805859599903</v>
      </c>
      <c r="AD45">
        <v>0.20837703485458275</v>
      </c>
      <c r="AE45">
        <v>0.17309626704851053</v>
      </c>
      <c r="AF45">
        <v>0.17309626704851053</v>
      </c>
      <c r="AG45">
        <v>0.13781549924245168</v>
      </c>
      <c r="AH45">
        <v>5.5493707694963181E-2</v>
      </c>
      <c r="AI45">
        <v>-3.8588339787869359E-2</v>
      </c>
      <c r="AJ45">
        <v>-3.8588339787869359E-2</v>
      </c>
      <c r="AK45">
        <v>-6.2108851658584173E-2</v>
      </c>
    </row>
    <row r="46" spans="1:37" ht="15" thickBot="1" x14ac:dyDescent="0.4">
      <c r="A46">
        <v>0.2717546655374008</v>
      </c>
      <c r="B46">
        <v>0.14523687548277814</v>
      </c>
      <c r="C46">
        <v>-0.17050212312472457</v>
      </c>
      <c r="D46">
        <v>-0.19147166694748893</v>
      </c>
    </row>
    <row r="47" spans="1:37" x14ac:dyDescent="0.35">
      <c r="A47">
        <v>0.30054986188573463</v>
      </c>
      <c r="B47">
        <v>1.6137430609197569E-2</v>
      </c>
      <c r="C47">
        <v>-0.17050212312472457</v>
      </c>
      <c r="D47">
        <v>-0.23851269068890521</v>
      </c>
      <c r="F47" t="s">
        <v>85</v>
      </c>
      <c r="P47" s="45"/>
      <c r="Q47" s="45" t="s">
        <v>209</v>
      </c>
      <c r="R47" s="45" t="s">
        <v>210</v>
      </c>
      <c r="S47" s="45" t="s">
        <v>211</v>
      </c>
      <c r="T47" s="45" t="s">
        <v>212</v>
      </c>
    </row>
    <row r="48" spans="1:37" x14ac:dyDescent="0.35">
      <c r="A48">
        <v>0.13353772306539827</v>
      </c>
      <c r="B48">
        <v>8.068715304598785E-2</v>
      </c>
      <c r="C48">
        <v>-3.7427295320061491E-2</v>
      </c>
      <c r="D48">
        <v>-0.14443064320605931</v>
      </c>
      <c r="F48">
        <f t="array" ref="F48:I51">MMULT(F42:AK45,A42:D73)</f>
        <v>1</v>
      </c>
      <c r="G48">
        <v>0.45297053477913074</v>
      </c>
      <c r="H48">
        <v>-3.0894821102476447E-2</v>
      </c>
      <c r="I48">
        <v>-0.47059375086204247</v>
      </c>
      <c r="P48" t="s">
        <v>209</v>
      </c>
      <c r="Q48">
        <v>1</v>
      </c>
    </row>
    <row r="49" spans="1:20" x14ac:dyDescent="0.35">
      <c r="A49">
        <v>0.10474252671706442</v>
      </c>
      <c r="B49">
        <v>0.14523687548277814</v>
      </c>
      <c r="C49">
        <v>9.5647532484601588E-2</v>
      </c>
      <c r="D49">
        <v>-0.15619089914141671</v>
      </c>
      <c r="F49">
        <v>0.45297053477913074</v>
      </c>
      <c r="G49">
        <v>1</v>
      </c>
      <c r="H49">
        <v>0.13099663377124862</v>
      </c>
      <c r="I49">
        <v>-0.29131278214840112</v>
      </c>
      <c r="P49" t="s">
        <v>210</v>
      </c>
      <c r="Q49">
        <v>0.45297053477913057</v>
      </c>
      <c r="R49">
        <v>1</v>
      </c>
    </row>
    <row r="50" spans="1:20" x14ac:dyDescent="0.35">
      <c r="A50">
        <v>0.2314413906497334</v>
      </c>
      <c r="B50">
        <v>0.14523687548277814</v>
      </c>
      <c r="C50">
        <v>-0.30357695092938763</v>
      </c>
      <c r="D50">
        <v>-0.17971141101213153</v>
      </c>
      <c r="F50">
        <v>-3.0894821102476447E-2</v>
      </c>
      <c r="G50">
        <v>0.13099663377124862</v>
      </c>
      <c r="H50">
        <v>0.99999999999999989</v>
      </c>
      <c r="I50">
        <v>0.32312236186165799</v>
      </c>
      <c r="P50" t="s">
        <v>211</v>
      </c>
      <c r="Q50">
        <v>-3.0894821102476468E-2</v>
      </c>
      <c r="R50">
        <v>0.13099663377124862</v>
      </c>
      <c r="S50">
        <v>1</v>
      </c>
    </row>
    <row r="51" spans="1:20" ht="15" thickBot="1" x14ac:dyDescent="0.4">
      <c r="A51">
        <v>6.4429251829397002E-2</v>
      </c>
      <c r="B51">
        <v>1.6137430609197569E-2</v>
      </c>
      <c r="C51">
        <v>9.5647532484601588E-2</v>
      </c>
      <c r="D51">
        <v>-0.21499217881819038</v>
      </c>
      <c r="F51">
        <v>-0.47059375086204247</v>
      </c>
      <c r="G51">
        <v>-0.29131278214840112</v>
      </c>
      <c r="H51">
        <v>0.32312236186165799</v>
      </c>
      <c r="I51">
        <v>0.99999999999999933</v>
      </c>
      <c r="P51" s="44" t="s">
        <v>212</v>
      </c>
      <c r="Q51" s="44">
        <v>-0.47059375086204247</v>
      </c>
      <c r="R51" s="44">
        <v>-0.29131278214840117</v>
      </c>
      <c r="S51" s="44">
        <v>0.32312236186165794</v>
      </c>
      <c r="T51" s="44">
        <v>1</v>
      </c>
    </row>
    <row r="52" spans="1:20" x14ac:dyDescent="0.35">
      <c r="A52">
        <v>-6.226961210327199E-2</v>
      </c>
      <c r="B52">
        <v>0.14523687548277814</v>
      </c>
      <c r="C52">
        <v>0.22872236028926465</v>
      </c>
      <c r="D52">
        <v>-9.7389619464643029E-2</v>
      </c>
    </row>
    <row r="53" spans="1:20" x14ac:dyDescent="0.35">
      <c r="A53">
        <v>0.13929676233506502</v>
      </c>
      <c r="B53">
        <v>1.6137430609197569E-2</v>
      </c>
      <c r="C53">
        <v>0.22872236028926465</v>
      </c>
      <c r="D53">
        <v>-3.8588339787869359E-2</v>
      </c>
      <c r="F53" t="s">
        <v>86</v>
      </c>
      <c r="G53">
        <f>MDETERM(F48:I51)</f>
        <v>0.51306142666120103</v>
      </c>
    </row>
    <row r="54" spans="1:20" x14ac:dyDescent="0.35">
      <c r="A54">
        <v>9.3224448177730859E-2</v>
      </c>
      <c r="B54">
        <v>1.6137430609197569E-2</v>
      </c>
      <c r="C54">
        <v>0.36179718809392775</v>
      </c>
      <c r="D54">
        <v>-5.0348595723226766E-2</v>
      </c>
      <c r="F54" s="7" t="s">
        <v>87</v>
      </c>
      <c r="G54">
        <f>-(31-(8+5)/6)*LN(G53)</f>
        <v>19.242204709263866</v>
      </c>
    </row>
    <row r="55" spans="1:20" x14ac:dyDescent="0.35">
      <c r="A55">
        <v>0.2084052335710663</v>
      </c>
      <c r="B55">
        <v>1.6137430609197569E-2</v>
      </c>
      <c r="C55">
        <v>9.5647532484601588E-2</v>
      </c>
      <c r="D55">
        <v>-2.6828083852511946E-2</v>
      </c>
      <c r="F55" s="7" t="s">
        <v>88</v>
      </c>
      <c r="G55">
        <f>16.8</f>
        <v>16.8</v>
      </c>
    </row>
    <row r="56" spans="1:20" x14ac:dyDescent="0.35">
      <c r="A56">
        <v>0.2314413906497334</v>
      </c>
      <c r="B56">
        <v>1.6137430609197569E-2</v>
      </c>
      <c r="C56">
        <v>9.5647532484601588E-2</v>
      </c>
      <c r="D56">
        <v>4.3733451759605774E-2</v>
      </c>
    </row>
    <row r="57" spans="1:20" x14ac:dyDescent="0.35">
      <c r="A57">
        <v>9.3224448177730859E-2</v>
      </c>
      <c r="B57">
        <v>1.6137430609197569E-2</v>
      </c>
      <c r="C57">
        <v>0.22872236028926465</v>
      </c>
      <c r="D57">
        <v>9.0774475501035415E-2</v>
      </c>
      <c r="F57" t="s">
        <v>89</v>
      </c>
    </row>
    <row r="58" spans="1:20" x14ac:dyDescent="0.35">
      <c r="A58">
        <v>-1.619729794593781E-2</v>
      </c>
      <c r="B58">
        <v>8.068715304598785E-2</v>
      </c>
      <c r="C58">
        <v>0.22872236028926465</v>
      </c>
      <c r="D58">
        <v>0.10253473143637945</v>
      </c>
      <c r="F58">
        <f t="array" ref="F58:I61">MINVERSE(F48:I51)</f>
        <v>1.498665273372247</v>
      </c>
      <c r="G58">
        <v>-0.49823031653443528</v>
      </c>
      <c r="H58">
        <v>-7.7513361230255373E-2</v>
      </c>
      <c r="I58">
        <v>0.58516795297916557</v>
      </c>
    </row>
    <row r="59" spans="1:20" x14ac:dyDescent="0.35">
      <c r="A59">
        <v>-0.11410096553027295</v>
      </c>
      <c r="B59">
        <v>8.068715304598785E-2</v>
      </c>
      <c r="C59">
        <v>0.22872236028926465</v>
      </c>
      <c r="D59">
        <v>0.10253473143637945</v>
      </c>
      <c r="F59">
        <v>-0.49823031653443517</v>
      </c>
      <c r="G59">
        <v>1.3303956001853223</v>
      </c>
      <c r="H59">
        <v>-0.2670180362835069</v>
      </c>
      <c r="I59">
        <v>0.23937666874044441</v>
      </c>
    </row>
    <row r="60" spans="1:20" x14ac:dyDescent="0.35">
      <c r="A60">
        <v>-0.15441424041794036</v>
      </c>
      <c r="B60">
        <v>8.068715304598785E-2</v>
      </c>
      <c r="C60">
        <v>0.22872236028926465</v>
      </c>
      <c r="D60">
        <v>0.2201372907899268</v>
      </c>
      <c r="F60">
        <v>-7.7513361230255401E-2</v>
      </c>
      <c r="G60">
        <v>-0.2670180362835069</v>
      </c>
      <c r="H60">
        <v>1.1941874516557107</v>
      </c>
      <c r="I60">
        <v>-0.50013174032136953</v>
      </c>
    </row>
    <row r="61" spans="1:20" x14ac:dyDescent="0.35">
      <c r="A61">
        <v>-1.0438258676271045E-2</v>
      </c>
      <c r="B61">
        <v>8.068715304598785E-2</v>
      </c>
      <c r="C61">
        <v>9.5647532484601588E-2</v>
      </c>
      <c r="D61">
        <v>0.24365780266064163</v>
      </c>
      <c r="F61">
        <v>0.58516795297916557</v>
      </c>
      <c r="G61">
        <v>0.23937666874044439</v>
      </c>
      <c r="H61">
        <v>-0.50013174032136942</v>
      </c>
      <c r="I61">
        <v>1.5067136144035473</v>
      </c>
    </row>
    <row r="62" spans="1:20" x14ac:dyDescent="0.35">
      <c r="A62">
        <v>0.13353772306539827</v>
      </c>
      <c r="B62">
        <v>8.068715304598785E-2</v>
      </c>
      <c r="C62">
        <v>-3.7427295320061491E-2</v>
      </c>
      <c r="D62">
        <v>0.20837703485458275</v>
      </c>
    </row>
    <row r="63" spans="1:20" x14ac:dyDescent="0.35">
      <c r="A63">
        <v>0.1853690764923992</v>
      </c>
      <c r="B63">
        <v>1.6137430609197569E-2</v>
      </c>
      <c r="C63">
        <v>-3.7427295320061491E-2</v>
      </c>
      <c r="D63">
        <v>0.19661677891922535</v>
      </c>
      <c r="F63" t="s">
        <v>90</v>
      </c>
      <c r="G63">
        <f>(F58-1)*((32-4)/(4-1))</f>
        <v>4.6542092181409718</v>
      </c>
      <c r="H63" t="s">
        <v>94</v>
      </c>
      <c r="I63">
        <v>8.6300000000000008</v>
      </c>
    </row>
    <row r="64" spans="1:20" x14ac:dyDescent="0.35">
      <c r="A64">
        <v>-2.1956337215604589E-2</v>
      </c>
      <c r="B64">
        <v>1.6137430609197569E-2</v>
      </c>
      <c r="C64">
        <v>-3.7427295320061491E-2</v>
      </c>
      <c r="D64">
        <v>0.27893857046670051</v>
      </c>
      <c r="F64" t="s">
        <v>91</v>
      </c>
      <c r="G64">
        <f>(G59-1)*((32-4)/(4-1))</f>
        <v>3.0836922683963417</v>
      </c>
    </row>
    <row r="65" spans="1:14" x14ac:dyDescent="0.35">
      <c r="A65">
        <v>-0.16593231895727392</v>
      </c>
      <c r="B65">
        <v>-0.37116090401154411</v>
      </c>
      <c r="C65">
        <v>-3.7427295320061491E-2</v>
      </c>
      <c r="D65">
        <v>0.25541805859599903</v>
      </c>
      <c r="F65" t="s">
        <v>92</v>
      </c>
      <c r="G65">
        <f>(H60-1)*((32-4)/(4-1))</f>
        <v>1.8124162154533001</v>
      </c>
    </row>
    <row r="66" spans="1:14" x14ac:dyDescent="0.35">
      <c r="A66">
        <v>-0.32718541850794353</v>
      </c>
      <c r="B66">
        <v>-0.37116090401154411</v>
      </c>
      <c r="C66">
        <v>-0.17050212312472457</v>
      </c>
      <c r="D66">
        <v>0.20837703485458275</v>
      </c>
      <c r="F66" t="s">
        <v>93</v>
      </c>
      <c r="G66">
        <f>(I61-1)*((32-4)/(4-1))</f>
        <v>4.7293270677664418</v>
      </c>
    </row>
    <row r="67" spans="1:14" x14ac:dyDescent="0.35">
      <c r="A67">
        <v>-0.33870349704727709</v>
      </c>
      <c r="B67">
        <v>-0.37116090401154411</v>
      </c>
      <c r="C67">
        <v>-0.17050212312472457</v>
      </c>
      <c r="D67">
        <v>0.17309626704851053</v>
      </c>
    </row>
    <row r="68" spans="1:14" x14ac:dyDescent="0.35">
      <c r="A68">
        <v>-0.26959502581127581</v>
      </c>
      <c r="B68">
        <v>0.14523687548277814</v>
      </c>
      <c r="C68">
        <v>-0.17050212312472457</v>
      </c>
      <c r="D68">
        <v>0.17309626704851053</v>
      </c>
    </row>
    <row r="69" spans="1:14" x14ac:dyDescent="0.35">
      <c r="A69">
        <v>-0.27535406508094257</v>
      </c>
      <c r="B69">
        <v>0.14523687548277814</v>
      </c>
      <c r="C69">
        <v>9.5647532484601588E-2</v>
      </c>
      <c r="D69">
        <v>0.13781549924245168</v>
      </c>
      <c r="F69" t="s">
        <v>95</v>
      </c>
      <c r="G69">
        <f>-(G58)/(F58*G59)^0.5</f>
        <v>0.35284781151550365</v>
      </c>
      <c r="I69" t="s">
        <v>101</v>
      </c>
      <c r="J69">
        <f>(ABS(G69)*(32-4)^0.5)/(1-G69^2)^0.5</f>
        <v>1.9954403964993819</v>
      </c>
      <c r="K69" t="s">
        <v>107</v>
      </c>
      <c r="L69">
        <v>2.0484</v>
      </c>
      <c r="M69">
        <f>TINV(0.05,28)</f>
        <v>2.0484071417952445</v>
      </c>
    </row>
    <row r="70" spans="1:14" x14ac:dyDescent="0.35">
      <c r="A70">
        <v>-0.17169135822694068</v>
      </c>
      <c r="B70">
        <v>0.14523687548277814</v>
      </c>
      <c r="C70">
        <v>9.5647532484601588E-2</v>
      </c>
      <c r="D70">
        <v>5.5493707694963181E-2</v>
      </c>
      <c r="F70" t="s">
        <v>96</v>
      </c>
      <c r="G70">
        <f>-(H58)/(F58*H60)^0.5</f>
        <v>5.7941268108730404E-2</v>
      </c>
      <c r="I70" t="s">
        <v>102</v>
      </c>
      <c r="J70">
        <f t="shared" ref="J70:J73" si="15">(ABS(G70)*(32-4)^0.5)/(1-G70^2)^0.5</f>
        <v>0.30711232282108231</v>
      </c>
    </row>
    <row r="71" spans="1:14" x14ac:dyDescent="0.35">
      <c r="A71">
        <v>-3.9233455024604909E-2</v>
      </c>
      <c r="B71">
        <v>-0.24206145913796354</v>
      </c>
      <c r="C71">
        <v>-3.7427295320061491E-2</v>
      </c>
      <c r="D71">
        <v>-3.8588339787869359E-2</v>
      </c>
      <c r="F71" t="s">
        <v>98</v>
      </c>
      <c r="G71">
        <f>-(I58)/(F58*I61)^0.5</f>
        <v>-0.38941516070219417</v>
      </c>
      <c r="I71" t="s">
        <v>103</v>
      </c>
      <c r="J71" s="23">
        <f t="shared" si="15"/>
        <v>2.237189879933791</v>
      </c>
    </row>
    <row r="72" spans="1:14" x14ac:dyDescent="0.35">
      <c r="A72">
        <v>-0.18896847603594097</v>
      </c>
      <c r="B72">
        <v>-0.37116090401154411</v>
      </c>
      <c r="C72">
        <v>-3.7427295320061491E-2</v>
      </c>
      <c r="D72">
        <v>-3.8588339787869359E-2</v>
      </c>
      <c r="F72" t="s">
        <v>97</v>
      </c>
      <c r="G72">
        <f>-(H59)/(G59*H60)^0.5</f>
        <v>0.21184291609283723</v>
      </c>
      <c r="I72" t="s">
        <v>104</v>
      </c>
      <c r="J72">
        <f t="shared" si="15"/>
        <v>1.146999967987208</v>
      </c>
    </row>
    <row r="73" spans="1:14" x14ac:dyDescent="0.35">
      <c r="A73">
        <v>-0.18320943676627421</v>
      </c>
      <c r="B73">
        <v>-0.37116090401154411</v>
      </c>
      <c r="C73">
        <v>-3.7427295320061491E-2</v>
      </c>
      <c r="D73">
        <v>-6.2108851658584173E-2</v>
      </c>
      <c r="F73" t="s">
        <v>99</v>
      </c>
      <c r="G73">
        <f>-(I59)/(G59*I61)^0.5</f>
        <v>-0.1690737022639679</v>
      </c>
      <c r="I73" t="s">
        <v>105</v>
      </c>
      <c r="J73">
        <f t="shared" si="15"/>
        <v>0.90772204026626679</v>
      </c>
    </row>
    <row r="74" spans="1:14" x14ac:dyDescent="0.35">
      <c r="F74" t="s">
        <v>100</v>
      </c>
      <c r="G74">
        <f>-(I60)/(H60*I61)^0.5</f>
        <v>0.37284885138382456</v>
      </c>
      <c r="I74" t="s">
        <v>106</v>
      </c>
      <c r="J74" s="23">
        <f>(ABS(G74)*(32-4)^0.5)/(1-G74^2)^0.5</f>
        <v>2.1262501234726514</v>
      </c>
    </row>
    <row r="77" spans="1:14" ht="42.5" thickBot="1" x14ac:dyDescent="0.4">
      <c r="A77" s="3" t="s">
        <v>12</v>
      </c>
      <c r="B77" s="20" t="s">
        <v>13</v>
      </c>
      <c r="C77" t="s">
        <v>61</v>
      </c>
      <c r="D77" s="36" t="s">
        <v>60</v>
      </c>
      <c r="F77" t="s">
        <v>63</v>
      </c>
      <c r="G77" t="s">
        <v>64</v>
      </c>
      <c r="H77" t="s">
        <v>65</v>
      </c>
      <c r="I77" t="s">
        <v>66</v>
      </c>
      <c r="J77" t="s">
        <v>67</v>
      </c>
      <c r="K77" t="s">
        <v>68</v>
      </c>
      <c r="L77" t="s">
        <v>69</v>
      </c>
      <c r="M77" t="s">
        <v>70</v>
      </c>
      <c r="N77" t="s">
        <v>71</v>
      </c>
    </row>
    <row r="78" spans="1:14" ht="15.5" x14ac:dyDescent="0.35">
      <c r="A78" s="21">
        <v>8.3333333333333329E-2</v>
      </c>
      <c r="B78" s="5">
        <v>1.7</v>
      </c>
      <c r="C78">
        <v>8</v>
      </c>
      <c r="D78">
        <v>2</v>
      </c>
      <c r="F78">
        <f>B78-$B$110</f>
        <v>-0.18125000000000036</v>
      </c>
      <c r="G78">
        <f>C78-$C$110</f>
        <v>2.25</v>
      </c>
      <c r="H78">
        <f>D78-$D$110</f>
        <v>-1.28125</v>
      </c>
      <c r="I78">
        <f t="shared" ref="I78:I109" si="16">F78^2</f>
        <v>3.2851562500000125E-2</v>
      </c>
      <c r="J78">
        <f t="shared" ref="J78:J109" si="17">G78^2</f>
        <v>5.0625</v>
      </c>
      <c r="K78">
        <f t="shared" ref="K78:K109" si="18">H78^2</f>
        <v>1.6416015625</v>
      </c>
      <c r="L78">
        <f>F78/$E$112</f>
        <v>-1.0438258676271045E-2</v>
      </c>
      <c r="M78">
        <f>G78/$E$113</f>
        <v>0.14523687548277814</v>
      </c>
      <c r="N78">
        <f>H78/$E$114</f>
        <v>-0.17050212312472457</v>
      </c>
    </row>
    <row r="79" spans="1:14" ht="15.5" x14ac:dyDescent="0.35">
      <c r="A79" s="21">
        <v>0.20833333333333334</v>
      </c>
      <c r="B79" s="5">
        <v>2.6</v>
      </c>
      <c r="C79">
        <v>8</v>
      </c>
      <c r="D79">
        <v>1</v>
      </c>
      <c r="F79">
        <f t="shared" ref="F79:F109" si="19">B79-$B$110</f>
        <v>0.71874999999999978</v>
      </c>
      <c r="G79">
        <f t="shared" ref="G79:G109" si="20">C79-$C$110</f>
        <v>2.25</v>
      </c>
      <c r="H79">
        <f t="shared" ref="H79:H109" si="21">D79-$D$110</f>
        <v>-2.28125</v>
      </c>
      <c r="I79">
        <f t="shared" si="16"/>
        <v>0.51660156249999967</v>
      </c>
      <c r="J79">
        <f t="shared" si="17"/>
        <v>5.0625</v>
      </c>
      <c r="K79">
        <f t="shared" si="18"/>
        <v>5.2041015625</v>
      </c>
      <c r="L79">
        <f t="shared" ref="L79:L109" si="22">F79/$E$112</f>
        <v>4.1393094750729914E-2</v>
      </c>
      <c r="M79">
        <f t="shared" ref="M79:M109" si="23">G79/$E$113</f>
        <v>0.14523687548277814</v>
      </c>
      <c r="N79">
        <f t="shared" ref="N79:N109" si="24">H79/$E$114</f>
        <v>-0.30357695092938763</v>
      </c>
    </row>
    <row r="80" spans="1:14" ht="15.5" x14ac:dyDescent="0.35">
      <c r="A80" s="21">
        <v>0.33333333333333331</v>
      </c>
      <c r="B80" s="5">
        <v>1.4</v>
      </c>
      <c r="C80">
        <v>8</v>
      </c>
      <c r="D80">
        <v>2</v>
      </c>
      <c r="F80">
        <f t="shared" si="19"/>
        <v>-0.4812500000000004</v>
      </c>
      <c r="G80">
        <f t="shared" si="20"/>
        <v>2.25</v>
      </c>
      <c r="H80">
        <f t="shared" si="21"/>
        <v>-1.28125</v>
      </c>
      <c r="I80">
        <f t="shared" si="16"/>
        <v>0.23160156250000039</v>
      </c>
      <c r="J80">
        <f t="shared" si="17"/>
        <v>5.0625</v>
      </c>
      <c r="K80">
        <f t="shared" si="18"/>
        <v>1.6416015625</v>
      </c>
      <c r="L80">
        <f t="shared" si="22"/>
        <v>-2.7715376485271365E-2</v>
      </c>
      <c r="M80">
        <f t="shared" si="23"/>
        <v>0.14523687548277814</v>
      </c>
      <c r="N80">
        <f t="shared" si="24"/>
        <v>-0.17050212312472457</v>
      </c>
    </row>
    <row r="81" spans="1:14" ht="15.5" x14ac:dyDescent="0.35">
      <c r="A81" s="21">
        <v>0.45833333333333331</v>
      </c>
      <c r="B81" s="5">
        <v>4.4000000000000004</v>
      </c>
      <c r="C81">
        <v>6</v>
      </c>
      <c r="D81">
        <v>1</v>
      </c>
      <c r="F81">
        <f t="shared" si="19"/>
        <v>2.5187499999999998</v>
      </c>
      <c r="G81">
        <f t="shared" si="20"/>
        <v>0.25</v>
      </c>
      <c r="H81">
        <f t="shared" si="21"/>
        <v>-2.28125</v>
      </c>
      <c r="I81">
        <f t="shared" si="16"/>
        <v>6.3441015624999988</v>
      </c>
      <c r="J81">
        <f t="shared" si="17"/>
        <v>6.25E-2</v>
      </c>
      <c r="K81">
        <f t="shared" si="18"/>
        <v>5.2041015625</v>
      </c>
      <c r="L81">
        <f t="shared" si="22"/>
        <v>0.14505580160473183</v>
      </c>
      <c r="M81">
        <f t="shared" si="23"/>
        <v>1.6137430609197569E-2</v>
      </c>
      <c r="N81">
        <f t="shared" si="24"/>
        <v>-0.30357695092938763</v>
      </c>
    </row>
    <row r="82" spans="1:14" ht="15.5" x14ac:dyDescent="0.35">
      <c r="A82" s="21">
        <v>0.58333333333333337</v>
      </c>
      <c r="B82" s="5">
        <v>6.6</v>
      </c>
      <c r="C82">
        <v>8</v>
      </c>
      <c r="D82">
        <v>2</v>
      </c>
      <c r="F82">
        <f t="shared" si="19"/>
        <v>4.7187499999999991</v>
      </c>
      <c r="G82">
        <f t="shared" si="20"/>
        <v>2.25</v>
      </c>
      <c r="H82">
        <f t="shared" si="21"/>
        <v>-1.28125</v>
      </c>
      <c r="I82">
        <f t="shared" si="16"/>
        <v>22.266601562499993</v>
      </c>
      <c r="J82">
        <f t="shared" si="17"/>
        <v>5.0625</v>
      </c>
      <c r="K82">
        <f t="shared" si="18"/>
        <v>1.6416015625</v>
      </c>
      <c r="L82">
        <f t="shared" si="22"/>
        <v>0.2717546655374008</v>
      </c>
      <c r="M82">
        <f t="shared" si="23"/>
        <v>0.14523687548277814</v>
      </c>
      <c r="N82">
        <f t="shared" si="24"/>
        <v>-0.17050212312472457</v>
      </c>
    </row>
    <row r="83" spans="1:14" ht="15.5" x14ac:dyDescent="0.35">
      <c r="A83" s="21">
        <v>0.70833333333333337</v>
      </c>
      <c r="B83" s="5">
        <v>7.1</v>
      </c>
      <c r="C83">
        <v>6</v>
      </c>
      <c r="D83">
        <v>2</v>
      </c>
      <c r="F83">
        <f t="shared" si="19"/>
        <v>5.2187499999999991</v>
      </c>
      <c r="G83">
        <f t="shared" si="20"/>
        <v>0.25</v>
      </c>
      <c r="H83">
        <f t="shared" si="21"/>
        <v>-1.28125</v>
      </c>
      <c r="I83">
        <f t="shared" si="16"/>
        <v>27.235351562499989</v>
      </c>
      <c r="J83">
        <f t="shared" si="17"/>
        <v>6.25E-2</v>
      </c>
      <c r="K83">
        <f t="shared" si="18"/>
        <v>1.6416015625</v>
      </c>
      <c r="L83">
        <f t="shared" si="22"/>
        <v>0.30054986188573463</v>
      </c>
      <c r="M83">
        <f t="shared" si="23"/>
        <v>1.6137430609197569E-2</v>
      </c>
      <c r="N83">
        <f t="shared" si="24"/>
        <v>-0.17050212312472457</v>
      </c>
    </row>
    <row r="84" spans="1:14" ht="15.5" x14ac:dyDescent="0.35">
      <c r="A84" s="21">
        <v>0.83333333333333337</v>
      </c>
      <c r="B84" s="5">
        <v>4.2</v>
      </c>
      <c r="C84">
        <v>7</v>
      </c>
      <c r="D84">
        <v>3</v>
      </c>
      <c r="F84">
        <f t="shared" si="19"/>
        <v>2.3187499999999996</v>
      </c>
      <c r="G84">
        <f t="shared" si="20"/>
        <v>1.25</v>
      </c>
      <c r="H84">
        <f t="shared" si="21"/>
        <v>-0.28125</v>
      </c>
      <c r="I84">
        <f t="shared" si="16"/>
        <v>5.3766015624999985</v>
      </c>
      <c r="J84">
        <f t="shared" si="17"/>
        <v>1.5625</v>
      </c>
      <c r="K84">
        <f t="shared" si="18"/>
        <v>7.91015625E-2</v>
      </c>
      <c r="L84">
        <f t="shared" si="22"/>
        <v>0.13353772306539827</v>
      </c>
      <c r="M84">
        <f t="shared" si="23"/>
        <v>8.068715304598785E-2</v>
      </c>
      <c r="N84">
        <f t="shared" si="24"/>
        <v>-3.7427295320061491E-2</v>
      </c>
    </row>
    <row r="85" spans="1:14" ht="15.5" x14ac:dyDescent="0.35">
      <c r="A85" s="21">
        <v>0.95833333333333337</v>
      </c>
      <c r="B85" s="5">
        <v>3.7</v>
      </c>
      <c r="C85">
        <v>8</v>
      </c>
      <c r="D85">
        <v>4</v>
      </c>
      <c r="F85">
        <f t="shared" si="19"/>
        <v>1.8187499999999999</v>
      </c>
      <c r="G85">
        <f t="shared" si="20"/>
        <v>2.25</v>
      </c>
      <c r="H85">
        <f t="shared" si="21"/>
        <v>0.71875</v>
      </c>
      <c r="I85">
        <f t="shared" si="16"/>
        <v>3.3078515624999993</v>
      </c>
      <c r="J85">
        <f t="shared" si="17"/>
        <v>5.0625</v>
      </c>
      <c r="K85">
        <f t="shared" si="18"/>
        <v>0.5166015625</v>
      </c>
      <c r="L85">
        <f t="shared" si="22"/>
        <v>0.10474252671706442</v>
      </c>
      <c r="M85">
        <f t="shared" si="23"/>
        <v>0.14523687548277814</v>
      </c>
      <c r="N85">
        <f t="shared" si="24"/>
        <v>9.5647532484601588E-2</v>
      </c>
    </row>
    <row r="86" spans="1:14" ht="15.5" x14ac:dyDescent="0.35">
      <c r="A86" s="21">
        <v>1.0833333333333299</v>
      </c>
      <c r="B86" s="5">
        <v>5.9</v>
      </c>
      <c r="C86">
        <v>8</v>
      </c>
      <c r="D86">
        <v>1</v>
      </c>
      <c r="F86">
        <f t="shared" si="19"/>
        <v>4.0187499999999998</v>
      </c>
      <c r="G86">
        <f t="shared" si="20"/>
        <v>2.25</v>
      </c>
      <c r="H86">
        <f t="shared" si="21"/>
        <v>-2.28125</v>
      </c>
      <c r="I86">
        <f t="shared" si="16"/>
        <v>16.150351562499999</v>
      </c>
      <c r="J86">
        <f t="shared" si="17"/>
        <v>5.0625</v>
      </c>
      <c r="K86">
        <f t="shared" si="18"/>
        <v>5.2041015625</v>
      </c>
      <c r="L86">
        <f t="shared" si="22"/>
        <v>0.2314413906497334</v>
      </c>
      <c r="M86">
        <f t="shared" si="23"/>
        <v>0.14523687548277814</v>
      </c>
      <c r="N86">
        <f t="shared" si="24"/>
        <v>-0.30357695092938763</v>
      </c>
    </row>
    <row r="87" spans="1:14" ht="15.5" x14ac:dyDescent="0.35">
      <c r="A87" s="21">
        <v>1.2083333333333299</v>
      </c>
      <c r="B87" s="5">
        <v>3</v>
      </c>
      <c r="C87">
        <v>6</v>
      </c>
      <c r="D87">
        <v>4</v>
      </c>
      <c r="F87">
        <f t="shared" si="19"/>
        <v>1.1187499999999997</v>
      </c>
      <c r="G87">
        <f t="shared" si="20"/>
        <v>0.25</v>
      </c>
      <c r="H87">
        <f t="shared" si="21"/>
        <v>0.71875</v>
      </c>
      <c r="I87">
        <f t="shared" si="16"/>
        <v>1.2516015624999992</v>
      </c>
      <c r="J87">
        <f t="shared" si="17"/>
        <v>6.25E-2</v>
      </c>
      <c r="K87">
        <f t="shared" si="18"/>
        <v>0.5166015625</v>
      </c>
      <c r="L87">
        <f t="shared" si="22"/>
        <v>6.4429251829397002E-2</v>
      </c>
      <c r="M87">
        <f t="shared" si="23"/>
        <v>1.6137430609197569E-2</v>
      </c>
      <c r="N87">
        <f t="shared" si="24"/>
        <v>9.5647532484601588E-2</v>
      </c>
    </row>
    <row r="88" spans="1:14" ht="15.5" x14ac:dyDescent="0.35">
      <c r="A88" s="21">
        <v>1.3333333333333299</v>
      </c>
      <c r="B88" s="5">
        <v>0.8</v>
      </c>
      <c r="C88">
        <v>8</v>
      </c>
      <c r="D88">
        <v>5</v>
      </c>
      <c r="F88">
        <f t="shared" si="19"/>
        <v>-1.0812500000000003</v>
      </c>
      <c r="G88">
        <f t="shared" si="20"/>
        <v>2.25</v>
      </c>
      <c r="H88">
        <f t="shared" si="21"/>
        <v>1.71875</v>
      </c>
      <c r="I88">
        <f t="shared" si="16"/>
        <v>1.1691015625000005</v>
      </c>
      <c r="J88">
        <f t="shared" si="17"/>
        <v>5.0625</v>
      </c>
      <c r="K88">
        <f t="shared" si="18"/>
        <v>2.9541015625</v>
      </c>
      <c r="L88">
        <f t="shared" si="22"/>
        <v>-6.226961210327199E-2</v>
      </c>
      <c r="M88">
        <f t="shared" si="23"/>
        <v>0.14523687548277814</v>
      </c>
      <c r="N88">
        <f t="shared" si="24"/>
        <v>0.22872236028926465</v>
      </c>
    </row>
    <row r="89" spans="1:14" ht="15.5" x14ac:dyDescent="0.35">
      <c r="A89" s="21">
        <v>1.4583333333333299</v>
      </c>
      <c r="B89" s="5">
        <v>4.3</v>
      </c>
      <c r="C89">
        <v>6</v>
      </c>
      <c r="D89">
        <v>5</v>
      </c>
      <c r="F89">
        <f t="shared" si="19"/>
        <v>2.4187499999999993</v>
      </c>
      <c r="G89">
        <f t="shared" si="20"/>
        <v>0.25</v>
      </c>
      <c r="H89">
        <f t="shared" si="21"/>
        <v>1.71875</v>
      </c>
      <c r="I89">
        <f t="shared" si="16"/>
        <v>5.8503515624999967</v>
      </c>
      <c r="J89">
        <f t="shared" si="17"/>
        <v>6.25E-2</v>
      </c>
      <c r="K89">
        <f t="shared" si="18"/>
        <v>2.9541015625</v>
      </c>
      <c r="L89">
        <f t="shared" si="22"/>
        <v>0.13929676233506502</v>
      </c>
      <c r="M89">
        <f t="shared" si="23"/>
        <v>1.6137430609197569E-2</v>
      </c>
      <c r="N89">
        <f t="shared" si="24"/>
        <v>0.22872236028926465</v>
      </c>
    </row>
    <row r="90" spans="1:14" ht="15.5" x14ac:dyDescent="0.35">
      <c r="A90" s="21">
        <v>1.5833333333333299</v>
      </c>
      <c r="B90" s="5">
        <v>3.5</v>
      </c>
      <c r="C90">
        <v>6</v>
      </c>
      <c r="D90">
        <v>6</v>
      </c>
      <c r="F90">
        <f t="shared" si="19"/>
        <v>1.6187499999999997</v>
      </c>
      <c r="G90">
        <f t="shared" si="20"/>
        <v>0.25</v>
      </c>
      <c r="H90">
        <f t="shared" si="21"/>
        <v>2.71875</v>
      </c>
      <c r="I90">
        <f t="shared" si="16"/>
        <v>2.6203515624999989</v>
      </c>
      <c r="J90">
        <f t="shared" si="17"/>
        <v>6.25E-2</v>
      </c>
      <c r="K90">
        <f t="shared" si="18"/>
        <v>7.3916015625</v>
      </c>
      <c r="L90">
        <f t="shared" si="22"/>
        <v>9.3224448177730859E-2</v>
      </c>
      <c r="M90">
        <f t="shared" si="23"/>
        <v>1.6137430609197569E-2</v>
      </c>
      <c r="N90">
        <f t="shared" si="24"/>
        <v>0.36179718809392775</v>
      </c>
    </row>
    <row r="91" spans="1:14" ht="15.5" x14ac:dyDescent="0.35">
      <c r="A91" s="21">
        <v>1.7083333333333299</v>
      </c>
      <c r="B91" s="5">
        <v>5.5</v>
      </c>
      <c r="C91">
        <v>6</v>
      </c>
      <c r="D91">
        <v>4</v>
      </c>
      <c r="F91">
        <f t="shared" si="19"/>
        <v>3.6187499999999995</v>
      </c>
      <c r="G91">
        <f t="shared" si="20"/>
        <v>0.25</v>
      </c>
      <c r="H91">
        <f t="shared" si="21"/>
        <v>0.71875</v>
      </c>
      <c r="I91">
        <f t="shared" si="16"/>
        <v>13.095351562499996</v>
      </c>
      <c r="J91">
        <f t="shared" si="17"/>
        <v>6.25E-2</v>
      </c>
      <c r="K91">
        <f t="shared" si="18"/>
        <v>0.5166015625</v>
      </c>
      <c r="L91">
        <f t="shared" si="22"/>
        <v>0.2084052335710663</v>
      </c>
      <c r="M91">
        <f t="shared" si="23"/>
        <v>1.6137430609197569E-2</v>
      </c>
      <c r="N91">
        <f t="shared" si="24"/>
        <v>9.5647532484601588E-2</v>
      </c>
    </row>
    <row r="92" spans="1:14" ht="15.5" x14ac:dyDescent="0.35">
      <c r="A92" s="21">
        <v>1.8333333333333299</v>
      </c>
      <c r="B92" s="5">
        <v>5.9</v>
      </c>
      <c r="C92">
        <v>6</v>
      </c>
      <c r="D92">
        <v>4</v>
      </c>
      <c r="F92">
        <f t="shared" si="19"/>
        <v>4.0187499999999998</v>
      </c>
      <c r="G92">
        <f t="shared" si="20"/>
        <v>0.25</v>
      </c>
      <c r="H92">
        <f t="shared" si="21"/>
        <v>0.71875</v>
      </c>
      <c r="I92">
        <f t="shared" si="16"/>
        <v>16.150351562499999</v>
      </c>
      <c r="J92">
        <f t="shared" si="17"/>
        <v>6.25E-2</v>
      </c>
      <c r="K92">
        <f t="shared" si="18"/>
        <v>0.5166015625</v>
      </c>
      <c r="L92">
        <f t="shared" si="22"/>
        <v>0.2314413906497334</v>
      </c>
      <c r="M92">
        <f t="shared" si="23"/>
        <v>1.6137430609197569E-2</v>
      </c>
      <c r="N92">
        <f t="shared" si="24"/>
        <v>9.5647532484601588E-2</v>
      </c>
    </row>
    <row r="93" spans="1:14" ht="15.5" x14ac:dyDescent="0.35">
      <c r="A93" s="21">
        <v>1.9583333333333299</v>
      </c>
      <c r="B93" s="5">
        <v>3.5</v>
      </c>
      <c r="C93">
        <v>6</v>
      </c>
      <c r="D93">
        <v>5</v>
      </c>
      <c r="F93">
        <f t="shared" si="19"/>
        <v>1.6187499999999997</v>
      </c>
      <c r="G93">
        <f t="shared" si="20"/>
        <v>0.25</v>
      </c>
      <c r="H93">
        <f t="shared" si="21"/>
        <v>1.71875</v>
      </c>
      <c r="I93">
        <f t="shared" si="16"/>
        <v>2.6203515624999989</v>
      </c>
      <c r="J93">
        <f t="shared" si="17"/>
        <v>6.25E-2</v>
      </c>
      <c r="K93">
        <f t="shared" si="18"/>
        <v>2.9541015625</v>
      </c>
      <c r="L93">
        <f t="shared" si="22"/>
        <v>9.3224448177730859E-2</v>
      </c>
      <c r="M93">
        <f t="shared" si="23"/>
        <v>1.6137430609197569E-2</v>
      </c>
      <c r="N93">
        <f t="shared" si="24"/>
        <v>0.22872236028926465</v>
      </c>
    </row>
    <row r="94" spans="1:14" ht="15.5" x14ac:dyDescent="0.35">
      <c r="A94" s="21">
        <v>2.0833333333333299</v>
      </c>
      <c r="B94" s="5">
        <v>1.6</v>
      </c>
      <c r="C94">
        <v>7</v>
      </c>
      <c r="D94">
        <v>5</v>
      </c>
      <c r="F94">
        <f t="shared" si="19"/>
        <v>-0.28125000000000022</v>
      </c>
      <c r="G94">
        <f t="shared" si="20"/>
        <v>1.25</v>
      </c>
      <c r="H94">
        <f t="shared" si="21"/>
        <v>1.71875</v>
      </c>
      <c r="I94">
        <f t="shared" si="16"/>
        <v>7.9101562500000125E-2</v>
      </c>
      <c r="J94">
        <f t="shared" si="17"/>
        <v>1.5625</v>
      </c>
      <c r="K94">
        <f t="shared" si="18"/>
        <v>2.9541015625</v>
      </c>
      <c r="L94">
        <f t="shared" si="22"/>
        <v>-1.619729794593781E-2</v>
      </c>
      <c r="M94">
        <f t="shared" si="23"/>
        <v>8.068715304598785E-2</v>
      </c>
      <c r="N94">
        <f t="shared" si="24"/>
        <v>0.22872236028926465</v>
      </c>
    </row>
    <row r="95" spans="1:14" ht="15.5" x14ac:dyDescent="0.35">
      <c r="A95" s="21">
        <v>2.2083333333333299</v>
      </c>
      <c r="B95" s="5">
        <v>-0.1</v>
      </c>
      <c r="C95">
        <v>7</v>
      </c>
      <c r="D95">
        <v>5</v>
      </c>
      <c r="F95">
        <f t="shared" si="19"/>
        <v>-1.9812500000000004</v>
      </c>
      <c r="G95">
        <f t="shared" si="20"/>
        <v>1.25</v>
      </c>
      <c r="H95">
        <f t="shared" si="21"/>
        <v>1.71875</v>
      </c>
      <c r="I95">
        <f t="shared" si="16"/>
        <v>3.9253515625000017</v>
      </c>
      <c r="J95">
        <f t="shared" si="17"/>
        <v>1.5625</v>
      </c>
      <c r="K95">
        <f t="shared" si="18"/>
        <v>2.9541015625</v>
      </c>
      <c r="L95">
        <f t="shared" si="22"/>
        <v>-0.11410096553027295</v>
      </c>
      <c r="M95">
        <f t="shared" si="23"/>
        <v>8.068715304598785E-2</v>
      </c>
      <c r="N95">
        <f t="shared" si="24"/>
        <v>0.22872236028926465</v>
      </c>
    </row>
    <row r="96" spans="1:14" ht="15.5" x14ac:dyDescent="0.35">
      <c r="A96" s="21">
        <v>2.3333333333333299</v>
      </c>
      <c r="B96" s="5">
        <v>-0.8</v>
      </c>
      <c r="C96">
        <v>7</v>
      </c>
      <c r="D96">
        <v>5</v>
      </c>
      <c r="F96">
        <f t="shared" si="19"/>
        <v>-2.6812500000000004</v>
      </c>
      <c r="G96">
        <f t="shared" si="20"/>
        <v>1.25</v>
      </c>
      <c r="H96">
        <f t="shared" si="21"/>
        <v>1.71875</v>
      </c>
      <c r="I96">
        <f t="shared" si="16"/>
        <v>7.1891015625000021</v>
      </c>
      <c r="J96">
        <f t="shared" si="17"/>
        <v>1.5625</v>
      </c>
      <c r="K96">
        <f t="shared" si="18"/>
        <v>2.9541015625</v>
      </c>
      <c r="L96">
        <f t="shared" si="22"/>
        <v>-0.15441424041794036</v>
      </c>
      <c r="M96">
        <f t="shared" si="23"/>
        <v>8.068715304598785E-2</v>
      </c>
      <c r="N96">
        <f t="shared" si="24"/>
        <v>0.22872236028926465</v>
      </c>
    </row>
    <row r="97" spans="1:14" ht="15.5" x14ac:dyDescent="0.35">
      <c r="A97" s="21">
        <v>2.4583333333333299</v>
      </c>
      <c r="B97" s="5">
        <v>1.7</v>
      </c>
      <c r="C97">
        <v>7</v>
      </c>
      <c r="D97">
        <v>4</v>
      </c>
      <c r="F97">
        <f t="shared" si="19"/>
        <v>-0.18125000000000036</v>
      </c>
      <c r="G97">
        <f t="shared" si="20"/>
        <v>1.25</v>
      </c>
      <c r="H97">
        <f t="shared" si="21"/>
        <v>0.71875</v>
      </c>
      <c r="I97">
        <f t="shared" si="16"/>
        <v>3.2851562500000125E-2</v>
      </c>
      <c r="J97">
        <f t="shared" si="17"/>
        <v>1.5625</v>
      </c>
      <c r="K97">
        <f t="shared" si="18"/>
        <v>0.5166015625</v>
      </c>
      <c r="L97">
        <f t="shared" si="22"/>
        <v>-1.0438258676271045E-2</v>
      </c>
      <c r="M97">
        <f t="shared" si="23"/>
        <v>8.068715304598785E-2</v>
      </c>
      <c r="N97">
        <f t="shared" si="24"/>
        <v>9.5647532484601588E-2</v>
      </c>
    </row>
    <row r="98" spans="1:14" ht="15.5" x14ac:dyDescent="0.35">
      <c r="A98" s="21">
        <v>2.5833333333333299</v>
      </c>
      <c r="B98" s="5">
        <v>4.2</v>
      </c>
      <c r="C98">
        <v>7</v>
      </c>
      <c r="D98">
        <v>3</v>
      </c>
      <c r="F98">
        <f t="shared" si="19"/>
        <v>2.3187499999999996</v>
      </c>
      <c r="G98">
        <f t="shared" si="20"/>
        <v>1.25</v>
      </c>
      <c r="H98">
        <f t="shared" si="21"/>
        <v>-0.28125</v>
      </c>
      <c r="I98">
        <f t="shared" si="16"/>
        <v>5.3766015624999985</v>
      </c>
      <c r="J98">
        <f t="shared" si="17"/>
        <v>1.5625</v>
      </c>
      <c r="K98">
        <f t="shared" si="18"/>
        <v>7.91015625E-2</v>
      </c>
      <c r="L98">
        <f t="shared" si="22"/>
        <v>0.13353772306539827</v>
      </c>
      <c r="M98">
        <f t="shared" si="23"/>
        <v>8.068715304598785E-2</v>
      </c>
      <c r="N98">
        <f t="shared" si="24"/>
        <v>-3.7427295320061491E-2</v>
      </c>
    </row>
    <row r="99" spans="1:14" ht="15.5" x14ac:dyDescent="0.35">
      <c r="A99" s="21">
        <v>2.7083333333333299</v>
      </c>
      <c r="B99" s="5">
        <v>5.0999999999999996</v>
      </c>
      <c r="C99">
        <v>6</v>
      </c>
      <c r="D99">
        <v>3</v>
      </c>
      <c r="F99">
        <f t="shared" si="19"/>
        <v>3.2187499999999991</v>
      </c>
      <c r="G99">
        <f t="shared" si="20"/>
        <v>0.25</v>
      </c>
      <c r="H99">
        <f t="shared" si="21"/>
        <v>-0.28125</v>
      </c>
      <c r="I99">
        <f t="shared" si="16"/>
        <v>10.360351562499995</v>
      </c>
      <c r="J99">
        <f t="shared" si="17"/>
        <v>6.25E-2</v>
      </c>
      <c r="K99">
        <f t="shared" si="18"/>
        <v>7.91015625E-2</v>
      </c>
      <c r="L99">
        <f t="shared" si="22"/>
        <v>0.1853690764923992</v>
      </c>
      <c r="M99">
        <f t="shared" si="23"/>
        <v>1.6137430609197569E-2</v>
      </c>
      <c r="N99">
        <f t="shared" si="24"/>
        <v>-3.7427295320061491E-2</v>
      </c>
    </row>
    <row r="100" spans="1:14" ht="15.5" x14ac:dyDescent="0.35">
      <c r="A100" s="21">
        <v>2.8333333333333299</v>
      </c>
      <c r="B100" s="5">
        <v>1.5</v>
      </c>
      <c r="C100">
        <v>6</v>
      </c>
      <c r="D100">
        <v>3</v>
      </c>
      <c r="F100">
        <f t="shared" si="19"/>
        <v>-0.38125000000000031</v>
      </c>
      <c r="G100">
        <f t="shared" si="20"/>
        <v>0.25</v>
      </c>
      <c r="H100">
        <f t="shared" si="21"/>
        <v>-0.28125</v>
      </c>
      <c r="I100">
        <f t="shared" si="16"/>
        <v>0.14535156250000023</v>
      </c>
      <c r="J100">
        <f t="shared" si="17"/>
        <v>6.25E-2</v>
      </c>
      <c r="K100">
        <f t="shared" si="18"/>
        <v>7.91015625E-2</v>
      </c>
      <c r="L100">
        <f t="shared" si="22"/>
        <v>-2.1956337215604589E-2</v>
      </c>
      <c r="M100">
        <f t="shared" si="23"/>
        <v>1.6137430609197569E-2</v>
      </c>
      <c r="N100">
        <f t="shared" si="24"/>
        <v>-3.7427295320061491E-2</v>
      </c>
    </row>
    <row r="101" spans="1:14" ht="15.5" x14ac:dyDescent="0.35">
      <c r="A101" s="21">
        <v>2.9583333333333299</v>
      </c>
      <c r="B101" s="5">
        <v>-1</v>
      </c>
      <c r="C101">
        <v>0</v>
      </c>
      <c r="D101">
        <v>3</v>
      </c>
      <c r="F101">
        <f t="shared" si="19"/>
        <v>-2.8812500000000005</v>
      </c>
      <c r="G101">
        <f t="shared" si="20"/>
        <v>-5.75</v>
      </c>
      <c r="H101">
        <f t="shared" si="21"/>
        <v>-0.28125</v>
      </c>
      <c r="I101">
        <f t="shared" si="16"/>
        <v>8.3016015625000037</v>
      </c>
      <c r="J101">
        <f t="shared" si="17"/>
        <v>33.0625</v>
      </c>
      <c r="K101">
        <f t="shared" si="18"/>
        <v>7.91015625E-2</v>
      </c>
      <c r="L101">
        <f t="shared" si="22"/>
        <v>-0.16593231895727392</v>
      </c>
      <c r="M101">
        <f t="shared" si="23"/>
        <v>-0.37116090401154411</v>
      </c>
      <c r="N101">
        <f t="shared" si="24"/>
        <v>-3.7427295320061491E-2</v>
      </c>
    </row>
    <row r="102" spans="1:14" ht="15.5" x14ac:dyDescent="0.35">
      <c r="A102" s="21">
        <v>3.0833333333333299</v>
      </c>
      <c r="B102" s="5">
        <v>-3.8</v>
      </c>
      <c r="C102">
        <v>0</v>
      </c>
      <c r="D102">
        <v>2</v>
      </c>
      <c r="F102">
        <f t="shared" si="19"/>
        <v>-5.6812500000000004</v>
      </c>
      <c r="G102">
        <f t="shared" si="20"/>
        <v>-5.75</v>
      </c>
      <c r="H102">
        <f t="shared" si="21"/>
        <v>-1.28125</v>
      </c>
      <c r="I102">
        <f t="shared" si="16"/>
        <v>32.276601562500005</v>
      </c>
      <c r="J102">
        <f t="shared" si="17"/>
        <v>33.0625</v>
      </c>
      <c r="K102">
        <f t="shared" si="18"/>
        <v>1.6416015625</v>
      </c>
      <c r="L102">
        <f t="shared" si="22"/>
        <v>-0.32718541850794353</v>
      </c>
      <c r="M102">
        <f t="shared" si="23"/>
        <v>-0.37116090401154411</v>
      </c>
      <c r="N102">
        <f t="shared" si="24"/>
        <v>-0.17050212312472457</v>
      </c>
    </row>
    <row r="103" spans="1:14" ht="15.5" x14ac:dyDescent="0.35">
      <c r="A103" s="21">
        <v>3.2083333333333299</v>
      </c>
      <c r="B103" s="5">
        <v>-4</v>
      </c>
      <c r="C103">
        <v>0</v>
      </c>
      <c r="D103">
        <v>2</v>
      </c>
      <c r="F103">
        <f t="shared" si="19"/>
        <v>-5.8812500000000005</v>
      </c>
      <c r="G103">
        <f t="shared" si="20"/>
        <v>-5.75</v>
      </c>
      <c r="H103">
        <f t="shared" si="21"/>
        <v>-1.28125</v>
      </c>
      <c r="I103">
        <f t="shared" si="16"/>
        <v>34.589101562500005</v>
      </c>
      <c r="J103">
        <f t="shared" si="17"/>
        <v>33.0625</v>
      </c>
      <c r="K103">
        <f t="shared" si="18"/>
        <v>1.6416015625</v>
      </c>
      <c r="L103">
        <f t="shared" si="22"/>
        <v>-0.33870349704727709</v>
      </c>
      <c r="M103">
        <f t="shared" si="23"/>
        <v>-0.37116090401154411</v>
      </c>
      <c r="N103">
        <f t="shared" si="24"/>
        <v>-0.17050212312472457</v>
      </c>
    </row>
    <row r="104" spans="1:14" ht="15.5" x14ac:dyDescent="0.35">
      <c r="A104" s="21">
        <v>3.3333333333333299</v>
      </c>
      <c r="B104" s="5">
        <v>-2.8</v>
      </c>
      <c r="C104">
        <v>8</v>
      </c>
      <c r="D104">
        <v>2</v>
      </c>
      <c r="F104">
        <f t="shared" si="19"/>
        <v>-4.6812500000000004</v>
      </c>
      <c r="G104">
        <f t="shared" si="20"/>
        <v>2.25</v>
      </c>
      <c r="H104">
        <f t="shared" si="21"/>
        <v>-1.28125</v>
      </c>
      <c r="I104">
        <f t="shared" si="16"/>
        <v>21.914101562500004</v>
      </c>
      <c r="J104">
        <f t="shared" si="17"/>
        <v>5.0625</v>
      </c>
      <c r="K104">
        <f t="shared" si="18"/>
        <v>1.6416015625</v>
      </c>
      <c r="L104">
        <f t="shared" si="22"/>
        <v>-0.26959502581127581</v>
      </c>
      <c r="M104">
        <f t="shared" si="23"/>
        <v>0.14523687548277814</v>
      </c>
      <c r="N104">
        <f t="shared" si="24"/>
        <v>-0.17050212312472457</v>
      </c>
    </row>
    <row r="105" spans="1:14" ht="15.5" x14ac:dyDescent="0.35">
      <c r="A105" s="21">
        <v>3.4583333333333299</v>
      </c>
      <c r="B105" s="5">
        <v>-2.9</v>
      </c>
      <c r="C105">
        <v>8</v>
      </c>
      <c r="D105">
        <v>4</v>
      </c>
      <c r="F105">
        <f t="shared" si="19"/>
        <v>-4.78125</v>
      </c>
      <c r="G105">
        <f t="shared" si="20"/>
        <v>2.25</v>
      </c>
      <c r="H105">
        <f t="shared" si="21"/>
        <v>0.71875</v>
      </c>
      <c r="I105">
        <f t="shared" si="16"/>
        <v>22.8603515625</v>
      </c>
      <c r="J105">
        <f t="shared" si="17"/>
        <v>5.0625</v>
      </c>
      <c r="K105">
        <f t="shared" si="18"/>
        <v>0.5166015625</v>
      </c>
      <c r="L105">
        <f t="shared" si="22"/>
        <v>-0.27535406508094257</v>
      </c>
      <c r="M105">
        <f t="shared" si="23"/>
        <v>0.14523687548277814</v>
      </c>
      <c r="N105">
        <f t="shared" si="24"/>
        <v>9.5647532484601588E-2</v>
      </c>
    </row>
    <row r="106" spans="1:14" ht="15.5" x14ac:dyDescent="0.35">
      <c r="A106" s="21">
        <v>3.5833333333333299</v>
      </c>
      <c r="B106" s="5">
        <v>-1.1000000000000001</v>
      </c>
      <c r="C106">
        <v>8</v>
      </c>
      <c r="D106">
        <v>4</v>
      </c>
      <c r="F106">
        <f t="shared" si="19"/>
        <v>-2.9812500000000002</v>
      </c>
      <c r="G106">
        <f t="shared" si="20"/>
        <v>2.25</v>
      </c>
      <c r="H106">
        <f t="shared" si="21"/>
        <v>0.71875</v>
      </c>
      <c r="I106">
        <f t="shared" si="16"/>
        <v>8.8878515625000016</v>
      </c>
      <c r="J106">
        <f t="shared" si="17"/>
        <v>5.0625</v>
      </c>
      <c r="K106">
        <f t="shared" si="18"/>
        <v>0.5166015625</v>
      </c>
      <c r="L106">
        <f t="shared" si="22"/>
        <v>-0.17169135822694068</v>
      </c>
      <c r="M106">
        <f t="shared" si="23"/>
        <v>0.14523687548277814</v>
      </c>
      <c r="N106">
        <f t="shared" si="24"/>
        <v>9.5647532484601588E-2</v>
      </c>
    </row>
    <row r="107" spans="1:14" ht="15.5" x14ac:dyDescent="0.35">
      <c r="A107" s="21">
        <v>3.7083333333333299</v>
      </c>
      <c r="B107" s="5">
        <v>1.2</v>
      </c>
      <c r="C107">
        <v>2</v>
      </c>
      <c r="D107">
        <v>3</v>
      </c>
      <c r="F107">
        <f t="shared" si="19"/>
        <v>-0.68125000000000036</v>
      </c>
      <c r="G107">
        <f t="shared" si="20"/>
        <v>-3.75</v>
      </c>
      <c r="H107">
        <f t="shared" si="21"/>
        <v>-0.28125</v>
      </c>
      <c r="I107">
        <f t="shared" si="16"/>
        <v>0.46410156250000051</v>
      </c>
      <c r="J107">
        <f t="shared" si="17"/>
        <v>14.0625</v>
      </c>
      <c r="K107">
        <f t="shared" si="18"/>
        <v>7.91015625E-2</v>
      </c>
      <c r="L107">
        <f t="shared" si="22"/>
        <v>-3.9233455024604909E-2</v>
      </c>
      <c r="M107">
        <f t="shared" si="23"/>
        <v>-0.24206145913796354</v>
      </c>
      <c r="N107">
        <f t="shared" si="24"/>
        <v>-3.7427295320061491E-2</v>
      </c>
    </row>
    <row r="108" spans="1:14" ht="15.5" x14ac:dyDescent="0.35">
      <c r="A108" s="21">
        <v>3.8333333333333299</v>
      </c>
      <c r="B108" s="5">
        <v>-1.4</v>
      </c>
      <c r="C108">
        <v>0</v>
      </c>
      <c r="D108">
        <v>3</v>
      </c>
      <c r="F108">
        <f t="shared" si="19"/>
        <v>-3.28125</v>
      </c>
      <c r="G108">
        <f t="shared" si="20"/>
        <v>-5.75</v>
      </c>
      <c r="H108">
        <f t="shared" si="21"/>
        <v>-0.28125</v>
      </c>
      <c r="I108">
        <f t="shared" si="16"/>
        <v>10.7666015625</v>
      </c>
      <c r="J108">
        <f t="shared" si="17"/>
        <v>33.0625</v>
      </c>
      <c r="K108">
        <f t="shared" si="18"/>
        <v>7.91015625E-2</v>
      </c>
      <c r="L108">
        <f t="shared" si="22"/>
        <v>-0.18896847603594097</v>
      </c>
      <c r="M108">
        <f t="shared" si="23"/>
        <v>-0.37116090401154411</v>
      </c>
      <c r="N108">
        <f t="shared" si="24"/>
        <v>-3.7427295320061491E-2</v>
      </c>
    </row>
    <row r="109" spans="1:14" ht="15.5" x14ac:dyDescent="0.35">
      <c r="A109" s="21">
        <v>3.9583333333333299</v>
      </c>
      <c r="B109" s="5">
        <v>-1.3</v>
      </c>
      <c r="C109">
        <v>0</v>
      </c>
      <c r="D109">
        <v>3</v>
      </c>
      <c r="F109">
        <f t="shared" si="19"/>
        <v>-3.1812500000000004</v>
      </c>
      <c r="G109">
        <f t="shared" si="20"/>
        <v>-5.75</v>
      </c>
      <c r="H109">
        <f t="shared" si="21"/>
        <v>-0.28125</v>
      </c>
      <c r="I109">
        <f t="shared" si="16"/>
        <v>10.120351562500002</v>
      </c>
      <c r="J109">
        <f t="shared" si="17"/>
        <v>33.0625</v>
      </c>
      <c r="K109">
        <f t="shared" si="18"/>
        <v>7.91015625E-2</v>
      </c>
      <c r="L109">
        <f t="shared" si="22"/>
        <v>-0.18320943676627421</v>
      </c>
      <c r="M109">
        <f t="shared" si="23"/>
        <v>-0.37116090401154411</v>
      </c>
      <c r="N109">
        <f t="shared" si="24"/>
        <v>-3.7427295320061491E-2</v>
      </c>
    </row>
    <row r="110" spans="1:14" x14ac:dyDescent="0.35">
      <c r="A110" t="s">
        <v>62</v>
      </c>
      <c r="B110">
        <f>AVERAGE(B78:B109)</f>
        <v>1.8812500000000003</v>
      </c>
      <c r="C110">
        <f t="shared" ref="C110" si="25">AVERAGE(C78:C109)</f>
        <v>5.75</v>
      </c>
      <c r="D110">
        <f t="shared" ref="D110" si="26">AVERAGE(D78:D109)</f>
        <v>3.28125</v>
      </c>
      <c r="I110">
        <f>SUM(I78:I109)</f>
        <v>301.50874999999991</v>
      </c>
      <c r="J110">
        <f t="shared" ref="J110" si="27">SUM(J78:J109)</f>
        <v>240</v>
      </c>
      <c r="K110">
        <f t="shared" ref="K110" si="28">SUM(K78:K109)</f>
        <v>56.46875</v>
      </c>
    </row>
    <row r="112" spans="1:14" x14ac:dyDescent="0.35">
      <c r="A112" s="7" t="s">
        <v>75</v>
      </c>
      <c r="B112">
        <f>I110/32</f>
        <v>9.4221484374999971</v>
      </c>
      <c r="D112" s="7" t="s">
        <v>79</v>
      </c>
      <c r="E112">
        <f>(32*B112)^0.5</f>
        <v>17.364007313981411</v>
      </c>
    </row>
    <row r="113" spans="1:36" x14ac:dyDescent="0.35">
      <c r="A113" s="7" t="s">
        <v>76</v>
      </c>
      <c r="B113">
        <f>J110/32</f>
        <v>7.5</v>
      </c>
      <c r="D113" s="7" t="s">
        <v>80</v>
      </c>
      <c r="E113">
        <f>(32*B113)^0.5</f>
        <v>15.491933384829668</v>
      </c>
    </row>
    <row r="114" spans="1:36" x14ac:dyDescent="0.35">
      <c r="A114" s="7" t="s">
        <v>77</v>
      </c>
      <c r="B114">
        <f>K110/32</f>
        <v>1.7646484375</v>
      </c>
      <c r="D114" s="7" t="s">
        <v>81</v>
      </c>
      <c r="E114">
        <f t="shared" ref="E114" si="29">(32*B114)^0.5</f>
        <v>7.5145691825945686</v>
      </c>
    </row>
    <row r="116" spans="1:36" x14ac:dyDescent="0.35">
      <c r="A116" s="7" t="s">
        <v>83</v>
      </c>
      <c r="E116" s="7" t="s">
        <v>84</v>
      </c>
    </row>
    <row r="117" spans="1:36" x14ac:dyDescent="0.35">
      <c r="A117">
        <v>-1.0438258676271045E-2</v>
      </c>
      <c r="B117">
        <v>0.14523687548277814</v>
      </c>
      <c r="C117">
        <v>-0.17050212312472457</v>
      </c>
      <c r="E117">
        <f t="array" ref="E117:AJ119">TRANSPOSE(A117:C148)</f>
        <v>-1.0438258676271045E-2</v>
      </c>
      <c r="F117">
        <v>4.1393094750729914E-2</v>
      </c>
      <c r="G117">
        <v>-2.7715376485271365E-2</v>
      </c>
      <c r="H117">
        <v>0.14505580160473183</v>
      </c>
      <c r="I117">
        <v>0.2717546655374008</v>
      </c>
      <c r="J117">
        <v>0.30054986188573463</v>
      </c>
      <c r="K117">
        <v>0.13353772306539827</v>
      </c>
      <c r="L117">
        <v>0.10474252671706442</v>
      </c>
      <c r="M117">
        <v>0.2314413906497334</v>
      </c>
      <c r="N117">
        <v>6.4429251829397002E-2</v>
      </c>
      <c r="O117">
        <v>-6.226961210327199E-2</v>
      </c>
      <c r="P117">
        <v>0.13929676233506502</v>
      </c>
      <c r="Q117">
        <v>9.3224448177730859E-2</v>
      </c>
      <c r="R117">
        <v>0.2084052335710663</v>
      </c>
      <c r="S117">
        <v>0.2314413906497334</v>
      </c>
      <c r="T117">
        <v>9.3224448177730859E-2</v>
      </c>
      <c r="U117">
        <v>-1.619729794593781E-2</v>
      </c>
      <c r="V117">
        <v>-0.11410096553027295</v>
      </c>
      <c r="W117">
        <v>-0.15441424041794036</v>
      </c>
      <c r="X117">
        <v>-1.0438258676271045E-2</v>
      </c>
      <c r="Y117">
        <v>0.13353772306539827</v>
      </c>
      <c r="Z117">
        <v>0.1853690764923992</v>
      </c>
      <c r="AA117">
        <v>-2.1956337215604589E-2</v>
      </c>
      <c r="AB117">
        <v>-0.16593231895727392</v>
      </c>
      <c r="AC117">
        <v>-0.32718541850794353</v>
      </c>
      <c r="AD117">
        <v>-0.33870349704727709</v>
      </c>
      <c r="AE117">
        <v>-0.26959502581127581</v>
      </c>
      <c r="AF117">
        <v>-0.27535406508094257</v>
      </c>
      <c r="AG117">
        <v>-0.17169135822694068</v>
      </c>
      <c r="AH117">
        <v>-3.9233455024604909E-2</v>
      </c>
      <c r="AI117">
        <v>-0.18896847603594097</v>
      </c>
      <c r="AJ117">
        <v>-0.18320943676627421</v>
      </c>
    </row>
    <row r="118" spans="1:36" x14ac:dyDescent="0.35">
      <c r="A118">
        <v>4.1393094750729914E-2</v>
      </c>
      <c r="B118">
        <v>0.14523687548277814</v>
      </c>
      <c r="C118">
        <v>-0.30357695092938763</v>
      </c>
      <c r="E118">
        <v>0.14523687548277814</v>
      </c>
      <c r="F118">
        <v>0.14523687548277814</v>
      </c>
      <c r="G118">
        <v>0.14523687548277814</v>
      </c>
      <c r="H118">
        <v>1.6137430609197569E-2</v>
      </c>
      <c r="I118">
        <v>0.14523687548277814</v>
      </c>
      <c r="J118">
        <v>1.6137430609197569E-2</v>
      </c>
      <c r="K118">
        <v>8.068715304598785E-2</v>
      </c>
      <c r="L118">
        <v>0.14523687548277814</v>
      </c>
      <c r="M118">
        <v>0.14523687548277814</v>
      </c>
      <c r="N118">
        <v>1.6137430609197569E-2</v>
      </c>
      <c r="O118">
        <v>0.14523687548277814</v>
      </c>
      <c r="P118">
        <v>1.6137430609197569E-2</v>
      </c>
      <c r="Q118">
        <v>1.6137430609197569E-2</v>
      </c>
      <c r="R118">
        <v>1.6137430609197569E-2</v>
      </c>
      <c r="S118">
        <v>1.6137430609197569E-2</v>
      </c>
      <c r="T118">
        <v>1.6137430609197569E-2</v>
      </c>
      <c r="U118">
        <v>8.068715304598785E-2</v>
      </c>
      <c r="V118">
        <v>8.068715304598785E-2</v>
      </c>
      <c r="W118">
        <v>8.068715304598785E-2</v>
      </c>
      <c r="X118">
        <v>8.068715304598785E-2</v>
      </c>
      <c r="Y118">
        <v>8.068715304598785E-2</v>
      </c>
      <c r="Z118">
        <v>1.6137430609197569E-2</v>
      </c>
      <c r="AA118">
        <v>1.6137430609197569E-2</v>
      </c>
      <c r="AB118">
        <v>-0.37116090401154411</v>
      </c>
      <c r="AC118">
        <v>-0.37116090401154411</v>
      </c>
      <c r="AD118">
        <v>-0.37116090401154411</v>
      </c>
      <c r="AE118">
        <v>0.14523687548277814</v>
      </c>
      <c r="AF118">
        <v>0.14523687548277814</v>
      </c>
      <c r="AG118">
        <v>0.14523687548277814</v>
      </c>
      <c r="AH118">
        <v>-0.24206145913796354</v>
      </c>
      <c r="AI118">
        <v>-0.37116090401154411</v>
      </c>
      <c r="AJ118">
        <v>-0.37116090401154411</v>
      </c>
    </row>
    <row r="119" spans="1:36" x14ac:dyDescent="0.35">
      <c r="A119">
        <v>-2.7715376485271365E-2</v>
      </c>
      <c r="B119">
        <v>0.14523687548277814</v>
      </c>
      <c r="C119">
        <v>-0.17050212312472457</v>
      </c>
      <c r="E119">
        <v>-0.17050212312472457</v>
      </c>
      <c r="F119">
        <v>-0.30357695092938763</v>
      </c>
      <c r="G119">
        <v>-0.17050212312472457</v>
      </c>
      <c r="H119">
        <v>-0.30357695092938763</v>
      </c>
      <c r="I119">
        <v>-0.17050212312472457</v>
      </c>
      <c r="J119">
        <v>-0.17050212312472457</v>
      </c>
      <c r="K119">
        <v>-3.7427295320061491E-2</v>
      </c>
      <c r="L119">
        <v>9.5647532484601588E-2</v>
      </c>
      <c r="M119">
        <v>-0.30357695092938763</v>
      </c>
      <c r="N119">
        <v>9.5647532484601588E-2</v>
      </c>
      <c r="O119">
        <v>0.22872236028926465</v>
      </c>
      <c r="P119">
        <v>0.22872236028926465</v>
      </c>
      <c r="Q119">
        <v>0.36179718809392775</v>
      </c>
      <c r="R119">
        <v>9.5647532484601588E-2</v>
      </c>
      <c r="S119">
        <v>9.5647532484601588E-2</v>
      </c>
      <c r="T119">
        <v>0.22872236028926465</v>
      </c>
      <c r="U119">
        <v>0.22872236028926465</v>
      </c>
      <c r="V119">
        <v>0.22872236028926465</v>
      </c>
      <c r="W119">
        <v>0.22872236028926465</v>
      </c>
      <c r="X119">
        <v>9.5647532484601588E-2</v>
      </c>
      <c r="Y119">
        <v>-3.7427295320061491E-2</v>
      </c>
      <c r="Z119">
        <v>-3.7427295320061491E-2</v>
      </c>
      <c r="AA119">
        <v>-3.7427295320061491E-2</v>
      </c>
      <c r="AB119">
        <v>-3.7427295320061491E-2</v>
      </c>
      <c r="AC119">
        <v>-0.17050212312472457</v>
      </c>
      <c r="AD119">
        <v>-0.17050212312472457</v>
      </c>
      <c r="AE119">
        <v>-0.17050212312472457</v>
      </c>
      <c r="AF119">
        <v>9.5647532484601588E-2</v>
      </c>
      <c r="AG119">
        <v>9.5647532484601588E-2</v>
      </c>
      <c r="AH119">
        <v>-3.7427295320061491E-2</v>
      </c>
      <c r="AI119">
        <v>-3.7427295320061491E-2</v>
      </c>
      <c r="AJ119">
        <v>-3.7427295320061491E-2</v>
      </c>
    </row>
    <row r="120" spans="1:36" x14ac:dyDescent="0.35">
      <c r="A120">
        <v>0.14505580160473183</v>
      </c>
      <c r="B120">
        <v>1.6137430609197569E-2</v>
      </c>
      <c r="C120">
        <v>-0.30357695092938763</v>
      </c>
    </row>
    <row r="121" spans="1:36" x14ac:dyDescent="0.35">
      <c r="A121">
        <v>0.2717546655374008</v>
      </c>
      <c r="B121">
        <v>0.14523687548277814</v>
      </c>
      <c r="C121">
        <v>-0.17050212312472457</v>
      </c>
      <c r="E121" t="s">
        <v>85</v>
      </c>
    </row>
    <row r="122" spans="1:36" x14ac:dyDescent="0.35">
      <c r="A122">
        <v>0.30054986188573463</v>
      </c>
      <c r="B122">
        <v>1.6137430609197569E-2</v>
      </c>
      <c r="C122">
        <v>-0.17050212312472457</v>
      </c>
      <c r="E122">
        <f t="array" ref="E122:G124">MMULT(E117:AJ119,A117:C148)</f>
        <v>1</v>
      </c>
      <c r="F122">
        <v>0.45297053477913074</v>
      </c>
      <c r="G122">
        <v>-3.0894821102476447E-2</v>
      </c>
    </row>
    <row r="123" spans="1:36" x14ac:dyDescent="0.35">
      <c r="A123">
        <v>0.13353772306539827</v>
      </c>
      <c r="B123">
        <v>8.068715304598785E-2</v>
      </c>
      <c r="C123">
        <v>-3.7427295320061491E-2</v>
      </c>
      <c r="E123">
        <v>0.45297053477913074</v>
      </c>
      <c r="F123">
        <v>1</v>
      </c>
      <c r="G123">
        <v>0.13099663377124862</v>
      </c>
    </row>
    <row r="124" spans="1:36" x14ac:dyDescent="0.35">
      <c r="A124">
        <v>0.10474252671706442</v>
      </c>
      <c r="B124">
        <v>0.14523687548277814</v>
      </c>
      <c r="C124">
        <v>9.5647532484601588E-2</v>
      </c>
      <c r="E124">
        <v>-3.0894821102476447E-2</v>
      </c>
      <c r="F124">
        <v>0.13099663377124862</v>
      </c>
      <c r="G124">
        <v>0.99999999999999989</v>
      </c>
    </row>
    <row r="125" spans="1:36" x14ac:dyDescent="0.35">
      <c r="A125">
        <v>0.2314413906497334</v>
      </c>
      <c r="B125">
        <v>0.14523687548277814</v>
      </c>
      <c r="C125">
        <v>-0.30357695092938763</v>
      </c>
    </row>
    <row r="126" spans="1:36" x14ac:dyDescent="0.35">
      <c r="A126">
        <v>6.4429251829397002E-2</v>
      </c>
      <c r="B126">
        <v>1.6137430609197569E-2</v>
      </c>
      <c r="C126">
        <v>9.5647532484601588E-2</v>
      </c>
      <c r="E126" t="s">
        <v>86</v>
      </c>
      <c r="F126">
        <f>MDETERM(E122:G124)</f>
        <v>0.77303663657573873</v>
      </c>
    </row>
    <row r="127" spans="1:36" x14ac:dyDescent="0.35">
      <c r="A127">
        <v>-6.226961210327199E-2</v>
      </c>
      <c r="B127">
        <v>0.14523687548277814</v>
      </c>
      <c r="C127">
        <v>0.22872236028926465</v>
      </c>
      <c r="E127" s="7" t="s">
        <v>87</v>
      </c>
      <c r="F127">
        <f>-(31-(6+5)/6)*LN(F126)</f>
        <v>7.5083410560200896</v>
      </c>
    </row>
    <row r="128" spans="1:36" x14ac:dyDescent="0.35">
      <c r="A128">
        <v>0.13929676233506502</v>
      </c>
      <c r="B128">
        <v>1.6137430609197569E-2</v>
      </c>
      <c r="C128">
        <v>0.22872236028926465</v>
      </c>
      <c r="E128" s="7" t="s">
        <v>88</v>
      </c>
      <c r="F128">
        <f>11.3</f>
        <v>11.3</v>
      </c>
    </row>
    <row r="129" spans="1:11" x14ac:dyDescent="0.35">
      <c r="A129">
        <v>9.3224448177730859E-2</v>
      </c>
      <c r="B129">
        <v>1.6137430609197569E-2</v>
      </c>
      <c r="C129">
        <v>0.36179718809392775</v>
      </c>
    </row>
    <row r="130" spans="1:11" x14ac:dyDescent="0.35">
      <c r="A130">
        <v>0.2084052335710663</v>
      </c>
      <c r="B130">
        <v>1.6137430609197569E-2</v>
      </c>
      <c r="C130">
        <v>9.5647532484601588E-2</v>
      </c>
      <c r="E130" t="s">
        <v>89</v>
      </c>
    </row>
    <row r="131" spans="1:11" x14ac:dyDescent="0.35">
      <c r="A131">
        <v>0.2314413906497334</v>
      </c>
      <c r="B131">
        <v>1.6137430609197569E-2</v>
      </c>
      <c r="C131">
        <v>9.5647532484601588E-2</v>
      </c>
      <c r="E131">
        <f t="array" ref="E131:G133">MINVERSE(E122:G124)</f>
        <v>1.2714014258033253</v>
      </c>
      <c r="F131">
        <v>-0.59119792092770163</v>
      </c>
      <c r="G131">
        <v>0.11672465713371698</v>
      </c>
    </row>
    <row r="132" spans="1:11" x14ac:dyDescent="0.35">
      <c r="A132">
        <v>9.3224448177730859E-2</v>
      </c>
      <c r="B132">
        <v>1.6137430609197569E-2</v>
      </c>
      <c r="C132">
        <v>0.22872236028926465</v>
      </c>
      <c r="E132">
        <v>-0.59119792092770174</v>
      </c>
      <c r="F132">
        <v>1.2923650222510039</v>
      </c>
      <c r="G132">
        <v>-0.18756042152180374</v>
      </c>
    </row>
    <row r="133" spans="1:11" x14ac:dyDescent="0.35">
      <c r="A133">
        <v>-1.619729794593781E-2</v>
      </c>
      <c r="B133">
        <v>8.068715304598785E-2</v>
      </c>
      <c r="C133">
        <v>0.22872236028926465</v>
      </c>
      <c r="E133">
        <v>0.11672465713371698</v>
      </c>
      <c r="F133">
        <v>-0.18756042152180374</v>
      </c>
      <c r="G133">
        <v>1.028175971248467</v>
      </c>
    </row>
    <row r="134" spans="1:11" x14ac:dyDescent="0.35">
      <c r="A134">
        <v>-0.11410096553027295</v>
      </c>
      <c r="B134">
        <v>8.068715304598785E-2</v>
      </c>
      <c r="C134">
        <v>0.22872236028926465</v>
      </c>
    </row>
    <row r="135" spans="1:11" x14ac:dyDescent="0.35">
      <c r="A135">
        <v>-0.15441424041794036</v>
      </c>
      <c r="B135">
        <v>8.068715304598785E-2</v>
      </c>
      <c r="C135">
        <v>0.22872236028926465</v>
      </c>
      <c r="E135" t="s">
        <v>90</v>
      </c>
      <c r="F135">
        <f>(E131-1)*((32-3)/(3-1))</f>
        <v>3.9353206741482163</v>
      </c>
      <c r="G135" t="s">
        <v>94</v>
      </c>
      <c r="H135">
        <v>19.45</v>
      </c>
      <c r="I135">
        <f>FINV(0.05,29,2)</f>
        <v>19.461263317877933</v>
      </c>
    </row>
    <row r="136" spans="1:11" x14ac:dyDescent="0.35">
      <c r="A136">
        <v>-1.0438258676271045E-2</v>
      </c>
      <c r="B136">
        <v>8.068715304598785E-2</v>
      </c>
      <c r="C136">
        <v>9.5647532484601588E-2</v>
      </c>
      <c r="E136" t="s">
        <v>91</v>
      </c>
      <c r="F136">
        <f>(F132-1)*((32-3)/(3-1))</f>
        <v>4.2392928226395572</v>
      </c>
    </row>
    <row r="137" spans="1:11" x14ac:dyDescent="0.35">
      <c r="A137">
        <v>0.13353772306539827</v>
      </c>
      <c r="B137">
        <v>8.068715304598785E-2</v>
      </c>
      <c r="C137">
        <v>-3.7427295320061491E-2</v>
      </c>
      <c r="E137" t="s">
        <v>92</v>
      </c>
      <c r="F137">
        <f>(G133-1)*((32-3)/(3-1))</f>
        <v>0.40855158310277218</v>
      </c>
    </row>
    <row r="138" spans="1:11" x14ac:dyDescent="0.35">
      <c r="A138">
        <v>0.1853690764923992</v>
      </c>
      <c r="B138">
        <v>1.6137430609197569E-2</v>
      </c>
      <c r="C138">
        <v>-3.7427295320061491E-2</v>
      </c>
    </row>
    <row r="139" spans="1:11" x14ac:dyDescent="0.35">
      <c r="A139">
        <v>-2.1956337215604589E-2</v>
      </c>
      <c r="B139">
        <v>1.6137430609197569E-2</v>
      </c>
      <c r="C139">
        <v>-3.7427295320061491E-2</v>
      </c>
    </row>
    <row r="140" spans="1:11" x14ac:dyDescent="0.35">
      <c r="A140">
        <v>-0.16593231895727392</v>
      </c>
      <c r="B140">
        <v>-0.37116090401154411</v>
      </c>
      <c r="C140">
        <v>-3.7427295320061491E-2</v>
      </c>
    </row>
    <row r="141" spans="1:11" x14ac:dyDescent="0.35">
      <c r="A141">
        <v>-0.32718541850794353</v>
      </c>
      <c r="B141">
        <v>-0.37116090401154411</v>
      </c>
      <c r="C141">
        <v>-0.17050212312472457</v>
      </c>
      <c r="E141" t="s">
        <v>95</v>
      </c>
      <c r="F141">
        <f>-(F131)/(E131*F132)^0.5</f>
        <v>0.46121025297861962</v>
      </c>
      <c r="H141" t="s">
        <v>101</v>
      </c>
      <c r="I141">
        <f>(ABS(F141)*(32-4)^0.5)/(1-F141^2)^0.5</f>
        <v>2.7505019187438324</v>
      </c>
      <c r="J141" t="s">
        <v>107</v>
      </c>
      <c r="K141">
        <f>TINV(0.05,29)</f>
        <v>2.0452296421327048</v>
      </c>
    </row>
    <row r="142" spans="1:11" x14ac:dyDescent="0.35">
      <c r="A142">
        <v>-0.33870349704727709</v>
      </c>
      <c r="B142">
        <v>-0.37116090401154411</v>
      </c>
      <c r="C142">
        <v>-0.17050212312472457</v>
      </c>
      <c r="E142" t="s">
        <v>96</v>
      </c>
      <c r="F142">
        <f>-(G131)/(E131*G133)^0.5</f>
        <v>-0.10209101809602934</v>
      </c>
      <c r="H142" t="s">
        <v>102</v>
      </c>
      <c r="I142">
        <f t="shared" ref="I142:I144" si="30">(ABS(F142)*(32-4)^0.5)/(1-F142^2)^0.5</f>
        <v>0.54305230456022913</v>
      </c>
    </row>
    <row r="143" spans="1:11" x14ac:dyDescent="0.35">
      <c r="A143">
        <v>-0.26959502581127581</v>
      </c>
      <c r="B143">
        <v>0.14523687548277814</v>
      </c>
      <c r="C143">
        <v>-0.17050212312472457</v>
      </c>
      <c r="H143" t="s">
        <v>103</v>
      </c>
      <c r="I143" s="23">
        <f t="shared" si="30"/>
        <v>0</v>
      </c>
    </row>
    <row r="144" spans="1:11" x14ac:dyDescent="0.35">
      <c r="A144">
        <v>-0.27535406508094257</v>
      </c>
      <c r="B144">
        <v>0.14523687548277814</v>
      </c>
      <c r="C144">
        <v>9.5647532484601588E-2</v>
      </c>
      <c r="E144" t="s">
        <v>97</v>
      </c>
      <c r="F144">
        <f>-(G132)/(F132*G133)^0.5</f>
        <v>0.16271023689525602</v>
      </c>
      <c r="H144" t="s">
        <v>104</v>
      </c>
      <c r="I144">
        <f t="shared" si="30"/>
        <v>0.87261013784791608</v>
      </c>
    </row>
    <row r="145" spans="1:14" x14ac:dyDescent="0.35">
      <c r="A145">
        <v>-0.17169135822694068</v>
      </c>
      <c r="B145">
        <v>0.14523687548277814</v>
      </c>
      <c r="C145">
        <v>9.5647532484601588E-2</v>
      </c>
    </row>
    <row r="146" spans="1:14" x14ac:dyDescent="0.35">
      <c r="A146">
        <v>-3.9233455024604909E-2</v>
      </c>
      <c r="B146">
        <v>-0.24206145913796354</v>
      </c>
      <c r="C146">
        <v>-3.7427295320061491E-2</v>
      </c>
    </row>
    <row r="147" spans="1:14" x14ac:dyDescent="0.35">
      <c r="A147">
        <v>-0.18896847603594097</v>
      </c>
      <c r="B147">
        <v>-0.37116090401154411</v>
      </c>
      <c r="C147">
        <v>-3.7427295320061491E-2</v>
      </c>
    </row>
    <row r="148" spans="1:14" x14ac:dyDescent="0.35">
      <c r="A148">
        <v>-0.18320943676627421</v>
      </c>
      <c r="B148">
        <v>-0.37116090401154411</v>
      </c>
      <c r="C148">
        <v>-3.7427295320061491E-2</v>
      </c>
    </row>
    <row r="150" spans="1:14" x14ac:dyDescent="0.35">
      <c r="A150" t="s">
        <v>108</v>
      </c>
    </row>
    <row r="151" spans="1:14" ht="29.5" thickBot="1" x14ac:dyDescent="0.4">
      <c r="A151" s="20" t="s">
        <v>109</v>
      </c>
      <c r="B151" t="s">
        <v>110</v>
      </c>
      <c r="C151" s="36" t="s">
        <v>111</v>
      </c>
      <c r="D151" t="s">
        <v>112</v>
      </c>
      <c r="E151" t="s">
        <v>113</v>
      </c>
      <c r="F151" t="s">
        <v>114</v>
      </c>
      <c r="G151" t="s">
        <v>115</v>
      </c>
      <c r="H151" t="s">
        <v>116</v>
      </c>
      <c r="K151" s="3" t="s">
        <v>12</v>
      </c>
      <c r="L151" s="35" t="s">
        <v>52</v>
      </c>
      <c r="M151" s="33" t="s">
        <v>56</v>
      </c>
      <c r="N151" s="35" t="s">
        <v>53</v>
      </c>
    </row>
    <row r="152" spans="1:14" ht="15.5" x14ac:dyDescent="0.35">
      <c r="A152" s="5">
        <v>1.7</v>
      </c>
      <c r="B152">
        <v>8</v>
      </c>
      <c r="C152">
        <v>2</v>
      </c>
      <c r="D152">
        <f>B152^2</f>
        <v>64</v>
      </c>
      <c r="E152">
        <f>C152^2</f>
        <v>4</v>
      </c>
      <c r="F152">
        <f>B152*C152</f>
        <v>16</v>
      </c>
      <c r="G152">
        <f>A152*B152</f>
        <v>13.6</v>
      </c>
      <c r="H152">
        <f>A152*C152</f>
        <v>3.4</v>
      </c>
      <c r="K152" s="21">
        <v>8.3333333333333329E-2</v>
      </c>
      <c r="L152" s="24">
        <v>-2.1</v>
      </c>
      <c r="M152" s="24">
        <f>-0.419+0.512*C109-0.212*D109</f>
        <v>-1.0549999999999999</v>
      </c>
      <c r="N152" s="24">
        <f>(ABS(M152-L152)/ABS(L152))*100</f>
        <v>49.761904761904766</v>
      </c>
    </row>
    <row r="153" spans="1:14" ht="15.5" x14ac:dyDescent="0.35">
      <c r="A153" s="5">
        <v>2.6</v>
      </c>
      <c r="B153">
        <v>8</v>
      </c>
      <c r="C153">
        <v>1</v>
      </c>
      <c r="D153">
        <f t="shared" ref="D153:D183" si="31">B153^2</f>
        <v>64</v>
      </c>
      <c r="E153">
        <f t="shared" ref="E153:E183" si="32">C153^2</f>
        <v>1</v>
      </c>
      <c r="F153">
        <f t="shared" ref="F153:F183" si="33">B153*C153</f>
        <v>8</v>
      </c>
      <c r="G153">
        <f t="shared" ref="G153:G183" si="34">A153*B153</f>
        <v>20.8</v>
      </c>
      <c r="H153">
        <f t="shared" ref="H153:H183" si="35">A153*C153</f>
        <v>2.6</v>
      </c>
      <c r="K153" s="37">
        <v>0.20833333333333334</v>
      </c>
      <c r="L153" s="38">
        <v>-1.7</v>
      </c>
      <c r="M153" s="38">
        <f>-0.419+0.512*C109-0.212*2</f>
        <v>-0.84299999999999997</v>
      </c>
      <c r="N153" s="38">
        <f t="shared" ref="N153" si="36">(ABS(M153-L153)/ABS(L153))*100</f>
        <v>50.411764705882355</v>
      </c>
    </row>
    <row r="154" spans="1:14" ht="15.5" x14ac:dyDescent="0.35">
      <c r="A154" s="5">
        <v>1.4</v>
      </c>
      <c r="B154">
        <v>8</v>
      </c>
      <c r="C154">
        <v>2</v>
      </c>
      <c r="D154">
        <f t="shared" si="31"/>
        <v>64</v>
      </c>
      <c r="E154">
        <f t="shared" si="32"/>
        <v>4</v>
      </c>
      <c r="F154">
        <f t="shared" si="33"/>
        <v>16</v>
      </c>
      <c r="G154">
        <f t="shared" si="34"/>
        <v>11.2</v>
      </c>
      <c r="H154">
        <f t="shared" si="35"/>
        <v>2.8</v>
      </c>
      <c r="K154" s="39"/>
      <c r="L154" s="40"/>
      <c r="M154" s="40"/>
      <c r="N154" s="40"/>
    </row>
    <row r="155" spans="1:14" x14ac:dyDescent="0.35">
      <c r="A155" s="5">
        <v>4.4000000000000004</v>
      </c>
      <c r="B155">
        <v>6</v>
      </c>
      <c r="C155">
        <v>1</v>
      </c>
      <c r="D155">
        <f t="shared" si="31"/>
        <v>36</v>
      </c>
      <c r="E155">
        <f t="shared" si="32"/>
        <v>1</v>
      </c>
      <c r="F155">
        <f t="shared" si="33"/>
        <v>6</v>
      </c>
      <c r="G155">
        <f t="shared" si="34"/>
        <v>26.400000000000002</v>
      </c>
      <c r="H155">
        <f t="shared" si="35"/>
        <v>4.4000000000000004</v>
      </c>
    </row>
    <row r="156" spans="1:14" x14ac:dyDescent="0.35">
      <c r="A156" s="5">
        <v>6.6</v>
      </c>
      <c r="B156">
        <v>8</v>
      </c>
      <c r="C156">
        <v>2</v>
      </c>
      <c r="D156">
        <f t="shared" si="31"/>
        <v>64</v>
      </c>
      <c r="E156">
        <f t="shared" si="32"/>
        <v>4</v>
      </c>
      <c r="F156">
        <f t="shared" si="33"/>
        <v>16</v>
      </c>
      <c r="G156">
        <f t="shared" si="34"/>
        <v>52.8</v>
      </c>
      <c r="H156">
        <f t="shared" si="35"/>
        <v>13.2</v>
      </c>
    </row>
    <row r="157" spans="1:14" x14ac:dyDescent="0.35">
      <c r="A157" s="5">
        <v>7.1</v>
      </c>
      <c r="B157">
        <v>6</v>
      </c>
      <c r="C157">
        <v>2</v>
      </c>
      <c r="D157">
        <f t="shared" si="31"/>
        <v>36</v>
      </c>
      <c r="E157">
        <f t="shared" si="32"/>
        <v>4</v>
      </c>
      <c r="F157">
        <f t="shared" si="33"/>
        <v>12</v>
      </c>
      <c r="G157">
        <f t="shared" si="34"/>
        <v>42.599999999999994</v>
      </c>
      <c r="H157">
        <f t="shared" si="35"/>
        <v>14.2</v>
      </c>
    </row>
    <row r="158" spans="1:14" x14ac:dyDescent="0.35">
      <c r="A158" s="5">
        <v>4.2</v>
      </c>
      <c r="B158">
        <v>7</v>
      </c>
      <c r="C158">
        <v>3</v>
      </c>
      <c r="D158">
        <f t="shared" si="31"/>
        <v>49</v>
      </c>
      <c r="E158">
        <f t="shared" si="32"/>
        <v>9</v>
      </c>
      <c r="F158">
        <f t="shared" si="33"/>
        <v>21</v>
      </c>
      <c r="G158">
        <f t="shared" si="34"/>
        <v>29.400000000000002</v>
      </c>
      <c r="H158">
        <f t="shared" si="35"/>
        <v>12.600000000000001</v>
      </c>
    </row>
    <row r="159" spans="1:14" x14ac:dyDescent="0.35">
      <c r="A159" s="5">
        <v>3.7</v>
      </c>
      <c r="B159">
        <v>8</v>
      </c>
      <c r="C159">
        <v>4</v>
      </c>
      <c r="D159">
        <f t="shared" si="31"/>
        <v>64</v>
      </c>
      <c r="E159">
        <f t="shared" si="32"/>
        <v>16</v>
      </c>
      <c r="F159">
        <f t="shared" si="33"/>
        <v>32</v>
      </c>
      <c r="G159">
        <f t="shared" si="34"/>
        <v>29.6</v>
      </c>
      <c r="H159">
        <f t="shared" si="35"/>
        <v>14.8</v>
      </c>
    </row>
    <row r="160" spans="1:14" x14ac:dyDescent="0.35">
      <c r="A160" s="5">
        <v>5.9</v>
      </c>
      <c r="B160">
        <v>8</v>
      </c>
      <c r="C160">
        <v>1</v>
      </c>
      <c r="D160">
        <f t="shared" si="31"/>
        <v>64</v>
      </c>
      <c r="E160">
        <f t="shared" si="32"/>
        <v>1</v>
      </c>
      <c r="F160">
        <f t="shared" si="33"/>
        <v>8</v>
      </c>
      <c r="G160">
        <f t="shared" si="34"/>
        <v>47.2</v>
      </c>
      <c r="H160">
        <f t="shared" si="35"/>
        <v>5.9</v>
      </c>
    </row>
    <row r="161" spans="1:8" x14ac:dyDescent="0.35">
      <c r="A161" s="5">
        <v>3</v>
      </c>
      <c r="B161">
        <v>6</v>
      </c>
      <c r="C161">
        <v>4</v>
      </c>
      <c r="D161">
        <f t="shared" si="31"/>
        <v>36</v>
      </c>
      <c r="E161">
        <f t="shared" si="32"/>
        <v>16</v>
      </c>
      <c r="F161">
        <f t="shared" si="33"/>
        <v>24</v>
      </c>
      <c r="G161">
        <f t="shared" si="34"/>
        <v>18</v>
      </c>
      <c r="H161">
        <f t="shared" si="35"/>
        <v>12</v>
      </c>
    </row>
    <row r="162" spans="1:8" x14ac:dyDescent="0.35">
      <c r="A162" s="5">
        <v>0.8</v>
      </c>
      <c r="B162">
        <v>8</v>
      </c>
      <c r="C162">
        <v>5</v>
      </c>
      <c r="D162">
        <f t="shared" si="31"/>
        <v>64</v>
      </c>
      <c r="E162">
        <f t="shared" si="32"/>
        <v>25</v>
      </c>
      <c r="F162">
        <f t="shared" si="33"/>
        <v>40</v>
      </c>
      <c r="G162">
        <f t="shared" si="34"/>
        <v>6.4</v>
      </c>
      <c r="H162">
        <f t="shared" si="35"/>
        <v>4</v>
      </c>
    </row>
    <row r="163" spans="1:8" x14ac:dyDescent="0.35">
      <c r="A163" s="5">
        <v>4.3</v>
      </c>
      <c r="B163">
        <v>6</v>
      </c>
      <c r="C163">
        <v>5</v>
      </c>
      <c r="D163">
        <f t="shared" si="31"/>
        <v>36</v>
      </c>
      <c r="E163">
        <f t="shared" si="32"/>
        <v>25</v>
      </c>
      <c r="F163">
        <f t="shared" si="33"/>
        <v>30</v>
      </c>
      <c r="G163">
        <f t="shared" si="34"/>
        <v>25.799999999999997</v>
      </c>
      <c r="H163">
        <f t="shared" si="35"/>
        <v>21.5</v>
      </c>
    </row>
    <row r="164" spans="1:8" x14ac:dyDescent="0.35">
      <c r="A164" s="5">
        <v>3.5</v>
      </c>
      <c r="B164">
        <v>6</v>
      </c>
      <c r="C164">
        <v>6</v>
      </c>
      <c r="D164">
        <f t="shared" si="31"/>
        <v>36</v>
      </c>
      <c r="E164">
        <f t="shared" si="32"/>
        <v>36</v>
      </c>
      <c r="F164">
        <f t="shared" si="33"/>
        <v>36</v>
      </c>
      <c r="G164">
        <f t="shared" si="34"/>
        <v>21</v>
      </c>
      <c r="H164">
        <f t="shared" si="35"/>
        <v>21</v>
      </c>
    </row>
    <row r="165" spans="1:8" x14ac:dyDescent="0.35">
      <c r="A165" s="5">
        <v>5.5</v>
      </c>
      <c r="B165">
        <v>6</v>
      </c>
      <c r="C165">
        <v>4</v>
      </c>
      <c r="D165">
        <f t="shared" si="31"/>
        <v>36</v>
      </c>
      <c r="E165">
        <f t="shared" si="32"/>
        <v>16</v>
      </c>
      <c r="F165">
        <f t="shared" si="33"/>
        <v>24</v>
      </c>
      <c r="G165">
        <f t="shared" si="34"/>
        <v>33</v>
      </c>
      <c r="H165">
        <f t="shared" si="35"/>
        <v>22</v>
      </c>
    </row>
    <row r="166" spans="1:8" x14ac:dyDescent="0.35">
      <c r="A166" s="5">
        <v>5.9</v>
      </c>
      <c r="B166">
        <v>6</v>
      </c>
      <c r="C166">
        <v>4</v>
      </c>
      <c r="D166">
        <f t="shared" si="31"/>
        <v>36</v>
      </c>
      <c r="E166">
        <f t="shared" si="32"/>
        <v>16</v>
      </c>
      <c r="F166">
        <f t="shared" si="33"/>
        <v>24</v>
      </c>
      <c r="G166">
        <f t="shared" si="34"/>
        <v>35.400000000000006</v>
      </c>
      <c r="H166">
        <f t="shared" si="35"/>
        <v>23.6</v>
      </c>
    </row>
    <row r="167" spans="1:8" x14ac:dyDescent="0.35">
      <c r="A167" s="5">
        <v>3.5</v>
      </c>
      <c r="B167">
        <v>6</v>
      </c>
      <c r="C167">
        <v>5</v>
      </c>
      <c r="D167">
        <f t="shared" si="31"/>
        <v>36</v>
      </c>
      <c r="E167">
        <f t="shared" si="32"/>
        <v>25</v>
      </c>
      <c r="F167">
        <f t="shared" si="33"/>
        <v>30</v>
      </c>
      <c r="G167">
        <f t="shared" si="34"/>
        <v>21</v>
      </c>
      <c r="H167">
        <f t="shared" si="35"/>
        <v>17.5</v>
      </c>
    </row>
    <row r="168" spans="1:8" x14ac:dyDescent="0.35">
      <c r="A168" s="5">
        <v>1.6</v>
      </c>
      <c r="B168">
        <v>7</v>
      </c>
      <c r="C168">
        <v>5</v>
      </c>
      <c r="D168">
        <f t="shared" si="31"/>
        <v>49</v>
      </c>
      <c r="E168">
        <f t="shared" si="32"/>
        <v>25</v>
      </c>
      <c r="F168">
        <f t="shared" si="33"/>
        <v>35</v>
      </c>
      <c r="G168">
        <f t="shared" si="34"/>
        <v>11.200000000000001</v>
      </c>
      <c r="H168">
        <f t="shared" si="35"/>
        <v>8</v>
      </c>
    </row>
    <row r="169" spans="1:8" x14ac:dyDescent="0.35">
      <c r="A169" s="5">
        <v>-0.1</v>
      </c>
      <c r="B169">
        <v>7</v>
      </c>
      <c r="C169">
        <v>5</v>
      </c>
      <c r="D169">
        <f t="shared" si="31"/>
        <v>49</v>
      </c>
      <c r="E169">
        <f t="shared" si="32"/>
        <v>25</v>
      </c>
      <c r="F169">
        <f t="shared" si="33"/>
        <v>35</v>
      </c>
      <c r="G169">
        <f t="shared" si="34"/>
        <v>-0.70000000000000007</v>
      </c>
      <c r="H169">
        <f t="shared" si="35"/>
        <v>-0.5</v>
      </c>
    </row>
    <row r="170" spans="1:8" x14ac:dyDescent="0.35">
      <c r="A170" s="5">
        <v>-0.8</v>
      </c>
      <c r="B170">
        <v>7</v>
      </c>
      <c r="C170">
        <v>5</v>
      </c>
      <c r="D170">
        <f t="shared" si="31"/>
        <v>49</v>
      </c>
      <c r="E170">
        <f t="shared" si="32"/>
        <v>25</v>
      </c>
      <c r="F170">
        <f t="shared" si="33"/>
        <v>35</v>
      </c>
      <c r="G170">
        <f t="shared" si="34"/>
        <v>-5.6000000000000005</v>
      </c>
      <c r="H170">
        <f t="shared" si="35"/>
        <v>-4</v>
      </c>
    </row>
    <row r="171" spans="1:8" x14ac:dyDescent="0.35">
      <c r="A171" s="5">
        <v>1.7</v>
      </c>
      <c r="B171">
        <v>7</v>
      </c>
      <c r="C171">
        <v>4</v>
      </c>
      <c r="D171">
        <f t="shared" si="31"/>
        <v>49</v>
      </c>
      <c r="E171">
        <f t="shared" si="32"/>
        <v>16</v>
      </c>
      <c r="F171">
        <f t="shared" si="33"/>
        <v>28</v>
      </c>
      <c r="G171">
        <f t="shared" si="34"/>
        <v>11.9</v>
      </c>
      <c r="H171">
        <f t="shared" si="35"/>
        <v>6.8</v>
      </c>
    </row>
    <row r="172" spans="1:8" x14ac:dyDescent="0.35">
      <c r="A172" s="5">
        <v>4.2</v>
      </c>
      <c r="B172">
        <v>7</v>
      </c>
      <c r="C172">
        <v>3</v>
      </c>
      <c r="D172">
        <f t="shared" si="31"/>
        <v>49</v>
      </c>
      <c r="E172">
        <f t="shared" si="32"/>
        <v>9</v>
      </c>
      <c r="F172">
        <f t="shared" si="33"/>
        <v>21</v>
      </c>
      <c r="G172">
        <f t="shared" si="34"/>
        <v>29.400000000000002</v>
      </c>
      <c r="H172">
        <f t="shared" si="35"/>
        <v>12.600000000000001</v>
      </c>
    </row>
    <row r="173" spans="1:8" x14ac:dyDescent="0.35">
      <c r="A173" s="5">
        <v>5.0999999999999996</v>
      </c>
      <c r="B173">
        <v>6</v>
      </c>
      <c r="C173">
        <v>3</v>
      </c>
      <c r="D173">
        <f t="shared" si="31"/>
        <v>36</v>
      </c>
      <c r="E173">
        <f t="shared" si="32"/>
        <v>9</v>
      </c>
      <c r="F173">
        <f t="shared" si="33"/>
        <v>18</v>
      </c>
      <c r="G173">
        <f t="shared" si="34"/>
        <v>30.599999999999998</v>
      </c>
      <c r="H173">
        <f t="shared" si="35"/>
        <v>15.299999999999999</v>
      </c>
    </row>
    <row r="174" spans="1:8" x14ac:dyDescent="0.35">
      <c r="A174" s="5">
        <v>1.5</v>
      </c>
      <c r="B174">
        <v>6</v>
      </c>
      <c r="C174">
        <v>3</v>
      </c>
      <c r="D174">
        <f t="shared" si="31"/>
        <v>36</v>
      </c>
      <c r="E174">
        <f t="shared" si="32"/>
        <v>9</v>
      </c>
      <c r="F174">
        <f t="shared" si="33"/>
        <v>18</v>
      </c>
      <c r="G174">
        <f t="shared" si="34"/>
        <v>9</v>
      </c>
      <c r="H174">
        <f t="shared" si="35"/>
        <v>4.5</v>
      </c>
    </row>
    <row r="175" spans="1:8" x14ac:dyDescent="0.35">
      <c r="A175" s="5">
        <v>-1</v>
      </c>
      <c r="B175">
        <v>0</v>
      </c>
      <c r="C175">
        <v>3</v>
      </c>
      <c r="D175">
        <f t="shared" si="31"/>
        <v>0</v>
      </c>
      <c r="E175">
        <f t="shared" si="32"/>
        <v>9</v>
      </c>
      <c r="F175">
        <f t="shared" si="33"/>
        <v>0</v>
      </c>
      <c r="G175">
        <f t="shared" si="34"/>
        <v>0</v>
      </c>
      <c r="H175">
        <f t="shared" si="35"/>
        <v>-3</v>
      </c>
    </row>
    <row r="176" spans="1:8" x14ac:dyDescent="0.35">
      <c r="A176" s="5">
        <v>-3.8</v>
      </c>
      <c r="B176">
        <v>0</v>
      </c>
      <c r="C176">
        <v>2</v>
      </c>
      <c r="D176">
        <f t="shared" si="31"/>
        <v>0</v>
      </c>
      <c r="E176">
        <f t="shared" si="32"/>
        <v>4</v>
      </c>
      <c r="F176">
        <f t="shared" si="33"/>
        <v>0</v>
      </c>
      <c r="G176">
        <f t="shared" si="34"/>
        <v>0</v>
      </c>
      <c r="H176">
        <f t="shared" si="35"/>
        <v>-7.6</v>
      </c>
    </row>
    <row r="177" spans="1:14" x14ac:dyDescent="0.35">
      <c r="A177" s="5">
        <v>-4</v>
      </c>
      <c r="B177">
        <v>0</v>
      </c>
      <c r="C177">
        <v>2</v>
      </c>
      <c r="D177">
        <f t="shared" si="31"/>
        <v>0</v>
      </c>
      <c r="E177">
        <f t="shared" si="32"/>
        <v>4</v>
      </c>
      <c r="F177">
        <f t="shared" si="33"/>
        <v>0</v>
      </c>
      <c r="G177">
        <f t="shared" si="34"/>
        <v>0</v>
      </c>
      <c r="H177">
        <f t="shared" si="35"/>
        <v>-8</v>
      </c>
    </row>
    <row r="178" spans="1:14" x14ac:dyDescent="0.35">
      <c r="A178" s="5">
        <v>-2.8</v>
      </c>
      <c r="B178">
        <v>8</v>
      </c>
      <c r="C178">
        <v>2</v>
      </c>
      <c r="D178">
        <f t="shared" si="31"/>
        <v>64</v>
      </c>
      <c r="E178">
        <f t="shared" si="32"/>
        <v>4</v>
      </c>
      <c r="F178">
        <f t="shared" si="33"/>
        <v>16</v>
      </c>
      <c r="G178">
        <f t="shared" si="34"/>
        <v>-22.4</v>
      </c>
      <c r="H178">
        <f t="shared" si="35"/>
        <v>-5.6</v>
      </c>
    </row>
    <row r="179" spans="1:14" x14ac:dyDescent="0.35">
      <c r="A179" s="5">
        <v>-2.9</v>
      </c>
      <c r="B179">
        <v>8</v>
      </c>
      <c r="C179">
        <v>4</v>
      </c>
      <c r="D179">
        <f t="shared" si="31"/>
        <v>64</v>
      </c>
      <c r="E179">
        <f t="shared" si="32"/>
        <v>16</v>
      </c>
      <c r="F179">
        <f t="shared" si="33"/>
        <v>32</v>
      </c>
      <c r="G179">
        <f t="shared" si="34"/>
        <v>-23.2</v>
      </c>
      <c r="H179">
        <f t="shared" si="35"/>
        <v>-11.6</v>
      </c>
    </row>
    <row r="180" spans="1:14" x14ac:dyDescent="0.35">
      <c r="A180" s="5">
        <v>-1.1000000000000001</v>
      </c>
      <c r="B180">
        <v>8</v>
      </c>
      <c r="C180">
        <v>4</v>
      </c>
      <c r="D180">
        <f t="shared" si="31"/>
        <v>64</v>
      </c>
      <c r="E180">
        <f t="shared" si="32"/>
        <v>16</v>
      </c>
      <c r="F180">
        <f t="shared" si="33"/>
        <v>32</v>
      </c>
      <c r="G180">
        <f t="shared" si="34"/>
        <v>-8.8000000000000007</v>
      </c>
      <c r="H180">
        <f t="shared" si="35"/>
        <v>-4.4000000000000004</v>
      </c>
    </row>
    <row r="181" spans="1:14" x14ac:dyDescent="0.35">
      <c r="A181" s="5">
        <v>1.2</v>
      </c>
      <c r="B181">
        <v>2</v>
      </c>
      <c r="C181">
        <v>3</v>
      </c>
      <c r="D181">
        <f t="shared" si="31"/>
        <v>4</v>
      </c>
      <c r="E181">
        <f t="shared" si="32"/>
        <v>9</v>
      </c>
      <c r="F181">
        <f t="shared" si="33"/>
        <v>6</v>
      </c>
      <c r="G181">
        <f t="shared" si="34"/>
        <v>2.4</v>
      </c>
      <c r="H181">
        <f t="shared" si="35"/>
        <v>3.5999999999999996</v>
      </c>
    </row>
    <row r="182" spans="1:14" x14ac:dyDescent="0.35">
      <c r="A182" s="5">
        <v>-1.4</v>
      </c>
      <c r="B182">
        <v>0</v>
      </c>
      <c r="C182">
        <v>3</v>
      </c>
      <c r="D182">
        <f t="shared" si="31"/>
        <v>0</v>
      </c>
      <c r="E182">
        <f t="shared" si="32"/>
        <v>9</v>
      </c>
      <c r="F182">
        <f t="shared" si="33"/>
        <v>0</v>
      </c>
      <c r="G182">
        <f t="shared" si="34"/>
        <v>0</v>
      </c>
      <c r="H182">
        <f t="shared" si="35"/>
        <v>-4.1999999999999993</v>
      </c>
    </row>
    <row r="183" spans="1:14" x14ac:dyDescent="0.35">
      <c r="A183" s="5">
        <v>-1.3</v>
      </c>
      <c r="B183">
        <v>0</v>
      </c>
      <c r="C183">
        <v>3</v>
      </c>
      <c r="D183">
        <f t="shared" si="31"/>
        <v>0</v>
      </c>
      <c r="E183">
        <f t="shared" si="32"/>
        <v>9</v>
      </c>
      <c r="F183">
        <f t="shared" si="33"/>
        <v>0</v>
      </c>
      <c r="G183">
        <f t="shared" si="34"/>
        <v>0</v>
      </c>
      <c r="H183">
        <f t="shared" si="35"/>
        <v>-3.9000000000000004</v>
      </c>
    </row>
    <row r="184" spans="1:14" x14ac:dyDescent="0.35">
      <c r="A184" s="23">
        <f>SUM(A152:A183)</f>
        <v>60.20000000000001</v>
      </c>
      <c r="B184" s="23">
        <f t="shared" ref="B184:H184" si="37">SUM(B152:B183)</f>
        <v>184</v>
      </c>
      <c r="C184" s="23">
        <f t="shared" si="37"/>
        <v>105</v>
      </c>
      <c r="D184" s="23">
        <f t="shared" si="37"/>
        <v>1298</v>
      </c>
      <c r="E184" s="23">
        <f t="shared" si="37"/>
        <v>401</v>
      </c>
      <c r="F184" s="23">
        <f t="shared" si="37"/>
        <v>619</v>
      </c>
      <c r="G184" s="23">
        <f t="shared" si="37"/>
        <v>467.99999999999989</v>
      </c>
      <c r="H184" s="23">
        <f t="shared" si="37"/>
        <v>193.50000000000003</v>
      </c>
    </row>
    <row r="185" spans="1:14" x14ac:dyDescent="0.35">
      <c r="B185">
        <v>-0.41899999999999998</v>
      </c>
    </row>
    <row r="186" spans="1:14" x14ac:dyDescent="0.35">
      <c r="A186" t="s">
        <v>117</v>
      </c>
      <c r="B186">
        <v>0.51200000000000001</v>
      </c>
    </row>
    <row r="187" spans="1:14" x14ac:dyDescent="0.35">
      <c r="B187">
        <v>-0.21199999999999999</v>
      </c>
    </row>
    <row r="188" spans="1:14" x14ac:dyDescent="0.35">
      <c r="A188" t="s">
        <v>118</v>
      </c>
    </row>
    <row r="190" spans="1:14" ht="42.5" thickBot="1" x14ac:dyDescent="0.4">
      <c r="A190" s="3" t="s">
        <v>12</v>
      </c>
      <c r="B190" s="20" t="s">
        <v>13</v>
      </c>
      <c r="C190" t="s">
        <v>123</v>
      </c>
      <c r="D190" s="36" t="s">
        <v>60</v>
      </c>
      <c r="F190" t="s">
        <v>63</v>
      </c>
      <c r="G190" t="s">
        <v>64</v>
      </c>
      <c r="H190" t="s">
        <v>65</v>
      </c>
      <c r="I190" t="s">
        <v>66</v>
      </c>
      <c r="J190" t="s">
        <v>67</v>
      </c>
      <c r="K190" t="s">
        <v>68</v>
      </c>
      <c r="L190" t="s">
        <v>69</v>
      </c>
      <c r="M190" t="s">
        <v>70</v>
      </c>
      <c r="N190" t="s">
        <v>71</v>
      </c>
    </row>
    <row r="191" spans="1:14" ht="15.5" x14ac:dyDescent="0.35">
      <c r="A191" s="21">
        <v>8.3333333333333329E-2</v>
      </c>
      <c r="B191" s="5">
        <v>1.7</v>
      </c>
      <c r="C191">
        <v>2.2999999999999998</v>
      </c>
      <c r="D191">
        <v>2</v>
      </c>
      <c r="F191">
        <f>B191-$B$110</f>
        <v>-0.18125000000000036</v>
      </c>
      <c r="G191">
        <f>C191-$C$223</f>
        <v>0.17187499999999956</v>
      </c>
      <c r="H191">
        <f>D191-$D$110</f>
        <v>-1.28125</v>
      </c>
      <c r="I191">
        <f t="shared" ref="I191:I222" si="38">F191^2</f>
        <v>3.2851562500000125E-2</v>
      </c>
      <c r="J191">
        <f>G191^2</f>
        <v>2.9541015624999847E-2</v>
      </c>
      <c r="K191">
        <f t="shared" ref="K191:K222" si="39">H191^2</f>
        <v>1.6416015625</v>
      </c>
      <c r="L191">
        <f>F191/$E$112</f>
        <v>-1.0438258676271045E-2</v>
      </c>
      <c r="M191">
        <f>G191/$E$226</f>
        <v>1.6154015902644345E-2</v>
      </c>
      <c r="N191">
        <f>H191/$E$114</f>
        <v>-0.17050212312472457</v>
      </c>
    </row>
    <row r="192" spans="1:14" ht="15.5" x14ac:dyDescent="0.35">
      <c r="A192" s="21">
        <v>0.20833333333333334</v>
      </c>
      <c r="B192" s="5">
        <v>2.6</v>
      </c>
      <c r="C192">
        <v>2.2999999999999998</v>
      </c>
      <c r="D192">
        <v>1</v>
      </c>
      <c r="F192">
        <f t="shared" ref="F192:F222" si="40">B192-$B$110</f>
        <v>0.71874999999999978</v>
      </c>
      <c r="G192">
        <f t="shared" ref="G192:G222" si="41">C192-$C$223</f>
        <v>0.17187499999999956</v>
      </c>
      <c r="H192">
        <f t="shared" ref="H192:H222" si="42">D192-$D$110</f>
        <v>-2.28125</v>
      </c>
      <c r="I192">
        <f t="shared" si="38"/>
        <v>0.51660156249999967</v>
      </c>
      <c r="J192">
        <f t="shared" ref="J192:J222" si="43">G192^2</f>
        <v>2.9541015624999847E-2</v>
      </c>
      <c r="K192">
        <f t="shared" si="39"/>
        <v>5.2041015625</v>
      </c>
      <c r="L192">
        <f t="shared" ref="L192:L222" si="44">F192/$E$112</f>
        <v>4.1393094750729914E-2</v>
      </c>
      <c r="M192">
        <f t="shared" ref="M192:M222" si="45">G192/$E$226</f>
        <v>1.6154015902644345E-2</v>
      </c>
      <c r="N192">
        <f t="shared" ref="N192:N222" si="46">H192/$E$114</f>
        <v>-0.30357695092938763</v>
      </c>
    </row>
    <row r="193" spans="1:14" ht="15.5" x14ac:dyDescent="0.35">
      <c r="A193" s="21">
        <v>0.33333333333333331</v>
      </c>
      <c r="B193" s="5">
        <v>1.4</v>
      </c>
      <c r="C193">
        <v>-1.5</v>
      </c>
      <c r="D193">
        <v>2</v>
      </c>
      <c r="F193">
        <f t="shared" si="40"/>
        <v>-0.4812500000000004</v>
      </c>
      <c r="G193">
        <f t="shared" si="41"/>
        <v>-3.6281250000000003</v>
      </c>
      <c r="H193">
        <f t="shared" si="42"/>
        <v>-1.28125</v>
      </c>
      <c r="I193">
        <f t="shared" si="38"/>
        <v>0.23160156250000039</v>
      </c>
      <c r="J193">
        <f t="shared" si="43"/>
        <v>13.163291015625003</v>
      </c>
      <c r="K193">
        <f t="shared" si="39"/>
        <v>1.6416015625</v>
      </c>
      <c r="L193">
        <f t="shared" si="44"/>
        <v>-2.7715376485271365E-2</v>
      </c>
      <c r="M193">
        <f t="shared" si="45"/>
        <v>-0.34099659023582063</v>
      </c>
      <c r="N193">
        <f t="shared" si="46"/>
        <v>-0.17050212312472457</v>
      </c>
    </row>
    <row r="194" spans="1:14" ht="15.5" x14ac:dyDescent="0.35">
      <c r="A194" s="21">
        <v>0.45833333333333331</v>
      </c>
      <c r="B194" s="5">
        <v>4.4000000000000004</v>
      </c>
      <c r="C194">
        <v>2.7</v>
      </c>
      <c r="D194">
        <v>1</v>
      </c>
      <c r="F194">
        <f t="shared" si="40"/>
        <v>2.5187499999999998</v>
      </c>
      <c r="G194">
        <f t="shared" si="41"/>
        <v>0.57187499999999991</v>
      </c>
      <c r="H194">
        <f t="shared" si="42"/>
        <v>-2.28125</v>
      </c>
      <c r="I194">
        <f t="shared" si="38"/>
        <v>6.3441015624999988</v>
      </c>
      <c r="J194">
        <f t="shared" si="43"/>
        <v>0.32704101562499988</v>
      </c>
      <c r="K194">
        <f t="shared" si="39"/>
        <v>5.2041015625</v>
      </c>
      <c r="L194">
        <f t="shared" si="44"/>
        <v>0.14505580160473183</v>
      </c>
      <c r="M194">
        <f t="shared" si="45"/>
        <v>5.3748816548798581E-2</v>
      </c>
      <c r="N194">
        <f t="shared" si="46"/>
        <v>-0.30357695092938763</v>
      </c>
    </row>
    <row r="195" spans="1:14" ht="15.5" x14ac:dyDescent="0.35">
      <c r="A195" s="21">
        <v>0.58333333333333337</v>
      </c>
      <c r="B195" s="5">
        <v>6.6</v>
      </c>
      <c r="C195">
        <v>3.1</v>
      </c>
      <c r="D195">
        <v>2</v>
      </c>
      <c r="F195">
        <f t="shared" si="40"/>
        <v>4.7187499999999991</v>
      </c>
      <c r="G195">
        <f t="shared" si="41"/>
        <v>0.97187499999999982</v>
      </c>
      <c r="H195">
        <f t="shared" si="42"/>
        <v>-1.28125</v>
      </c>
      <c r="I195">
        <f t="shared" si="38"/>
        <v>22.266601562499993</v>
      </c>
      <c r="J195">
        <f t="shared" si="43"/>
        <v>0.9445410156249997</v>
      </c>
      <c r="K195">
        <f t="shared" si="39"/>
        <v>1.6416015625</v>
      </c>
      <c r="L195">
        <f t="shared" si="44"/>
        <v>0.2717546655374008</v>
      </c>
      <c r="M195">
        <f t="shared" si="45"/>
        <v>9.1343617194952778E-2</v>
      </c>
      <c r="N195">
        <f t="shared" si="46"/>
        <v>-0.17050212312472457</v>
      </c>
    </row>
    <row r="196" spans="1:14" ht="15.5" x14ac:dyDescent="0.35">
      <c r="A196" s="21">
        <v>0.70833333333333337</v>
      </c>
      <c r="B196" s="5">
        <v>7.1</v>
      </c>
      <c r="C196">
        <v>3.8</v>
      </c>
      <c r="D196">
        <v>2</v>
      </c>
      <c r="F196">
        <f t="shared" si="40"/>
        <v>5.2187499999999991</v>
      </c>
      <c r="G196">
        <f t="shared" si="41"/>
        <v>1.6718749999999996</v>
      </c>
      <c r="H196">
        <f t="shared" si="42"/>
        <v>-1.28125</v>
      </c>
      <c r="I196">
        <f t="shared" si="38"/>
        <v>27.235351562499989</v>
      </c>
      <c r="J196">
        <f t="shared" si="43"/>
        <v>2.7951660156249987</v>
      </c>
      <c r="K196">
        <f t="shared" si="39"/>
        <v>1.6416015625</v>
      </c>
      <c r="L196">
        <f t="shared" si="44"/>
        <v>0.30054986188573463</v>
      </c>
      <c r="M196">
        <f t="shared" si="45"/>
        <v>0.15713451832572262</v>
      </c>
      <c r="N196">
        <f t="shared" si="46"/>
        <v>-0.17050212312472457</v>
      </c>
    </row>
    <row r="197" spans="1:14" ht="15.5" x14ac:dyDescent="0.35">
      <c r="A197" s="21">
        <v>0.83333333333333337</v>
      </c>
      <c r="B197" s="5">
        <v>4.2</v>
      </c>
      <c r="C197">
        <v>5.3</v>
      </c>
      <c r="D197">
        <v>3</v>
      </c>
      <c r="F197">
        <f t="shared" si="40"/>
        <v>2.3187499999999996</v>
      </c>
      <c r="G197">
        <f t="shared" si="41"/>
        <v>3.1718749999999996</v>
      </c>
      <c r="H197">
        <f t="shared" si="42"/>
        <v>-0.28125</v>
      </c>
      <c r="I197">
        <f t="shared" si="38"/>
        <v>5.3766015624999985</v>
      </c>
      <c r="J197">
        <f t="shared" si="43"/>
        <v>10.060791015624996</v>
      </c>
      <c r="K197">
        <f t="shared" si="39"/>
        <v>7.91015625E-2</v>
      </c>
      <c r="L197">
        <f t="shared" si="44"/>
        <v>0.13353772306539827</v>
      </c>
      <c r="M197">
        <f t="shared" si="45"/>
        <v>0.29811502074880092</v>
      </c>
      <c r="N197">
        <f t="shared" si="46"/>
        <v>-3.7427295320061491E-2</v>
      </c>
    </row>
    <row r="198" spans="1:14" ht="15.5" x14ac:dyDescent="0.35">
      <c r="A198" s="21">
        <v>0.95833333333333337</v>
      </c>
      <c r="B198" s="5">
        <v>3.7</v>
      </c>
      <c r="C198">
        <v>5.0999999999999996</v>
      </c>
      <c r="D198">
        <v>4</v>
      </c>
      <c r="F198">
        <f t="shared" si="40"/>
        <v>1.8187499999999999</v>
      </c>
      <c r="G198">
        <f t="shared" si="41"/>
        <v>2.9718749999999994</v>
      </c>
      <c r="H198">
        <f t="shared" si="42"/>
        <v>0.71875</v>
      </c>
      <c r="I198">
        <f t="shared" si="38"/>
        <v>3.3078515624999993</v>
      </c>
      <c r="J198">
        <f t="shared" si="43"/>
        <v>8.8320410156249967</v>
      </c>
      <c r="K198">
        <f t="shared" si="39"/>
        <v>0.5166015625</v>
      </c>
      <c r="L198">
        <f t="shared" si="44"/>
        <v>0.10474252671706442</v>
      </c>
      <c r="M198">
        <f t="shared" si="45"/>
        <v>0.27931762042572378</v>
      </c>
      <c r="N198">
        <f t="shared" si="46"/>
        <v>9.5647532484601588E-2</v>
      </c>
    </row>
    <row r="199" spans="1:14" ht="15.5" x14ac:dyDescent="0.35">
      <c r="A199" s="21">
        <v>1.0833333333333299</v>
      </c>
      <c r="B199" s="5">
        <v>5.9</v>
      </c>
      <c r="C199">
        <v>5.4</v>
      </c>
      <c r="D199">
        <v>1</v>
      </c>
      <c r="F199">
        <f t="shared" si="40"/>
        <v>4.0187499999999998</v>
      </c>
      <c r="G199">
        <f t="shared" si="41"/>
        <v>3.2718750000000001</v>
      </c>
      <c r="H199">
        <f t="shared" si="42"/>
        <v>-2.28125</v>
      </c>
      <c r="I199">
        <f t="shared" si="38"/>
        <v>16.150351562499999</v>
      </c>
      <c r="J199">
        <f t="shared" si="43"/>
        <v>10.705166015625</v>
      </c>
      <c r="K199">
        <f t="shared" si="39"/>
        <v>5.2041015625</v>
      </c>
      <c r="L199">
        <f t="shared" si="44"/>
        <v>0.2314413906497334</v>
      </c>
      <c r="M199">
        <f t="shared" si="45"/>
        <v>0.30751372091033952</v>
      </c>
      <c r="N199">
        <f t="shared" si="46"/>
        <v>-0.30357695092938763</v>
      </c>
    </row>
    <row r="200" spans="1:14" ht="15.5" x14ac:dyDescent="0.35">
      <c r="A200" s="21">
        <v>1.2083333333333299</v>
      </c>
      <c r="B200" s="5">
        <v>3</v>
      </c>
      <c r="C200">
        <v>3.9</v>
      </c>
      <c r="D200">
        <v>4</v>
      </c>
      <c r="F200">
        <f t="shared" si="40"/>
        <v>1.1187499999999997</v>
      </c>
      <c r="G200">
        <f t="shared" si="41"/>
        <v>1.7718749999999996</v>
      </c>
      <c r="H200">
        <f t="shared" si="42"/>
        <v>0.71875</v>
      </c>
      <c r="I200">
        <f t="shared" si="38"/>
        <v>1.2516015624999992</v>
      </c>
      <c r="J200">
        <f t="shared" si="43"/>
        <v>3.1395410156249985</v>
      </c>
      <c r="K200">
        <f t="shared" si="39"/>
        <v>0.5166015625</v>
      </c>
      <c r="L200">
        <f t="shared" si="44"/>
        <v>6.4429251829397002E-2</v>
      </c>
      <c r="M200">
        <f t="shared" si="45"/>
        <v>0.16653321848726119</v>
      </c>
      <c r="N200">
        <f t="shared" si="46"/>
        <v>9.5647532484601588E-2</v>
      </c>
    </row>
    <row r="201" spans="1:14" ht="15.5" x14ac:dyDescent="0.35">
      <c r="A201" s="21">
        <v>1.3333333333333299</v>
      </c>
      <c r="B201" s="5">
        <v>0.8</v>
      </c>
      <c r="C201">
        <v>2.1</v>
      </c>
      <c r="D201">
        <v>5</v>
      </c>
      <c r="F201">
        <f t="shared" si="40"/>
        <v>-1.0812500000000003</v>
      </c>
      <c r="G201">
        <f t="shared" si="41"/>
        <v>-2.8125000000000178E-2</v>
      </c>
      <c r="H201">
        <f t="shared" si="42"/>
        <v>1.71875</v>
      </c>
      <c r="I201">
        <f t="shared" si="38"/>
        <v>1.1691015625000005</v>
      </c>
      <c r="J201">
        <f t="shared" si="43"/>
        <v>7.9101562500001003E-4</v>
      </c>
      <c r="K201">
        <f t="shared" si="39"/>
        <v>2.9541015625</v>
      </c>
      <c r="L201">
        <f t="shared" si="44"/>
        <v>-6.226961210327199E-2</v>
      </c>
      <c r="M201">
        <f t="shared" si="45"/>
        <v>-2.6433844204327346E-3</v>
      </c>
      <c r="N201">
        <f t="shared" si="46"/>
        <v>0.22872236028926465</v>
      </c>
    </row>
    <row r="202" spans="1:14" ht="15.5" x14ac:dyDescent="0.35">
      <c r="A202" s="21">
        <v>1.4583333333333299</v>
      </c>
      <c r="B202" s="5">
        <v>4.3</v>
      </c>
      <c r="C202">
        <v>3.7</v>
      </c>
      <c r="D202">
        <v>5</v>
      </c>
      <c r="F202">
        <f t="shared" si="40"/>
        <v>2.4187499999999993</v>
      </c>
      <c r="G202">
        <f t="shared" si="41"/>
        <v>1.5718749999999999</v>
      </c>
      <c r="H202">
        <f t="shared" si="42"/>
        <v>1.71875</v>
      </c>
      <c r="I202">
        <f t="shared" si="38"/>
        <v>5.8503515624999967</v>
      </c>
      <c r="J202">
        <f t="shared" si="43"/>
        <v>2.4707910156249997</v>
      </c>
      <c r="K202">
        <f t="shared" si="39"/>
        <v>2.9541015625</v>
      </c>
      <c r="L202">
        <f t="shared" si="44"/>
        <v>0.13929676233506502</v>
      </c>
      <c r="M202">
        <f t="shared" si="45"/>
        <v>0.1477358181641841</v>
      </c>
      <c r="N202">
        <f t="shared" si="46"/>
        <v>0.22872236028926465</v>
      </c>
    </row>
    <row r="203" spans="1:14" ht="15.5" x14ac:dyDescent="0.35">
      <c r="A203" s="21">
        <v>1.5833333333333299</v>
      </c>
      <c r="B203" s="5">
        <v>3.5</v>
      </c>
      <c r="C203">
        <v>4.8</v>
      </c>
      <c r="D203">
        <v>6</v>
      </c>
      <c r="F203">
        <f t="shared" si="40"/>
        <v>1.6187499999999997</v>
      </c>
      <c r="G203">
        <f t="shared" si="41"/>
        <v>2.6718749999999996</v>
      </c>
      <c r="H203">
        <f t="shared" si="42"/>
        <v>2.71875</v>
      </c>
      <c r="I203">
        <f t="shared" si="38"/>
        <v>2.6203515624999989</v>
      </c>
      <c r="J203">
        <f t="shared" si="43"/>
        <v>7.1389160156249973</v>
      </c>
      <c r="K203">
        <f t="shared" si="39"/>
        <v>7.3916015625</v>
      </c>
      <c r="L203">
        <f t="shared" si="44"/>
        <v>9.3224448177730859E-2</v>
      </c>
      <c r="M203">
        <f t="shared" si="45"/>
        <v>0.25112151994110815</v>
      </c>
      <c r="N203">
        <f t="shared" si="46"/>
        <v>0.36179718809392775</v>
      </c>
    </row>
    <row r="204" spans="1:14" ht="15.5" x14ac:dyDescent="0.35">
      <c r="A204" s="21">
        <v>1.7083333333333299</v>
      </c>
      <c r="B204" s="5">
        <v>5.5</v>
      </c>
      <c r="C204">
        <v>3.1</v>
      </c>
      <c r="D204">
        <v>4</v>
      </c>
      <c r="F204">
        <f t="shared" si="40"/>
        <v>3.6187499999999995</v>
      </c>
      <c r="G204">
        <f t="shared" si="41"/>
        <v>0.97187499999999982</v>
      </c>
      <c r="H204">
        <f t="shared" si="42"/>
        <v>0.71875</v>
      </c>
      <c r="I204">
        <f t="shared" si="38"/>
        <v>13.095351562499996</v>
      </c>
      <c r="J204">
        <f t="shared" si="43"/>
        <v>0.9445410156249997</v>
      </c>
      <c r="K204">
        <f t="shared" si="39"/>
        <v>0.5166015625</v>
      </c>
      <c r="L204">
        <f t="shared" si="44"/>
        <v>0.2084052335710663</v>
      </c>
      <c r="M204">
        <f t="shared" si="45"/>
        <v>9.1343617194952778E-2</v>
      </c>
      <c r="N204">
        <f t="shared" si="46"/>
        <v>9.5647532484601588E-2</v>
      </c>
    </row>
    <row r="205" spans="1:14" ht="15.5" x14ac:dyDescent="0.35">
      <c r="A205" s="21">
        <v>1.8333333333333299</v>
      </c>
      <c r="B205" s="5">
        <v>5.9</v>
      </c>
      <c r="C205">
        <v>-2</v>
      </c>
      <c r="D205">
        <v>4</v>
      </c>
      <c r="F205">
        <f t="shared" si="40"/>
        <v>4.0187499999999998</v>
      </c>
      <c r="G205">
        <f t="shared" si="41"/>
        <v>-4.1281250000000007</v>
      </c>
      <c r="H205">
        <f t="shared" si="42"/>
        <v>0.71875</v>
      </c>
      <c r="I205">
        <f t="shared" si="38"/>
        <v>16.150351562499999</v>
      </c>
      <c r="J205">
        <f t="shared" si="43"/>
        <v>17.041416015625007</v>
      </c>
      <c r="K205">
        <f t="shared" si="39"/>
        <v>0.5166015625</v>
      </c>
      <c r="L205">
        <f t="shared" si="44"/>
        <v>0.2314413906497334</v>
      </c>
      <c r="M205">
        <f t="shared" si="45"/>
        <v>-0.3879900910435134</v>
      </c>
      <c r="N205">
        <f t="shared" si="46"/>
        <v>9.5647532484601588E-2</v>
      </c>
    </row>
    <row r="206" spans="1:14" ht="15.5" x14ac:dyDescent="0.35">
      <c r="A206" s="21">
        <v>1.9583333333333299</v>
      </c>
      <c r="B206" s="5">
        <v>3.5</v>
      </c>
      <c r="C206">
        <v>-0.8</v>
      </c>
      <c r="D206">
        <v>5</v>
      </c>
      <c r="F206">
        <f t="shared" si="40"/>
        <v>1.6187499999999997</v>
      </c>
      <c r="G206">
        <f t="shared" si="41"/>
        <v>-2.9281250000000005</v>
      </c>
      <c r="H206">
        <f t="shared" si="42"/>
        <v>1.71875</v>
      </c>
      <c r="I206">
        <f t="shared" si="38"/>
        <v>2.6203515624999989</v>
      </c>
      <c r="J206">
        <f t="shared" si="43"/>
        <v>8.5739160156250023</v>
      </c>
      <c r="K206">
        <f t="shared" si="39"/>
        <v>2.9541015625</v>
      </c>
      <c r="L206">
        <f t="shared" si="44"/>
        <v>9.3224448177730859E-2</v>
      </c>
      <c r="M206">
        <f t="shared" si="45"/>
        <v>-0.27520568910505078</v>
      </c>
      <c r="N206">
        <f t="shared" si="46"/>
        <v>0.22872236028926465</v>
      </c>
    </row>
    <row r="207" spans="1:14" ht="15.5" x14ac:dyDescent="0.35">
      <c r="A207" s="21">
        <v>2.0833333333333299</v>
      </c>
      <c r="B207" s="5">
        <v>1.6</v>
      </c>
      <c r="C207">
        <v>1.3</v>
      </c>
      <c r="D207">
        <v>5</v>
      </c>
      <c r="F207">
        <f t="shared" si="40"/>
        <v>-0.28125000000000022</v>
      </c>
      <c r="G207">
        <f t="shared" si="41"/>
        <v>-0.82812500000000022</v>
      </c>
      <c r="H207">
        <f t="shared" si="42"/>
        <v>1.71875</v>
      </c>
      <c r="I207">
        <f t="shared" si="38"/>
        <v>7.9101562500000125E-2</v>
      </c>
      <c r="J207">
        <f t="shared" si="43"/>
        <v>0.68579101562500033</v>
      </c>
      <c r="K207">
        <f t="shared" si="39"/>
        <v>2.9541015625</v>
      </c>
      <c r="L207">
        <f t="shared" si="44"/>
        <v>-1.619729794593781E-2</v>
      </c>
      <c r="M207">
        <f t="shared" si="45"/>
        <v>-7.7832985712741151E-2</v>
      </c>
      <c r="N207">
        <f t="shared" si="46"/>
        <v>0.22872236028926465</v>
      </c>
    </row>
    <row r="208" spans="1:14" ht="15.5" x14ac:dyDescent="0.35">
      <c r="A208" s="21">
        <v>2.2083333333333299</v>
      </c>
      <c r="B208" s="5">
        <v>-0.1</v>
      </c>
      <c r="C208">
        <v>0.7</v>
      </c>
      <c r="D208">
        <v>5</v>
      </c>
      <c r="F208">
        <f t="shared" si="40"/>
        <v>-1.9812500000000004</v>
      </c>
      <c r="G208">
        <f t="shared" si="41"/>
        <v>-1.4281250000000003</v>
      </c>
      <c r="H208">
        <f t="shared" si="42"/>
        <v>1.71875</v>
      </c>
      <c r="I208">
        <f t="shared" si="38"/>
        <v>3.9253515625000017</v>
      </c>
      <c r="J208">
        <f t="shared" si="43"/>
        <v>2.0395410156250007</v>
      </c>
      <c r="K208">
        <f t="shared" si="39"/>
        <v>2.9541015625</v>
      </c>
      <c r="L208">
        <f t="shared" si="44"/>
        <v>-0.11410096553027295</v>
      </c>
      <c r="M208">
        <f t="shared" si="45"/>
        <v>-0.13422518668197247</v>
      </c>
      <c r="N208">
        <f t="shared" si="46"/>
        <v>0.22872236028926465</v>
      </c>
    </row>
    <row r="209" spans="1:14" ht="15.5" x14ac:dyDescent="0.35">
      <c r="A209" s="21">
        <v>2.3333333333333299</v>
      </c>
      <c r="B209" s="5">
        <v>-0.8</v>
      </c>
      <c r="C209">
        <v>1.2</v>
      </c>
      <c r="D209">
        <v>5</v>
      </c>
      <c r="F209">
        <f t="shared" si="40"/>
        <v>-2.6812500000000004</v>
      </c>
      <c r="G209">
        <f t="shared" si="41"/>
        <v>-0.92812500000000031</v>
      </c>
      <c r="H209">
        <f t="shared" si="42"/>
        <v>1.71875</v>
      </c>
      <c r="I209">
        <f t="shared" si="38"/>
        <v>7.1891015625000021</v>
      </c>
      <c r="J209">
        <f t="shared" si="43"/>
        <v>0.86141601562500059</v>
      </c>
      <c r="K209">
        <f t="shared" si="39"/>
        <v>2.9541015625</v>
      </c>
      <c r="L209">
        <f t="shared" si="44"/>
        <v>-0.15441424041794036</v>
      </c>
      <c r="M209">
        <f t="shared" si="45"/>
        <v>-8.7231685874279707E-2</v>
      </c>
      <c r="N209">
        <f t="shared" si="46"/>
        <v>0.22872236028926465</v>
      </c>
    </row>
    <row r="210" spans="1:14" ht="15.5" x14ac:dyDescent="0.35">
      <c r="A210" s="21">
        <v>2.4583333333333299</v>
      </c>
      <c r="B210" s="5">
        <v>1.7</v>
      </c>
      <c r="C210">
        <v>0.5</v>
      </c>
      <c r="D210">
        <v>4</v>
      </c>
      <c r="F210">
        <f t="shared" si="40"/>
        <v>-0.18125000000000036</v>
      </c>
      <c r="G210">
        <f t="shared" si="41"/>
        <v>-1.6281250000000003</v>
      </c>
      <c r="H210">
        <f t="shared" si="42"/>
        <v>0.71875</v>
      </c>
      <c r="I210">
        <f t="shared" si="38"/>
        <v>3.2851562500000125E-2</v>
      </c>
      <c r="J210">
        <f t="shared" si="43"/>
        <v>2.6507910156250007</v>
      </c>
      <c r="K210">
        <f t="shared" si="39"/>
        <v>0.5166015625</v>
      </c>
      <c r="L210">
        <f t="shared" si="44"/>
        <v>-1.0438258676271045E-2</v>
      </c>
      <c r="M210">
        <f t="shared" si="45"/>
        <v>-0.15302258700504956</v>
      </c>
      <c r="N210">
        <f t="shared" si="46"/>
        <v>9.5647532484601588E-2</v>
      </c>
    </row>
    <row r="211" spans="1:14" ht="15.5" x14ac:dyDescent="0.35">
      <c r="A211" s="21">
        <v>2.5833333333333299</v>
      </c>
      <c r="B211" s="5">
        <v>4.2</v>
      </c>
      <c r="C211">
        <v>-0.4</v>
      </c>
      <c r="D211">
        <v>3</v>
      </c>
      <c r="F211">
        <f t="shared" si="40"/>
        <v>2.3187499999999996</v>
      </c>
      <c r="G211">
        <f t="shared" si="41"/>
        <v>-2.5281250000000002</v>
      </c>
      <c r="H211">
        <f t="shared" si="42"/>
        <v>-0.28125</v>
      </c>
      <c r="I211">
        <f t="shared" si="38"/>
        <v>5.3766015624999985</v>
      </c>
      <c r="J211">
        <f t="shared" si="43"/>
        <v>6.3914160156250013</v>
      </c>
      <c r="K211">
        <f t="shared" si="39"/>
        <v>7.91015625E-2</v>
      </c>
      <c r="L211">
        <f t="shared" si="44"/>
        <v>0.13353772306539827</v>
      </c>
      <c r="M211">
        <f t="shared" si="45"/>
        <v>-0.23761088845889652</v>
      </c>
      <c r="N211">
        <f t="shared" si="46"/>
        <v>-3.7427295320061491E-2</v>
      </c>
    </row>
    <row r="212" spans="1:14" ht="15.5" x14ac:dyDescent="0.35">
      <c r="A212" s="21">
        <v>2.7083333333333299</v>
      </c>
      <c r="B212" s="5">
        <v>5.0999999999999996</v>
      </c>
      <c r="C212">
        <v>-1</v>
      </c>
      <c r="D212">
        <v>3</v>
      </c>
      <c r="F212">
        <f t="shared" si="40"/>
        <v>3.2187499999999991</v>
      </c>
      <c r="G212">
        <f t="shared" si="41"/>
        <v>-3.1281250000000003</v>
      </c>
      <c r="H212">
        <f t="shared" si="42"/>
        <v>-0.28125</v>
      </c>
      <c r="I212">
        <f t="shared" si="38"/>
        <v>10.360351562499995</v>
      </c>
      <c r="J212">
        <f t="shared" si="43"/>
        <v>9.785166015625002</v>
      </c>
      <c r="K212">
        <f t="shared" si="39"/>
        <v>7.91015625E-2</v>
      </c>
      <c r="L212">
        <f t="shared" si="44"/>
        <v>0.1853690764923992</v>
      </c>
      <c r="M212">
        <f t="shared" si="45"/>
        <v>-0.29400308942812786</v>
      </c>
      <c r="N212">
        <f t="shared" si="46"/>
        <v>-3.7427295320061491E-2</v>
      </c>
    </row>
    <row r="213" spans="1:14" ht="15.5" x14ac:dyDescent="0.35">
      <c r="A213" s="21">
        <v>2.8333333333333299</v>
      </c>
      <c r="B213" s="5">
        <v>1.5</v>
      </c>
      <c r="C213">
        <v>1.6</v>
      </c>
      <c r="D213">
        <v>3</v>
      </c>
      <c r="F213">
        <f t="shared" si="40"/>
        <v>-0.38125000000000031</v>
      </c>
      <c r="G213">
        <f t="shared" si="41"/>
        <v>-0.52812500000000018</v>
      </c>
      <c r="H213">
        <f t="shared" si="42"/>
        <v>-0.28125</v>
      </c>
      <c r="I213">
        <f t="shared" si="38"/>
        <v>0.14535156250000023</v>
      </c>
      <c r="J213">
        <f t="shared" si="43"/>
        <v>0.27891601562500018</v>
      </c>
      <c r="K213">
        <f t="shared" si="39"/>
        <v>7.91015625E-2</v>
      </c>
      <c r="L213">
        <f t="shared" si="44"/>
        <v>-2.1956337215604589E-2</v>
      </c>
      <c r="M213">
        <f t="shared" si="45"/>
        <v>-4.9636885228125489E-2</v>
      </c>
      <c r="N213">
        <f t="shared" si="46"/>
        <v>-3.7427295320061491E-2</v>
      </c>
    </row>
    <row r="214" spans="1:14" ht="15.5" x14ac:dyDescent="0.35">
      <c r="A214" s="21">
        <v>2.9583333333333299</v>
      </c>
      <c r="B214" s="5">
        <v>-1</v>
      </c>
      <c r="C214">
        <v>2.6</v>
      </c>
      <c r="D214">
        <v>3</v>
      </c>
      <c r="F214">
        <f t="shared" si="40"/>
        <v>-2.8812500000000005</v>
      </c>
      <c r="G214">
        <f t="shared" si="41"/>
        <v>0.47187499999999982</v>
      </c>
      <c r="H214">
        <f t="shared" si="42"/>
        <v>-0.28125</v>
      </c>
      <c r="I214">
        <f t="shared" si="38"/>
        <v>8.3016015625000037</v>
      </c>
      <c r="J214">
        <f t="shared" si="43"/>
        <v>0.22266601562499982</v>
      </c>
      <c r="K214">
        <f t="shared" si="39"/>
        <v>7.91015625E-2</v>
      </c>
      <c r="L214">
        <f t="shared" si="44"/>
        <v>-0.16593231895727392</v>
      </c>
      <c r="M214">
        <f t="shared" si="45"/>
        <v>4.4350116387260025E-2</v>
      </c>
      <c r="N214">
        <f t="shared" si="46"/>
        <v>-3.7427295320061491E-2</v>
      </c>
    </row>
    <row r="215" spans="1:14" ht="15.5" x14ac:dyDescent="0.35">
      <c r="A215" s="21">
        <v>3.0833333333333299</v>
      </c>
      <c r="B215" s="5">
        <v>-3.8</v>
      </c>
      <c r="C215">
        <v>3</v>
      </c>
      <c r="D215">
        <v>2</v>
      </c>
      <c r="F215">
        <f t="shared" si="40"/>
        <v>-5.6812500000000004</v>
      </c>
      <c r="G215">
        <f t="shared" si="41"/>
        <v>0.87187499999999973</v>
      </c>
      <c r="H215">
        <f t="shared" si="42"/>
        <v>-1.28125</v>
      </c>
      <c r="I215">
        <f t="shared" si="38"/>
        <v>32.276601562500005</v>
      </c>
      <c r="J215">
        <f t="shared" si="43"/>
        <v>0.76016601562499952</v>
      </c>
      <c r="K215">
        <f t="shared" si="39"/>
        <v>1.6416015625</v>
      </c>
      <c r="L215">
        <f t="shared" si="44"/>
        <v>-0.32718541850794353</v>
      </c>
      <c r="M215">
        <f t="shared" si="45"/>
        <v>8.1944917033414222E-2</v>
      </c>
      <c r="N215">
        <f t="shared" si="46"/>
        <v>-0.17050212312472457</v>
      </c>
    </row>
    <row r="216" spans="1:14" ht="15.5" x14ac:dyDescent="0.35">
      <c r="A216" s="21">
        <v>3.2083333333333299</v>
      </c>
      <c r="B216" s="5">
        <v>-4</v>
      </c>
      <c r="C216">
        <v>2</v>
      </c>
      <c r="D216">
        <v>2</v>
      </c>
      <c r="F216">
        <f t="shared" si="40"/>
        <v>-5.8812500000000005</v>
      </c>
      <c r="G216">
        <f t="shared" si="41"/>
        <v>-0.12812500000000027</v>
      </c>
      <c r="H216">
        <f t="shared" si="42"/>
        <v>-1.28125</v>
      </c>
      <c r="I216">
        <f t="shared" si="38"/>
        <v>34.589101562500005</v>
      </c>
      <c r="J216">
        <f t="shared" si="43"/>
        <v>1.6416015625000068E-2</v>
      </c>
      <c r="K216">
        <f t="shared" si="39"/>
        <v>1.6416015625</v>
      </c>
      <c r="L216">
        <f t="shared" si="44"/>
        <v>-0.33870349704727709</v>
      </c>
      <c r="M216">
        <f t="shared" si="45"/>
        <v>-1.2042084581971294E-2</v>
      </c>
      <c r="N216">
        <f t="shared" si="46"/>
        <v>-0.17050212312472457</v>
      </c>
    </row>
    <row r="217" spans="1:14" ht="15.5" x14ac:dyDescent="0.35">
      <c r="A217" s="21">
        <v>3.3333333333333299</v>
      </c>
      <c r="B217" s="5">
        <v>-2.8</v>
      </c>
      <c r="C217">
        <v>2.4</v>
      </c>
      <c r="D217">
        <v>2</v>
      </c>
      <c r="F217">
        <f t="shared" si="40"/>
        <v>-4.6812500000000004</v>
      </c>
      <c r="G217">
        <f t="shared" si="41"/>
        <v>0.27187499999999964</v>
      </c>
      <c r="H217">
        <f t="shared" si="42"/>
        <v>-1.28125</v>
      </c>
      <c r="I217">
        <f t="shared" si="38"/>
        <v>21.914101562500004</v>
      </c>
      <c r="J217">
        <f t="shared" si="43"/>
        <v>7.3916015624999803E-2</v>
      </c>
      <c r="K217">
        <f t="shared" si="39"/>
        <v>1.6416015625</v>
      </c>
      <c r="L217">
        <f t="shared" si="44"/>
        <v>-0.26959502581127581</v>
      </c>
      <c r="M217">
        <f t="shared" si="45"/>
        <v>2.5552716064182905E-2</v>
      </c>
      <c r="N217">
        <f t="shared" si="46"/>
        <v>-0.17050212312472457</v>
      </c>
    </row>
    <row r="218" spans="1:14" ht="15.5" x14ac:dyDescent="0.35">
      <c r="A218" s="21">
        <v>3.4583333333333299</v>
      </c>
      <c r="B218" s="5">
        <v>-2.9</v>
      </c>
      <c r="C218">
        <v>3.4</v>
      </c>
      <c r="D218">
        <v>4</v>
      </c>
      <c r="F218">
        <f t="shared" si="40"/>
        <v>-4.78125</v>
      </c>
      <c r="G218">
        <f t="shared" si="41"/>
        <v>1.2718749999999996</v>
      </c>
      <c r="H218">
        <f t="shared" si="42"/>
        <v>0.71875</v>
      </c>
      <c r="I218">
        <f t="shared" si="38"/>
        <v>22.8603515625</v>
      </c>
      <c r="J218">
        <f t="shared" si="43"/>
        <v>1.6176660156249991</v>
      </c>
      <c r="K218">
        <f t="shared" si="39"/>
        <v>0.5166015625</v>
      </c>
      <c r="L218">
        <f t="shared" si="44"/>
        <v>-0.27535406508094257</v>
      </c>
      <c r="M218">
        <f t="shared" si="45"/>
        <v>0.11953971767956842</v>
      </c>
      <c r="N218">
        <f t="shared" si="46"/>
        <v>9.5647532484601588E-2</v>
      </c>
    </row>
    <row r="219" spans="1:14" ht="15.5" x14ac:dyDescent="0.35">
      <c r="A219" s="21">
        <v>3.5833333333333299</v>
      </c>
      <c r="B219" s="5">
        <v>-1.1000000000000001</v>
      </c>
      <c r="C219">
        <v>2.6</v>
      </c>
      <c r="D219">
        <v>4</v>
      </c>
      <c r="F219">
        <f t="shared" si="40"/>
        <v>-2.9812500000000002</v>
      </c>
      <c r="G219">
        <f t="shared" si="41"/>
        <v>0.47187499999999982</v>
      </c>
      <c r="H219">
        <f t="shared" si="42"/>
        <v>0.71875</v>
      </c>
      <c r="I219">
        <f t="shared" si="38"/>
        <v>8.8878515625000016</v>
      </c>
      <c r="J219">
        <f t="shared" si="43"/>
        <v>0.22266601562499982</v>
      </c>
      <c r="K219">
        <f t="shared" si="39"/>
        <v>0.5166015625</v>
      </c>
      <c r="L219">
        <f t="shared" si="44"/>
        <v>-0.17169135822694068</v>
      </c>
      <c r="M219">
        <f t="shared" si="45"/>
        <v>4.4350116387260025E-2</v>
      </c>
      <c r="N219">
        <f t="shared" si="46"/>
        <v>9.5647532484601588E-2</v>
      </c>
    </row>
    <row r="220" spans="1:14" ht="15.5" x14ac:dyDescent="0.35">
      <c r="A220" s="21">
        <v>3.7083333333333299</v>
      </c>
      <c r="B220" s="5">
        <v>1.2</v>
      </c>
      <c r="C220">
        <v>2.2999999999999998</v>
      </c>
      <c r="D220">
        <v>3</v>
      </c>
      <c r="F220">
        <f t="shared" si="40"/>
        <v>-0.68125000000000036</v>
      </c>
      <c r="G220">
        <f t="shared" si="41"/>
        <v>0.17187499999999956</v>
      </c>
      <c r="H220">
        <f t="shared" si="42"/>
        <v>-0.28125</v>
      </c>
      <c r="I220">
        <f t="shared" si="38"/>
        <v>0.46410156250000051</v>
      </c>
      <c r="J220">
        <f t="shared" si="43"/>
        <v>2.9541015624999847E-2</v>
      </c>
      <c r="K220">
        <f t="shared" si="39"/>
        <v>7.91015625E-2</v>
      </c>
      <c r="L220">
        <f t="shared" si="44"/>
        <v>-3.9233455024604909E-2</v>
      </c>
      <c r="M220">
        <f t="shared" si="45"/>
        <v>1.6154015902644345E-2</v>
      </c>
      <c r="N220">
        <f t="shared" si="46"/>
        <v>-3.7427295320061491E-2</v>
      </c>
    </row>
    <row r="221" spans="1:14" ht="15.5" x14ac:dyDescent="0.35">
      <c r="A221" s="21">
        <v>3.8333333333333299</v>
      </c>
      <c r="B221" s="5">
        <v>-1.4</v>
      </c>
      <c r="C221">
        <v>1.3</v>
      </c>
      <c r="D221">
        <v>3</v>
      </c>
      <c r="F221">
        <f t="shared" si="40"/>
        <v>-3.28125</v>
      </c>
      <c r="G221">
        <f t="shared" si="41"/>
        <v>-0.82812500000000022</v>
      </c>
      <c r="H221">
        <f t="shared" si="42"/>
        <v>-0.28125</v>
      </c>
      <c r="I221">
        <f t="shared" si="38"/>
        <v>10.7666015625</v>
      </c>
      <c r="J221">
        <f t="shared" si="43"/>
        <v>0.68579101562500033</v>
      </c>
      <c r="K221">
        <f t="shared" si="39"/>
        <v>7.91015625E-2</v>
      </c>
      <c r="L221">
        <f t="shared" si="44"/>
        <v>-0.18896847603594097</v>
      </c>
      <c r="M221">
        <f t="shared" si="45"/>
        <v>-7.7832985712741151E-2</v>
      </c>
      <c r="N221">
        <f t="shared" si="46"/>
        <v>-3.7427295320061491E-2</v>
      </c>
    </row>
    <row r="222" spans="1:14" ht="15.5" x14ac:dyDescent="0.35">
      <c r="A222" s="21">
        <v>3.9583333333333299</v>
      </c>
      <c r="B222" s="5">
        <v>-1.3</v>
      </c>
      <c r="C222">
        <v>1.3</v>
      </c>
      <c r="D222">
        <v>3</v>
      </c>
      <c r="F222">
        <f t="shared" si="40"/>
        <v>-3.1812500000000004</v>
      </c>
      <c r="G222">
        <f t="shared" si="41"/>
        <v>-0.82812500000000022</v>
      </c>
      <c r="H222">
        <f t="shared" si="42"/>
        <v>-0.28125</v>
      </c>
      <c r="I222">
        <f t="shared" si="38"/>
        <v>10.120351562500002</v>
      </c>
      <c r="J222">
        <f t="shared" si="43"/>
        <v>0.68579101562500033</v>
      </c>
      <c r="K222">
        <f t="shared" si="39"/>
        <v>7.91015625E-2</v>
      </c>
      <c r="L222">
        <f t="shared" si="44"/>
        <v>-0.18320943676627421</v>
      </c>
      <c r="M222">
        <f t="shared" si="45"/>
        <v>-7.7832985712741151E-2</v>
      </c>
      <c r="N222">
        <f t="shared" si="46"/>
        <v>-3.7427295320061491E-2</v>
      </c>
    </row>
    <row r="223" spans="1:14" x14ac:dyDescent="0.35">
      <c r="A223" t="s">
        <v>62</v>
      </c>
      <c r="B223">
        <f>AVERAGE(B191:B222)</f>
        <v>1.8812500000000003</v>
      </c>
      <c r="C223">
        <f>AVERAGE(C191:C222)</f>
        <v>2.1281250000000003</v>
      </c>
      <c r="D223">
        <f t="shared" ref="D223" si="47">AVERAGE(D191:D222)</f>
        <v>3.28125</v>
      </c>
      <c r="I223">
        <f>SUM(I191:I222)</f>
        <v>301.50874999999991</v>
      </c>
      <c r="J223">
        <f>SUM(J191:J222)</f>
        <v>113.20468750000001</v>
      </c>
      <c r="K223">
        <f t="shared" ref="K223" si="48">SUM(K191:K222)</f>
        <v>56.46875</v>
      </c>
    </row>
    <row r="225" spans="1:36" x14ac:dyDescent="0.35">
      <c r="A225" s="7" t="s">
        <v>75</v>
      </c>
      <c r="B225">
        <f>I223/32</f>
        <v>9.4221484374999971</v>
      </c>
      <c r="D225" s="7" t="s">
        <v>79</v>
      </c>
      <c r="E225">
        <f>(32*B225)^0.5</f>
        <v>17.364007313981411</v>
      </c>
    </row>
    <row r="226" spans="1:36" x14ac:dyDescent="0.35">
      <c r="A226" s="7" t="s">
        <v>76</v>
      </c>
      <c r="B226">
        <f>J223/32</f>
        <v>3.5376464843750002</v>
      </c>
      <c r="D226" s="7" t="s">
        <v>80</v>
      </c>
      <c r="E226">
        <f>(32*B226)^0.5</f>
        <v>10.639769146931714</v>
      </c>
    </row>
    <row r="227" spans="1:36" x14ac:dyDescent="0.35">
      <c r="A227" s="7" t="s">
        <v>77</v>
      </c>
      <c r="B227">
        <f>K223/32</f>
        <v>1.7646484375</v>
      </c>
      <c r="D227" s="7" t="s">
        <v>81</v>
      </c>
      <c r="E227">
        <f>(32*B227)^0.5</f>
        <v>7.5145691825945686</v>
      </c>
    </row>
    <row r="229" spans="1:36" x14ac:dyDescent="0.35">
      <c r="A229" s="7" t="s">
        <v>83</v>
      </c>
      <c r="E229" s="7" t="s">
        <v>84</v>
      </c>
    </row>
    <row r="230" spans="1:36" x14ac:dyDescent="0.35">
      <c r="A230">
        <v>-1.0438258676271045E-2</v>
      </c>
      <c r="B230">
        <v>1.6154015902644345E-2</v>
      </c>
      <c r="C230">
        <v>-0.17050212312472457</v>
      </c>
      <c r="E230">
        <f t="array" ref="E230:AJ232">TRANSPOSE(A230:C261)</f>
        <v>-1.0438258676271045E-2</v>
      </c>
      <c r="F230">
        <v>4.1393094750729914E-2</v>
      </c>
      <c r="G230">
        <v>-2.7715376485271365E-2</v>
      </c>
      <c r="H230">
        <v>0.14505580160473183</v>
      </c>
      <c r="I230">
        <v>0.2717546655374008</v>
      </c>
      <c r="J230">
        <v>0.30054986188573463</v>
      </c>
      <c r="K230">
        <v>0.13353772306539827</v>
      </c>
      <c r="L230">
        <v>0.10474252671706442</v>
      </c>
      <c r="M230">
        <v>0.2314413906497334</v>
      </c>
      <c r="N230">
        <v>6.4429251829397002E-2</v>
      </c>
      <c r="O230">
        <v>-6.226961210327199E-2</v>
      </c>
      <c r="P230">
        <v>0.13929676233506502</v>
      </c>
      <c r="Q230">
        <v>9.3224448177730859E-2</v>
      </c>
      <c r="R230">
        <v>0.2084052335710663</v>
      </c>
      <c r="S230">
        <v>0.2314413906497334</v>
      </c>
      <c r="T230">
        <v>9.3224448177730859E-2</v>
      </c>
      <c r="U230">
        <v>-1.619729794593781E-2</v>
      </c>
      <c r="V230">
        <v>-0.11410096553027295</v>
      </c>
      <c r="W230">
        <v>-0.15441424041794036</v>
      </c>
      <c r="X230">
        <v>-1.0438258676271045E-2</v>
      </c>
      <c r="Y230">
        <v>0.13353772306539827</v>
      </c>
      <c r="Z230">
        <v>0.1853690764923992</v>
      </c>
      <c r="AA230">
        <v>-2.1956337215604589E-2</v>
      </c>
      <c r="AB230">
        <v>-0.16593231895727392</v>
      </c>
      <c r="AC230">
        <v>-0.32718541850794353</v>
      </c>
      <c r="AD230">
        <v>-0.33870349704727709</v>
      </c>
      <c r="AE230">
        <v>-0.26959502581127581</v>
      </c>
      <c r="AF230">
        <v>-0.27535406508094257</v>
      </c>
      <c r="AG230">
        <v>-0.17169135822694068</v>
      </c>
      <c r="AH230">
        <v>-3.9233455024604909E-2</v>
      </c>
      <c r="AI230">
        <v>-0.18896847603594097</v>
      </c>
      <c r="AJ230">
        <v>-0.18320943676627421</v>
      </c>
    </row>
    <row r="231" spans="1:36" x14ac:dyDescent="0.35">
      <c r="A231">
        <v>4.1393094750729914E-2</v>
      </c>
      <c r="B231">
        <v>1.6154015902644345E-2</v>
      </c>
      <c r="C231">
        <v>-0.30357695092938763</v>
      </c>
      <c r="E231">
        <v>1.6154015902644345E-2</v>
      </c>
      <c r="F231">
        <v>1.6154015902644345E-2</v>
      </c>
      <c r="G231">
        <v>-0.34099659023582063</v>
      </c>
      <c r="H231">
        <v>5.3748816548798581E-2</v>
      </c>
      <c r="I231">
        <v>9.1343617194952778E-2</v>
      </c>
      <c r="J231">
        <v>0.15713451832572262</v>
      </c>
      <c r="K231">
        <v>0.29811502074880092</v>
      </c>
      <c r="L231">
        <v>0.27931762042572378</v>
      </c>
      <c r="M231">
        <v>0.30751372091033952</v>
      </c>
      <c r="N231">
        <v>0.16653321848726119</v>
      </c>
      <c r="O231">
        <v>-2.6433844204327346E-3</v>
      </c>
      <c r="P231">
        <v>0.1477358181641841</v>
      </c>
      <c r="Q231">
        <v>0.25112151994110815</v>
      </c>
      <c r="R231">
        <v>9.1343617194952778E-2</v>
      </c>
      <c r="S231">
        <v>-0.3879900910435134</v>
      </c>
      <c r="T231">
        <v>-0.27520568910505078</v>
      </c>
      <c r="U231">
        <v>-7.7832985712741151E-2</v>
      </c>
      <c r="V231">
        <v>-0.13422518668197247</v>
      </c>
      <c r="W231">
        <v>-8.7231685874279707E-2</v>
      </c>
      <c r="X231">
        <v>-0.15302258700504956</v>
      </c>
      <c r="Y231">
        <v>-0.23761088845889652</v>
      </c>
      <c r="Z231">
        <v>-0.29400308942812786</v>
      </c>
      <c r="AA231">
        <v>-4.9636885228125489E-2</v>
      </c>
      <c r="AB231">
        <v>4.4350116387260025E-2</v>
      </c>
      <c r="AC231">
        <v>8.1944917033414222E-2</v>
      </c>
      <c r="AD231">
        <v>-1.2042084581971294E-2</v>
      </c>
      <c r="AE231">
        <v>2.5552716064182905E-2</v>
      </c>
      <c r="AF231">
        <v>0.11953971767956842</v>
      </c>
      <c r="AG231">
        <v>4.4350116387260025E-2</v>
      </c>
      <c r="AH231">
        <v>1.6154015902644345E-2</v>
      </c>
      <c r="AI231">
        <v>-7.7832985712741151E-2</v>
      </c>
      <c r="AJ231">
        <v>-7.7832985712741151E-2</v>
      </c>
    </row>
    <row r="232" spans="1:36" x14ac:dyDescent="0.35">
      <c r="A232">
        <v>-2.7715376485271365E-2</v>
      </c>
      <c r="B232">
        <v>-0.34099659023582063</v>
      </c>
      <c r="C232">
        <v>-0.17050212312472457</v>
      </c>
      <c r="E232">
        <v>-0.17050212312472457</v>
      </c>
      <c r="F232">
        <v>-0.30357695092938763</v>
      </c>
      <c r="G232">
        <v>-0.17050212312472457</v>
      </c>
      <c r="H232">
        <v>-0.30357695092938763</v>
      </c>
      <c r="I232">
        <v>-0.17050212312472457</v>
      </c>
      <c r="J232">
        <v>-0.17050212312472457</v>
      </c>
      <c r="K232">
        <v>-3.7427295320061491E-2</v>
      </c>
      <c r="L232">
        <v>9.5647532484601588E-2</v>
      </c>
      <c r="M232">
        <v>-0.30357695092938763</v>
      </c>
      <c r="N232">
        <v>9.5647532484601588E-2</v>
      </c>
      <c r="O232">
        <v>0.22872236028926465</v>
      </c>
      <c r="P232">
        <v>0.22872236028926465</v>
      </c>
      <c r="Q232">
        <v>0.36179718809392775</v>
      </c>
      <c r="R232">
        <v>9.5647532484601588E-2</v>
      </c>
      <c r="S232">
        <v>9.5647532484601588E-2</v>
      </c>
      <c r="T232">
        <v>0.22872236028926465</v>
      </c>
      <c r="U232">
        <v>0.22872236028926465</v>
      </c>
      <c r="V232">
        <v>0.22872236028926465</v>
      </c>
      <c r="W232">
        <v>0.22872236028926465</v>
      </c>
      <c r="X232">
        <v>9.5647532484601588E-2</v>
      </c>
      <c r="Y232">
        <v>-3.7427295320061491E-2</v>
      </c>
      <c r="Z232">
        <v>-3.7427295320061491E-2</v>
      </c>
      <c r="AA232">
        <v>-3.7427295320061491E-2</v>
      </c>
      <c r="AB232">
        <v>-3.7427295320061491E-2</v>
      </c>
      <c r="AC232">
        <v>-0.17050212312472457</v>
      </c>
      <c r="AD232">
        <v>-0.17050212312472457</v>
      </c>
      <c r="AE232">
        <v>-0.17050212312472457</v>
      </c>
      <c r="AF232">
        <v>9.5647532484601588E-2</v>
      </c>
      <c r="AG232">
        <v>9.5647532484601588E-2</v>
      </c>
      <c r="AH232">
        <v>-3.7427295320061491E-2</v>
      </c>
      <c r="AI232">
        <v>-3.7427295320061491E-2</v>
      </c>
      <c r="AJ232">
        <v>-3.7427295320061491E-2</v>
      </c>
    </row>
    <row r="233" spans="1:36" x14ac:dyDescent="0.35">
      <c r="A233">
        <v>0.14505580160473183</v>
      </c>
      <c r="B233">
        <v>5.3748816548798581E-2</v>
      </c>
      <c r="C233">
        <v>-0.30357695092938763</v>
      </c>
    </row>
    <row r="234" spans="1:36" x14ac:dyDescent="0.35">
      <c r="A234">
        <v>0.2717546655374008</v>
      </c>
      <c r="B234">
        <v>9.1343617194952778E-2</v>
      </c>
      <c r="C234">
        <v>-0.17050212312472457</v>
      </c>
      <c r="E234" t="s">
        <v>85</v>
      </c>
    </row>
    <row r="235" spans="1:36" x14ac:dyDescent="0.35">
      <c r="A235">
        <v>0.30054986188573463</v>
      </c>
      <c r="B235">
        <v>0.15713451832572262</v>
      </c>
      <c r="C235">
        <v>-0.17050212312472457</v>
      </c>
      <c r="E235">
        <f t="array" ref="E235:G237">MMULT(E230:AJ232,A230:C261)</f>
        <v>1</v>
      </c>
      <c r="F235">
        <v>8.5829273697665007E-2</v>
      </c>
      <c r="G235">
        <v>-3.0894821102476447E-2</v>
      </c>
    </row>
    <row r="236" spans="1:36" x14ac:dyDescent="0.35">
      <c r="A236">
        <v>0.13353772306539827</v>
      </c>
      <c r="B236">
        <v>0.29811502074880092</v>
      </c>
      <c r="C236">
        <v>-3.7427295320061491E-2</v>
      </c>
      <c r="E236">
        <v>8.5829273697665007E-2</v>
      </c>
      <c r="F236">
        <v>1.0000000000000002</v>
      </c>
      <c r="G236">
        <v>-9.5719961352381255E-2</v>
      </c>
    </row>
    <row r="237" spans="1:36" x14ac:dyDescent="0.35">
      <c r="A237">
        <v>0.10474252671706442</v>
      </c>
      <c r="B237">
        <v>0.27931762042572378</v>
      </c>
      <c r="C237">
        <v>9.5647532484601588E-2</v>
      </c>
      <c r="E237">
        <v>-3.0894821102476447E-2</v>
      </c>
      <c r="F237">
        <v>-9.5719961352381255E-2</v>
      </c>
      <c r="G237">
        <v>0.99999999999999989</v>
      </c>
    </row>
    <row r="238" spans="1:36" x14ac:dyDescent="0.35">
      <c r="A238">
        <v>0.2314413906497334</v>
      </c>
      <c r="B238">
        <v>0.30751372091033952</v>
      </c>
      <c r="C238">
        <v>-0.30357695092938763</v>
      </c>
    </row>
    <row r="239" spans="1:36" x14ac:dyDescent="0.35">
      <c r="A239">
        <v>6.4429251829397002E-2</v>
      </c>
      <c r="B239">
        <v>0.16653321848726119</v>
      </c>
      <c r="C239">
        <v>9.5647532484601588E-2</v>
      </c>
      <c r="E239" t="s">
        <v>86</v>
      </c>
      <c r="F239">
        <f>MDETERM(E235:G237)</f>
        <v>0.98302417222928129</v>
      </c>
    </row>
    <row r="240" spans="1:36" x14ac:dyDescent="0.35">
      <c r="A240">
        <v>-6.226961210327199E-2</v>
      </c>
      <c r="B240">
        <v>-2.6433844204327346E-3</v>
      </c>
      <c r="C240">
        <v>0.22872236028926465</v>
      </c>
      <c r="E240" s="7" t="s">
        <v>87</v>
      </c>
      <c r="F240">
        <f>-(31-(6+5)/6)*LN(F239)</f>
        <v>0.49937909214493936</v>
      </c>
    </row>
    <row r="241" spans="1:11" x14ac:dyDescent="0.35">
      <c r="A241">
        <v>0.13929676233506502</v>
      </c>
      <c r="B241">
        <v>0.1477358181641841</v>
      </c>
      <c r="C241">
        <v>0.22872236028926465</v>
      </c>
      <c r="E241" s="7" t="s">
        <v>88</v>
      </c>
      <c r="F241">
        <f>11.3</f>
        <v>11.3</v>
      </c>
    </row>
    <row r="242" spans="1:11" x14ac:dyDescent="0.35">
      <c r="A242">
        <v>9.3224448177730859E-2</v>
      </c>
      <c r="B242">
        <v>0.25112151994110815</v>
      </c>
      <c r="C242">
        <v>0.36179718809392775</v>
      </c>
    </row>
    <row r="243" spans="1:11" x14ac:dyDescent="0.35">
      <c r="A243">
        <v>0.2084052335710663</v>
      </c>
      <c r="B243">
        <v>9.1343617194952778E-2</v>
      </c>
      <c r="C243">
        <v>9.5647532484601588E-2</v>
      </c>
      <c r="E243" t="s">
        <v>89</v>
      </c>
    </row>
    <row r="244" spans="1:11" x14ac:dyDescent="0.35">
      <c r="A244">
        <v>0.2314413906497334</v>
      </c>
      <c r="B244">
        <v>-0.3879900910435134</v>
      </c>
      <c r="C244">
        <v>9.5647532484601588E-2</v>
      </c>
      <c r="E244">
        <f t="array" ref="E244:G246">MINVERSE(E235:G237)</f>
        <v>1.0079484482580912</v>
      </c>
      <c r="F244">
        <v>-8.4303138169849676E-2</v>
      </c>
      <c r="G244">
        <v>2.307089386195E-2</v>
      </c>
    </row>
    <row r="245" spans="1:11" x14ac:dyDescent="0.35">
      <c r="A245">
        <v>9.3224448177730859E-2</v>
      </c>
      <c r="B245">
        <v>-0.27520568910505078</v>
      </c>
      <c r="C245">
        <v>0.22872236028926465</v>
      </c>
      <c r="E245">
        <v>-8.430313816984969E-2</v>
      </c>
      <c r="F245">
        <v>1.0162980100107117</v>
      </c>
      <c r="G245">
        <v>9.4675475868592457E-2</v>
      </c>
    </row>
    <row r="246" spans="1:11" x14ac:dyDescent="0.35">
      <c r="A246">
        <v>-1.619729794593781E-2</v>
      </c>
      <c r="B246">
        <v>-7.7832985712741151E-2</v>
      </c>
      <c r="C246">
        <v>0.22872236028926465</v>
      </c>
      <c r="E246">
        <v>2.3070893861950003E-2</v>
      </c>
      <c r="F246">
        <v>9.4675475868592457E-2</v>
      </c>
      <c r="G246">
        <v>1.0097751040296992</v>
      </c>
    </row>
    <row r="247" spans="1:11" x14ac:dyDescent="0.35">
      <c r="A247">
        <v>-0.11410096553027295</v>
      </c>
      <c r="B247">
        <v>-0.13422518668197247</v>
      </c>
      <c r="C247">
        <v>0.22872236028926465</v>
      </c>
    </row>
    <row r="248" spans="1:11" x14ac:dyDescent="0.35">
      <c r="A248">
        <v>-0.15441424041794036</v>
      </c>
      <c r="B248">
        <v>-8.7231685874279707E-2</v>
      </c>
      <c r="C248">
        <v>0.22872236028926465</v>
      </c>
      <c r="E248" t="s">
        <v>90</v>
      </c>
      <c r="F248">
        <f>(E244-1)*((32-3)/(3-1))</f>
        <v>0.11525249974232177</v>
      </c>
      <c r="G248" t="s">
        <v>94</v>
      </c>
      <c r="H248">
        <v>19.45</v>
      </c>
      <c r="I248">
        <f>FINV(0.05,29,2)</f>
        <v>19.461263317877933</v>
      </c>
    </row>
    <row r="249" spans="1:11" x14ac:dyDescent="0.35">
      <c r="A249">
        <v>-1.0438258676271045E-2</v>
      </c>
      <c r="B249">
        <v>-0.15302258700504956</v>
      </c>
      <c r="C249">
        <v>9.5647532484601588E-2</v>
      </c>
      <c r="E249" t="s">
        <v>91</v>
      </c>
      <c r="F249">
        <f>(F245-1)*((32-3)/(3-1))</f>
        <v>0.23632114515532021</v>
      </c>
    </row>
    <row r="250" spans="1:11" x14ac:dyDescent="0.35">
      <c r="A250">
        <v>0.13353772306539827</v>
      </c>
      <c r="B250">
        <v>-0.23761088845889652</v>
      </c>
      <c r="C250">
        <v>-3.7427295320061491E-2</v>
      </c>
      <c r="E250" t="s">
        <v>92</v>
      </c>
      <c r="F250">
        <f>(G246-1)*((32-3)/(3-1))</f>
        <v>0.14173900843063791</v>
      </c>
    </row>
    <row r="251" spans="1:11" x14ac:dyDescent="0.35">
      <c r="A251">
        <v>0.1853690764923992</v>
      </c>
      <c r="B251">
        <v>-0.29400308942812786</v>
      </c>
      <c r="C251">
        <v>-3.7427295320061491E-2</v>
      </c>
    </row>
    <row r="252" spans="1:11" x14ac:dyDescent="0.35">
      <c r="A252">
        <v>-2.1956337215604589E-2</v>
      </c>
      <c r="B252">
        <v>-4.9636885228125489E-2</v>
      </c>
      <c r="C252">
        <v>-3.7427295320061491E-2</v>
      </c>
    </row>
    <row r="253" spans="1:11" x14ac:dyDescent="0.35">
      <c r="A253">
        <v>-0.16593231895727392</v>
      </c>
      <c r="B253">
        <v>4.4350116387260025E-2</v>
      </c>
      <c r="C253">
        <v>-3.7427295320061491E-2</v>
      </c>
    </row>
    <row r="254" spans="1:11" x14ac:dyDescent="0.35">
      <c r="A254">
        <v>-0.32718541850794353</v>
      </c>
      <c r="B254">
        <v>8.1944917033414222E-2</v>
      </c>
      <c r="C254">
        <v>-0.17050212312472457</v>
      </c>
      <c r="E254" t="s">
        <v>95</v>
      </c>
      <c r="F254">
        <f>-(F244)/(E244*F245)^0.5</f>
        <v>8.3294062332951987E-2</v>
      </c>
      <c r="H254" t="s">
        <v>101</v>
      </c>
      <c r="I254">
        <f>(ABS(F254)*(32-3)^0.5)/(1-F254^2)^0.5</f>
        <v>0.45011640229691374</v>
      </c>
      <c r="J254" t="s">
        <v>107</v>
      </c>
      <c r="K254">
        <f>TINV(0.05,29)</f>
        <v>2.0452296421327048</v>
      </c>
    </row>
    <row r="255" spans="1:11" x14ac:dyDescent="0.35">
      <c r="A255">
        <v>-0.33870349704727709</v>
      </c>
      <c r="B255">
        <v>-1.2042084581971294E-2</v>
      </c>
      <c r="C255">
        <v>-0.17050212312472457</v>
      </c>
      <c r="E255" t="s">
        <v>96</v>
      </c>
      <c r="F255">
        <f>-(G244)/(E244*G246)^0.5</f>
        <v>-2.2868250003813727E-2</v>
      </c>
      <c r="H255" t="s">
        <v>102</v>
      </c>
      <c r="I255">
        <f>(ABS(F255)*(32-3)^0.5)/(1-F255^2)^0.5</f>
        <v>0.12318150864078799</v>
      </c>
    </row>
    <row r="256" spans="1:11" x14ac:dyDescent="0.35">
      <c r="A256">
        <v>-0.26959502581127581</v>
      </c>
      <c r="B256">
        <v>2.5552716064182905E-2</v>
      </c>
      <c r="C256">
        <v>-0.17050212312472457</v>
      </c>
      <c r="H256" t="s">
        <v>103</v>
      </c>
      <c r="I256" s="23">
        <f t="shared" ref="I256" si="49">(ABS(F256)*(32-4)^0.5)/(1-F256^2)^0.5</f>
        <v>0</v>
      </c>
    </row>
    <row r="257" spans="1:14" x14ac:dyDescent="0.35">
      <c r="A257">
        <v>-0.27535406508094257</v>
      </c>
      <c r="B257">
        <v>0.11953971767956842</v>
      </c>
      <c r="C257">
        <v>9.5647532484601588E-2</v>
      </c>
      <c r="E257" t="s">
        <v>97</v>
      </c>
      <c r="F257">
        <f>-(G245)/(F245*G246)^0.5</f>
        <v>-9.3457601184304739E-2</v>
      </c>
      <c r="H257" t="s">
        <v>104</v>
      </c>
      <c r="I257">
        <f>(ABS(F257)*(32-3)^0.5)/(1-F257^2)^0.5</f>
        <v>0.50549701362078137</v>
      </c>
    </row>
    <row r="258" spans="1:14" x14ac:dyDescent="0.35">
      <c r="A258">
        <v>-0.17169135822694068</v>
      </c>
      <c r="B258">
        <v>4.4350116387260025E-2</v>
      </c>
      <c r="C258">
        <v>9.5647532484601588E-2</v>
      </c>
    </row>
    <row r="259" spans="1:14" x14ac:dyDescent="0.35">
      <c r="A259">
        <v>-3.9233455024604909E-2</v>
      </c>
      <c r="B259">
        <v>1.6154015902644345E-2</v>
      </c>
      <c r="C259">
        <v>-3.7427295320061491E-2</v>
      </c>
    </row>
    <row r="260" spans="1:14" x14ac:dyDescent="0.35">
      <c r="A260">
        <v>-0.18896847603594097</v>
      </c>
      <c r="B260">
        <v>-7.7832985712741151E-2</v>
      </c>
      <c r="C260">
        <v>-3.7427295320061491E-2</v>
      </c>
    </row>
    <row r="261" spans="1:14" x14ac:dyDescent="0.35">
      <c r="A261">
        <v>-0.18320943676627421</v>
      </c>
      <c r="B261">
        <v>-7.7832985712741151E-2</v>
      </c>
      <c r="C261">
        <v>-3.7427295320061491E-2</v>
      </c>
    </row>
    <row r="263" spans="1:14" x14ac:dyDescent="0.35">
      <c r="A263" t="s">
        <v>108</v>
      </c>
    </row>
    <row r="264" spans="1:14" ht="29.5" thickBot="1" x14ac:dyDescent="0.4">
      <c r="A264" s="20" t="s">
        <v>109</v>
      </c>
      <c r="B264" t="s">
        <v>110</v>
      </c>
      <c r="C264" s="36" t="s">
        <v>111</v>
      </c>
      <c r="D264" t="s">
        <v>112</v>
      </c>
      <c r="E264" t="s">
        <v>113</v>
      </c>
      <c r="F264" t="s">
        <v>114</v>
      </c>
      <c r="G264" t="s">
        <v>115</v>
      </c>
      <c r="H264" t="s">
        <v>116</v>
      </c>
      <c r="K264" s="3" t="s">
        <v>12</v>
      </c>
      <c r="L264" s="35" t="s">
        <v>52</v>
      </c>
      <c r="M264" s="33" t="s">
        <v>56</v>
      </c>
      <c r="N264" s="35" t="s">
        <v>53</v>
      </c>
    </row>
    <row r="265" spans="1:14" ht="15.5" x14ac:dyDescent="0.35">
      <c r="A265" s="5">
        <v>1.7</v>
      </c>
      <c r="B265">
        <v>2.2999999999999998</v>
      </c>
      <c r="C265">
        <v>2</v>
      </c>
      <c r="D265">
        <f>B265^2</f>
        <v>5.2899999999999991</v>
      </c>
      <c r="E265">
        <f>C265^2</f>
        <v>4</v>
      </c>
      <c r="F265">
        <f>B265*C265</f>
        <v>4.5999999999999996</v>
      </c>
      <c r="G265">
        <f>A265*B265</f>
        <v>3.9099999999999997</v>
      </c>
      <c r="H265">
        <f>A265*C265</f>
        <v>3.4</v>
      </c>
      <c r="K265" s="21">
        <v>0.33333333333333331</v>
      </c>
      <c r="L265" s="24">
        <v>1.2</v>
      </c>
      <c r="M265" s="24">
        <f>1.764+0.136*-1-0.053*1</f>
        <v>1.5750000000000002</v>
      </c>
      <c r="N265" s="24">
        <f>(ABS(M265-L265)/ABS(L265))*100</f>
        <v>31.250000000000021</v>
      </c>
    </row>
    <row r="266" spans="1:14" ht="15.5" x14ac:dyDescent="0.35">
      <c r="A266" s="5">
        <v>2.6</v>
      </c>
      <c r="B266">
        <v>2.2999999999999998</v>
      </c>
      <c r="C266">
        <v>1</v>
      </c>
      <c r="D266">
        <f t="shared" ref="D266:D296" si="50">B266^2</f>
        <v>5.2899999999999991</v>
      </c>
      <c r="E266">
        <f t="shared" ref="E266:E296" si="51">C266^2</f>
        <v>1</v>
      </c>
      <c r="F266">
        <f t="shared" ref="F266:F296" si="52">B266*C266</f>
        <v>2.2999999999999998</v>
      </c>
      <c r="G266">
        <f t="shared" ref="G266:G296" si="53">A266*B266</f>
        <v>5.9799999999999995</v>
      </c>
      <c r="H266">
        <f t="shared" ref="H266:H296" si="54">A266*C266</f>
        <v>2.6</v>
      </c>
      <c r="K266" s="37">
        <v>0.45833333333333331</v>
      </c>
      <c r="L266" s="38">
        <v>5</v>
      </c>
      <c r="M266" s="24">
        <f>1.764+0.136*0.2-0.053*2</f>
        <v>1.6851999999999998</v>
      </c>
      <c r="N266" s="38">
        <f>(ABS(M266-L266)/ABS(L266))*100</f>
        <v>66.295999999999992</v>
      </c>
    </row>
    <row r="267" spans="1:14" ht="15.5" x14ac:dyDescent="0.35">
      <c r="A267" s="5">
        <v>1.4</v>
      </c>
      <c r="B267">
        <v>-1.5</v>
      </c>
      <c r="C267">
        <v>2</v>
      </c>
      <c r="D267">
        <f t="shared" si="50"/>
        <v>2.25</v>
      </c>
      <c r="E267">
        <f t="shared" si="51"/>
        <v>4</v>
      </c>
      <c r="F267">
        <f t="shared" si="52"/>
        <v>-3</v>
      </c>
      <c r="G267">
        <f t="shared" si="53"/>
        <v>-2.0999999999999996</v>
      </c>
      <c r="H267">
        <f t="shared" si="54"/>
        <v>2.8</v>
      </c>
      <c r="K267" s="39"/>
      <c r="L267" s="40"/>
      <c r="M267" s="40"/>
      <c r="N267" s="40"/>
    </row>
    <row r="268" spans="1:14" x14ac:dyDescent="0.35">
      <c r="A268" s="5">
        <v>4.4000000000000004</v>
      </c>
      <c r="B268">
        <v>2.7</v>
      </c>
      <c r="C268">
        <v>1</v>
      </c>
      <c r="D268">
        <f t="shared" si="50"/>
        <v>7.2900000000000009</v>
      </c>
      <c r="E268">
        <f t="shared" si="51"/>
        <v>1</v>
      </c>
      <c r="F268">
        <f t="shared" si="52"/>
        <v>2.7</v>
      </c>
      <c r="G268">
        <f t="shared" si="53"/>
        <v>11.880000000000003</v>
      </c>
      <c r="H268">
        <f t="shared" si="54"/>
        <v>4.4000000000000004</v>
      </c>
    </row>
    <row r="269" spans="1:14" x14ac:dyDescent="0.35">
      <c r="A269" s="5">
        <v>6.6</v>
      </c>
      <c r="B269">
        <v>3.1</v>
      </c>
      <c r="C269">
        <v>2</v>
      </c>
      <c r="D269">
        <f t="shared" si="50"/>
        <v>9.6100000000000012</v>
      </c>
      <c r="E269">
        <f t="shared" si="51"/>
        <v>4</v>
      </c>
      <c r="F269">
        <f t="shared" si="52"/>
        <v>6.2</v>
      </c>
      <c r="G269">
        <f t="shared" si="53"/>
        <v>20.46</v>
      </c>
      <c r="H269">
        <f t="shared" si="54"/>
        <v>13.2</v>
      </c>
    </row>
    <row r="270" spans="1:14" x14ac:dyDescent="0.35">
      <c r="A270" s="5">
        <v>7.1</v>
      </c>
      <c r="B270">
        <v>3.8</v>
      </c>
      <c r="C270">
        <v>2</v>
      </c>
      <c r="D270">
        <f t="shared" si="50"/>
        <v>14.44</v>
      </c>
      <c r="E270">
        <f t="shared" si="51"/>
        <v>4</v>
      </c>
      <c r="F270">
        <f t="shared" si="52"/>
        <v>7.6</v>
      </c>
      <c r="G270">
        <f t="shared" si="53"/>
        <v>26.979999999999997</v>
      </c>
      <c r="H270">
        <f t="shared" si="54"/>
        <v>14.2</v>
      </c>
    </row>
    <row r="271" spans="1:14" x14ac:dyDescent="0.35">
      <c r="A271" s="5">
        <v>4.2</v>
      </c>
      <c r="B271">
        <v>5.3</v>
      </c>
      <c r="C271">
        <v>3</v>
      </c>
      <c r="D271">
        <f t="shared" si="50"/>
        <v>28.09</v>
      </c>
      <c r="E271">
        <f t="shared" si="51"/>
        <v>9</v>
      </c>
      <c r="F271">
        <f t="shared" si="52"/>
        <v>15.899999999999999</v>
      </c>
      <c r="G271">
        <f t="shared" si="53"/>
        <v>22.26</v>
      </c>
      <c r="H271">
        <f t="shared" si="54"/>
        <v>12.600000000000001</v>
      </c>
    </row>
    <row r="272" spans="1:14" x14ac:dyDescent="0.35">
      <c r="A272" s="5">
        <v>3.7</v>
      </c>
      <c r="B272">
        <v>5.0999999999999996</v>
      </c>
      <c r="C272">
        <v>4</v>
      </c>
      <c r="D272">
        <f t="shared" si="50"/>
        <v>26.009999999999998</v>
      </c>
      <c r="E272">
        <f t="shared" si="51"/>
        <v>16</v>
      </c>
      <c r="F272">
        <f t="shared" si="52"/>
        <v>20.399999999999999</v>
      </c>
      <c r="G272">
        <f t="shared" si="53"/>
        <v>18.87</v>
      </c>
      <c r="H272">
        <f t="shared" si="54"/>
        <v>14.8</v>
      </c>
    </row>
    <row r="273" spans="1:8" x14ac:dyDescent="0.35">
      <c r="A273" s="5">
        <v>5.9</v>
      </c>
      <c r="B273">
        <v>5.4</v>
      </c>
      <c r="C273">
        <v>1</v>
      </c>
      <c r="D273">
        <f t="shared" si="50"/>
        <v>29.160000000000004</v>
      </c>
      <c r="E273">
        <f t="shared" si="51"/>
        <v>1</v>
      </c>
      <c r="F273">
        <f t="shared" si="52"/>
        <v>5.4</v>
      </c>
      <c r="G273">
        <f t="shared" si="53"/>
        <v>31.860000000000003</v>
      </c>
      <c r="H273">
        <f t="shared" si="54"/>
        <v>5.9</v>
      </c>
    </row>
    <row r="274" spans="1:8" x14ac:dyDescent="0.35">
      <c r="A274" s="5">
        <v>3</v>
      </c>
      <c r="B274">
        <v>3.9</v>
      </c>
      <c r="C274">
        <v>4</v>
      </c>
      <c r="D274">
        <f t="shared" si="50"/>
        <v>15.209999999999999</v>
      </c>
      <c r="E274">
        <f t="shared" si="51"/>
        <v>16</v>
      </c>
      <c r="F274">
        <f t="shared" si="52"/>
        <v>15.6</v>
      </c>
      <c r="G274">
        <f t="shared" si="53"/>
        <v>11.7</v>
      </c>
      <c r="H274">
        <f t="shared" si="54"/>
        <v>12</v>
      </c>
    </row>
    <row r="275" spans="1:8" x14ac:dyDescent="0.35">
      <c r="A275" s="5">
        <v>0.8</v>
      </c>
      <c r="B275">
        <v>2.1</v>
      </c>
      <c r="C275">
        <v>5</v>
      </c>
      <c r="D275">
        <f t="shared" si="50"/>
        <v>4.41</v>
      </c>
      <c r="E275">
        <f t="shared" si="51"/>
        <v>25</v>
      </c>
      <c r="F275">
        <f t="shared" si="52"/>
        <v>10.5</v>
      </c>
      <c r="G275">
        <f t="shared" si="53"/>
        <v>1.6800000000000002</v>
      </c>
      <c r="H275">
        <f t="shared" si="54"/>
        <v>4</v>
      </c>
    </row>
    <row r="276" spans="1:8" x14ac:dyDescent="0.35">
      <c r="A276" s="5">
        <v>4.3</v>
      </c>
      <c r="B276">
        <v>3.7</v>
      </c>
      <c r="C276">
        <v>5</v>
      </c>
      <c r="D276">
        <f t="shared" si="50"/>
        <v>13.690000000000001</v>
      </c>
      <c r="E276">
        <f t="shared" si="51"/>
        <v>25</v>
      </c>
      <c r="F276">
        <f t="shared" si="52"/>
        <v>18.5</v>
      </c>
      <c r="G276">
        <f t="shared" si="53"/>
        <v>15.91</v>
      </c>
      <c r="H276">
        <f t="shared" si="54"/>
        <v>21.5</v>
      </c>
    </row>
    <row r="277" spans="1:8" x14ac:dyDescent="0.35">
      <c r="A277" s="5">
        <v>3.5</v>
      </c>
      <c r="B277">
        <v>4.8</v>
      </c>
      <c r="C277">
        <v>6</v>
      </c>
      <c r="D277">
        <f t="shared" si="50"/>
        <v>23.04</v>
      </c>
      <c r="E277">
        <f t="shared" si="51"/>
        <v>36</v>
      </c>
      <c r="F277">
        <f t="shared" si="52"/>
        <v>28.799999999999997</v>
      </c>
      <c r="G277">
        <f t="shared" si="53"/>
        <v>16.8</v>
      </c>
      <c r="H277">
        <f t="shared" si="54"/>
        <v>21</v>
      </c>
    </row>
    <row r="278" spans="1:8" x14ac:dyDescent="0.35">
      <c r="A278" s="5">
        <v>5.5</v>
      </c>
      <c r="B278">
        <v>3.1</v>
      </c>
      <c r="C278">
        <v>4</v>
      </c>
      <c r="D278">
        <f t="shared" si="50"/>
        <v>9.6100000000000012</v>
      </c>
      <c r="E278">
        <f t="shared" si="51"/>
        <v>16</v>
      </c>
      <c r="F278">
        <f t="shared" si="52"/>
        <v>12.4</v>
      </c>
      <c r="G278">
        <f t="shared" si="53"/>
        <v>17.05</v>
      </c>
      <c r="H278">
        <f t="shared" si="54"/>
        <v>22</v>
      </c>
    </row>
    <row r="279" spans="1:8" x14ac:dyDescent="0.35">
      <c r="A279" s="5">
        <v>5.9</v>
      </c>
      <c r="B279">
        <v>-2</v>
      </c>
      <c r="C279">
        <v>4</v>
      </c>
      <c r="D279">
        <f t="shared" si="50"/>
        <v>4</v>
      </c>
      <c r="E279">
        <f t="shared" si="51"/>
        <v>16</v>
      </c>
      <c r="F279">
        <f t="shared" si="52"/>
        <v>-8</v>
      </c>
      <c r="G279">
        <f t="shared" si="53"/>
        <v>-11.8</v>
      </c>
      <c r="H279">
        <f t="shared" si="54"/>
        <v>23.6</v>
      </c>
    </row>
    <row r="280" spans="1:8" x14ac:dyDescent="0.35">
      <c r="A280" s="5">
        <v>3.5</v>
      </c>
      <c r="B280">
        <v>-0.8</v>
      </c>
      <c r="C280">
        <v>5</v>
      </c>
      <c r="D280">
        <f t="shared" si="50"/>
        <v>0.64000000000000012</v>
      </c>
      <c r="E280">
        <f t="shared" si="51"/>
        <v>25</v>
      </c>
      <c r="F280">
        <f t="shared" si="52"/>
        <v>-4</v>
      </c>
      <c r="G280">
        <f t="shared" si="53"/>
        <v>-2.8000000000000003</v>
      </c>
      <c r="H280">
        <f t="shared" si="54"/>
        <v>17.5</v>
      </c>
    </row>
    <row r="281" spans="1:8" x14ac:dyDescent="0.35">
      <c r="A281" s="5">
        <v>1.6</v>
      </c>
      <c r="B281">
        <v>1.3</v>
      </c>
      <c r="C281">
        <v>5</v>
      </c>
      <c r="D281">
        <f t="shared" si="50"/>
        <v>1.6900000000000002</v>
      </c>
      <c r="E281">
        <f t="shared" si="51"/>
        <v>25</v>
      </c>
      <c r="F281">
        <f t="shared" si="52"/>
        <v>6.5</v>
      </c>
      <c r="G281">
        <f t="shared" si="53"/>
        <v>2.08</v>
      </c>
      <c r="H281">
        <f t="shared" si="54"/>
        <v>8</v>
      </c>
    </row>
    <row r="282" spans="1:8" x14ac:dyDescent="0.35">
      <c r="A282" s="5">
        <v>-0.1</v>
      </c>
      <c r="B282">
        <v>0.7</v>
      </c>
      <c r="C282">
        <v>5</v>
      </c>
      <c r="D282">
        <f t="shared" si="50"/>
        <v>0.48999999999999994</v>
      </c>
      <c r="E282">
        <f t="shared" si="51"/>
        <v>25</v>
      </c>
      <c r="F282">
        <f t="shared" si="52"/>
        <v>3.5</v>
      </c>
      <c r="G282">
        <f t="shared" si="53"/>
        <v>-6.9999999999999993E-2</v>
      </c>
      <c r="H282">
        <f t="shared" si="54"/>
        <v>-0.5</v>
      </c>
    </row>
    <row r="283" spans="1:8" x14ac:dyDescent="0.35">
      <c r="A283" s="5">
        <v>-0.8</v>
      </c>
      <c r="B283">
        <v>1.2</v>
      </c>
      <c r="C283">
        <v>5</v>
      </c>
      <c r="D283">
        <f t="shared" si="50"/>
        <v>1.44</v>
      </c>
      <c r="E283">
        <f t="shared" si="51"/>
        <v>25</v>
      </c>
      <c r="F283">
        <f t="shared" si="52"/>
        <v>6</v>
      </c>
      <c r="G283">
        <f t="shared" si="53"/>
        <v>-0.96</v>
      </c>
      <c r="H283">
        <f t="shared" si="54"/>
        <v>-4</v>
      </c>
    </row>
    <row r="284" spans="1:8" x14ac:dyDescent="0.35">
      <c r="A284" s="5">
        <v>1.7</v>
      </c>
      <c r="B284">
        <v>0.5</v>
      </c>
      <c r="C284">
        <v>4</v>
      </c>
      <c r="D284">
        <f t="shared" si="50"/>
        <v>0.25</v>
      </c>
      <c r="E284">
        <f t="shared" si="51"/>
        <v>16</v>
      </c>
      <c r="F284">
        <f t="shared" si="52"/>
        <v>2</v>
      </c>
      <c r="G284">
        <f t="shared" si="53"/>
        <v>0.85</v>
      </c>
      <c r="H284">
        <f t="shared" si="54"/>
        <v>6.8</v>
      </c>
    </row>
    <row r="285" spans="1:8" x14ac:dyDescent="0.35">
      <c r="A285" s="5">
        <v>4.2</v>
      </c>
      <c r="B285">
        <v>-0.4</v>
      </c>
      <c r="C285">
        <v>3</v>
      </c>
      <c r="D285">
        <f t="shared" si="50"/>
        <v>0.16000000000000003</v>
      </c>
      <c r="E285">
        <f t="shared" si="51"/>
        <v>9</v>
      </c>
      <c r="F285">
        <f t="shared" si="52"/>
        <v>-1.2000000000000002</v>
      </c>
      <c r="G285">
        <f t="shared" si="53"/>
        <v>-1.6800000000000002</v>
      </c>
      <c r="H285">
        <f t="shared" si="54"/>
        <v>12.600000000000001</v>
      </c>
    </row>
    <row r="286" spans="1:8" x14ac:dyDescent="0.35">
      <c r="A286" s="5">
        <v>5.0999999999999996</v>
      </c>
      <c r="B286">
        <v>-1</v>
      </c>
      <c r="C286">
        <v>3</v>
      </c>
      <c r="D286">
        <f t="shared" si="50"/>
        <v>1</v>
      </c>
      <c r="E286">
        <f t="shared" si="51"/>
        <v>9</v>
      </c>
      <c r="F286">
        <f t="shared" si="52"/>
        <v>-3</v>
      </c>
      <c r="G286">
        <f t="shared" si="53"/>
        <v>-5.0999999999999996</v>
      </c>
      <c r="H286">
        <f t="shared" si="54"/>
        <v>15.299999999999999</v>
      </c>
    </row>
    <row r="287" spans="1:8" x14ac:dyDescent="0.35">
      <c r="A287" s="5">
        <v>1.5</v>
      </c>
      <c r="B287">
        <v>1.6</v>
      </c>
      <c r="C287">
        <v>3</v>
      </c>
      <c r="D287">
        <f t="shared" si="50"/>
        <v>2.5600000000000005</v>
      </c>
      <c r="E287">
        <f t="shared" si="51"/>
        <v>9</v>
      </c>
      <c r="F287">
        <f t="shared" si="52"/>
        <v>4.8000000000000007</v>
      </c>
      <c r="G287">
        <f t="shared" si="53"/>
        <v>2.4000000000000004</v>
      </c>
      <c r="H287">
        <f t="shared" si="54"/>
        <v>4.5</v>
      </c>
    </row>
    <row r="288" spans="1:8" x14ac:dyDescent="0.35">
      <c r="A288" s="5">
        <v>-1</v>
      </c>
      <c r="B288">
        <v>2.6</v>
      </c>
      <c r="C288">
        <v>3</v>
      </c>
      <c r="D288">
        <f t="shared" si="50"/>
        <v>6.7600000000000007</v>
      </c>
      <c r="E288">
        <f t="shared" si="51"/>
        <v>9</v>
      </c>
      <c r="F288">
        <f t="shared" si="52"/>
        <v>7.8000000000000007</v>
      </c>
      <c r="G288">
        <f t="shared" si="53"/>
        <v>-2.6</v>
      </c>
      <c r="H288">
        <f t="shared" si="54"/>
        <v>-3</v>
      </c>
    </row>
    <row r="289" spans="1:8" x14ac:dyDescent="0.35">
      <c r="A289" s="5">
        <v>-3.8</v>
      </c>
      <c r="B289">
        <v>3</v>
      </c>
      <c r="C289">
        <v>2</v>
      </c>
      <c r="D289">
        <f t="shared" si="50"/>
        <v>9</v>
      </c>
      <c r="E289">
        <f t="shared" si="51"/>
        <v>4</v>
      </c>
      <c r="F289">
        <f t="shared" si="52"/>
        <v>6</v>
      </c>
      <c r="G289">
        <f t="shared" si="53"/>
        <v>-11.399999999999999</v>
      </c>
      <c r="H289">
        <f t="shared" si="54"/>
        <v>-7.6</v>
      </c>
    </row>
    <row r="290" spans="1:8" x14ac:dyDescent="0.35">
      <c r="A290" s="5">
        <v>-4</v>
      </c>
      <c r="B290">
        <v>2</v>
      </c>
      <c r="C290">
        <v>2</v>
      </c>
      <c r="D290">
        <f t="shared" si="50"/>
        <v>4</v>
      </c>
      <c r="E290">
        <f t="shared" si="51"/>
        <v>4</v>
      </c>
      <c r="F290">
        <f t="shared" si="52"/>
        <v>4</v>
      </c>
      <c r="G290">
        <f t="shared" si="53"/>
        <v>-8</v>
      </c>
      <c r="H290">
        <f t="shared" si="54"/>
        <v>-8</v>
      </c>
    </row>
    <row r="291" spans="1:8" x14ac:dyDescent="0.35">
      <c r="A291" s="5">
        <v>-2.8</v>
      </c>
      <c r="B291">
        <v>2.4</v>
      </c>
      <c r="C291">
        <v>2</v>
      </c>
      <c r="D291">
        <f t="shared" si="50"/>
        <v>5.76</v>
      </c>
      <c r="E291">
        <f t="shared" si="51"/>
        <v>4</v>
      </c>
      <c r="F291">
        <f t="shared" si="52"/>
        <v>4.8</v>
      </c>
      <c r="G291">
        <f t="shared" si="53"/>
        <v>-6.72</v>
      </c>
      <c r="H291">
        <f t="shared" si="54"/>
        <v>-5.6</v>
      </c>
    </row>
    <row r="292" spans="1:8" x14ac:dyDescent="0.35">
      <c r="A292" s="5">
        <v>-2.9</v>
      </c>
      <c r="B292">
        <v>3.4</v>
      </c>
      <c r="C292">
        <v>4</v>
      </c>
      <c r="D292">
        <f t="shared" si="50"/>
        <v>11.559999999999999</v>
      </c>
      <c r="E292">
        <f t="shared" si="51"/>
        <v>16</v>
      </c>
      <c r="F292">
        <f t="shared" si="52"/>
        <v>13.6</v>
      </c>
      <c r="G292">
        <f t="shared" si="53"/>
        <v>-9.86</v>
      </c>
      <c r="H292">
        <f t="shared" si="54"/>
        <v>-11.6</v>
      </c>
    </row>
    <row r="293" spans="1:8" x14ac:dyDescent="0.35">
      <c r="A293" s="5">
        <v>-1.1000000000000001</v>
      </c>
      <c r="B293">
        <v>2.6</v>
      </c>
      <c r="C293">
        <v>4</v>
      </c>
      <c r="D293">
        <f t="shared" si="50"/>
        <v>6.7600000000000007</v>
      </c>
      <c r="E293">
        <f t="shared" si="51"/>
        <v>16</v>
      </c>
      <c r="F293">
        <f t="shared" si="52"/>
        <v>10.4</v>
      </c>
      <c r="G293">
        <f t="shared" si="53"/>
        <v>-2.8600000000000003</v>
      </c>
      <c r="H293">
        <f t="shared" si="54"/>
        <v>-4.4000000000000004</v>
      </c>
    </row>
    <row r="294" spans="1:8" x14ac:dyDescent="0.35">
      <c r="A294" s="5">
        <v>1.2</v>
      </c>
      <c r="B294">
        <v>2.2999999999999998</v>
      </c>
      <c r="C294">
        <v>3</v>
      </c>
      <c r="D294">
        <f t="shared" si="50"/>
        <v>5.2899999999999991</v>
      </c>
      <c r="E294">
        <f t="shared" si="51"/>
        <v>9</v>
      </c>
      <c r="F294">
        <f t="shared" si="52"/>
        <v>6.8999999999999995</v>
      </c>
      <c r="G294">
        <f t="shared" si="53"/>
        <v>2.76</v>
      </c>
      <c r="H294">
        <f t="shared" si="54"/>
        <v>3.5999999999999996</v>
      </c>
    </row>
    <row r="295" spans="1:8" x14ac:dyDescent="0.35">
      <c r="A295" s="5">
        <v>-1.4</v>
      </c>
      <c r="B295">
        <v>1.3</v>
      </c>
      <c r="C295">
        <v>3</v>
      </c>
      <c r="D295">
        <f t="shared" si="50"/>
        <v>1.6900000000000002</v>
      </c>
      <c r="E295">
        <f t="shared" si="51"/>
        <v>9</v>
      </c>
      <c r="F295">
        <f t="shared" si="52"/>
        <v>3.9000000000000004</v>
      </c>
      <c r="G295">
        <f t="shared" si="53"/>
        <v>-1.8199999999999998</v>
      </c>
      <c r="H295">
        <f t="shared" si="54"/>
        <v>-4.1999999999999993</v>
      </c>
    </row>
    <row r="296" spans="1:8" x14ac:dyDescent="0.35">
      <c r="A296" s="5">
        <v>-1.3</v>
      </c>
      <c r="B296">
        <v>1.3</v>
      </c>
      <c r="C296">
        <v>3</v>
      </c>
      <c r="D296">
        <f t="shared" si="50"/>
        <v>1.6900000000000002</v>
      </c>
      <c r="E296">
        <f t="shared" si="51"/>
        <v>9</v>
      </c>
      <c r="F296">
        <f t="shared" si="52"/>
        <v>3.9000000000000004</v>
      </c>
      <c r="G296">
        <f t="shared" si="53"/>
        <v>-1.6900000000000002</v>
      </c>
      <c r="H296">
        <f t="shared" si="54"/>
        <v>-3.9000000000000004</v>
      </c>
    </row>
    <row r="297" spans="1:8" x14ac:dyDescent="0.35">
      <c r="A297" s="23">
        <f>SUM(A265:A296)</f>
        <v>60.20000000000001</v>
      </c>
      <c r="B297" s="23">
        <f t="shared" ref="B297:H297" si="55">SUM(B265:B296)</f>
        <v>68.100000000000009</v>
      </c>
      <c r="C297" s="23">
        <f t="shared" si="55"/>
        <v>105</v>
      </c>
      <c r="D297" s="23">
        <f>SUM(D265:D296)</f>
        <v>258.12999999999994</v>
      </c>
      <c r="E297" s="23">
        <f t="shared" si="55"/>
        <v>401</v>
      </c>
      <c r="F297" s="23">
        <f t="shared" si="55"/>
        <v>215.80000000000007</v>
      </c>
      <c r="G297" s="23">
        <f t="shared" si="55"/>
        <v>143.97000000000003</v>
      </c>
      <c r="H297" s="23">
        <f t="shared" si="55"/>
        <v>193.50000000000003</v>
      </c>
    </row>
    <row r="298" spans="1:8" x14ac:dyDescent="0.35">
      <c r="B298">
        <v>0.153</v>
      </c>
    </row>
    <row r="299" spans="1:8" x14ac:dyDescent="0.35">
      <c r="A299" t="s">
        <v>117</v>
      </c>
      <c r="B299">
        <v>0.68300000000000005</v>
      </c>
    </row>
    <row r="300" spans="1:8" x14ac:dyDescent="0.35">
      <c r="B300">
        <v>8.9999999999999993E-3</v>
      </c>
    </row>
    <row r="301" spans="1:8" x14ac:dyDescent="0.35">
      <c r="A301" t="s">
        <v>118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AEE4-E3DD-4B8A-9AF4-3F63A0F0B4F2}">
  <dimension ref="A1:I412"/>
  <sheetViews>
    <sheetView tabSelected="1" topLeftCell="A40" workbookViewId="0">
      <selection activeCell="I68" sqref="I68"/>
    </sheetView>
  </sheetViews>
  <sheetFormatPr defaultRowHeight="14.5" x14ac:dyDescent="0.35"/>
  <cols>
    <col min="16" max="16" width="11.90625" bestFit="1" customWidth="1"/>
  </cols>
  <sheetData>
    <row r="1" spans="1:9" x14ac:dyDescent="0.35">
      <c r="B1" t="s">
        <v>136</v>
      </c>
    </row>
    <row r="2" spans="1:9" x14ac:dyDescent="0.35">
      <c r="B2">
        <v>2021</v>
      </c>
      <c r="C2">
        <v>2022</v>
      </c>
      <c r="D2">
        <v>2023</v>
      </c>
      <c r="E2">
        <v>2024</v>
      </c>
      <c r="F2" s="23" t="s">
        <v>137</v>
      </c>
      <c r="G2" t="s">
        <v>138</v>
      </c>
      <c r="H2" t="s">
        <v>139</v>
      </c>
      <c r="I2" t="s">
        <v>56</v>
      </c>
    </row>
    <row r="3" spans="1:9" x14ac:dyDescent="0.35">
      <c r="A3" t="s">
        <v>124</v>
      </c>
      <c r="B3">
        <v>-9.8000000000000007</v>
      </c>
      <c r="C3">
        <v>0.2</v>
      </c>
      <c r="D3">
        <v>-1.9</v>
      </c>
      <c r="E3">
        <v>0.6</v>
      </c>
      <c r="F3" s="23">
        <f>SUM(B3:E3)</f>
        <v>-10.900000000000002</v>
      </c>
      <c r="G3">
        <f>F3/4</f>
        <v>-2.7250000000000005</v>
      </c>
      <c r="H3">
        <f>(G3/$G$16)*100</f>
        <v>-24.558768306421328</v>
      </c>
      <c r="I3">
        <f t="shared" ref="I3:I14" si="0">(H3*$I$16)/(12*100)</f>
        <v>-3.3932031543372134</v>
      </c>
    </row>
    <row r="4" spans="1:9" x14ac:dyDescent="0.35">
      <c r="A4" t="s">
        <v>125</v>
      </c>
      <c r="B4">
        <v>-10</v>
      </c>
      <c r="C4">
        <v>-2.4</v>
      </c>
      <c r="D4">
        <v>0.7</v>
      </c>
      <c r="E4">
        <v>6.2</v>
      </c>
      <c r="F4" s="23">
        <f t="shared" ref="F4:F14" si="1">SUM(B4:E4)</f>
        <v>-5.5000000000000009</v>
      </c>
      <c r="G4">
        <f t="shared" ref="G4:G14" si="2">F4/4</f>
        <v>-1.3750000000000002</v>
      </c>
      <c r="H4">
        <f t="shared" ref="H4:H14" si="3">(G4/$G$16)*100</f>
        <v>-12.392039053698834</v>
      </c>
      <c r="I4">
        <f t="shared" si="0"/>
        <v>-1.7121667292527225</v>
      </c>
    </row>
    <row r="5" spans="1:9" x14ac:dyDescent="0.35">
      <c r="A5" t="s">
        <v>126</v>
      </c>
      <c r="B5">
        <v>6.5</v>
      </c>
      <c r="C5">
        <v>6.6</v>
      </c>
      <c r="D5">
        <v>6.8</v>
      </c>
      <c r="E5">
        <v>5.2</v>
      </c>
      <c r="F5" s="23">
        <f t="shared" si="1"/>
        <v>25.099999999999998</v>
      </c>
      <c r="G5">
        <f t="shared" si="2"/>
        <v>6.2749999999999995</v>
      </c>
      <c r="H5">
        <f t="shared" si="3"/>
        <v>56.55276004506193</v>
      </c>
      <c r="I5">
        <f t="shared" si="0"/>
        <v>7.8137063462260565</v>
      </c>
    </row>
    <row r="6" spans="1:9" x14ac:dyDescent="0.35">
      <c r="A6" t="s">
        <v>127</v>
      </c>
      <c r="B6">
        <v>7.6</v>
      </c>
      <c r="C6">
        <v>11.9</v>
      </c>
      <c r="D6">
        <v>12.3</v>
      </c>
      <c r="E6">
        <v>16.5</v>
      </c>
      <c r="F6" s="23">
        <f t="shared" si="1"/>
        <v>48.3</v>
      </c>
      <c r="G6">
        <f t="shared" si="2"/>
        <v>12.074999999999999</v>
      </c>
      <c r="H6">
        <f t="shared" si="3"/>
        <v>108.82463387157337</v>
      </c>
      <c r="I6">
        <f t="shared" si="0"/>
        <v>15.035936913255721</v>
      </c>
    </row>
    <row r="7" spans="1:9" x14ac:dyDescent="0.35">
      <c r="A7" t="s">
        <v>128</v>
      </c>
      <c r="B7">
        <v>8.4</v>
      </c>
      <c r="C7">
        <v>15.2</v>
      </c>
      <c r="D7">
        <v>21</v>
      </c>
      <c r="E7">
        <v>17</v>
      </c>
      <c r="F7" s="23">
        <f t="shared" si="1"/>
        <v>61.6</v>
      </c>
      <c r="G7">
        <f t="shared" si="2"/>
        <v>15.4</v>
      </c>
      <c r="H7">
        <f t="shared" si="3"/>
        <v>138.79083740142693</v>
      </c>
      <c r="I7">
        <f t="shared" si="0"/>
        <v>19.176267367630491</v>
      </c>
    </row>
    <row r="8" spans="1:9" x14ac:dyDescent="0.35">
      <c r="A8" t="s">
        <v>129</v>
      </c>
      <c r="B8">
        <v>27.1</v>
      </c>
      <c r="C8">
        <v>23.1</v>
      </c>
      <c r="D8">
        <v>21.7</v>
      </c>
      <c r="E8">
        <v>21.1</v>
      </c>
      <c r="F8" s="23">
        <f t="shared" si="1"/>
        <v>93</v>
      </c>
      <c r="G8">
        <f t="shared" si="2"/>
        <v>23.25</v>
      </c>
      <c r="H8">
        <f t="shared" si="3"/>
        <v>209.53811490799845</v>
      </c>
      <c r="I8">
        <f t="shared" si="0"/>
        <v>28.951182876455121</v>
      </c>
    </row>
    <row r="9" spans="1:9" x14ac:dyDescent="0.35">
      <c r="A9" t="s">
        <v>130</v>
      </c>
      <c r="B9">
        <v>31.5</v>
      </c>
      <c r="C9">
        <v>20.6</v>
      </c>
      <c r="D9">
        <v>26.3</v>
      </c>
      <c r="E9">
        <v>33.200000000000003</v>
      </c>
      <c r="F9" s="23">
        <f t="shared" si="1"/>
        <v>111.60000000000001</v>
      </c>
      <c r="G9">
        <f t="shared" si="2"/>
        <v>27.900000000000002</v>
      </c>
      <c r="H9">
        <f t="shared" si="3"/>
        <v>251.44573788959815</v>
      </c>
      <c r="I9">
        <f t="shared" si="0"/>
        <v>34.741419451746147</v>
      </c>
    </row>
    <row r="10" spans="1:9" x14ac:dyDescent="0.35">
      <c r="A10" t="s">
        <v>131</v>
      </c>
      <c r="B10">
        <v>28.8</v>
      </c>
      <c r="C10">
        <v>21.4</v>
      </c>
      <c r="D10">
        <v>29.1</v>
      </c>
      <c r="E10">
        <v>25.8</v>
      </c>
      <c r="F10" s="23">
        <f t="shared" si="1"/>
        <v>105.10000000000001</v>
      </c>
      <c r="G10">
        <f t="shared" si="2"/>
        <v>26.275000000000002</v>
      </c>
      <c r="H10">
        <f t="shared" si="3"/>
        <v>236.80060082613591</v>
      </c>
      <c r="I10">
        <f t="shared" si="0"/>
        <v>32.71794968081111</v>
      </c>
    </row>
    <row r="11" spans="1:9" x14ac:dyDescent="0.35">
      <c r="A11" t="s">
        <v>132</v>
      </c>
      <c r="B11">
        <v>9.4</v>
      </c>
      <c r="C11">
        <v>17.2</v>
      </c>
      <c r="D11">
        <v>17.399999999999999</v>
      </c>
      <c r="E11">
        <v>20.399999999999999</v>
      </c>
      <c r="F11" s="23">
        <f t="shared" si="1"/>
        <v>64.400000000000006</v>
      </c>
      <c r="G11">
        <f t="shared" si="2"/>
        <v>16.100000000000001</v>
      </c>
      <c r="H11">
        <f t="shared" si="3"/>
        <v>145.09951182876452</v>
      </c>
      <c r="I11">
        <f t="shared" si="0"/>
        <v>20.047915884340966</v>
      </c>
    </row>
    <row r="12" spans="1:9" x14ac:dyDescent="0.35">
      <c r="A12" t="s">
        <v>133</v>
      </c>
      <c r="B12">
        <v>8.6</v>
      </c>
      <c r="C12">
        <v>9.5</v>
      </c>
      <c r="D12">
        <v>7.1</v>
      </c>
      <c r="E12">
        <v>11</v>
      </c>
      <c r="F12" s="23">
        <f t="shared" si="1"/>
        <v>36.200000000000003</v>
      </c>
      <c r="G12">
        <f t="shared" si="2"/>
        <v>9.0500000000000007</v>
      </c>
      <c r="H12">
        <f t="shared" si="3"/>
        <v>81.562147953435954</v>
      </c>
      <c r="I12">
        <f t="shared" si="0"/>
        <v>11.269170108899736</v>
      </c>
    </row>
    <row r="13" spans="1:9" x14ac:dyDescent="0.35">
      <c r="A13" t="s">
        <v>134</v>
      </c>
      <c r="B13">
        <v>-0.1</v>
      </c>
      <c r="C13">
        <v>1.2</v>
      </c>
      <c r="D13">
        <v>4.3</v>
      </c>
      <c r="E13">
        <v>0.3</v>
      </c>
      <c r="F13" s="23">
        <f t="shared" si="1"/>
        <v>5.6999999999999993</v>
      </c>
      <c r="G13">
        <f t="shared" si="2"/>
        <v>1.4249999999999998</v>
      </c>
      <c r="H13">
        <f t="shared" si="3"/>
        <v>12.842658655651515</v>
      </c>
      <c r="I13">
        <f t="shared" si="0"/>
        <v>1.7744273375891846</v>
      </c>
    </row>
    <row r="14" spans="1:9" x14ac:dyDescent="0.35">
      <c r="A14" t="s">
        <v>135</v>
      </c>
      <c r="B14">
        <v>-0.6</v>
      </c>
      <c r="C14">
        <v>0.1</v>
      </c>
      <c r="D14">
        <v>-1</v>
      </c>
      <c r="E14">
        <v>-0.5</v>
      </c>
      <c r="F14" s="23">
        <f t="shared" si="1"/>
        <v>-2</v>
      </c>
      <c r="G14">
        <f t="shared" si="2"/>
        <v>-0.5</v>
      </c>
      <c r="H14">
        <f t="shared" si="3"/>
        <v>-4.5061960195268478</v>
      </c>
      <c r="I14">
        <f t="shared" si="0"/>
        <v>-0.62260608336462619</v>
      </c>
    </row>
    <row r="15" spans="1:9" x14ac:dyDescent="0.35">
      <c r="A15" s="23" t="s">
        <v>137</v>
      </c>
      <c r="B15" s="23">
        <f>SUM(B3:B14)</f>
        <v>107.4</v>
      </c>
      <c r="C15" s="23">
        <f t="shared" ref="C15:E15" si="4">SUM(C3:C14)</f>
        <v>124.6</v>
      </c>
      <c r="D15" s="23">
        <f t="shared" si="4"/>
        <v>143.80000000000001</v>
      </c>
      <c r="E15" s="23">
        <f t="shared" si="4"/>
        <v>156.80000000000001</v>
      </c>
      <c r="F15" s="23">
        <f>SUM(B15:E15)</f>
        <v>532.6</v>
      </c>
      <c r="G15" t="s">
        <v>140</v>
      </c>
      <c r="H15" s="23">
        <f>SUM(H3:H14)</f>
        <v>1199.9999999999995</v>
      </c>
      <c r="I15" s="23">
        <f>SUM(I3:I14)</f>
        <v>165.79999999999998</v>
      </c>
    </row>
    <row r="16" spans="1:9" x14ac:dyDescent="0.35">
      <c r="G16">
        <f>AVERAGE(G3:G14)</f>
        <v>11.095833333333337</v>
      </c>
      <c r="I16">
        <v>165.8</v>
      </c>
    </row>
    <row r="17" spans="1:6" x14ac:dyDescent="0.35">
      <c r="A17" t="s">
        <v>141</v>
      </c>
    </row>
    <row r="18" spans="1:6" x14ac:dyDescent="0.35">
      <c r="B18" t="s">
        <v>142</v>
      </c>
      <c r="F18" t="s">
        <v>144</v>
      </c>
    </row>
    <row r="19" spans="1:6" x14ac:dyDescent="0.35">
      <c r="A19" t="s">
        <v>143</v>
      </c>
      <c r="B19">
        <v>2021</v>
      </c>
      <c r="C19">
        <v>2022</v>
      </c>
      <c r="D19">
        <v>2023</v>
      </c>
      <c r="E19">
        <v>2024</v>
      </c>
    </row>
    <row r="20" spans="1:6" x14ac:dyDescent="0.35">
      <c r="A20">
        <v>1</v>
      </c>
      <c r="B20" s="41">
        <v>100</v>
      </c>
      <c r="C20" s="41">
        <v>100</v>
      </c>
      <c r="D20" s="41">
        <v>100</v>
      </c>
      <c r="E20" s="41">
        <v>100</v>
      </c>
      <c r="F20" s="41">
        <f>SUM(B20:E20)/4</f>
        <v>100</v>
      </c>
    </row>
    <row r="21" spans="1:6" x14ac:dyDescent="0.35">
      <c r="A21">
        <v>2</v>
      </c>
      <c r="B21" s="41">
        <f>ABS(B4/B3)*100</f>
        <v>102.04081632653062</v>
      </c>
      <c r="C21" s="41">
        <f>ABS(C4/C3)*100</f>
        <v>1199.9999999999998</v>
      </c>
      <c r="D21" s="41">
        <f t="shared" ref="D21:E22" si="5">ABS(D4/D3)*100</f>
        <v>36.84210526315789</v>
      </c>
      <c r="E21" s="41">
        <f t="shared" si="5"/>
        <v>1033.3333333333335</v>
      </c>
      <c r="F21" s="41">
        <f>SUM(B21:E21)/4</f>
        <v>593.05406373075539</v>
      </c>
    </row>
    <row r="22" spans="1:6" x14ac:dyDescent="0.35">
      <c r="A22">
        <v>3</v>
      </c>
      <c r="B22" s="41">
        <f>ABS(B5/B4)*100</f>
        <v>65</v>
      </c>
      <c r="C22" s="41">
        <f>ABS(C5/C4)*100</f>
        <v>275</v>
      </c>
      <c r="D22" s="41">
        <f t="shared" si="5"/>
        <v>971.42857142857156</v>
      </c>
      <c r="E22" s="41">
        <f t="shared" si="5"/>
        <v>83.870967741935488</v>
      </c>
      <c r="F22" s="41">
        <f>SUM(B22:E22)/4</f>
        <v>348.82488479262679</v>
      </c>
    </row>
    <row r="23" spans="1:6" x14ac:dyDescent="0.35">
      <c r="A23">
        <v>4</v>
      </c>
      <c r="B23" s="41">
        <f t="shared" ref="B23:E31" si="6">ABS(B6/B5)*100</f>
        <v>116.92307692307691</v>
      </c>
      <c r="C23" s="41">
        <f t="shared" si="6"/>
        <v>180.30303030303031</v>
      </c>
      <c r="D23" s="41">
        <f t="shared" si="6"/>
        <v>180.88235294117649</v>
      </c>
      <c r="E23" s="41">
        <f t="shared" si="6"/>
        <v>317.30769230769226</v>
      </c>
      <c r="F23" s="41">
        <f t="shared" ref="F23:F31" si="7">SUM(B23:E23)/4</f>
        <v>198.854038118744</v>
      </c>
    </row>
    <row r="24" spans="1:6" x14ac:dyDescent="0.35">
      <c r="A24">
        <v>5</v>
      </c>
      <c r="B24" s="41">
        <f t="shared" si="6"/>
        <v>110.5263157894737</v>
      </c>
      <c r="C24" s="41">
        <f t="shared" si="6"/>
        <v>127.73109243697478</v>
      </c>
      <c r="D24" s="41">
        <f t="shared" si="6"/>
        <v>170.73170731707316</v>
      </c>
      <c r="E24" s="41">
        <f t="shared" si="6"/>
        <v>103.03030303030303</v>
      </c>
      <c r="F24" s="41">
        <f t="shared" si="7"/>
        <v>128.00485464345616</v>
      </c>
    </row>
    <row r="25" spans="1:6" x14ac:dyDescent="0.35">
      <c r="A25">
        <v>6</v>
      </c>
      <c r="B25" s="41">
        <f t="shared" si="6"/>
        <v>322.61904761904765</v>
      </c>
      <c r="C25" s="41">
        <f t="shared" si="6"/>
        <v>151.97368421052633</v>
      </c>
      <c r="D25" s="41">
        <f t="shared" si="6"/>
        <v>103.33333333333331</v>
      </c>
      <c r="E25" s="41">
        <f t="shared" si="6"/>
        <v>124.11764705882354</v>
      </c>
      <c r="F25" s="41">
        <f t="shared" si="7"/>
        <v>175.51092805543269</v>
      </c>
    </row>
    <row r="26" spans="1:6" x14ac:dyDescent="0.35">
      <c r="A26">
        <v>7</v>
      </c>
      <c r="B26" s="41">
        <f t="shared" si="6"/>
        <v>116.23616236162361</v>
      </c>
      <c r="C26" s="41">
        <f t="shared" si="6"/>
        <v>89.177489177489178</v>
      </c>
      <c r="D26" s="41">
        <f t="shared" si="6"/>
        <v>121.19815668202764</v>
      </c>
      <c r="E26" s="41">
        <f t="shared" si="6"/>
        <v>157.34597156398104</v>
      </c>
      <c r="F26" s="41">
        <f t="shared" si="7"/>
        <v>120.98944494628037</v>
      </c>
    </row>
    <row r="27" spans="1:6" x14ac:dyDescent="0.35">
      <c r="A27">
        <v>8</v>
      </c>
      <c r="B27" s="41">
        <f t="shared" si="6"/>
        <v>91.428571428571431</v>
      </c>
      <c r="C27" s="41">
        <f t="shared" si="6"/>
        <v>103.88349514563104</v>
      </c>
      <c r="D27" s="41">
        <f t="shared" si="6"/>
        <v>110.64638783269962</v>
      </c>
      <c r="E27" s="41">
        <f t="shared" si="6"/>
        <v>77.710843373493972</v>
      </c>
      <c r="F27" s="41">
        <f t="shared" si="7"/>
        <v>95.917324445099013</v>
      </c>
    </row>
    <row r="28" spans="1:6" x14ac:dyDescent="0.35">
      <c r="A28">
        <v>9</v>
      </c>
      <c r="B28" s="41">
        <f t="shared" si="6"/>
        <v>32.638888888888893</v>
      </c>
      <c r="C28" s="41">
        <f t="shared" si="6"/>
        <v>80.373831775700936</v>
      </c>
      <c r="D28" s="41">
        <f t="shared" si="6"/>
        <v>59.793814432989677</v>
      </c>
      <c r="E28" s="41">
        <f t="shared" si="6"/>
        <v>79.069767441860463</v>
      </c>
      <c r="F28" s="41">
        <f t="shared" si="7"/>
        <v>62.96907563485999</v>
      </c>
    </row>
    <row r="29" spans="1:6" x14ac:dyDescent="0.35">
      <c r="A29">
        <v>10</v>
      </c>
      <c r="B29" s="41">
        <f t="shared" si="6"/>
        <v>91.489361702127653</v>
      </c>
      <c r="C29" s="41">
        <f t="shared" si="6"/>
        <v>55.232558139534881</v>
      </c>
      <c r="D29" s="41">
        <f t="shared" si="6"/>
        <v>40.804597701149426</v>
      </c>
      <c r="E29" s="41">
        <f t="shared" si="6"/>
        <v>53.921568627450988</v>
      </c>
      <c r="F29" s="41">
        <f t="shared" si="7"/>
        <v>60.362021542565735</v>
      </c>
    </row>
    <row r="30" spans="1:6" x14ac:dyDescent="0.35">
      <c r="A30">
        <v>11</v>
      </c>
      <c r="B30" s="41">
        <f t="shared" si="6"/>
        <v>1.1627906976744187</v>
      </c>
      <c r="C30" s="41">
        <f t="shared" si="6"/>
        <v>12.631578947368421</v>
      </c>
      <c r="D30" s="41">
        <f t="shared" si="6"/>
        <v>60.563380281690137</v>
      </c>
      <c r="E30" s="41">
        <f t="shared" si="6"/>
        <v>2.7272727272727271</v>
      </c>
      <c r="F30" s="41">
        <f t="shared" si="7"/>
        <v>19.271255663501428</v>
      </c>
    </row>
    <row r="31" spans="1:6" x14ac:dyDescent="0.35">
      <c r="A31">
        <v>12</v>
      </c>
      <c r="B31" s="41">
        <f>ABS(B14/B13)*100</f>
        <v>599.99999999999989</v>
      </c>
      <c r="C31" s="41">
        <f t="shared" si="6"/>
        <v>8.3333333333333339</v>
      </c>
      <c r="D31" s="41">
        <f t="shared" si="6"/>
        <v>23.255813953488371</v>
      </c>
      <c r="E31" s="41">
        <f t="shared" si="6"/>
        <v>166.66666666666669</v>
      </c>
      <c r="F31" s="41">
        <f t="shared" si="7"/>
        <v>199.56395348837208</v>
      </c>
    </row>
    <row r="33" spans="1:7" x14ac:dyDescent="0.35">
      <c r="B33" t="s">
        <v>145</v>
      </c>
      <c r="C33">
        <v>2024</v>
      </c>
      <c r="D33" t="s">
        <v>146</v>
      </c>
      <c r="E33" t="s">
        <v>148</v>
      </c>
      <c r="F33" t="s">
        <v>147</v>
      </c>
      <c r="G33" t="s">
        <v>149</v>
      </c>
    </row>
    <row r="34" spans="1:7" x14ac:dyDescent="0.35">
      <c r="A34" t="s">
        <v>124</v>
      </c>
      <c r="B34">
        <v>0</v>
      </c>
      <c r="C34">
        <v>0.6</v>
      </c>
      <c r="D34">
        <f>C34*COS(B34)</f>
        <v>0.6</v>
      </c>
      <c r="E34">
        <f>C34*SIN(B34)</f>
        <v>0</v>
      </c>
      <c r="F34">
        <f>C34*COS(2*B34)</f>
        <v>0.6</v>
      </c>
      <c r="G34">
        <f>C34*SIN(2*B34)</f>
        <v>0</v>
      </c>
    </row>
    <row r="35" spans="1:7" x14ac:dyDescent="0.35">
      <c r="A35" t="s">
        <v>125</v>
      </c>
      <c r="B35">
        <f>PI()/6</f>
        <v>0.52359877559829882</v>
      </c>
      <c r="C35">
        <v>6.2</v>
      </c>
      <c r="D35">
        <f t="shared" ref="D35:D45" si="8">C35*COS(B35)</f>
        <v>5.3693575034635197</v>
      </c>
      <c r="E35">
        <f t="shared" ref="E35:E45" si="9">C35*SIN(B35)</f>
        <v>3.0999999999999996</v>
      </c>
      <c r="F35">
        <f t="shared" ref="F35:F45" si="10">C35*COS(2*B35)</f>
        <v>3.100000000000001</v>
      </c>
      <c r="G35">
        <f t="shared" ref="G35:G45" si="11">C35*SIN(2*B35)</f>
        <v>5.3693575034635197</v>
      </c>
    </row>
    <row r="36" spans="1:7" x14ac:dyDescent="0.35">
      <c r="A36" t="s">
        <v>126</v>
      </c>
      <c r="B36">
        <f>PI()/3</f>
        <v>1.0471975511965976</v>
      </c>
      <c r="C36">
        <v>5.2</v>
      </c>
      <c r="D36">
        <f t="shared" si="8"/>
        <v>2.6000000000000005</v>
      </c>
      <c r="E36">
        <f t="shared" si="9"/>
        <v>4.5033320996790804</v>
      </c>
      <c r="F36">
        <f t="shared" si="10"/>
        <v>-2.5999999999999988</v>
      </c>
      <c r="G36">
        <f t="shared" si="11"/>
        <v>4.5033320996790813</v>
      </c>
    </row>
    <row r="37" spans="1:7" x14ac:dyDescent="0.35">
      <c r="A37" t="s">
        <v>127</v>
      </c>
      <c r="B37">
        <f>PI()/2</f>
        <v>1.5707963267948966</v>
      </c>
      <c r="C37">
        <v>16.5</v>
      </c>
      <c r="D37">
        <f t="shared" si="8"/>
        <v>1.0107474752996115E-15</v>
      </c>
      <c r="E37">
        <f t="shared" si="9"/>
        <v>16.5</v>
      </c>
      <c r="F37">
        <f t="shared" si="10"/>
        <v>-16.5</v>
      </c>
      <c r="G37">
        <f t="shared" si="11"/>
        <v>2.021494950599223E-15</v>
      </c>
    </row>
    <row r="38" spans="1:7" x14ac:dyDescent="0.35">
      <c r="A38" t="s">
        <v>128</v>
      </c>
      <c r="B38">
        <f>(2*PI())/3</f>
        <v>2.0943951023931953</v>
      </c>
      <c r="C38">
        <v>17</v>
      </c>
      <c r="D38">
        <f t="shared" si="8"/>
        <v>-8.4999999999999964</v>
      </c>
      <c r="E38">
        <f t="shared" si="9"/>
        <v>14.722431864335459</v>
      </c>
      <c r="F38">
        <f t="shared" si="10"/>
        <v>-8.5000000000000071</v>
      </c>
      <c r="G38">
        <f t="shared" si="11"/>
        <v>-14.722431864335451</v>
      </c>
    </row>
    <row r="39" spans="1:7" x14ac:dyDescent="0.35">
      <c r="A39" t="s">
        <v>129</v>
      </c>
      <c r="B39">
        <f>(5*PI())/6</f>
        <v>2.6179938779914944</v>
      </c>
      <c r="C39">
        <v>21.1</v>
      </c>
      <c r="D39">
        <f t="shared" si="8"/>
        <v>-18.273136019851659</v>
      </c>
      <c r="E39">
        <f t="shared" si="9"/>
        <v>10.549999999999999</v>
      </c>
      <c r="F39">
        <f t="shared" si="10"/>
        <v>10.550000000000002</v>
      </c>
      <c r="G39">
        <f t="shared" si="11"/>
        <v>-18.273136019851655</v>
      </c>
    </row>
    <row r="40" spans="1:7" x14ac:dyDescent="0.35">
      <c r="A40" t="s">
        <v>130</v>
      </c>
      <c r="B40">
        <f>PI()</f>
        <v>3.1415926535897931</v>
      </c>
      <c r="C40">
        <v>33.200000000000003</v>
      </c>
      <c r="D40">
        <f t="shared" si="8"/>
        <v>-33.200000000000003</v>
      </c>
      <c r="E40">
        <f t="shared" si="9"/>
        <v>4.0674928702966184E-15</v>
      </c>
      <c r="F40">
        <f t="shared" si="10"/>
        <v>33.200000000000003</v>
      </c>
      <c r="G40">
        <f t="shared" si="11"/>
        <v>-8.1349857405932369E-15</v>
      </c>
    </row>
    <row r="41" spans="1:7" x14ac:dyDescent="0.35">
      <c r="A41" t="s">
        <v>131</v>
      </c>
      <c r="B41">
        <f>(7*PI())/6</f>
        <v>3.6651914291880918</v>
      </c>
      <c r="C41">
        <v>25.8</v>
      </c>
      <c r="D41">
        <f t="shared" si="8"/>
        <v>-22.343455417638523</v>
      </c>
      <c r="E41">
        <f t="shared" si="9"/>
        <v>-12.899999999999993</v>
      </c>
      <c r="F41">
        <f t="shared" si="10"/>
        <v>12.900000000000015</v>
      </c>
      <c r="G41">
        <f t="shared" si="11"/>
        <v>22.343455417638509</v>
      </c>
    </row>
    <row r="42" spans="1:7" x14ac:dyDescent="0.35">
      <c r="A42" t="s">
        <v>132</v>
      </c>
      <c r="B42">
        <f>(4*PI())/3</f>
        <v>4.1887902047863905</v>
      </c>
      <c r="C42">
        <v>20.399999999999999</v>
      </c>
      <c r="D42">
        <f t="shared" si="8"/>
        <v>-10.200000000000008</v>
      </c>
      <c r="E42">
        <f t="shared" si="9"/>
        <v>-17.666918237202541</v>
      </c>
      <c r="F42">
        <f t="shared" si="10"/>
        <v>-10.199999999999983</v>
      </c>
      <c r="G42">
        <f t="shared" si="11"/>
        <v>17.666918237202559</v>
      </c>
    </row>
    <row r="43" spans="1:7" x14ac:dyDescent="0.35">
      <c r="A43" t="s">
        <v>133</v>
      </c>
      <c r="B43">
        <f>(3*PI())/2</f>
        <v>4.7123889803846897</v>
      </c>
      <c r="C43">
        <v>11</v>
      </c>
      <c r="D43">
        <f t="shared" si="8"/>
        <v>-2.021494950599223E-15</v>
      </c>
      <c r="E43">
        <f t="shared" si="9"/>
        <v>-11</v>
      </c>
      <c r="F43">
        <f t="shared" si="10"/>
        <v>-11</v>
      </c>
      <c r="G43">
        <f t="shared" si="11"/>
        <v>4.042989901198446E-15</v>
      </c>
    </row>
    <row r="44" spans="1:7" x14ac:dyDescent="0.35">
      <c r="A44" t="s">
        <v>134</v>
      </c>
      <c r="B44">
        <f>(5*PI())/2</f>
        <v>7.8539816339744828</v>
      </c>
      <c r="C44">
        <v>0.3</v>
      </c>
      <c r="D44">
        <f t="shared" si="8"/>
        <v>9.1886134118146501E-17</v>
      </c>
      <c r="E44">
        <f t="shared" si="9"/>
        <v>0.3</v>
      </c>
      <c r="F44">
        <f t="shared" si="10"/>
        <v>-0.3</v>
      </c>
      <c r="G44">
        <f t="shared" si="11"/>
        <v>1.83772268236293E-16</v>
      </c>
    </row>
    <row r="45" spans="1:7" x14ac:dyDescent="0.35">
      <c r="A45" t="s">
        <v>135</v>
      </c>
      <c r="B45">
        <f>(11*PI())/6</f>
        <v>5.7595865315812871</v>
      </c>
      <c r="C45">
        <v>-0.5</v>
      </c>
      <c r="D45">
        <f t="shared" si="8"/>
        <v>-0.43301270189221919</v>
      </c>
      <c r="E45">
        <f t="shared" si="9"/>
        <v>0.25000000000000022</v>
      </c>
      <c r="F45">
        <f t="shared" si="10"/>
        <v>-0.24999999999999956</v>
      </c>
      <c r="G45">
        <f t="shared" si="11"/>
        <v>0.43301270189221958</v>
      </c>
    </row>
    <row r="46" spans="1:7" x14ac:dyDescent="0.35">
      <c r="C46">
        <f>SUM(C34:C45)</f>
        <v>156.80000000000001</v>
      </c>
      <c r="D46">
        <f t="shared" ref="D46:G46" si="12">SUM(D34:D45)</f>
        <v>-84.380246635918894</v>
      </c>
      <c r="E46">
        <f t="shared" si="12"/>
        <v>8.3588457268120138</v>
      </c>
      <c r="F46">
        <f t="shared" si="12"/>
        <v>11.000000000000032</v>
      </c>
      <c r="G46">
        <f t="shared" si="12"/>
        <v>17.320508075688778</v>
      </c>
    </row>
    <row r="48" spans="1:7" x14ac:dyDescent="0.35">
      <c r="A48" t="s">
        <v>150</v>
      </c>
      <c r="B48">
        <f>C46/12</f>
        <v>13.066666666666668</v>
      </c>
    </row>
    <row r="49" spans="1:6" x14ac:dyDescent="0.35">
      <c r="A49" t="s">
        <v>151</v>
      </c>
      <c r="B49">
        <f>D46/6</f>
        <v>-14.063374439319816</v>
      </c>
      <c r="C49" t="s">
        <v>153</v>
      </c>
      <c r="D49">
        <f>E46/6</f>
        <v>1.393140954468669</v>
      </c>
    </row>
    <row r="50" spans="1:6" x14ac:dyDescent="0.35">
      <c r="A50" t="s">
        <v>152</v>
      </c>
      <c r="B50">
        <f>F46/6</f>
        <v>1.8333333333333386</v>
      </c>
      <c r="C50" t="s">
        <v>154</v>
      </c>
      <c r="D50">
        <f>G46/6</f>
        <v>2.8867513459481295</v>
      </c>
    </row>
    <row r="53" spans="1:6" x14ac:dyDescent="0.35">
      <c r="B53" t="s">
        <v>155</v>
      </c>
      <c r="C53" t="s">
        <v>156</v>
      </c>
      <c r="D53" t="s">
        <v>157</v>
      </c>
      <c r="E53" t="s">
        <v>158</v>
      </c>
      <c r="F53" t="s">
        <v>159</v>
      </c>
    </row>
    <row r="54" spans="1:6" x14ac:dyDescent="0.35">
      <c r="A54" t="s">
        <v>124</v>
      </c>
      <c r="B54">
        <v>0.6</v>
      </c>
      <c r="C54">
        <f t="shared" ref="C54:C65" si="13">$B$48+$B$49*COS(B34)+$D$49*SIN(B34)</f>
        <v>-0.99670777265314747</v>
      </c>
      <c r="D54">
        <f t="shared" ref="D54:D65" si="14">$B$48+$B$49*COS(B34)+$D$49*SIN(B34)+$B$50*COS(2*B34)+$D$50*SIN(2*B34)</f>
        <v>0.83662556068019112</v>
      </c>
      <c r="E54">
        <f>(B54-C54)^2</f>
        <v>2.5494757112509756</v>
      </c>
      <c r="F54">
        <f>(B54-D54)^2</f>
        <v>5.5991655967214816E-2</v>
      </c>
    </row>
    <row r="55" spans="1:6" x14ac:dyDescent="0.35">
      <c r="A55" t="s">
        <v>125</v>
      </c>
      <c r="B55">
        <v>6.2</v>
      </c>
      <c r="C55">
        <f t="shared" si="13"/>
        <v>1.5839976165173042</v>
      </c>
      <c r="D55">
        <f t="shared" si="14"/>
        <v>5.0006642831839745</v>
      </c>
      <c r="E55">
        <f t="shared" ref="E55:E65" si="15">(B55-C55)^2</f>
        <v>21.307478004317932</v>
      </c>
      <c r="F55">
        <f t="shared" ref="F55:F65" si="16">(B55-D55)^2</f>
        <v>1.4384061616306101</v>
      </c>
    </row>
    <row r="56" spans="1:6" x14ac:dyDescent="0.35">
      <c r="A56" t="s">
        <v>126</v>
      </c>
      <c r="B56">
        <v>5.2</v>
      </c>
      <c r="C56">
        <f t="shared" si="13"/>
        <v>7.2414749046291256</v>
      </c>
      <c r="D56">
        <f t="shared" si="14"/>
        <v>8.8248082379624577</v>
      </c>
      <c r="E56">
        <f t="shared" si="15"/>
        <v>4.1676197862304969</v>
      </c>
      <c r="F56">
        <f t="shared" si="16"/>
        <v>13.139234762000497</v>
      </c>
    </row>
    <row r="57" spans="1:6" x14ac:dyDescent="0.35">
      <c r="A57" t="s">
        <v>127</v>
      </c>
      <c r="B57">
        <v>16.5</v>
      </c>
      <c r="C57">
        <f t="shared" si="13"/>
        <v>14.459807621135337</v>
      </c>
      <c r="D57">
        <f t="shared" si="14"/>
        <v>12.626474287801997</v>
      </c>
      <c r="E57">
        <f t="shared" si="15"/>
        <v>4.1623849427774546</v>
      </c>
      <c r="F57">
        <f t="shared" si="16"/>
        <v>15.004201443059044</v>
      </c>
    </row>
    <row r="58" spans="1:6" x14ac:dyDescent="0.35">
      <c r="A58" t="s">
        <v>128</v>
      </c>
      <c r="B58">
        <v>17</v>
      </c>
      <c r="C58">
        <f t="shared" si="13"/>
        <v>21.304849343948938</v>
      </c>
      <c r="D58">
        <f t="shared" si="14"/>
        <v>17.888182677282266</v>
      </c>
      <c r="E58">
        <f t="shared" si="15"/>
        <v>18.531727874097598</v>
      </c>
      <c r="F58">
        <f t="shared" si="16"/>
        <v>0.78886846822429435</v>
      </c>
    </row>
    <row r="59" spans="1:6" x14ac:dyDescent="0.35">
      <c r="A59" t="s">
        <v>129</v>
      </c>
      <c r="B59">
        <v>21.1</v>
      </c>
      <c r="C59">
        <f t="shared" si="13"/>
        <v>25.942476671284702</v>
      </c>
      <c r="D59">
        <f t="shared" si="14"/>
        <v>24.35914333795137</v>
      </c>
      <c r="E59">
        <f t="shared" si="15"/>
        <v>23.44958031193655</v>
      </c>
      <c r="F59">
        <f t="shared" si="16"/>
        <v>10.622015297312785</v>
      </c>
    </row>
    <row r="60" spans="1:6" x14ac:dyDescent="0.35">
      <c r="A60" t="s">
        <v>130</v>
      </c>
      <c r="B60">
        <v>33.200000000000003</v>
      </c>
      <c r="C60">
        <f t="shared" si="13"/>
        <v>27.130041105986486</v>
      </c>
      <c r="D60">
        <f t="shared" si="14"/>
        <v>28.963374439319825</v>
      </c>
      <c r="E60">
        <f t="shared" si="15"/>
        <v>36.844400975013798</v>
      </c>
      <c r="F60">
        <f t="shared" si="16"/>
        <v>17.948996141408632</v>
      </c>
    </row>
    <row r="61" spans="1:6" x14ac:dyDescent="0.35">
      <c r="A61" t="s">
        <v>131</v>
      </c>
      <c r="B61">
        <v>25.8</v>
      </c>
      <c r="C61">
        <f t="shared" si="13"/>
        <v>24.549335716816032</v>
      </c>
      <c r="D61">
        <f t="shared" si="14"/>
        <v>27.966002383482703</v>
      </c>
      <c r="E61">
        <f t="shared" si="15"/>
        <v>1.5641611492320715</v>
      </c>
      <c r="F61">
        <f t="shared" si="16"/>
        <v>4.6915663252527473</v>
      </c>
    </row>
    <row r="62" spans="1:6" x14ac:dyDescent="0.35">
      <c r="A62" t="s">
        <v>132</v>
      </c>
      <c r="B62">
        <v>20.399999999999999</v>
      </c>
      <c r="C62">
        <f t="shared" si="13"/>
        <v>18.891858428704214</v>
      </c>
      <c r="D62">
        <f t="shared" si="14"/>
        <v>20.47519176203755</v>
      </c>
      <c r="E62">
        <f t="shared" si="15"/>
        <v>2.2744909990705171</v>
      </c>
      <c r="F62">
        <f t="shared" si="16"/>
        <v>5.6538010783117728E-3</v>
      </c>
    </row>
    <row r="63" spans="1:6" x14ac:dyDescent="0.35">
      <c r="A63" t="s">
        <v>133</v>
      </c>
      <c r="B63">
        <v>11</v>
      </c>
      <c r="C63">
        <f t="shared" si="13"/>
        <v>11.673525712198002</v>
      </c>
      <c r="D63">
        <f t="shared" si="14"/>
        <v>9.8401923788646641</v>
      </c>
      <c r="E63">
        <f t="shared" si="15"/>
        <v>0.45363688499182531</v>
      </c>
      <c r="F63">
        <f t="shared" si="16"/>
        <v>1.3451537180436068</v>
      </c>
    </row>
    <row r="64" spans="1:6" x14ac:dyDescent="0.35">
      <c r="A64" t="s">
        <v>134</v>
      </c>
      <c r="B64">
        <v>0.3</v>
      </c>
      <c r="C64">
        <f t="shared" si="13"/>
        <v>14.459807621135333</v>
      </c>
      <c r="D64">
        <f t="shared" si="14"/>
        <v>12.626474287801996</v>
      </c>
      <c r="E64">
        <f t="shared" si="15"/>
        <v>200.50015186756224</v>
      </c>
      <c r="F64">
        <f t="shared" si="16"/>
        <v>151.94196836784369</v>
      </c>
    </row>
    <row r="65" spans="1:6" x14ac:dyDescent="0.35">
      <c r="A65" t="s">
        <v>135</v>
      </c>
      <c r="B65">
        <v>-0.5</v>
      </c>
      <c r="C65">
        <f t="shared" si="13"/>
        <v>0.19085666204863994</v>
      </c>
      <c r="D65">
        <f t="shared" si="14"/>
        <v>-1.3924766712846948</v>
      </c>
      <c r="E65">
        <f t="shared" si="15"/>
        <v>0.4772829274969887</v>
      </c>
      <c r="F65">
        <f t="shared" si="16"/>
        <v>0.7965146087874091</v>
      </c>
    </row>
    <row r="66" spans="1:6" x14ac:dyDescent="0.35">
      <c r="A66" s="23" t="s">
        <v>137</v>
      </c>
      <c r="B66" s="23">
        <f>SUM(B54:B65)</f>
        <v>156.80000000000001</v>
      </c>
      <c r="C66" s="23">
        <f t="shared" ref="C66:F66" si="17">SUM(C54:C65)</f>
        <v>166.43132363175098</v>
      </c>
      <c r="D66" s="23">
        <f t="shared" si="17"/>
        <v>168.01465696508427</v>
      </c>
      <c r="E66" s="23">
        <f t="shared" si="17"/>
        <v>316.28239143397849</v>
      </c>
      <c r="F66" s="23">
        <f t="shared" si="17"/>
        <v>217.77857075060885</v>
      </c>
    </row>
    <row r="67" spans="1:6" x14ac:dyDescent="0.35">
      <c r="A67" t="s">
        <v>166</v>
      </c>
      <c r="B67">
        <f>B66/12</f>
        <v>13.066666666666668</v>
      </c>
    </row>
    <row r="68" spans="1:6" x14ac:dyDescent="0.35">
      <c r="A68" s="7" t="s">
        <v>160</v>
      </c>
      <c r="B68">
        <f>E66/(12-3)</f>
        <v>35.142487937108719</v>
      </c>
      <c r="D68" s="7" t="s">
        <v>162</v>
      </c>
      <c r="E68">
        <f>B68^0.5</f>
        <v>5.928109980179916</v>
      </c>
    </row>
    <row r="69" spans="1:6" x14ac:dyDescent="0.35">
      <c r="A69" s="7" t="s">
        <v>161</v>
      </c>
      <c r="B69">
        <f>F66/(12-5)</f>
        <v>31.11122439294412</v>
      </c>
      <c r="D69" s="7" t="s">
        <v>163</v>
      </c>
      <c r="E69">
        <f>B69^0.5</f>
        <v>5.5777436650445065</v>
      </c>
    </row>
    <row r="71" spans="1:6" x14ac:dyDescent="0.35">
      <c r="B71" t="s">
        <v>164</v>
      </c>
      <c r="C71" t="s">
        <v>165</v>
      </c>
    </row>
    <row r="72" spans="1:6" x14ac:dyDescent="0.35">
      <c r="A72">
        <v>1</v>
      </c>
      <c r="B72">
        <f>ABS(C54/$B$67)*100</f>
        <v>7.6278656070393929</v>
      </c>
      <c r="C72">
        <f>ABS(D54/$B$67)*100</f>
        <v>6.4027466378586047</v>
      </c>
    </row>
    <row r="73" spans="1:6" x14ac:dyDescent="0.35">
      <c r="A73">
        <v>2</v>
      </c>
      <c r="B73">
        <f t="shared" ref="B73:C73" si="18">ABS(C55/$B$67)*100</f>
        <v>12.122430738652836</v>
      </c>
      <c r="C73">
        <f t="shared" si="18"/>
        <v>38.270389922326331</v>
      </c>
    </row>
    <row r="74" spans="1:6" x14ac:dyDescent="0.35">
      <c r="A74">
        <v>3</v>
      </c>
      <c r="B74">
        <f t="shared" ref="B74:C74" si="19">ABS(C56/$B$67)*100</f>
        <v>55.419450800733095</v>
      </c>
      <c r="C74">
        <f t="shared" si="19"/>
        <v>67.536797739508586</v>
      </c>
    </row>
    <row r="75" spans="1:6" x14ac:dyDescent="0.35">
      <c r="A75">
        <v>4</v>
      </c>
      <c r="B75">
        <f t="shared" ref="B75:C75" si="20">ABS(C57/$B$67)*100</f>
        <v>110.66179301889288</v>
      </c>
      <c r="C75">
        <f t="shared" si="20"/>
        <v>96.631180773994856</v>
      </c>
    </row>
    <row r="76" spans="1:6" x14ac:dyDescent="0.35">
      <c r="A76">
        <v>5</v>
      </c>
      <c r="B76">
        <f t="shared" ref="B76:C76" si="21">ABS(C58/$B$67)*100</f>
        <v>163.04731640777246</v>
      </c>
      <c r="C76">
        <f t="shared" si="21"/>
        <v>136.89935722409896</v>
      </c>
    </row>
    <row r="77" spans="1:6" x14ac:dyDescent="0.35">
      <c r="A77">
        <v>6</v>
      </c>
      <c r="B77">
        <f t="shared" ref="B77:C77" si="22">ABS(C59/$B$67)*100</f>
        <v>198.53936228024006</v>
      </c>
      <c r="C77">
        <f t="shared" si="22"/>
        <v>186.42201534146454</v>
      </c>
    </row>
    <row r="78" spans="1:6" x14ac:dyDescent="0.35">
      <c r="A78">
        <v>7</v>
      </c>
      <c r="B78">
        <f t="shared" ref="B78:C78" si="23">ABS(C60/$B$67)*100</f>
        <v>207.62786560703938</v>
      </c>
      <c r="C78">
        <f t="shared" si="23"/>
        <v>221.65847785193739</v>
      </c>
    </row>
    <row r="79" spans="1:6" x14ac:dyDescent="0.35">
      <c r="A79">
        <v>8</v>
      </c>
      <c r="B79">
        <f t="shared" ref="B79:C79" si="24">ABS(C61/$B$67)*100</f>
        <v>187.87756926134716</v>
      </c>
      <c r="C79">
        <f t="shared" si="24"/>
        <v>214.02552844502068</v>
      </c>
    </row>
    <row r="80" spans="1:6" x14ac:dyDescent="0.35">
      <c r="A80">
        <v>9</v>
      </c>
      <c r="B80">
        <f t="shared" ref="B80:C80" si="25">ABS(C62/$B$67)*100</f>
        <v>144.58054919926693</v>
      </c>
      <c r="C80">
        <f t="shared" si="25"/>
        <v>156.69789613804247</v>
      </c>
    </row>
    <row r="81" spans="1:3" x14ac:dyDescent="0.35">
      <c r="A81">
        <v>10</v>
      </c>
      <c r="B81">
        <f t="shared" ref="B81:C81" si="26">ABS(C63/$B$67)*100</f>
        <v>89.338206981107149</v>
      </c>
      <c r="C81">
        <f t="shared" si="26"/>
        <v>75.307594736209154</v>
      </c>
    </row>
    <row r="82" spans="1:3" x14ac:dyDescent="0.35">
      <c r="A82">
        <v>11</v>
      </c>
      <c r="B82">
        <f t="shared" ref="B82:C82" si="27">ABS(C64/$B$67)*100</f>
        <v>110.66179301889285</v>
      </c>
      <c r="C82">
        <f t="shared" si="27"/>
        <v>96.631180773994856</v>
      </c>
    </row>
    <row r="83" spans="1:3" x14ac:dyDescent="0.35">
      <c r="A83">
        <v>12</v>
      </c>
      <c r="B83">
        <f t="shared" ref="B83:C83" si="28">ABS(C65/$B$67)*100</f>
        <v>1.4606377197599993</v>
      </c>
      <c r="C83">
        <f t="shared" si="28"/>
        <v>10.65670921901552</v>
      </c>
    </row>
    <row r="90" spans="1:3" ht="17" customHeight="1" x14ac:dyDescent="0.35"/>
    <row r="230" ht="17" customHeight="1" x14ac:dyDescent="0.35"/>
    <row r="412" ht="17" customHeight="1" x14ac:dyDescent="0.35"/>
  </sheetData>
  <phoneticPr fontId="7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6E70-6D72-4E7E-BB5F-A746F5B7EBBD}">
  <dimension ref="A1:U166"/>
  <sheetViews>
    <sheetView topLeftCell="A10" workbookViewId="0">
      <selection activeCell="X131" sqref="X131"/>
    </sheetView>
  </sheetViews>
  <sheetFormatPr defaultRowHeight="14.5" x14ac:dyDescent="0.35"/>
  <cols>
    <col min="2" max="2" width="11.90625" customWidth="1"/>
    <col min="5" max="5" width="10.36328125" customWidth="1"/>
    <col min="6" max="6" width="11.26953125" customWidth="1"/>
    <col min="8" max="8" width="19.453125" customWidth="1"/>
    <col min="9" max="9" width="14.36328125" customWidth="1"/>
    <col min="10" max="10" width="15.08984375" customWidth="1"/>
    <col min="13" max="13" width="11" customWidth="1"/>
    <col min="14" max="14" width="10.7265625" customWidth="1"/>
    <col min="15" max="15" width="11.36328125" customWidth="1"/>
    <col min="16" max="16" width="11.453125" customWidth="1"/>
  </cols>
  <sheetData>
    <row r="1" spans="1:13" x14ac:dyDescent="0.35">
      <c r="A1" t="s">
        <v>167</v>
      </c>
    </row>
    <row r="2" spans="1:13" ht="23" x14ac:dyDescent="0.35">
      <c r="A2" s="3" t="s">
        <v>12</v>
      </c>
      <c r="B2" s="43" t="s">
        <v>168</v>
      </c>
      <c r="C2" s="24" t="s">
        <v>169</v>
      </c>
      <c r="D2" s="24" t="s">
        <v>202</v>
      </c>
      <c r="E2" s="24" t="s">
        <v>170</v>
      </c>
      <c r="F2" s="49" t="s">
        <v>203</v>
      </c>
      <c r="H2" t="s">
        <v>171</v>
      </c>
    </row>
    <row r="3" spans="1:13" ht="16" thickBot="1" x14ac:dyDescent="0.4">
      <c r="A3" s="21">
        <v>8.3333333333333329E-2</v>
      </c>
      <c r="B3" s="5">
        <v>1.7</v>
      </c>
      <c r="C3" s="24" t="s">
        <v>140</v>
      </c>
      <c r="D3" s="24"/>
      <c r="E3" s="24"/>
    </row>
    <row r="4" spans="1:13" ht="15.5" x14ac:dyDescent="0.35">
      <c r="A4" s="21">
        <v>0.20833333333333334</v>
      </c>
      <c r="B4" s="5">
        <v>2.6</v>
      </c>
      <c r="C4" s="5">
        <v>1.7</v>
      </c>
      <c r="D4" s="24">
        <f>$I$18+$I$19*C4</f>
        <v>1.6614200281062008</v>
      </c>
      <c r="E4" s="24">
        <f>B4-D4</f>
        <v>0.93857997189379927</v>
      </c>
      <c r="F4">
        <f>(ABS(E4)/ABS(B4))*100</f>
        <v>36.099229688223048</v>
      </c>
      <c r="H4" s="46" t="s">
        <v>172</v>
      </c>
      <c r="I4" s="46"/>
    </row>
    <row r="5" spans="1:13" ht="15.5" x14ac:dyDescent="0.35">
      <c r="A5" s="21">
        <v>0.33333333333333331</v>
      </c>
      <c r="B5" s="5">
        <v>1.4</v>
      </c>
      <c r="C5" s="5">
        <v>2.6</v>
      </c>
      <c r="D5" s="24">
        <f t="shared" ref="D5:D35" si="0">$I$18+$I$19*C5</f>
        <v>2.3769178935422239</v>
      </c>
      <c r="E5" s="24">
        <f t="shared" ref="E5:E34" si="1">B5-D5</f>
        <v>-0.97691789354222403</v>
      </c>
      <c r="F5">
        <f t="shared" ref="F5:F34" si="2">(ABS(E5)/ABS(B5))*100</f>
        <v>69.779849538730289</v>
      </c>
      <c r="H5" t="s">
        <v>173</v>
      </c>
      <c r="I5">
        <v>0.78114742189751674</v>
      </c>
    </row>
    <row r="6" spans="1:13" ht="15.5" x14ac:dyDescent="0.35">
      <c r="A6" s="21">
        <v>0.45833333333333331</v>
      </c>
      <c r="B6" s="5">
        <v>4.4000000000000004</v>
      </c>
      <c r="C6" s="5">
        <v>1.4</v>
      </c>
      <c r="D6" s="24">
        <f t="shared" si="0"/>
        <v>1.4229207396275263</v>
      </c>
      <c r="E6" s="24">
        <f t="shared" si="1"/>
        <v>2.9770792603724741</v>
      </c>
      <c r="F6">
        <f t="shared" si="2"/>
        <v>67.660892281192588</v>
      </c>
      <c r="H6" t="s">
        <v>174</v>
      </c>
      <c r="I6">
        <v>0.61019129473713696</v>
      </c>
    </row>
    <row r="7" spans="1:13" ht="15.5" x14ac:dyDescent="0.35">
      <c r="A7" s="21">
        <v>0.58333333333333337</v>
      </c>
      <c r="B7" s="5">
        <v>6.6</v>
      </c>
      <c r="C7" s="5">
        <v>4.4000000000000004</v>
      </c>
      <c r="D7" s="24">
        <f t="shared" si="0"/>
        <v>3.8079136244142702</v>
      </c>
      <c r="E7" s="24">
        <f t="shared" si="1"/>
        <v>2.7920863755857295</v>
      </c>
      <c r="F7">
        <f t="shared" si="2"/>
        <v>42.304339024026206</v>
      </c>
      <c r="H7" t="s">
        <v>175</v>
      </c>
      <c r="I7">
        <v>0.59674961524531411</v>
      </c>
    </row>
    <row r="8" spans="1:13" ht="15.5" x14ac:dyDescent="0.35">
      <c r="A8" s="21">
        <v>0.70833333333333337</v>
      </c>
      <c r="B8" s="5">
        <v>7.1</v>
      </c>
      <c r="C8" s="5">
        <v>6.6</v>
      </c>
      <c r="D8" s="24">
        <f t="shared" si="0"/>
        <v>5.5569084065912149</v>
      </c>
      <c r="E8" s="24">
        <f t="shared" si="1"/>
        <v>1.5430915934087848</v>
      </c>
      <c r="F8">
        <f t="shared" si="2"/>
        <v>21.733684414208238</v>
      </c>
      <c r="H8" t="s">
        <v>176</v>
      </c>
      <c r="I8">
        <v>2.0130395318484124</v>
      </c>
    </row>
    <row r="9" spans="1:13" ht="16" thickBot="1" x14ac:dyDescent="0.4">
      <c r="A9" s="21">
        <v>0.83333333333333337</v>
      </c>
      <c r="B9" s="5">
        <v>4.2</v>
      </c>
      <c r="C9" s="5">
        <v>7.1</v>
      </c>
      <c r="D9" s="24">
        <f t="shared" si="0"/>
        <v>5.9544072207223389</v>
      </c>
      <c r="E9" s="24">
        <f t="shared" si="1"/>
        <v>-1.7544072207223387</v>
      </c>
      <c r="F9">
        <f t="shared" si="2"/>
        <v>41.771600493389016</v>
      </c>
      <c r="H9" s="44" t="s">
        <v>177</v>
      </c>
      <c r="I9" s="44">
        <v>31</v>
      </c>
    </row>
    <row r="10" spans="1:13" ht="15.5" x14ac:dyDescent="0.35">
      <c r="A10" s="21">
        <v>0.95833333333333337</v>
      </c>
      <c r="B10" s="5">
        <v>3.7</v>
      </c>
      <c r="C10" s="5">
        <v>4.2</v>
      </c>
      <c r="D10" s="24">
        <f t="shared" si="0"/>
        <v>3.6489140987618205</v>
      </c>
      <c r="E10" s="24">
        <f t="shared" si="1"/>
        <v>5.1085901238179687E-2</v>
      </c>
      <c r="F10">
        <f t="shared" si="2"/>
        <v>1.3807000334643158</v>
      </c>
    </row>
    <row r="11" spans="1:13" ht="16" thickBot="1" x14ac:dyDescent="0.4">
      <c r="A11" s="21">
        <v>1.0833333333333299</v>
      </c>
      <c r="B11" s="5">
        <v>5.9</v>
      </c>
      <c r="C11" s="5">
        <v>3.7</v>
      </c>
      <c r="D11" s="24">
        <f t="shared" si="0"/>
        <v>3.2514152846306965</v>
      </c>
      <c r="E11" s="24">
        <f t="shared" si="1"/>
        <v>2.6485847153693038</v>
      </c>
      <c r="F11">
        <f t="shared" si="2"/>
        <v>44.891266362191587</v>
      </c>
      <c r="H11" t="s">
        <v>178</v>
      </c>
    </row>
    <row r="12" spans="1:13" ht="15.5" x14ac:dyDescent="0.35">
      <c r="A12" s="21">
        <v>1.2083333333333299</v>
      </c>
      <c r="B12" s="5">
        <v>3</v>
      </c>
      <c r="C12" s="5">
        <v>5.9</v>
      </c>
      <c r="D12" s="24">
        <f t="shared" si="0"/>
        <v>5.0004100668076417</v>
      </c>
      <c r="E12" s="24">
        <f t="shared" si="1"/>
        <v>-2.0004100668076417</v>
      </c>
      <c r="F12">
        <f t="shared" si="2"/>
        <v>66.680335560254719</v>
      </c>
      <c r="H12" s="45"/>
      <c r="I12" s="45" t="s">
        <v>183</v>
      </c>
      <c r="J12" s="45" t="s">
        <v>184</v>
      </c>
      <c r="K12" s="45" t="s">
        <v>185</v>
      </c>
      <c r="L12" s="45" t="s">
        <v>186</v>
      </c>
      <c r="M12" s="45" t="s">
        <v>187</v>
      </c>
    </row>
    <row r="13" spans="1:13" ht="15.5" x14ac:dyDescent="0.35">
      <c r="A13" s="21">
        <v>1.3333333333333299</v>
      </c>
      <c r="B13" s="5">
        <v>0.8</v>
      </c>
      <c r="C13" s="5">
        <v>3</v>
      </c>
      <c r="D13" s="24">
        <f t="shared" si="0"/>
        <v>2.6949169448471229</v>
      </c>
      <c r="E13" s="24">
        <f t="shared" si="1"/>
        <v>-1.8949169448471228</v>
      </c>
      <c r="F13">
        <f t="shared" si="2"/>
        <v>236.86461810589034</v>
      </c>
      <c r="H13" t="s">
        <v>179</v>
      </c>
      <c r="I13">
        <v>1</v>
      </c>
      <c r="J13">
        <v>183.95732216292754</v>
      </c>
      <c r="K13">
        <v>183.95732216292754</v>
      </c>
      <c r="L13">
        <v>45.395465284553296</v>
      </c>
      <c r="M13">
        <v>2.1530594804543011E-7</v>
      </c>
    </row>
    <row r="14" spans="1:13" ht="15.5" x14ac:dyDescent="0.35">
      <c r="A14" s="21">
        <v>1.4583333333333299</v>
      </c>
      <c r="B14" s="5">
        <v>4.3</v>
      </c>
      <c r="C14" s="5">
        <v>0.8</v>
      </c>
      <c r="D14" s="24">
        <f t="shared" si="0"/>
        <v>0.9459221626701777</v>
      </c>
      <c r="E14" s="24">
        <f t="shared" si="1"/>
        <v>3.3540778373298221</v>
      </c>
      <c r="F14">
        <f t="shared" si="2"/>
        <v>78.001810170460985</v>
      </c>
      <c r="H14" t="s">
        <v>180</v>
      </c>
      <c r="I14">
        <v>29</v>
      </c>
      <c r="J14">
        <v>117.5175165467498</v>
      </c>
      <c r="K14">
        <v>4.0523281567844762</v>
      </c>
    </row>
    <row r="15" spans="1:13" ht="16" thickBot="1" x14ac:dyDescent="0.4">
      <c r="A15" s="21">
        <v>1.5833333333333299</v>
      </c>
      <c r="B15" s="5">
        <v>3.5</v>
      </c>
      <c r="C15" s="5">
        <v>4.3</v>
      </c>
      <c r="D15" s="24">
        <f t="shared" si="0"/>
        <v>3.7284138615880451</v>
      </c>
      <c r="E15" s="24">
        <f t="shared" si="1"/>
        <v>-0.22841386158804511</v>
      </c>
      <c r="F15">
        <f t="shared" si="2"/>
        <v>6.5261103310870023</v>
      </c>
      <c r="H15" s="44" t="s">
        <v>181</v>
      </c>
      <c r="I15" s="44">
        <v>30</v>
      </c>
      <c r="J15" s="44">
        <v>301.47483870967733</v>
      </c>
      <c r="K15" s="44"/>
      <c r="L15" s="44"/>
      <c r="M15" s="44"/>
    </row>
    <row r="16" spans="1:13" ht="16" thickBot="1" x14ac:dyDescent="0.4">
      <c r="A16" s="21">
        <v>1.7083333333333299</v>
      </c>
      <c r="B16" s="5">
        <v>5.5</v>
      </c>
      <c r="C16" s="5">
        <v>3.5</v>
      </c>
      <c r="D16" s="24">
        <f t="shared" si="0"/>
        <v>3.0924157589782468</v>
      </c>
      <c r="E16" s="24">
        <f t="shared" si="1"/>
        <v>2.4075842410217532</v>
      </c>
      <c r="F16">
        <f t="shared" si="2"/>
        <v>43.774258927668242</v>
      </c>
    </row>
    <row r="17" spans="1:16" ht="15.5" x14ac:dyDescent="0.35">
      <c r="A17" s="21">
        <v>1.8333333333333299</v>
      </c>
      <c r="B17" s="5">
        <v>5.9</v>
      </c>
      <c r="C17" s="5">
        <v>5.5</v>
      </c>
      <c r="D17" s="24">
        <f t="shared" si="0"/>
        <v>4.6824110155027423</v>
      </c>
      <c r="E17" s="24">
        <f t="shared" si="1"/>
        <v>1.2175889844972581</v>
      </c>
      <c r="F17">
        <f t="shared" si="2"/>
        <v>20.637101432156914</v>
      </c>
      <c r="H17" s="45"/>
      <c r="I17" s="45" t="s">
        <v>188</v>
      </c>
      <c r="J17" s="45" t="s">
        <v>176</v>
      </c>
      <c r="K17" s="45" t="s">
        <v>189</v>
      </c>
      <c r="L17" s="45" t="s">
        <v>190</v>
      </c>
      <c r="M17" s="45" t="s">
        <v>191</v>
      </c>
      <c r="N17" s="45" t="s">
        <v>192</v>
      </c>
      <c r="O17" s="45" t="s">
        <v>193</v>
      </c>
      <c r="P17" s="45" t="s">
        <v>194</v>
      </c>
    </row>
    <row r="18" spans="1:16" ht="15.5" x14ac:dyDescent="0.35">
      <c r="A18" s="21">
        <v>1.9583333333333299</v>
      </c>
      <c r="B18" s="5">
        <v>3.5</v>
      </c>
      <c r="C18" s="5">
        <v>5.9</v>
      </c>
      <c r="D18" s="24">
        <f t="shared" si="0"/>
        <v>5.0004100668076417</v>
      </c>
      <c r="E18" s="24">
        <f t="shared" si="1"/>
        <v>-1.5004100668076417</v>
      </c>
      <c r="F18">
        <f t="shared" si="2"/>
        <v>42.868859051646908</v>
      </c>
      <c r="H18" t="s">
        <v>182</v>
      </c>
      <c r="I18">
        <v>0.30992406006037942</v>
      </c>
      <c r="J18">
        <v>0.43071557605712912</v>
      </c>
      <c r="K18">
        <v>0.7195561927374361</v>
      </c>
      <c r="L18">
        <v>0.4775575131638381</v>
      </c>
      <c r="M18">
        <v>-0.57098820341992451</v>
      </c>
      <c r="N18">
        <v>1.1908363235406834</v>
      </c>
      <c r="O18">
        <v>-0.57098820341992451</v>
      </c>
      <c r="P18">
        <v>1.1908363235406834</v>
      </c>
    </row>
    <row r="19" spans="1:16" ht="16" thickBot="1" x14ac:dyDescent="0.4">
      <c r="A19" s="21">
        <v>2.0833333333333299</v>
      </c>
      <c r="B19" s="5">
        <v>1.6</v>
      </c>
      <c r="C19" s="5">
        <v>3.5</v>
      </c>
      <c r="D19" s="24">
        <f t="shared" si="0"/>
        <v>3.0924157589782468</v>
      </c>
      <c r="E19" s="24">
        <f t="shared" si="1"/>
        <v>-1.4924157589782467</v>
      </c>
      <c r="F19">
        <f t="shared" si="2"/>
        <v>93.275984936140418</v>
      </c>
      <c r="H19" s="44" t="s">
        <v>195</v>
      </c>
      <c r="I19" s="44">
        <v>0.79499762826224785</v>
      </c>
      <c r="J19" s="44">
        <v>0.11799391119626992</v>
      </c>
      <c r="K19" s="44">
        <v>6.7376156973037071</v>
      </c>
      <c r="L19" s="44">
        <v>2.1530594804542853E-7</v>
      </c>
      <c r="M19" s="44">
        <v>0.55367298349246252</v>
      </c>
      <c r="N19" s="44">
        <v>1.0363222730320332</v>
      </c>
      <c r="O19" s="44">
        <v>0.55367298349246252</v>
      </c>
      <c r="P19" s="44">
        <v>1.0363222730320332</v>
      </c>
    </row>
    <row r="20" spans="1:16" ht="15.5" x14ac:dyDescent="0.35">
      <c r="A20" s="21">
        <v>2.2083333333333299</v>
      </c>
      <c r="B20" s="5">
        <v>-0.1</v>
      </c>
      <c r="C20" s="5">
        <v>1.6</v>
      </c>
      <c r="D20" s="24">
        <f t="shared" si="0"/>
        <v>1.581920265279976</v>
      </c>
      <c r="E20" s="24">
        <f t="shared" si="1"/>
        <v>-1.6819202652799761</v>
      </c>
      <c r="F20">
        <f t="shared" si="2"/>
        <v>1681.9202652799759</v>
      </c>
    </row>
    <row r="21" spans="1:16" ht="15.5" x14ac:dyDescent="0.35">
      <c r="A21" s="21">
        <v>2.3333333333333299</v>
      </c>
      <c r="B21" s="5">
        <v>-0.8</v>
      </c>
      <c r="C21" s="5">
        <v>-0.1</v>
      </c>
      <c r="D21" s="24">
        <f t="shared" si="0"/>
        <v>0.23042429723415464</v>
      </c>
      <c r="E21" s="24">
        <f t="shared" si="1"/>
        <v>-1.0304242972341546</v>
      </c>
      <c r="F21">
        <f t="shared" si="2"/>
        <v>128.80303715426933</v>
      </c>
      <c r="H21" s="23" t="s">
        <v>196</v>
      </c>
    </row>
    <row r="22" spans="1:16" ht="15.5" x14ac:dyDescent="0.35">
      <c r="A22" s="21">
        <v>2.4583333333333299</v>
      </c>
      <c r="B22" s="5">
        <v>1.7</v>
      </c>
      <c r="C22" s="5">
        <v>-0.8</v>
      </c>
      <c r="D22" s="24">
        <f t="shared" si="0"/>
        <v>-0.32607404254941885</v>
      </c>
      <c r="E22" s="24">
        <f t="shared" si="1"/>
        <v>2.0260740425494186</v>
      </c>
      <c r="F22">
        <f t="shared" si="2"/>
        <v>119.18082603231875</v>
      </c>
    </row>
    <row r="23" spans="1:16" ht="15.5" x14ac:dyDescent="0.35">
      <c r="A23" s="21">
        <v>2.5833333333333299</v>
      </c>
      <c r="B23" s="5">
        <v>4.2</v>
      </c>
      <c r="C23" s="5">
        <v>1.7</v>
      </c>
      <c r="D23" s="24">
        <f t="shared" si="0"/>
        <v>1.6614200281062008</v>
      </c>
      <c r="E23" s="24">
        <f t="shared" si="1"/>
        <v>2.5385799718937996</v>
      </c>
      <c r="F23">
        <f t="shared" si="2"/>
        <v>60.442380283185706</v>
      </c>
    </row>
    <row r="24" spans="1:16" ht="15.5" x14ac:dyDescent="0.35">
      <c r="A24" s="21">
        <v>2.7083333333333299</v>
      </c>
      <c r="B24" s="5">
        <v>5.0999999999999996</v>
      </c>
      <c r="C24" s="5">
        <v>4.2</v>
      </c>
      <c r="D24" s="24">
        <f t="shared" si="0"/>
        <v>3.6489140987618205</v>
      </c>
      <c r="E24" s="24">
        <f t="shared" si="1"/>
        <v>1.4510859012381792</v>
      </c>
      <c r="F24">
        <f t="shared" si="2"/>
        <v>28.452664730160375</v>
      </c>
    </row>
    <row r="25" spans="1:16" ht="15.5" x14ac:dyDescent="0.35">
      <c r="A25" s="21">
        <v>2.8333333333333299</v>
      </c>
      <c r="B25" s="5">
        <v>1.5</v>
      </c>
      <c r="C25" s="5">
        <v>5.0999999999999996</v>
      </c>
      <c r="D25" s="24">
        <f t="shared" si="0"/>
        <v>4.3644119641978429</v>
      </c>
      <c r="E25" s="24">
        <f t="shared" si="1"/>
        <v>-2.8644119641978429</v>
      </c>
      <c r="F25">
        <f t="shared" si="2"/>
        <v>190.96079761318953</v>
      </c>
    </row>
    <row r="26" spans="1:16" ht="15.5" x14ac:dyDescent="0.35">
      <c r="A26" s="21">
        <v>2.9583333333333299</v>
      </c>
      <c r="B26" s="5">
        <v>-1</v>
      </c>
      <c r="C26" s="5">
        <v>1.5</v>
      </c>
      <c r="D26" s="24">
        <f t="shared" si="0"/>
        <v>1.5024205024537511</v>
      </c>
      <c r="E26" s="24">
        <f t="shared" si="1"/>
        <v>-2.5024205024537514</v>
      </c>
      <c r="F26">
        <f t="shared" si="2"/>
        <v>250.24205024537514</v>
      </c>
    </row>
    <row r="27" spans="1:16" ht="15.5" x14ac:dyDescent="0.35">
      <c r="A27" s="21">
        <v>3.0833333333333299</v>
      </c>
      <c r="B27" s="5">
        <v>-3.8</v>
      </c>
      <c r="C27" s="5">
        <v>-1</v>
      </c>
      <c r="D27" s="24">
        <f t="shared" si="0"/>
        <v>-0.48507356820186842</v>
      </c>
      <c r="E27" s="24">
        <f t="shared" si="1"/>
        <v>-3.3149264317981313</v>
      </c>
      <c r="F27">
        <f t="shared" si="2"/>
        <v>87.23490609995082</v>
      </c>
    </row>
    <row r="28" spans="1:16" ht="15.5" x14ac:dyDescent="0.35">
      <c r="A28" s="21">
        <v>3.2083333333333299</v>
      </c>
      <c r="B28" s="5">
        <v>-4</v>
      </c>
      <c r="C28" s="5">
        <v>-3.8</v>
      </c>
      <c r="D28" s="24">
        <f t="shared" si="0"/>
        <v>-2.7110669273361623</v>
      </c>
      <c r="E28" s="24">
        <f t="shared" si="1"/>
        <v>-1.2889330726638377</v>
      </c>
      <c r="F28">
        <f t="shared" si="2"/>
        <v>32.223326816595943</v>
      </c>
    </row>
    <row r="29" spans="1:16" ht="15.5" x14ac:dyDescent="0.35">
      <c r="A29" s="21">
        <v>3.3333333333333299</v>
      </c>
      <c r="B29" s="5">
        <v>-2.8</v>
      </c>
      <c r="C29" s="5">
        <v>-4</v>
      </c>
      <c r="D29" s="24">
        <f t="shared" si="0"/>
        <v>-2.870066452988612</v>
      </c>
      <c r="E29" s="24">
        <f t="shared" si="1"/>
        <v>7.0066452988612138E-2</v>
      </c>
      <c r="F29">
        <f t="shared" si="2"/>
        <v>2.5023733210218624</v>
      </c>
    </row>
    <row r="30" spans="1:16" ht="15.5" x14ac:dyDescent="0.35">
      <c r="A30" s="21">
        <v>3.4583333333333299</v>
      </c>
      <c r="B30" s="5">
        <v>-2.9</v>
      </c>
      <c r="C30" s="5">
        <v>-2.8</v>
      </c>
      <c r="D30" s="24">
        <f t="shared" si="0"/>
        <v>-1.9160692990739143</v>
      </c>
      <c r="E30" s="24">
        <f t="shared" si="1"/>
        <v>-0.98393070092608559</v>
      </c>
      <c r="F30">
        <f t="shared" si="2"/>
        <v>33.928644859520197</v>
      </c>
    </row>
    <row r="31" spans="1:16" ht="15.5" x14ac:dyDescent="0.35">
      <c r="A31" s="21">
        <v>3.5833333333333299</v>
      </c>
      <c r="B31" s="5">
        <v>-1.1000000000000001</v>
      </c>
      <c r="C31" s="5">
        <v>-2.9</v>
      </c>
      <c r="D31" s="24">
        <f t="shared" si="0"/>
        <v>-1.9955690619001394</v>
      </c>
      <c r="E31" s="24">
        <f t="shared" si="1"/>
        <v>0.8955690619001393</v>
      </c>
      <c r="F31">
        <f t="shared" si="2"/>
        <v>81.415369263649012</v>
      </c>
    </row>
    <row r="32" spans="1:16" ht="15.5" x14ac:dyDescent="0.35">
      <c r="A32" s="21">
        <v>3.7083333333333299</v>
      </c>
      <c r="B32" s="5">
        <v>1.2</v>
      </c>
      <c r="C32" s="5">
        <v>-1.1000000000000001</v>
      </c>
      <c r="D32" s="24">
        <f t="shared" si="0"/>
        <v>-0.56457333102809326</v>
      </c>
      <c r="E32" s="24">
        <f t="shared" si="1"/>
        <v>1.7645733310280933</v>
      </c>
      <c r="F32">
        <f t="shared" si="2"/>
        <v>147.04777758567445</v>
      </c>
    </row>
    <row r="33" spans="1:9" ht="15.5" x14ac:dyDescent="0.35">
      <c r="A33" s="21">
        <v>3.8333333333333299</v>
      </c>
      <c r="B33" s="5">
        <v>-1.4</v>
      </c>
      <c r="C33" s="5">
        <v>1.2</v>
      </c>
      <c r="D33" s="24">
        <f t="shared" si="0"/>
        <v>1.2639212139750768</v>
      </c>
      <c r="E33" s="24">
        <f t="shared" si="1"/>
        <v>-2.663921213975077</v>
      </c>
      <c r="F33">
        <f t="shared" si="2"/>
        <v>190.28008671250552</v>
      </c>
    </row>
    <row r="34" spans="1:9" ht="15.5" x14ac:dyDescent="0.35">
      <c r="A34" s="21">
        <v>3.9583333333333299</v>
      </c>
      <c r="B34" s="5">
        <v>-1.3</v>
      </c>
      <c r="C34" s="5">
        <v>-1.4</v>
      </c>
      <c r="D34" s="24">
        <f t="shared" si="0"/>
        <v>-0.80307261950676745</v>
      </c>
      <c r="E34" s="24">
        <f t="shared" si="1"/>
        <v>-0.4969273804932326</v>
      </c>
      <c r="F34">
        <f t="shared" si="2"/>
        <v>38.225183114864045</v>
      </c>
    </row>
    <row r="35" spans="1:9" ht="15.5" x14ac:dyDescent="0.35">
      <c r="A35" s="42">
        <v>4.0833333333333304</v>
      </c>
      <c r="B35" s="47" t="s">
        <v>140</v>
      </c>
      <c r="C35" s="48">
        <v>-1.3</v>
      </c>
      <c r="D35" s="47">
        <f t="shared" si="0"/>
        <v>-0.72357285668054283</v>
      </c>
      <c r="E35" s="47" t="s">
        <v>140</v>
      </c>
    </row>
    <row r="36" spans="1:9" x14ac:dyDescent="0.35">
      <c r="D36" s="25" t="s">
        <v>197</v>
      </c>
      <c r="E36" s="24">
        <f>SUM(E4:E34)</f>
        <v>-1.5543122344752192E-15</v>
      </c>
    </row>
    <row r="37" spans="1:9" x14ac:dyDescent="0.35">
      <c r="D37" s="24" t="s">
        <v>62</v>
      </c>
      <c r="E37" s="24">
        <f>AVERAGE(E4:E34)</f>
        <v>-5.0139104337910294E-17</v>
      </c>
      <c r="F37" s="24">
        <f>AVERAGE(F4:F34)</f>
        <v>128.61646224074155</v>
      </c>
    </row>
    <row r="39" spans="1:9" x14ac:dyDescent="0.35">
      <c r="A39" t="s">
        <v>198</v>
      </c>
    </row>
    <row r="40" spans="1:9" ht="23" x14ac:dyDescent="0.35">
      <c r="A40" s="3" t="s">
        <v>12</v>
      </c>
      <c r="B40" s="43" t="s">
        <v>168</v>
      </c>
      <c r="C40" s="24" t="s">
        <v>169</v>
      </c>
      <c r="D40" s="24" t="s">
        <v>199</v>
      </c>
      <c r="E40" s="24" t="s">
        <v>202</v>
      </c>
      <c r="F40" s="24" t="s">
        <v>170</v>
      </c>
      <c r="G40" s="49" t="s">
        <v>203</v>
      </c>
      <c r="H40" t="s">
        <v>171</v>
      </c>
    </row>
    <row r="41" spans="1:9" ht="16" thickBot="1" x14ac:dyDescent="0.4">
      <c r="A41" s="21">
        <v>8.3333333333333329E-2</v>
      </c>
      <c r="B41" s="5">
        <v>1.7</v>
      </c>
      <c r="C41" s="24" t="s">
        <v>140</v>
      </c>
      <c r="D41" s="24" t="s">
        <v>140</v>
      </c>
      <c r="E41" s="24"/>
      <c r="F41" s="24"/>
    </row>
    <row r="42" spans="1:9" ht="15.5" x14ac:dyDescent="0.35">
      <c r="A42" s="21">
        <v>0.20833333333333334</v>
      </c>
      <c r="B42" s="5">
        <v>2.6</v>
      </c>
      <c r="C42" s="5">
        <v>1.7</v>
      </c>
      <c r="D42" s="24" t="s">
        <v>140</v>
      </c>
      <c r="E42" s="24"/>
      <c r="F42" s="24"/>
      <c r="H42" s="46" t="s">
        <v>172</v>
      </c>
      <c r="I42" s="46"/>
    </row>
    <row r="43" spans="1:9" ht="15.5" x14ac:dyDescent="0.35">
      <c r="A43" s="21">
        <v>0.33333333333333331</v>
      </c>
      <c r="B43" s="5">
        <v>1.4</v>
      </c>
      <c r="C43" s="5">
        <v>2.6</v>
      </c>
      <c r="D43" s="5">
        <v>1.7</v>
      </c>
      <c r="E43" s="24">
        <f>$I$56+$I$57*C43+$I$58*D43</f>
        <v>2.575161414610637</v>
      </c>
      <c r="F43" s="24">
        <f t="shared" ref="F43:F72" si="3">B43-E43</f>
        <v>-1.1751614146106371</v>
      </c>
      <c r="G43">
        <f>(ABS(F43)/ABS(B43))*100</f>
        <v>83.940101043616934</v>
      </c>
      <c r="H43" t="s">
        <v>173</v>
      </c>
      <c r="I43">
        <v>0.79955749089539152</v>
      </c>
    </row>
    <row r="44" spans="1:9" ht="15.5" x14ac:dyDescent="0.35">
      <c r="A44" s="21">
        <v>0.45833333333333331</v>
      </c>
      <c r="B44" s="5">
        <v>4.4000000000000004</v>
      </c>
      <c r="C44" s="5">
        <v>1.4</v>
      </c>
      <c r="D44" s="5">
        <v>2.6</v>
      </c>
      <c r="E44" s="24">
        <f t="shared" ref="E44:E73" si="4">$I$56+$I$57*C44+$I$58*D44</f>
        <v>1.136282999329371</v>
      </c>
      <c r="F44" s="24">
        <f t="shared" si="3"/>
        <v>3.2637170006706295</v>
      </c>
      <c r="G44">
        <f t="shared" ref="G44:G72" si="5">(ABS(F44)/ABS(B44))*100</f>
        <v>74.175386378877946</v>
      </c>
      <c r="H44" t="s">
        <v>174</v>
      </c>
      <c r="I44">
        <v>0.6392921812469341</v>
      </c>
    </row>
    <row r="45" spans="1:9" ht="15.5" x14ac:dyDescent="0.35">
      <c r="A45" s="21">
        <v>0.58333333333333337</v>
      </c>
      <c r="B45" s="5">
        <v>6.6</v>
      </c>
      <c r="C45" s="5">
        <v>4.4000000000000004</v>
      </c>
      <c r="D45" s="5">
        <v>1.4</v>
      </c>
      <c r="E45" s="24">
        <f t="shared" si="4"/>
        <v>4.4525909214644805</v>
      </c>
      <c r="F45" s="24">
        <f t="shared" si="3"/>
        <v>2.1474090785355191</v>
      </c>
      <c r="G45">
        <f t="shared" si="5"/>
        <v>32.53650118993211</v>
      </c>
      <c r="H45" t="s">
        <v>175</v>
      </c>
      <c r="I45">
        <v>0.61257308356152174</v>
      </c>
    </row>
    <row r="46" spans="1:9" ht="15.5" x14ac:dyDescent="0.35">
      <c r="A46" s="21">
        <v>0.70833333333333337</v>
      </c>
      <c r="B46" s="5">
        <v>7.1</v>
      </c>
      <c r="C46" s="5">
        <v>6.6</v>
      </c>
      <c r="D46" s="5">
        <v>4.4000000000000004</v>
      </c>
      <c r="E46" s="24">
        <f t="shared" si="4"/>
        <v>5.8466015973692294</v>
      </c>
      <c r="F46" s="24">
        <f t="shared" si="3"/>
        <v>1.2533984026307703</v>
      </c>
      <c r="G46">
        <f t="shared" si="5"/>
        <v>17.653498628602399</v>
      </c>
      <c r="H46" t="s">
        <v>176</v>
      </c>
      <c r="I46">
        <v>2.0051313600433929</v>
      </c>
    </row>
    <row r="47" spans="1:9" ht="16" thickBot="1" x14ac:dyDescent="0.4">
      <c r="A47" s="21">
        <v>0.83333333333333337</v>
      </c>
      <c r="B47" s="5">
        <v>4.2</v>
      </c>
      <c r="C47" s="5">
        <v>7.1</v>
      </c>
      <c r="D47" s="5">
        <v>6.6</v>
      </c>
      <c r="E47" s="24">
        <f t="shared" si="4"/>
        <v>5.7572896048076254</v>
      </c>
      <c r="F47" s="24">
        <f t="shared" si="3"/>
        <v>-1.5572896048076252</v>
      </c>
      <c r="G47">
        <f t="shared" si="5"/>
        <v>37.078323923991071</v>
      </c>
      <c r="H47" s="44" t="s">
        <v>177</v>
      </c>
      <c r="I47" s="44">
        <v>30</v>
      </c>
    </row>
    <row r="48" spans="1:9" ht="15.5" x14ac:dyDescent="0.35">
      <c r="A48" s="21">
        <v>0.95833333333333337</v>
      </c>
      <c r="B48" s="5">
        <v>3.7</v>
      </c>
      <c r="C48" s="5">
        <v>4.2</v>
      </c>
      <c r="D48" s="5">
        <v>7.1</v>
      </c>
      <c r="E48" s="24">
        <f t="shared" si="4"/>
        <v>2.7280835244626536</v>
      </c>
      <c r="F48" s="24">
        <f t="shared" si="3"/>
        <v>0.97191647553734661</v>
      </c>
      <c r="G48">
        <f t="shared" si="5"/>
        <v>26.268012852360716</v>
      </c>
    </row>
    <row r="49" spans="1:16" ht="16" thickBot="1" x14ac:dyDescent="0.4">
      <c r="A49" s="21">
        <v>1.0833333333333299</v>
      </c>
      <c r="B49" s="5">
        <v>5.9</v>
      </c>
      <c r="C49" s="5">
        <v>3.7</v>
      </c>
      <c r="D49" s="5">
        <v>4.2</v>
      </c>
      <c r="E49" s="24">
        <f t="shared" si="4"/>
        <v>3.0046542610696272</v>
      </c>
      <c r="F49" s="24">
        <f t="shared" si="3"/>
        <v>2.8953457389303732</v>
      </c>
      <c r="G49">
        <f t="shared" si="5"/>
        <v>49.073656592040223</v>
      </c>
      <c r="H49" t="s">
        <v>178</v>
      </c>
    </row>
    <row r="50" spans="1:16" ht="15.5" x14ac:dyDescent="0.35">
      <c r="A50" s="21">
        <v>1.2083333333333299</v>
      </c>
      <c r="B50" s="5">
        <v>3</v>
      </c>
      <c r="C50" s="5">
        <v>5.9</v>
      </c>
      <c r="D50" s="5">
        <v>3.7</v>
      </c>
      <c r="E50" s="24">
        <f t="shared" si="4"/>
        <v>5.3349586572012218</v>
      </c>
      <c r="F50" s="24">
        <f t="shared" si="3"/>
        <v>-2.3349586572012218</v>
      </c>
      <c r="G50">
        <f t="shared" si="5"/>
        <v>77.831955240040728</v>
      </c>
      <c r="H50" s="45"/>
      <c r="I50" s="45" t="s">
        <v>183</v>
      </c>
      <c r="J50" s="45" t="s">
        <v>184</v>
      </c>
      <c r="K50" s="45" t="s">
        <v>185</v>
      </c>
      <c r="L50" s="45" t="s">
        <v>186</v>
      </c>
      <c r="M50" s="45" t="s">
        <v>187</v>
      </c>
    </row>
    <row r="51" spans="1:16" ht="15.5" x14ac:dyDescent="0.35">
      <c r="A51" s="21">
        <v>1.3333333333333299</v>
      </c>
      <c r="B51" s="5">
        <v>0.8</v>
      </c>
      <c r="C51" s="5">
        <v>3</v>
      </c>
      <c r="D51" s="5">
        <v>5.9</v>
      </c>
      <c r="E51" s="24">
        <f t="shared" si="4"/>
        <v>1.8509813413174949</v>
      </c>
      <c r="F51" s="24">
        <f t="shared" si="3"/>
        <v>-1.0509813413174949</v>
      </c>
      <c r="G51">
        <f t="shared" si="5"/>
        <v>131.37266766468684</v>
      </c>
      <c r="H51" t="s">
        <v>179</v>
      </c>
      <c r="I51">
        <v>2</v>
      </c>
      <c r="J51">
        <v>192.39476884887108</v>
      </c>
      <c r="K51">
        <v>96.19738442443554</v>
      </c>
      <c r="L51">
        <v>23.926413562833961</v>
      </c>
      <c r="M51">
        <v>1.0509934498164921E-6</v>
      </c>
    </row>
    <row r="52" spans="1:16" ht="15.5" x14ac:dyDescent="0.35">
      <c r="A52" s="21">
        <v>1.4583333333333299</v>
      </c>
      <c r="B52" s="5">
        <v>4.3</v>
      </c>
      <c r="C52" s="5">
        <v>0.8</v>
      </c>
      <c r="D52" s="5">
        <v>3</v>
      </c>
      <c r="E52" s="24">
        <f t="shared" si="4"/>
        <v>0.43021941626340776</v>
      </c>
      <c r="F52" s="24">
        <f t="shared" si="3"/>
        <v>3.869780583736592</v>
      </c>
      <c r="G52">
        <f t="shared" si="5"/>
        <v>89.994897296199809</v>
      </c>
      <c r="H52" t="s">
        <v>180</v>
      </c>
      <c r="I52">
        <v>27</v>
      </c>
      <c r="J52">
        <v>108.55489781779562</v>
      </c>
      <c r="K52">
        <v>4.0205517710294671</v>
      </c>
    </row>
    <row r="53" spans="1:16" ht="16" thickBot="1" x14ac:dyDescent="0.4">
      <c r="A53" s="21">
        <v>1.5833333333333299</v>
      </c>
      <c r="B53" s="5">
        <v>3.5</v>
      </c>
      <c r="C53" s="5">
        <v>4.3</v>
      </c>
      <c r="D53" s="5">
        <v>0.8</v>
      </c>
      <c r="E53" s="24">
        <f t="shared" si="4"/>
        <v>4.5132553186157427</v>
      </c>
      <c r="F53" s="24">
        <f t="shared" si="3"/>
        <v>-1.0132553186157427</v>
      </c>
      <c r="G53">
        <f t="shared" si="5"/>
        <v>28.950151960449794</v>
      </c>
      <c r="H53" s="44" t="s">
        <v>181</v>
      </c>
      <c r="I53" s="44">
        <v>29</v>
      </c>
      <c r="J53" s="44">
        <v>300.9496666666667</v>
      </c>
      <c r="K53" s="44"/>
      <c r="L53" s="44"/>
      <c r="M53" s="44"/>
    </row>
    <row r="54" spans="1:16" ht="16" thickBot="1" x14ac:dyDescent="0.4">
      <c r="A54" s="21">
        <v>1.7083333333333299</v>
      </c>
      <c r="B54" s="5">
        <v>5.5</v>
      </c>
      <c r="C54" s="5">
        <v>3.5</v>
      </c>
      <c r="D54" s="5">
        <v>4.3</v>
      </c>
      <c r="E54" s="24">
        <f t="shared" si="4"/>
        <v>2.7782168164307515</v>
      </c>
      <c r="F54" s="24">
        <f t="shared" si="3"/>
        <v>2.7217831835692485</v>
      </c>
      <c r="G54">
        <f t="shared" si="5"/>
        <v>49.486966973986334</v>
      </c>
    </row>
    <row r="55" spans="1:16" ht="15.5" x14ac:dyDescent="0.35">
      <c r="A55" s="21">
        <v>1.8333333333333299</v>
      </c>
      <c r="B55" s="5">
        <v>5.9</v>
      </c>
      <c r="C55" s="5">
        <v>5.5</v>
      </c>
      <c r="D55" s="5">
        <v>3.5</v>
      </c>
      <c r="E55" s="24">
        <f t="shared" si="4"/>
        <v>4.9890887645208242</v>
      </c>
      <c r="F55" s="24">
        <f t="shared" si="3"/>
        <v>0.91091123547917618</v>
      </c>
      <c r="G55">
        <f t="shared" si="5"/>
        <v>15.439173482697901</v>
      </c>
      <c r="H55" s="45"/>
      <c r="I55" s="45" t="s">
        <v>188</v>
      </c>
      <c r="J55" s="45" t="s">
        <v>176</v>
      </c>
      <c r="K55" s="45" t="s">
        <v>189</v>
      </c>
      <c r="L55" s="45" t="s">
        <v>190</v>
      </c>
      <c r="M55" s="45" t="s">
        <v>191</v>
      </c>
      <c r="N55" s="45" t="s">
        <v>192</v>
      </c>
      <c r="O55" s="45" t="s">
        <v>193</v>
      </c>
      <c r="P55" s="45" t="s">
        <v>194</v>
      </c>
    </row>
    <row r="56" spans="1:16" ht="15.5" x14ac:dyDescent="0.35">
      <c r="A56" s="21">
        <v>1.9583333333333299</v>
      </c>
      <c r="B56" s="5">
        <v>3.5</v>
      </c>
      <c r="C56" s="5">
        <v>5.9</v>
      </c>
      <c r="D56" s="5">
        <v>5.5</v>
      </c>
      <c r="E56" s="24">
        <f t="shared" si="4"/>
        <v>4.8534361725131303</v>
      </c>
      <c r="F56" s="24">
        <f t="shared" si="3"/>
        <v>-1.3534361725131303</v>
      </c>
      <c r="G56">
        <f t="shared" si="5"/>
        <v>38.669604928946583</v>
      </c>
      <c r="H56" t="s">
        <v>182</v>
      </c>
      <c r="I56">
        <v>0.43401210878541496</v>
      </c>
      <c r="J56">
        <v>0.44862952696103142</v>
      </c>
      <c r="K56">
        <v>0.96741761899928147</v>
      </c>
      <c r="L56">
        <v>0.34192166862851847</v>
      </c>
      <c r="M56">
        <v>-0.48649964522734446</v>
      </c>
      <c r="N56">
        <v>1.3545238627981744</v>
      </c>
      <c r="O56">
        <v>-0.48649964522734446</v>
      </c>
      <c r="P56">
        <v>1.3545238627981744</v>
      </c>
    </row>
    <row r="57" spans="1:16" ht="15.5" x14ac:dyDescent="0.35">
      <c r="A57" s="21">
        <v>2.0833333333333299</v>
      </c>
      <c r="B57" s="5">
        <v>1.6</v>
      </c>
      <c r="C57" s="5">
        <v>3.5</v>
      </c>
      <c r="D57" s="5">
        <v>5.9</v>
      </c>
      <c r="E57" s="24">
        <f t="shared" si="4"/>
        <v>2.3501968300413365</v>
      </c>
      <c r="F57" s="24">
        <f t="shared" si="3"/>
        <v>-0.75019683004133642</v>
      </c>
      <c r="G57">
        <f t="shared" si="5"/>
        <v>46.887301877583525</v>
      </c>
      <c r="H57" t="s">
        <v>195</v>
      </c>
      <c r="I57">
        <v>0.99843097744768283</v>
      </c>
      <c r="J57">
        <v>0.185175514215703</v>
      </c>
      <c r="K57">
        <v>5.3918088559195443</v>
      </c>
      <c r="L57">
        <v>1.0647688947547747E-5</v>
      </c>
      <c r="M57">
        <v>0.61848220647497443</v>
      </c>
      <c r="N57">
        <v>1.3783797484203912</v>
      </c>
      <c r="O57">
        <v>0.61848220647497443</v>
      </c>
      <c r="P57">
        <v>1.3783797484203912</v>
      </c>
    </row>
    <row r="58" spans="1:16" ht="16" thickBot="1" x14ac:dyDescent="0.4">
      <c r="A58" s="21">
        <v>2.2083333333333299</v>
      </c>
      <c r="B58" s="5">
        <v>-0.1</v>
      </c>
      <c r="C58" s="5">
        <v>1.6</v>
      </c>
      <c r="D58" s="5">
        <v>3.5</v>
      </c>
      <c r="E58" s="24">
        <f t="shared" si="4"/>
        <v>1.0952079524748619</v>
      </c>
      <c r="F58" s="24">
        <f t="shared" si="3"/>
        <v>-1.195207952474862</v>
      </c>
      <c r="G58">
        <f t="shared" si="5"/>
        <v>1195.2079524748619</v>
      </c>
      <c r="H58" s="44" t="s">
        <v>200</v>
      </c>
      <c r="I58" s="44">
        <v>-0.26751249149338452</v>
      </c>
      <c r="J58" s="44">
        <v>0.18903114072665286</v>
      </c>
      <c r="K58" s="44">
        <v>-1.4151768352295935</v>
      </c>
      <c r="L58" s="44">
        <v>0.16844778434464824</v>
      </c>
      <c r="M58" s="44">
        <v>-0.6553723546014103</v>
      </c>
      <c r="N58" s="44">
        <v>0.12034737161464121</v>
      </c>
      <c r="O58" s="44">
        <v>-0.6553723546014103</v>
      </c>
      <c r="P58" s="44">
        <v>0.12034737161464121</v>
      </c>
    </row>
    <row r="59" spans="1:16" ht="15.5" x14ac:dyDescent="0.35">
      <c r="A59" s="21">
        <v>2.3333333333333299</v>
      </c>
      <c r="B59" s="5">
        <v>-0.8</v>
      </c>
      <c r="C59" s="5">
        <v>-0.1</v>
      </c>
      <c r="D59" s="5">
        <v>1.6</v>
      </c>
      <c r="E59" s="24">
        <f t="shared" si="4"/>
        <v>-9.3850975348768573E-2</v>
      </c>
      <c r="F59" s="24">
        <f t="shared" si="3"/>
        <v>-0.70614902465123142</v>
      </c>
      <c r="G59">
        <f t="shared" si="5"/>
        <v>88.268628081403918</v>
      </c>
    </row>
    <row r="60" spans="1:16" ht="15.5" x14ac:dyDescent="0.35">
      <c r="A60" s="21">
        <v>2.4583333333333299</v>
      </c>
      <c r="B60" s="5">
        <v>1.7</v>
      </c>
      <c r="C60" s="5">
        <v>-0.8</v>
      </c>
      <c r="D60" s="5">
        <v>-0.1</v>
      </c>
      <c r="E60" s="24">
        <f t="shared" si="4"/>
        <v>-0.33798142402339293</v>
      </c>
      <c r="F60" s="24">
        <f t="shared" si="3"/>
        <v>2.0379814240233927</v>
      </c>
      <c r="G60">
        <f t="shared" si="5"/>
        <v>119.88126023667016</v>
      </c>
      <c r="H60" s="23" t="s">
        <v>201</v>
      </c>
      <c r="I60" s="23"/>
    </row>
    <row r="61" spans="1:16" ht="15.5" x14ac:dyDescent="0.35">
      <c r="A61" s="21">
        <v>2.5833333333333299</v>
      </c>
      <c r="B61" s="5">
        <v>4.2</v>
      </c>
      <c r="C61" s="5">
        <v>1.7</v>
      </c>
      <c r="D61" s="5">
        <v>-0.8</v>
      </c>
      <c r="E61" s="24">
        <f t="shared" si="4"/>
        <v>2.3453547636411836</v>
      </c>
      <c r="F61" s="24">
        <f t="shared" si="3"/>
        <v>1.8546452363588166</v>
      </c>
      <c r="G61">
        <f t="shared" si="5"/>
        <v>44.15821991330516</v>
      </c>
    </row>
    <row r="62" spans="1:16" ht="15.5" x14ac:dyDescent="0.35">
      <c r="A62" s="21">
        <v>2.7083333333333299</v>
      </c>
      <c r="B62" s="5">
        <v>5.0999999999999996</v>
      </c>
      <c r="C62" s="5">
        <v>4.2</v>
      </c>
      <c r="D62" s="5">
        <v>1.7</v>
      </c>
      <c r="E62" s="24">
        <f t="shared" si="4"/>
        <v>4.1726509785269297</v>
      </c>
      <c r="F62" s="24">
        <f t="shared" si="3"/>
        <v>0.92734902147306997</v>
      </c>
      <c r="G62">
        <f t="shared" si="5"/>
        <v>18.183314146530787</v>
      </c>
    </row>
    <row r="63" spans="1:16" ht="15.5" x14ac:dyDescent="0.35">
      <c r="A63" s="21">
        <v>2.8333333333333299</v>
      </c>
      <c r="B63" s="5">
        <v>1.5</v>
      </c>
      <c r="C63" s="5">
        <v>5.0999999999999996</v>
      </c>
      <c r="D63" s="5">
        <v>4.2</v>
      </c>
      <c r="E63" s="24">
        <f t="shared" si="4"/>
        <v>4.4024576294963822</v>
      </c>
      <c r="F63" s="24">
        <f t="shared" si="3"/>
        <v>-2.9024576294963822</v>
      </c>
      <c r="G63">
        <f t="shared" si="5"/>
        <v>193.49717529975879</v>
      </c>
    </row>
    <row r="64" spans="1:16" ht="15.5" x14ac:dyDescent="0.35">
      <c r="A64" s="21">
        <v>2.9583333333333299</v>
      </c>
      <c r="B64" s="5">
        <v>-1</v>
      </c>
      <c r="C64" s="5">
        <v>1.5</v>
      </c>
      <c r="D64" s="5">
        <v>5.0999999999999996</v>
      </c>
      <c r="E64" s="24">
        <f t="shared" si="4"/>
        <v>0.56734486834067832</v>
      </c>
      <c r="F64" s="24">
        <f t="shared" si="3"/>
        <v>-1.5673448683406783</v>
      </c>
      <c r="G64">
        <f t="shared" si="5"/>
        <v>156.73448683406784</v>
      </c>
    </row>
    <row r="65" spans="1:7" ht="15.5" x14ac:dyDescent="0.35">
      <c r="A65" s="21">
        <v>3.0833333333333299</v>
      </c>
      <c r="B65" s="5">
        <v>-3.8</v>
      </c>
      <c r="C65" s="5">
        <v>-1</v>
      </c>
      <c r="D65" s="5">
        <v>1.5</v>
      </c>
      <c r="E65" s="24">
        <f t="shared" si="4"/>
        <v>-0.9656876059023447</v>
      </c>
      <c r="F65" s="24">
        <f t="shared" si="3"/>
        <v>-2.8343123940976551</v>
      </c>
      <c r="G65">
        <f t="shared" si="5"/>
        <v>74.587168265727769</v>
      </c>
    </row>
    <row r="66" spans="1:7" ht="15.5" x14ac:dyDescent="0.35">
      <c r="A66" s="21">
        <v>3.2083333333333299</v>
      </c>
      <c r="B66" s="5">
        <v>-4</v>
      </c>
      <c r="C66" s="5">
        <v>-3.8</v>
      </c>
      <c r="D66" s="5">
        <v>-1</v>
      </c>
      <c r="E66" s="24">
        <f t="shared" si="4"/>
        <v>-3.0925131140223949</v>
      </c>
      <c r="F66" s="24">
        <f t="shared" si="3"/>
        <v>-0.90748688597760507</v>
      </c>
      <c r="G66">
        <f t="shared" si="5"/>
        <v>22.687172149440126</v>
      </c>
    </row>
    <row r="67" spans="1:7" ht="15.5" x14ac:dyDescent="0.35">
      <c r="A67" s="21">
        <v>3.3333333333333299</v>
      </c>
      <c r="B67" s="5">
        <v>-2.8</v>
      </c>
      <c r="C67" s="5">
        <v>-4</v>
      </c>
      <c r="D67" s="5">
        <v>-3.8</v>
      </c>
      <c r="E67" s="24">
        <f t="shared" si="4"/>
        <v>-2.5431643333304552</v>
      </c>
      <c r="F67" s="24">
        <f t="shared" si="3"/>
        <v>-0.2568356666695446</v>
      </c>
      <c r="G67">
        <f t="shared" si="5"/>
        <v>9.1727023810551636</v>
      </c>
    </row>
    <row r="68" spans="1:7" ht="15.5" x14ac:dyDescent="0.35">
      <c r="A68" s="21">
        <v>3.4583333333333299</v>
      </c>
      <c r="B68" s="5">
        <v>-2.9</v>
      </c>
      <c r="C68" s="5">
        <v>-2.8</v>
      </c>
      <c r="D68" s="5">
        <v>-4</v>
      </c>
      <c r="E68" s="24">
        <f t="shared" si="4"/>
        <v>-1.2915446620945588</v>
      </c>
      <c r="F68" s="24">
        <f t="shared" si="3"/>
        <v>-1.6084553379054412</v>
      </c>
      <c r="G68">
        <f t="shared" si="5"/>
        <v>55.463977169153146</v>
      </c>
    </row>
    <row r="69" spans="1:7" ht="15.5" x14ac:dyDescent="0.35">
      <c r="A69" s="21">
        <v>3.5833333333333299</v>
      </c>
      <c r="B69" s="5">
        <v>-1.1000000000000001</v>
      </c>
      <c r="C69" s="5">
        <v>-2.9</v>
      </c>
      <c r="D69" s="5">
        <v>-2.8</v>
      </c>
      <c r="E69" s="24">
        <f t="shared" si="4"/>
        <v>-1.7124027496313885</v>
      </c>
      <c r="F69" s="24">
        <f t="shared" si="3"/>
        <v>0.61240274963138841</v>
      </c>
      <c r="G69">
        <f t="shared" si="5"/>
        <v>55.672977239217126</v>
      </c>
    </row>
    <row r="70" spans="1:7" ht="15.5" x14ac:dyDescent="0.35">
      <c r="A70" s="21">
        <v>3.7083333333333299</v>
      </c>
      <c r="B70" s="5">
        <v>1.2</v>
      </c>
      <c r="C70" s="5">
        <v>-1.1000000000000001</v>
      </c>
      <c r="D70" s="5">
        <v>-2.9</v>
      </c>
      <c r="E70" s="24">
        <f t="shared" si="4"/>
        <v>0.11152425892377893</v>
      </c>
      <c r="F70" s="24">
        <f t="shared" si="3"/>
        <v>1.0884757410762211</v>
      </c>
      <c r="G70">
        <f t="shared" si="5"/>
        <v>90.706311756351766</v>
      </c>
    </row>
    <row r="71" spans="1:7" ht="15.5" x14ac:dyDescent="0.35">
      <c r="A71" s="21">
        <v>3.8333333333333299</v>
      </c>
      <c r="B71" s="5">
        <v>-1.4</v>
      </c>
      <c r="C71" s="5">
        <v>1.2</v>
      </c>
      <c r="D71" s="5">
        <v>-1.1000000000000001</v>
      </c>
      <c r="E71" s="24">
        <f t="shared" si="4"/>
        <v>1.9263930223653571</v>
      </c>
      <c r="F71" s="24">
        <f t="shared" si="3"/>
        <v>-3.3263930223653571</v>
      </c>
      <c r="G71">
        <f t="shared" si="5"/>
        <v>237.59950159752549</v>
      </c>
    </row>
    <row r="72" spans="1:7" ht="15.5" x14ac:dyDescent="0.35">
      <c r="A72" s="21">
        <v>3.9583333333333299</v>
      </c>
      <c r="B72" s="5">
        <v>-1.3</v>
      </c>
      <c r="C72" s="5">
        <v>-1.4</v>
      </c>
      <c r="D72" s="5">
        <v>1.2</v>
      </c>
      <c r="E72" s="24">
        <f t="shared" si="4"/>
        <v>-1.2848062494334023</v>
      </c>
      <c r="F72" s="24">
        <f t="shared" si="3"/>
        <v>-1.5193750566597775E-2</v>
      </c>
      <c r="G72">
        <f t="shared" si="5"/>
        <v>1.1687500435844442</v>
      </c>
    </row>
    <row r="73" spans="1:7" ht="15.5" x14ac:dyDescent="0.35">
      <c r="A73" s="42">
        <v>4.0833333333333304</v>
      </c>
      <c r="B73" s="47" t="s">
        <v>140</v>
      </c>
      <c r="C73" s="48">
        <v>-1.3</v>
      </c>
      <c r="D73" s="48">
        <v>-1.4</v>
      </c>
      <c r="E73" s="47">
        <f t="shared" si="4"/>
        <v>-0.48943067380583444</v>
      </c>
      <c r="F73" s="47" t="s">
        <v>140</v>
      </c>
    </row>
    <row r="74" spans="1:7" x14ac:dyDescent="0.35">
      <c r="E74" s="25" t="s">
        <v>197</v>
      </c>
      <c r="F74" s="24">
        <f>SUM(F43:F72)</f>
        <v>3.9968028886505635E-15</v>
      </c>
    </row>
    <row r="75" spans="1:7" x14ac:dyDescent="0.35">
      <c r="E75" s="24" t="s">
        <v>62</v>
      </c>
      <c r="F75" s="24">
        <f>AVERAGE(F43:F72)</f>
        <v>1.3322676295501878E-16</v>
      </c>
      <c r="G75" s="24">
        <f>AVERAGE(G43:G72)</f>
        <v>105.41159325408891</v>
      </c>
    </row>
    <row r="78" spans="1:7" x14ac:dyDescent="0.35">
      <c r="B78" s="5">
        <v>1.7</v>
      </c>
    </row>
    <row r="79" spans="1:7" x14ac:dyDescent="0.35">
      <c r="B79" s="5">
        <v>2.6</v>
      </c>
      <c r="C79" s="5">
        <v>1.7</v>
      </c>
    </row>
    <row r="80" spans="1:7" x14ac:dyDescent="0.35">
      <c r="B80" s="5">
        <v>1.4</v>
      </c>
      <c r="C80" s="5">
        <v>2.6</v>
      </c>
      <c r="D80" s="5">
        <v>1.7</v>
      </c>
    </row>
    <row r="81" spans="2:16" x14ac:dyDescent="0.35">
      <c r="B81" s="5">
        <v>4.4000000000000004</v>
      </c>
      <c r="C81" s="5">
        <v>1.4</v>
      </c>
      <c r="D81" s="5">
        <v>2.6</v>
      </c>
      <c r="E81" s="5">
        <v>1.7</v>
      </c>
    </row>
    <row r="82" spans="2:16" x14ac:dyDescent="0.35">
      <c r="B82" s="5">
        <v>6.6</v>
      </c>
      <c r="C82" s="5">
        <v>4.4000000000000004</v>
      </c>
      <c r="D82" s="5">
        <v>1.4</v>
      </c>
      <c r="E82" s="5">
        <v>2.6</v>
      </c>
      <c r="F82" s="5">
        <v>1.7</v>
      </c>
    </row>
    <row r="83" spans="2:16" x14ac:dyDescent="0.35">
      <c r="B83" s="5">
        <v>7.1</v>
      </c>
      <c r="C83" s="5">
        <v>6.6</v>
      </c>
      <c r="D83" s="5">
        <v>4.4000000000000004</v>
      </c>
      <c r="E83" s="5">
        <v>1.4</v>
      </c>
      <c r="F83" s="5">
        <v>2.6</v>
      </c>
      <c r="G83" s="5">
        <v>1.7</v>
      </c>
    </row>
    <row r="84" spans="2:16" x14ac:dyDescent="0.35">
      <c r="B84" s="5">
        <v>4.2</v>
      </c>
      <c r="C84" s="5">
        <v>7.1</v>
      </c>
      <c r="D84" s="5">
        <v>6.6</v>
      </c>
      <c r="E84" s="5">
        <v>4.4000000000000004</v>
      </c>
      <c r="F84" s="5">
        <v>1.4</v>
      </c>
      <c r="G84" s="5">
        <v>2.6</v>
      </c>
      <c r="H84" s="5">
        <v>1.7</v>
      </c>
    </row>
    <row r="85" spans="2:16" x14ac:dyDescent="0.35">
      <c r="B85" s="5">
        <v>3.7</v>
      </c>
      <c r="C85" s="5">
        <v>4.2</v>
      </c>
      <c r="D85" s="5">
        <v>7.1</v>
      </c>
      <c r="E85" s="5">
        <v>6.6</v>
      </c>
      <c r="F85" s="5">
        <v>4.4000000000000004</v>
      </c>
      <c r="G85" s="5">
        <v>1.4</v>
      </c>
      <c r="H85" s="5">
        <v>2.6</v>
      </c>
      <c r="I85" s="5">
        <v>1.7</v>
      </c>
      <c r="K85" t="s">
        <v>171</v>
      </c>
    </row>
    <row r="86" spans="2:16" ht="15" thickBot="1" x14ac:dyDescent="0.4">
      <c r="B86" s="5">
        <v>5.9</v>
      </c>
      <c r="C86" s="5">
        <v>3.7</v>
      </c>
      <c r="D86" s="5">
        <v>4.2</v>
      </c>
      <c r="E86" s="5">
        <v>7.1</v>
      </c>
      <c r="F86" s="5">
        <v>6.6</v>
      </c>
      <c r="G86" s="5">
        <v>4.4000000000000004</v>
      </c>
      <c r="H86" s="5">
        <v>1.4</v>
      </c>
      <c r="I86" s="5">
        <v>2.6</v>
      </c>
    </row>
    <row r="87" spans="2:16" x14ac:dyDescent="0.35">
      <c r="B87" s="5">
        <v>3</v>
      </c>
      <c r="C87" s="5">
        <v>5.9</v>
      </c>
      <c r="D87" s="5">
        <v>3.7</v>
      </c>
      <c r="E87" s="5">
        <v>4.2</v>
      </c>
      <c r="F87" s="5">
        <v>7.1</v>
      </c>
      <c r="G87" s="5">
        <v>6.6</v>
      </c>
      <c r="H87" s="5">
        <v>4.4000000000000004</v>
      </c>
      <c r="I87" s="5">
        <v>1.4</v>
      </c>
      <c r="K87" s="46" t="s">
        <v>172</v>
      </c>
      <c r="L87" s="46"/>
    </row>
    <row r="88" spans="2:16" x14ac:dyDescent="0.35">
      <c r="B88" s="5">
        <v>0.8</v>
      </c>
      <c r="C88" s="5">
        <v>3</v>
      </c>
      <c r="D88" s="5">
        <v>5.9</v>
      </c>
      <c r="E88" s="5">
        <v>3.7</v>
      </c>
      <c r="F88" s="5">
        <v>4.2</v>
      </c>
      <c r="G88" s="5">
        <v>7.1</v>
      </c>
      <c r="H88" s="5">
        <v>6.6</v>
      </c>
      <c r="I88" s="5">
        <v>4.4000000000000004</v>
      </c>
      <c r="K88" t="s">
        <v>173</v>
      </c>
      <c r="L88">
        <v>0.85776628315846115</v>
      </c>
    </row>
    <row r="89" spans="2:16" x14ac:dyDescent="0.35">
      <c r="B89" s="5">
        <v>4.3</v>
      </c>
      <c r="C89" s="5">
        <v>0.8</v>
      </c>
      <c r="D89" s="5">
        <v>3</v>
      </c>
      <c r="E89" s="5">
        <v>5.9</v>
      </c>
      <c r="F89" s="5">
        <v>3.7</v>
      </c>
      <c r="G89" s="5">
        <v>4.2</v>
      </c>
      <c r="H89" s="5">
        <v>7.1</v>
      </c>
      <c r="I89" s="5">
        <v>6.6</v>
      </c>
      <c r="K89" t="s">
        <v>174</v>
      </c>
      <c r="L89">
        <v>0.73576299652348143</v>
      </c>
    </row>
    <row r="90" spans="2:16" x14ac:dyDescent="0.35">
      <c r="B90" s="5">
        <v>3.5</v>
      </c>
      <c r="C90" s="5">
        <v>4.3</v>
      </c>
      <c r="D90" s="5">
        <v>0.8</v>
      </c>
      <c r="E90" s="5">
        <v>3</v>
      </c>
      <c r="F90" s="5">
        <v>5.9</v>
      </c>
      <c r="G90" s="5">
        <v>3.7</v>
      </c>
      <c r="H90" s="5">
        <v>4.2</v>
      </c>
      <c r="I90" s="5">
        <v>7.1</v>
      </c>
      <c r="K90" t="s">
        <v>175</v>
      </c>
      <c r="L90">
        <v>0.62695952450373849</v>
      </c>
    </row>
    <row r="91" spans="2:16" x14ac:dyDescent="0.35">
      <c r="B91" s="5">
        <v>5.5</v>
      </c>
      <c r="C91" s="5">
        <v>3.5</v>
      </c>
      <c r="D91" s="5">
        <v>4.3</v>
      </c>
      <c r="E91" s="5">
        <v>0.8</v>
      </c>
      <c r="F91" s="5">
        <v>3</v>
      </c>
      <c r="G91" s="5">
        <v>5.9</v>
      </c>
      <c r="H91" s="5">
        <v>3.7</v>
      </c>
      <c r="I91" s="5">
        <v>4.2</v>
      </c>
      <c r="K91" t="s">
        <v>176</v>
      </c>
      <c r="L91">
        <v>1.8936607531888983</v>
      </c>
    </row>
    <row r="92" spans="2:16" ht="15" thickBot="1" x14ac:dyDescent="0.4">
      <c r="B92" s="5">
        <v>5.9</v>
      </c>
      <c r="C92" s="5">
        <v>5.5</v>
      </c>
      <c r="D92" s="5">
        <v>3.5</v>
      </c>
      <c r="E92" s="5">
        <v>4.3</v>
      </c>
      <c r="F92" s="5">
        <v>0.8</v>
      </c>
      <c r="G92" s="5">
        <v>3</v>
      </c>
      <c r="H92" s="5">
        <v>5.9</v>
      </c>
      <c r="I92" s="5">
        <v>3.7</v>
      </c>
      <c r="K92" s="44" t="s">
        <v>177</v>
      </c>
      <c r="L92" s="44">
        <v>25</v>
      </c>
    </row>
    <row r="93" spans="2:16" x14ac:dyDescent="0.35">
      <c r="B93" s="5">
        <v>3.5</v>
      </c>
      <c r="C93" s="5">
        <v>5.9</v>
      </c>
      <c r="D93" s="5">
        <v>5.5</v>
      </c>
      <c r="E93" s="5">
        <v>3.5</v>
      </c>
      <c r="F93" s="5">
        <v>4.3</v>
      </c>
      <c r="G93" s="5">
        <v>0.8</v>
      </c>
      <c r="H93" s="5">
        <v>3</v>
      </c>
      <c r="I93" s="5">
        <v>5.9</v>
      </c>
    </row>
    <row r="94" spans="2:16" ht="15" thickBot="1" x14ac:dyDescent="0.4">
      <c r="B94" s="5">
        <v>1.6</v>
      </c>
      <c r="C94" s="5">
        <v>3.5</v>
      </c>
      <c r="D94" s="5">
        <v>5.9</v>
      </c>
      <c r="E94" s="5">
        <v>5.5</v>
      </c>
      <c r="F94" s="5">
        <v>3.5</v>
      </c>
      <c r="G94" s="5">
        <v>4.3</v>
      </c>
      <c r="H94" s="5">
        <v>0.8</v>
      </c>
      <c r="I94" s="5">
        <v>3</v>
      </c>
      <c r="K94" t="s">
        <v>178</v>
      </c>
    </row>
    <row r="95" spans="2:16" x14ac:dyDescent="0.35">
      <c r="B95" s="5">
        <v>-0.1</v>
      </c>
      <c r="C95" s="5">
        <v>1.6</v>
      </c>
      <c r="D95" s="5">
        <v>3.5</v>
      </c>
      <c r="E95" s="5">
        <v>5.9</v>
      </c>
      <c r="F95" s="5">
        <v>5.5</v>
      </c>
      <c r="G95" s="5">
        <v>3.5</v>
      </c>
      <c r="H95" s="5">
        <v>4.3</v>
      </c>
      <c r="I95" s="5">
        <v>0.8</v>
      </c>
      <c r="K95" s="45"/>
      <c r="L95" s="45" t="s">
        <v>183</v>
      </c>
      <c r="M95" s="45" t="s">
        <v>184</v>
      </c>
      <c r="N95" s="45" t="s">
        <v>185</v>
      </c>
      <c r="O95" s="45" t="s">
        <v>186</v>
      </c>
      <c r="P95" s="45" t="s">
        <v>187</v>
      </c>
    </row>
    <row r="96" spans="2:16" x14ac:dyDescent="0.35">
      <c r="B96" s="5">
        <v>-0.8</v>
      </c>
      <c r="C96" s="5">
        <v>-0.1</v>
      </c>
      <c r="D96" s="5">
        <v>1.6</v>
      </c>
      <c r="E96" s="5">
        <v>3.5</v>
      </c>
      <c r="F96" s="5">
        <v>5.9</v>
      </c>
      <c r="G96" s="5">
        <v>5.5</v>
      </c>
      <c r="H96" s="5">
        <v>3.5</v>
      </c>
      <c r="I96" s="5">
        <v>4.3</v>
      </c>
      <c r="K96" t="s">
        <v>179</v>
      </c>
      <c r="L96">
        <v>7</v>
      </c>
      <c r="M96">
        <v>169.74523218114493</v>
      </c>
      <c r="N96">
        <v>24.249318883020702</v>
      </c>
      <c r="O96">
        <v>6.7623117430478104</v>
      </c>
      <c r="P96">
        <v>6.2795093496654131E-4</v>
      </c>
    </row>
    <row r="97" spans="2:19" x14ac:dyDescent="0.35">
      <c r="B97" s="5">
        <v>1.7</v>
      </c>
      <c r="C97" s="5">
        <v>-0.8</v>
      </c>
      <c r="D97" s="5">
        <v>-0.1</v>
      </c>
      <c r="E97" s="5">
        <v>1.6</v>
      </c>
      <c r="F97" s="5">
        <v>3.5</v>
      </c>
      <c r="G97" s="5">
        <v>5.9</v>
      </c>
      <c r="H97" s="5">
        <v>5.5</v>
      </c>
      <c r="I97" s="5">
        <v>3.5</v>
      </c>
      <c r="K97" t="s">
        <v>180</v>
      </c>
      <c r="L97">
        <v>17</v>
      </c>
      <c r="M97">
        <v>60.961167818855081</v>
      </c>
      <c r="N97">
        <v>3.5859510481679457</v>
      </c>
    </row>
    <row r="98" spans="2:19" ht="15" thickBot="1" x14ac:dyDescent="0.4">
      <c r="B98" s="5">
        <v>4.2</v>
      </c>
      <c r="C98" s="5">
        <v>1.7</v>
      </c>
      <c r="D98" s="5">
        <v>-0.8</v>
      </c>
      <c r="E98" s="5">
        <v>-0.1</v>
      </c>
      <c r="F98" s="5">
        <v>1.6</v>
      </c>
      <c r="G98" s="5">
        <v>3.5</v>
      </c>
      <c r="H98" s="5">
        <v>5.9</v>
      </c>
      <c r="I98" s="5">
        <v>5.5</v>
      </c>
      <c r="K98" s="44" t="s">
        <v>181</v>
      </c>
      <c r="L98" s="44">
        <v>24</v>
      </c>
      <c r="M98" s="44">
        <v>230.7064</v>
      </c>
      <c r="N98" s="44"/>
      <c r="O98" s="44"/>
      <c r="P98" s="44"/>
    </row>
    <row r="99" spans="2:19" ht="15" thickBot="1" x14ac:dyDescent="0.4">
      <c r="B99" s="5">
        <v>5.0999999999999996</v>
      </c>
      <c r="C99" s="5">
        <v>4.2</v>
      </c>
      <c r="D99" s="5">
        <v>1.7</v>
      </c>
      <c r="E99" s="5">
        <v>-0.8</v>
      </c>
      <c r="F99" s="5">
        <v>-0.1</v>
      </c>
      <c r="G99" s="5">
        <v>1.6</v>
      </c>
      <c r="H99" s="5">
        <v>3.5</v>
      </c>
      <c r="I99" s="5">
        <v>5.9</v>
      </c>
    </row>
    <row r="100" spans="2:19" x14ac:dyDescent="0.35">
      <c r="B100" s="5">
        <v>1.5</v>
      </c>
      <c r="C100" s="5">
        <v>5.0999999999999996</v>
      </c>
      <c r="D100" s="5">
        <v>4.2</v>
      </c>
      <c r="E100" s="5">
        <v>1.7</v>
      </c>
      <c r="F100" s="5">
        <v>-0.8</v>
      </c>
      <c r="G100" s="5">
        <v>-0.1</v>
      </c>
      <c r="H100" s="5">
        <v>1.6</v>
      </c>
      <c r="I100" s="5">
        <v>3.5</v>
      </c>
      <c r="K100" s="45"/>
      <c r="L100" s="45" t="s">
        <v>188</v>
      </c>
      <c r="M100" s="45" t="s">
        <v>176</v>
      </c>
      <c r="N100" s="45" t="s">
        <v>189</v>
      </c>
      <c r="O100" s="45" t="s">
        <v>190</v>
      </c>
      <c r="P100" s="45" t="s">
        <v>191</v>
      </c>
      <c r="Q100" s="45" t="s">
        <v>192</v>
      </c>
      <c r="R100" s="45" t="s">
        <v>193</v>
      </c>
      <c r="S100" s="45" t="s">
        <v>194</v>
      </c>
    </row>
    <row r="101" spans="2:19" x14ac:dyDescent="0.35">
      <c r="B101" s="5">
        <v>-1</v>
      </c>
      <c r="C101" s="5">
        <v>1.5</v>
      </c>
      <c r="D101" s="5">
        <v>5.0999999999999996</v>
      </c>
      <c r="E101" s="5">
        <v>4.2</v>
      </c>
      <c r="F101" s="5">
        <v>1.7</v>
      </c>
      <c r="G101" s="5">
        <v>-0.8</v>
      </c>
      <c r="H101" s="5">
        <v>-0.1</v>
      </c>
      <c r="I101" s="5">
        <v>1.6</v>
      </c>
      <c r="K101" t="s">
        <v>182</v>
      </c>
      <c r="L101">
        <v>-0.64658355275349599</v>
      </c>
      <c r="M101">
        <v>0.62890991513043393</v>
      </c>
      <c r="N101">
        <v>-1.0281020177896172</v>
      </c>
      <c r="O101">
        <v>0.31830877416389175</v>
      </c>
      <c r="P101">
        <v>-1.9734674887495147</v>
      </c>
      <c r="Q101">
        <v>0.68030038324252273</v>
      </c>
      <c r="R101">
        <v>-1.9734674887495147</v>
      </c>
      <c r="S101">
        <v>0.68030038324252273</v>
      </c>
    </row>
    <row r="102" spans="2:19" x14ac:dyDescent="0.35">
      <c r="B102" s="5">
        <v>-3.8</v>
      </c>
      <c r="C102" s="5">
        <v>-1</v>
      </c>
      <c r="D102" s="5">
        <v>1.5</v>
      </c>
      <c r="E102" s="5">
        <v>5.0999999999999996</v>
      </c>
      <c r="F102" s="5">
        <v>4.2</v>
      </c>
      <c r="G102" s="5">
        <v>1.7</v>
      </c>
      <c r="H102" s="5">
        <v>-0.8</v>
      </c>
      <c r="I102" s="5">
        <v>-0.1</v>
      </c>
      <c r="K102" t="s">
        <v>195</v>
      </c>
      <c r="L102">
        <v>0.86266370250010771</v>
      </c>
      <c r="M102">
        <v>0.23451230922223318</v>
      </c>
      <c r="N102">
        <v>3.6785433794974631</v>
      </c>
      <c r="O102">
        <v>1.8626217936754503E-3</v>
      </c>
      <c r="P102">
        <v>0.36788597930937633</v>
      </c>
      <c r="Q102">
        <v>1.3574414256908391</v>
      </c>
      <c r="R102">
        <v>0.36788597930937633</v>
      </c>
      <c r="S102">
        <v>1.3574414256908391</v>
      </c>
    </row>
    <row r="103" spans="2:19" x14ac:dyDescent="0.35">
      <c r="B103" s="5">
        <v>-4</v>
      </c>
      <c r="C103" s="5">
        <v>-3.8</v>
      </c>
      <c r="D103" s="5">
        <v>-1</v>
      </c>
      <c r="E103" s="5">
        <v>1.5</v>
      </c>
      <c r="F103" s="5">
        <v>5.0999999999999996</v>
      </c>
      <c r="G103" s="5">
        <v>4.2</v>
      </c>
      <c r="H103" s="5">
        <v>1.7</v>
      </c>
      <c r="I103" s="5">
        <v>-0.8</v>
      </c>
      <c r="K103" t="s">
        <v>200</v>
      </c>
      <c r="L103">
        <v>-0.33693921468964289</v>
      </c>
      <c r="M103">
        <v>0.31180174384305021</v>
      </c>
      <c r="N103">
        <v>-1.080620045727666</v>
      </c>
      <c r="O103">
        <v>0.29495865986743464</v>
      </c>
      <c r="P103">
        <v>-0.99478339104530367</v>
      </c>
      <c r="Q103">
        <v>0.32090496166601795</v>
      </c>
      <c r="R103">
        <v>-0.99478339104530367</v>
      </c>
      <c r="S103">
        <v>0.32090496166601795</v>
      </c>
    </row>
    <row r="104" spans="2:19" x14ac:dyDescent="0.35">
      <c r="B104" s="5">
        <v>-2.8</v>
      </c>
      <c r="C104" s="5">
        <v>-4</v>
      </c>
      <c r="D104" s="5">
        <v>-3.8</v>
      </c>
      <c r="E104" s="5">
        <v>-1</v>
      </c>
      <c r="F104" s="5">
        <v>1.5</v>
      </c>
      <c r="G104" s="5">
        <v>5.0999999999999996</v>
      </c>
      <c r="H104" s="5">
        <v>4.2</v>
      </c>
      <c r="I104" s="5">
        <v>1.7</v>
      </c>
      <c r="K104" t="s">
        <v>204</v>
      </c>
      <c r="L104">
        <v>0.41340466304706486</v>
      </c>
      <c r="M104">
        <v>0.33030737498349033</v>
      </c>
      <c r="N104">
        <v>1.251575636383317</v>
      </c>
      <c r="O104">
        <v>0.2276732095126833</v>
      </c>
      <c r="P104">
        <v>-0.28348298216633389</v>
      </c>
      <c r="Q104">
        <v>1.1102923082604637</v>
      </c>
      <c r="R104">
        <v>-0.28348298216633389</v>
      </c>
      <c r="S104">
        <v>1.1102923082604637</v>
      </c>
    </row>
    <row r="105" spans="2:19" x14ac:dyDescent="0.35">
      <c r="B105" s="5">
        <v>-2.9</v>
      </c>
      <c r="C105" s="5">
        <v>-2.8</v>
      </c>
      <c r="D105" s="5">
        <v>-4</v>
      </c>
      <c r="E105" s="5">
        <v>-3.8</v>
      </c>
      <c r="F105" s="5">
        <v>-1</v>
      </c>
      <c r="G105" s="5">
        <v>1.5</v>
      </c>
      <c r="H105" s="5">
        <v>5.0999999999999996</v>
      </c>
      <c r="I105" s="5">
        <v>4.2</v>
      </c>
      <c r="K105" t="s">
        <v>205</v>
      </c>
      <c r="L105">
        <v>-0.50786205578829657</v>
      </c>
      <c r="M105">
        <v>0.33048611080092877</v>
      </c>
      <c r="N105">
        <v>-1.5367122526193295</v>
      </c>
      <c r="O105">
        <v>0.14276675025871521</v>
      </c>
      <c r="P105">
        <v>-1.2051268006136437</v>
      </c>
      <c r="Q105">
        <v>0.1894026890370506</v>
      </c>
      <c r="R105">
        <v>-1.2051268006136437</v>
      </c>
      <c r="S105">
        <v>0.1894026890370506</v>
      </c>
    </row>
    <row r="106" spans="2:19" x14ac:dyDescent="0.35">
      <c r="B106" s="5">
        <v>-1.1000000000000001</v>
      </c>
      <c r="C106" s="5">
        <v>-2.9</v>
      </c>
      <c r="D106" s="5">
        <v>-2.8</v>
      </c>
      <c r="E106" s="5">
        <v>-4</v>
      </c>
      <c r="F106" s="5">
        <v>-3.8</v>
      </c>
      <c r="G106" s="5">
        <v>-1</v>
      </c>
      <c r="H106" s="5">
        <v>1.5</v>
      </c>
      <c r="I106" s="5">
        <v>5.0999999999999996</v>
      </c>
      <c r="K106" t="s">
        <v>206</v>
      </c>
      <c r="L106">
        <v>0.3308685372543228</v>
      </c>
      <c r="M106">
        <v>0.32288987183143375</v>
      </c>
      <c r="N106">
        <v>1.0247101755704942</v>
      </c>
      <c r="O106">
        <v>0.31986108350384446</v>
      </c>
      <c r="P106">
        <v>-0.3503695442602392</v>
      </c>
      <c r="Q106">
        <v>1.0121066187688847</v>
      </c>
      <c r="R106">
        <v>-0.3503695442602392</v>
      </c>
      <c r="S106">
        <v>1.0121066187688847</v>
      </c>
    </row>
    <row r="107" spans="2:19" x14ac:dyDescent="0.35">
      <c r="B107" s="5">
        <v>1.2</v>
      </c>
      <c r="C107" s="5">
        <v>-1.1000000000000001</v>
      </c>
      <c r="D107" s="5">
        <v>-2.9</v>
      </c>
      <c r="E107" s="5">
        <v>-2.8</v>
      </c>
      <c r="F107" s="5">
        <v>-4</v>
      </c>
      <c r="G107" s="5">
        <v>-3.8</v>
      </c>
      <c r="H107" s="5">
        <v>-1</v>
      </c>
      <c r="I107" s="5">
        <v>1.5</v>
      </c>
      <c r="K107" t="s">
        <v>207</v>
      </c>
      <c r="L107">
        <v>-2.0978573925343039E-2</v>
      </c>
      <c r="M107">
        <v>0.30269338049747596</v>
      </c>
      <c r="N107">
        <v>-6.9306351829910504E-2</v>
      </c>
      <c r="O107">
        <v>0.94555448506883044</v>
      </c>
      <c r="P107">
        <v>-0.65960578340594544</v>
      </c>
      <c r="Q107">
        <v>0.61764863555525928</v>
      </c>
      <c r="R107">
        <v>-0.65960578340594544</v>
      </c>
      <c r="S107">
        <v>0.61764863555525928</v>
      </c>
    </row>
    <row r="108" spans="2:19" ht="15" thickBot="1" x14ac:dyDescent="0.4">
      <c r="B108" s="5">
        <v>-1.4</v>
      </c>
      <c r="C108" s="5">
        <v>1.2</v>
      </c>
      <c r="D108" s="5">
        <v>-1.1000000000000001</v>
      </c>
      <c r="E108" s="5">
        <v>-2.9</v>
      </c>
      <c r="F108" s="5">
        <v>-2.8</v>
      </c>
      <c r="G108" s="5">
        <v>-4</v>
      </c>
      <c r="H108" s="5">
        <v>-3.8</v>
      </c>
      <c r="I108" s="5">
        <v>-1</v>
      </c>
      <c r="K108" s="44" t="s">
        <v>208</v>
      </c>
      <c r="L108" s="44">
        <v>0.27809713484586945</v>
      </c>
      <c r="M108" s="44">
        <v>0.24390464365859951</v>
      </c>
      <c r="N108" s="44">
        <v>1.1401879467089202</v>
      </c>
      <c r="O108" s="44">
        <v>0.27001791523003987</v>
      </c>
      <c r="P108" s="44">
        <v>-0.23649668185092793</v>
      </c>
      <c r="Q108" s="44">
        <v>0.79269095154266678</v>
      </c>
      <c r="R108" s="44">
        <v>-0.23649668185092793</v>
      </c>
      <c r="S108" s="44">
        <v>0.79269095154266678</v>
      </c>
    </row>
    <row r="109" spans="2:19" x14ac:dyDescent="0.35">
      <c r="B109" s="5">
        <v>-1.3</v>
      </c>
      <c r="C109" s="5">
        <v>-1.4</v>
      </c>
      <c r="D109" s="5">
        <v>1.2</v>
      </c>
      <c r="E109" s="5">
        <v>-1.1000000000000001</v>
      </c>
      <c r="F109" s="5">
        <v>-2.9</v>
      </c>
      <c r="G109" s="5">
        <v>-2.8</v>
      </c>
      <c r="H109" s="5">
        <v>-4</v>
      </c>
      <c r="I109" s="5">
        <v>-3.8</v>
      </c>
    </row>
    <row r="110" spans="2:19" x14ac:dyDescent="0.35">
      <c r="C110" s="5">
        <v>-1.3</v>
      </c>
      <c r="D110" s="5">
        <v>-1.4</v>
      </c>
      <c r="E110" s="5">
        <v>1.2</v>
      </c>
      <c r="F110" s="5">
        <v>-1.1000000000000001</v>
      </c>
      <c r="G110" s="5">
        <v>-2.9</v>
      </c>
      <c r="H110" s="5">
        <v>-2.8</v>
      </c>
      <c r="I110" s="5">
        <v>-4</v>
      </c>
    </row>
    <row r="111" spans="2:19" x14ac:dyDescent="0.35">
      <c r="D111" s="5">
        <v>-1.3</v>
      </c>
      <c r="E111" s="5">
        <v>-1.4</v>
      </c>
      <c r="F111" s="5">
        <v>1.2</v>
      </c>
      <c r="G111" s="5">
        <v>-1.1000000000000001</v>
      </c>
      <c r="H111" s="5">
        <v>-2.9</v>
      </c>
      <c r="I111" s="5">
        <v>-2.8</v>
      </c>
    </row>
    <row r="112" spans="2:19" x14ac:dyDescent="0.35">
      <c r="E112" s="5">
        <v>-1.3</v>
      </c>
      <c r="F112" s="5">
        <v>-1.4</v>
      </c>
      <c r="G112" s="5">
        <v>1.2</v>
      </c>
      <c r="H112" s="5">
        <v>-1.1000000000000001</v>
      </c>
      <c r="I112" s="5">
        <v>-2.9</v>
      </c>
    </row>
    <row r="113" spans="2:14" x14ac:dyDescent="0.35">
      <c r="F113" s="5">
        <v>-1.3</v>
      </c>
      <c r="G113" s="5">
        <v>-1.4</v>
      </c>
      <c r="H113" s="5">
        <v>1.2</v>
      </c>
      <c r="I113" s="5">
        <v>-1.1000000000000001</v>
      </c>
    </row>
    <row r="114" spans="2:14" x14ac:dyDescent="0.35">
      <c r="G114" s="5">
        <v>-1.3</v>
      </c>
      <c r="H114" s="5">
        <v>-1.4</v>
      </c>
      <c r="I114" s="5">
        <v>1.2</v>
      </c>
    </row>
    <row r="115" spans="2:14" x14ac:dyDescent="0.35">
      <c r="H115" s="5">
        <v>-1.3</v>
      </c>
      <c r="I115" s="5">
        <v>-1.4</v>
      </c>
    </row>
    <row r="116" spans="2:14" x14ac:dyDescent="0.35">
      <c r="B116" s="5">
        <v>1.7</v>
      </c>
      <c r="I116" s="5">
        <v>-1.3</v>
      </c>
    </row>
    <row r="117" spans="2:14" x14ac:dyDescent="0.35">
      <c r="B117" s="5">
        <v>2.6</v>
      </c>
      <c r="C117" s="5">
        <v>1.7</v>
      </c>
    </row>
    <row r="118" spans="2:14" x14ac:dyDescent="0.35">
      <c r="B118" s="5">
        <v>1.4</v>
      </c>
      <c r="C118" s="5">
        <v>2.6</v>
      </c>
      <c r="D118" s="5">
        <v>1.7</v>
      </c>
    </row>
    <row r="119" spans="2:14" x14ac:dyDescent="0.35">
      <c r="B119" s="5">
        <v>4.4000000000000004</v>
      </c>
      <c r="C119" s="5">
        <v>1.4</v>
      </c>
      <c r="D119" s="5">
        <v>2.6</v>
      </c>
      <c r="E119" s="5">
        <v>1.7</v>
      </c>
    </row>
    <row r="120" spans="2:14" x14ac:dyDescent="0.35">
      <c r="B120" s="5">
        <v>6.6</v>
      </c>
      <c r="C120" s="5">
        <v>4.4000000000000004</v>
      </c>
      <c r="D120" s="5">
        <v>1.4</v>
      </c>
      <c r="E120" s="5">
        <v>2.6</v>
      </c>
      <c r="F120" s="5">
        <v>1.7</v>
      </c>
    </row>
    <row r="121" spans="2:14" x14ac:dyDescent="0.35">
      <c r="B121" s="5">
        <v>7.1</v>
      </c>
      <c r="C121" s="5">
        <v>6.6</v>
      </c>
      <c r="D121" s="5">
        <v>4.4000000000000004</v>
      </c>
      <c r="E121" s="5">
        <v>1.4</v>
      </c>
      <c r="F121" s="5">
        <v>2.6</v>
      </c>
      <c r="G121" s="5">
        <v>1.7</v>
      </c>
    </row>
    <row r="122" spans="2:14" x14ac:dyDescent="0.35">
      <c r="B122" s="5">
        <v>4.2</v>
      </c>
      <c r="C122" s="5">
        <v>7.1</v>
      </c>
      <c r="D122" s="5">
        <v>6.6</v>
      </c>
      <c r="E122" s="5">
        <v>4.4000000000000004</v>
      </c>
      <c r="F122" s="5">
        <v>1.4</v>
      </c>
      <c r="G122" s="5">
        <v>2.6</v>
      </c>
      <c r="H122" s="5">
        <v>1.7</v>
      </c>
    </row>
    <row r="123" spans="2:14" x14ac:dyDescent="0.35">
      <c r="B123" s="5">
        <v>3.7</v>
      </c>
      <c r="C123" s="5">
        <v>4.2</v>
      </c>
      <c r="D123" s="5">
        <v>7.1</v>
      </c>
      <c r="E123" s="5">
        <v>6.6</v>
      </c>
      <c r="F123" s="5">
        <v>4.4000000000000004</v>
      </c>
      <c r="G123" s="5">
        <v>1.4</v>
      </c>
      <c r="H123" s="5">
        <v>2.6</v>
      </c>
      <c r="I123" s="5">
        <v>1.7</v>
      </c>
    </row>
    <row r="124" spans="2:14" x14ac:dyDescent="0.35">
      <c r="B124" s="5">
        <v>5.9</v>
      </c>
      <c r="C124" s="5">
        <v>3.7</v>
      </c>
      <c r="D124" s="5">
        <v>4.2</v>
      </c>
      <c r="E124" s="5">
        <v>7.1</v>
      </c>
      <c r="F124" s="5">
        <v>6.6</v>
      </c>
      <c r="G124" s="5">
        <v>4.4000000000000004</v>
      </c>
      <c r="H124" s="5">
        <v>1.4</v>
      </c>
      <c r="I124" s="5">
        <v>2.6</v>
      </c>
      <c r="J124" s="5">
        <v>1.7</v>
      </c>
    </row>
    <row r="125" spans="2:14" x14ac:dyDescent="0.35">
      <c r="B125" s="5">
        <v>3</v>
      </c>
      <c r="C125" s="5">
        <v>5.9</v>
      </c>
      <c r="D125" s="5">
        <v>3.7</v>
      </c>
      <c r="E125" s="5">
        <v>4.2</v>
      </c>
      <c r="F125" s="5">
        <v>7.1</v>
      </c>
      <c r="G125" s="5">
        <v>6.6</v>
      </c>
      <c r="H125" s="5">
        <v>4.4000000000000004</v>
      </c>
      <c r="I125" s="5">
        <v>1.4</v>
      </c>
      <c r="J125" s="5">
        <v>2.6</v>
      </c>
      <c r="K125" s="5">
        <v>1.7</v>
      </c>
    </row>
    <row r="126" spans="2:14" x14ac:dyDescent="0.35">
      <c r="B126" s="5">
        <v>0.8</v>
      </c>
      <c r="C126" s="5">
        <v>3</v>
      </c>
      <c r="D126" s="5">
        <v>5.9</v>
      </c>
      <c r="E126" s="5">
        <v>3.7</v>
      </c>
      <c r="F126" s="5">
        <v>4.2</v>
      </c>
      <c r="G126" s="5">
        <v>7.1</v>
      </c>
      <c r="H126" s="5">
        <v>6.6</v>
      </c>
      <c r="I126" s="5">
        <v>4.4000000000000004</v>
      </c>
      <c r="J126" s="5">
        <v>1.4</v>
      </c>
      <c r="K126" s="5">
        <v>2.6</v>
      </c>
      <c r="L126" s="5">
        <v>1.7</v>
      </c>
    </row>
    <row r="127" spans="2:14" x14ac:dyDescent="0.35">
      <c r="B127" s="5">
        <v>4.3</v>
      </c>
      <c r="C127" s="5">
        <v>0.8</v>
      </c>
      <c r="D127" s="5">
        <v>3</v>
      </c>
      <c r="E127" s="5">
        <v>5.9</v>
      </c>
      <c r="F127" s="5">
        <v>3.7</v>
      </c>
      <c r="G127" s="5">
        <v>4.2</v>
      </c>
      <c r="H127" s="5">
        <v>7.1</v>
      </c>
      <c r="I127" s="5">
        <v>6.6</v>
      </c>
      <c r="J127" s="5">
        <v>4.4000000000000004</v>
      </c>
      <c r="K127" s="5">
        <v>1.4</v>
      </c>
      <c r="L127" s="5">
        <v>2.6</v>
      </c>
      <c r="M127" s="5">
        <v>1.7</v>
      </c>
    </row>
    <row r="128" spans="2:14" x14ac:dyDescent="0.35">
      <c r="B128" s="5">
        <v>3.5</v>
      </c>
      <c r="C128" s="5">
        <v>4.3</v>
      </c>
      <c r="D128" s="5">
        <v>0.8</v>
      </c>
      <c r="E128" s="5">
        <v>3</v>
      </c>
      <c r="F128" s="5">
        <v>5.9</v>
      </c>
      <c r="G128" s="5">
        <v>3.7</v>
      </c>
      <c r="H128" s="5">
        <v>4.2</v>
      </c>
      <c r="I128" s="5">
        <v>7.1</v>
      </c>
      <c r="J128" s="5">
        <v>6.6</v>
      </c>
      <c r="K128" s="5">
        <v>4.4000000000000004</v>
      </c>
      <c r="L128" s="5">
        <v>1.4</v>
      </c>
      <c r="M128" s="5">
        <v>2.6</v>
      </c>
      <c r="N128" s="5">
        <v>1.7</v>
      </c>
    </row>
    <row r="129" spans="2:21" x14ac:dyDescent="0.35">
      <c r="B129" s="5">
        <v>5.5</v>
      </c>
      <c r="C129" s="5">
        <v>3.5</v>
      </c>
      <c r="D129" s="5">
        <v>4.3</v>
      </c>
      <c r="E129" s="5">
        <v>0.8</v>
      </c>
      <c r="F129" s="5">
        <v>3</v>
      </c>
      <c r="G129" s="5">
        <v>5.9</v>
      </c>
      <c r="H129" s="5">
        <v>3.7</v>
      </c>
      <c r="I129" s="5">
        <v>4.2</v>
      </c>
      <c r="J129" s="5">
        <v>7.1</v>
      </c>
      <c r="K129" s="5">
        <v>6.6</v>
      </c>
      <c r="L129" s="5">
        <v>4.4000000000000004</v>
      </c>
      <c r="M129" s="5">
        <v>1.4</v>
      </c>
      <c r="N129" s="5">
        <v>2.6</v>
      </c>
      <c r="O129" s="5">
        <v>1.7</v>
      </c>
    </row>
    <row r="130" spans="2:21" x14ac:dyDescent="0.35">
      <c r="B130" s="5">
        <v>5.9</v>
      </c>
      <c r="C130" s="5">
        <v>5.5</v>
      </c>
      <c r="D130" s="5">
        <v>3.5</v>
      </c>
      <c r="E130" s="5">
        <v>4.3</v>
      </c>
      <c r="F130" s="5">
        <v>0.8</v>
      </c>
      <c r="G130" s="5">
        <v>3</v>
      </c>
      <c r="H130" s="5">
        <v>5.9</v>
      </c>
      <c r="I130" s="5">
        <v>3.7</v>
      </c>
      <c r="J130" s="5">
        <v>4.2</v>
      </c>
      <c r="K130" s="5">
        <v>7.1</v>
      </c>
      <c r="L130" s="5">
        <v>6.6</v>
      </c>
      <c r="M130" s="5">
        <v>4.4000000000000004</v>
      </c>
      <c r="N130" s="5">
        <v>1.4</v>
      </c>
      <c r="O130" s="5">
        <v>2.6</v>
      </c>
      <c r="P130" s="5">
        <v>1.7</v>
      </c>
    </row>
    <row r="131" spans="2:21" x14ac:dyDescent="0.35">
      <c r="B131" s="5">
        <v>3.5</v>
      </c>
      <c r="C131" s="5">
        <v>5.9</v>
      </c>
      <c r="D131" s="5">
        <v>5.5</v>
      </c>
      <c r="E131" s="5">
        <v>3.5</v>
      </c>
      <c r="F131" s="5">
        <v>4.3</v>
      </c>
      <c r="G131" s="5">
        <v>0.8</v>
      </c>
      <c r="H131" s="5">
        <v>3</v>
      </c>
      <c r="I131" s="5">
        <v>5.9</v>
      </c>
      <c r="J131" s="5">
        <v>3.7</v>
      </c>
      <c r="K131" s="5">
        <v>4.2</v>
      </c>
      <c r="L131" s="5">
        <v>7.1</v>
      </c>
      <c r="M131" s="5">
        <v>6.6</v>
      </c>
      <c r="N131" s="5">
        <v>4.4000000000000004</v>
      </c>
      <c r="O131" s="5">
        <v>1.4</v>
      </c>
      <c r="P131" s="5">
        <v>2.6</v>
      </c>
      <c r="Q131" s="5">
        <v>1.7</v>
      </c>
    </row>
    <row r="132" spans="2:21" x14ac:dyDescent="0.35">
      <c r="B132" s="5">
        <v>1.6</v>
      </c>
      <c r="C132" s="5">
        <v>3.5</v>
      </c>
      <c r="D132" s="5">
        <v>5.9</v>
      </c>
      <c r="E132" s="5">
        <v>5.5</v>
      </c>
      <c r="F132" s="5">
        <v>3.5</v>
      </c>
      <c r="G132" s="5">
        <v>4.3</v>
      </c>
      <c r="H132" s="5">
        <v>0.8</v>
      </c>
      <c r="I132" s="5">
        <v>3</v>
      </c>
      <c r="J132" s="5">
        <v>5.9</v>
      </c>
      <c r="K132" s="5">
        <v>3.7</v>
      </c>
      <c r="L132" s="5">
        <v>4.2</v>
      </c>
      <c r="M132" s="5">
        <v>7.1</v>
      </c>
      <c r="N132" s="5">
        <v>6.6</v>
      </c>
      <c r="O132" s="5">
        <v>4.4000000000000004</v>
      </c>
      <c r="P132" s="5">
        <v>1.4</v>
      </c>
      <c r="Q132" s="5">
        <v>2.6</v>
      </c>
      <c r="R132" s="5">
        <v>1.7</v>
      </c>
    </row>
    <row r="133" spans="2:21" x14ac:dyDescent="0.35">
      <c r="B133" s="5">
        <v>-0.1</v>
      </c>
      <c r="C133" s="5">
        <v>1.6</v>
      </c>
      <c r="D133" s="5">
        <v>3.5</v>
      </c>
      <c r="E133" s="5">
        <v>5.9</v>
      </c>
      <c r="F133" s="5">
        <v>5.5</v>
      </c>
      <c r="G133" s="5">
        <v>3.5</v>
      </c>
      <c r="H133" s="5">
        <v>4.3</v>
      </c>
      <c r="I133" s="5">
        <v>0.8</v>
      </c>
      <c r="J133" s="5">
        <v>3</v>
      </c>
      <c r="K133" s="5">
        <v>5.9</v>
      </c>
      <c r="L133" s="5">
        <v>3.7</v>
      </c>
      <c r="M133" s="5">
        <v>4.2</v>
      </c>
      <c r="N133" s="5">
        <v>7.1</v>
      </c>
      <c r="O133" s="5">
        <v>6.6</v>
      </c>
      <c r="P133" s="5">
        <v>4.4000000000000004</v>
      </c>
      <c r="Q133" s="5">
        <v>1.4</v>
      </c>
      <c r="R133" s="5">
        <v>2.6</v>
      </c>
      <c r="S133" s="5">
        <v>1.7</v>
      </c>
    </row>
    <row r="134" spans="2:21" x14ac:dyDescent="0.35">
      <c r="B134" s="5">
        <v>-0.8</v>
      </c>
      <c r="C134" s="5">
        <v>-0.1</v>
      </c>
      <c r="D134" s="5">
        <v>1.6</v>
      </c>
      <c r="E134" s="5">
        <v>3.5</v>
      </c>
      <c r="F134" s="5">
        <v>5.9</v>
      </c>
      <c r="G134" s="5">
        <v>5.5</v>
      </c>
      <c r="H134" s="5">
        <v>3.5</v>
      </c>
      <c r="I134" s="5">
        <v>4.3</v>
      </c>
      <c r="J134" s="5">
        <v>0.8</v>
      </c>
      <c r="K134" s="5">
        <v>3</v>
      </c>
      <c r="L134" s="5">
        <v>5.9</v>
      </c>
      <c r="M134" s="5">
        <v>3.7</v>
      </c>
      <c r="N134" s="5">
        <v>4.2</v>
      </c>
      <c r="O134" s="5">
        <v>7.1</v>
      </c>
      <c r="P134" s="5">
        <v>6.6</v>
      </c>
      <c r="Q134" s="5">
        <v>4.4000000000000004</v>
      </c>
      <c r="R134" s="5">
        <v>1.4</v>
      </c>
      <c r="S134" s="5">
        <v>2.6</v>
      </c>
      <c r="T134" s="5">
        <v>1.7</v>
      </c>
    </row>
    <row r="135" spans="2:21" x14ac:dyDescent="0.35">
      <c r="B135" s="5">
        <v>1.7</v>
      </c>
      <c r="C135" s="5">
        <v>-0.8</v>
      </c>
      <c r="D135" s="5">
        <v>-0.1</v>
      </c>
      <c r="E135" s="5">
        <v>1.6</v>
      </c>
      <c r="F135" s="5">
        <v>3.5</v>
      </c>
      <c r="G135" s="5">
        <v>5.9</v>
      </c>
      <c r="H135" s="5">
        <v>5.5</v>
      </c>
      <c r="I135" s="5">
        <v>3.5</v>
      </c>
      <c r="J135" s="5">
        <v>4.3</v>
      </c>
      <c r="K135" s="5">
        <v>0.8</v>
      </c>
      <c r="L135" s="5">
        <v>3</v>
      </c>
      <c r="M135" s="5">
        <v>5.9</v>
      </c>
      <c r="N135" s="5">
        <v>3.7</v>
      </c>
      <c r="O135" s="5">
        <v>4.2</v>
      </c>
      <c r="P135" s="5">
        <v>7.1</v>
      </c>
      <c r="Q135" s="5">
        <v>6.6</v>
      </c>
      <c r="R135" s="5">
        <v>4.4000000000000004</v>
      </c>
      <c r="S135" s="5">
        <v>1.4</v>
      </c>
      <c r="T135" s="5">
        <v>2.6</v>
      </c>
      <c r="U135" s="5">
        <v>1.7</v>
      </c>
    </row>
    <row r="136" spans="2:21" x14ac:dyDescent="0.35">
      <c r="B136" s="5">
        <v>4.2</v>
      </c>
      <c r="C136" s="5">
        <v>1.7</v>
      </c>
      <c r="D136" s="5">
        <v>-0.8</v>
      </c>
      <c r="E136" s="5">
        <v>-0.1</v>
      </c>
      <c r="F136" s="5">
        <v>1.6</v>
      </c>
      <c r="G136" s="5">
        <v>3.5</v>
      </c>
      <c r="H136" s="5">
        <v>5.9</v>
      </c>
      <c r="I136" s="5">
        <v>5.5</v>
      </c>
      <c r="J136" s="5">
        <v>3.5</v>
      </c>
      <c r="K136" s="5">
        <v>4.3</v>
      </c>
      <c r="L136" s="5">
        <v>0.8</v>
      </c>
      <c r="M136" s="5">
        <v>3</v>
      </c>
      <c r="N136" s="5">
        <v>5.9</v>
      </c>
      <c r="O136" s="5">
        <v>3.7</v>
      </c>
      <c r="P136" s="5">
        <v>4.2</v>
      </c>
      <c r="Q136" s="5">
        <v>7.1</v>
      </c>
      <c r="R136" s="5">
        <v>6.6</v>
      </c>
      <c r="S136" s="5">
        <v>4.4000000000000004</v>
      </c>
      <c r="T136" s="5">
        <v>1.4</v>
      </c>
      <c r="U136" s="5">
        <v>2.6</v>
      </c>
    </row>
    <row r="137" spans="2:21" x14ac:dyDescent="0.35">
      <c r="B137" s="5">
        <v>5.0999999999999996</v>
      </c>
      <c r="C137" s="5">
        <v>4.2</v>
      </c>
      <c r="D137" s="5">
        <v>1.7</v>
      </c>
      <c r="E137" s="5">
        <v>-0.8</v>
      </c>
      <c r="F137" s="5">
        <v>-0.1</v>
      </c>
      <c r="G137" s="5">
        <v>1.6</v>
      </c>
      <c r="H137" s="5">
        <v>3.5</v>
      </c>
      <c r="I137" s="5">
        <v>5.9</v>
      </c>
      <c r="J137" s="5">
        <v>5.5</v>
      </c>
      <c r="K137" s="5">
        <v>3.5</v>
      </c>
      <c r="L137" s="5">
        <v>4.3</v>
      </c>
      <c r="M137" s="5">
        <v>0.8</v>
      </c>
      <c r="N137" s="5">
        <v>3</v>
      </c>
      <c r="O137" s="5">
        <v>5.9</v>
      </c>
      <c r="P137" s="5">
        <v>3.7</v>
      </c>
      <c r="Q137" s="5">
        <v>4.2</v>
      </c>
      <c r="R137" s="5">
        <v>7.1</v>
      </c>
      <c r="S137" s="5">
        <v>6.6</v>
      </c>
      <c r="T137" s="5">
        <v>4.4000000000000004</v>
      </c>
      <c r="U137" s="5">
        <v>1.4</v>
      </c>
    </row>
    <row r="138" spans="2:21" x14ac:dyDescent="0.35">
      <c r="B138" s="5">
        <v>1.5</v>
      </c>
      <c r="C138" s="5">
        <v>5.0999999999999996</v>
      </c>
      <c r="D138" s="5">
        <v>4.2</v>
      </c>
      <c r="E138" s="5">
        <v>1.7</v>
      </c>
      <c r="F138" s="5">
        <v>-0.8</v>
      </c>
      <c r="G138" s="5">
        <v>-0.1</v>
      </c>
      <c r="H138" s="5">
        <v>1.6</v>
      </c>
      <c r="I138" s="5">
        <v>3.5</v>
      </c>
      <c r="J138" s="5">
        <v>5.9</v>
      </c>
      <c r="K138" s="5">
        <v>5.5</v>
      </c>
      <c r="L138" s="5">
        <v>3.5</v>
      </c>
      <c r="M138" s="5">
        <v>4.3</v>
      </c>
      <c r="N138" s="5">
        <v>0.8</v>
      </c>
      <c r="O138" s="5">
        <v>3</v>
      </c>
      <c r="P138" s="5">
        <v>5.9</v>
      </c>
      <c r="Q138" s="5">
        <v>3.7</v>
      </c>
      <c r="R138" s="5">
        <v>4.2</v>
      </c>
      <c r="S138" s="5">
        <v>7.1</v>
      </c>
      <c r="T138" s="5">
        <v>6.6</v>
      </c>
      <c r="U138" s="5">
        <v>4.4000000000000004</v>
      </c>
    </row>
    <row r="139" spans="2:21" x14ac:dyDescent="0.35">
      <c r="B139" s="5">
        <v>-1</v>
      </c>
      <c r="C139" s="5">
        <v>1.5</v>
      </c>
      <c r="D139" s="5">
        <v>5.0999999999999996</v>
      </c>
      <c r="E139" s="5">
        <v>4.2</v>
      </c>
      <c r="F139" s="5">
        <v>1.7</v>
      </c>
      <c r="G139" s="5">
        <v>-0.8</v>
      </c>
      <c r="H139" s="5">
        <v>-0.1</v>
      </c>
      <c r="I139" s="5">
        <v>1.6</v>
      </c>
      <c r="J139" s="5">
        <v>3.5</v>
      </c>
      <c r="K139" s="5">
        <v>5.9</v>
      </c>
      <c r="L139" s="5">
        <v>5.5</v>
      </c>
      <c r="M139" s="5">
        <v>3.5</v>
      </c>
      <c r="N139" s="5">
        <v>4.3</v>
      </c>
      <c r="O139" s="5">
        <v>0.8</v>
      </c>
      <c r="P139" s="5">
        <v>3</v>
      </c>
      <c r="Q139" s="5">
        <v>5.9</v>
      </c>
      <c r="R139" s="5">
        <v>3.7</v>
      </c>
      <c r="S139" s="5">
        <v>4.2</v>
      </c>
      <c r="T139" s="5">
        <v>7.1</v>
      </c>
      <c r="U139" s="5">
        <v>6.6</v>
      </c>
    </row>
    <row r="140" spans="2:21" x14ac:dyDescent="0.35">
      <c r="B140" s="5">
        <v>-3.8</v>
      </c>
      <c r="C140" s="5">
        <v>-1</v>
      </c>
      <c r="D140" s="5">
        <v>1.5</v>
      </c>
      <c r="E140" s="5">
        <v>5.0999999999999996</v>
      </c>
      <c r="F140" s="5">
        <v>4.2</v>
      </c>
      <c r="G140" s="5">
        <v>1.7</v>
      </c>
      <c r="H140" s="5">
        <v>-0.8</v>
      </c>
      <c r="I140" s="5">
        <v>-0.1</v>
      </c>
      <c r="J140" s="5">
        <v>1.6</v>
      </c>
      <c r="K140" s="5">
        <v>3.5</v>
      </c>
      <c r="L140" s="5">
        <v>5.9</v>
      </c>
      <c r="M140" s="5">
        <v>5.5</v>
      </c>
      <c r="N140" s="5">
        <v>3.5</v>
      </c>
      <c r="O140" s="5">
        <v>4.3</v>
      </c>
      <c r="P140" s="5">
        <v>0.8</v>
      </c>
      <c r="Q140" s="5">
        <v>3</v>
      </c>
      <c r="R140" s="5">
        <v>5.9</v>
      </c>
      <c r="S140" s="5">
        <v>3.7</v>
      </c>
      <c r="T140" s="5">
        <v>4.2</v>
      </c>
      <c r="U140" s="5">
        <v>7.1</v>
      </c>
    </row>
    <row r="141" spans="2:21" x14ac:dyDescent="0.35">
      <c r="B141" s="5">
        <v>-4</v>
      </c>
      <c r="C141" s="5">
        <v>-3.8</v>
      </c>
      <c r="D141" s="5">
        <v>-1</v>
      </c>
      <c r="E141" s="5">
        <v>1.5</v>
      </c>
      <c r="F141" s="5">
        <v>5.0999999999999996</v>
      </c>
      <c r="G141" s="5">
        <v>4.2</v>
      </c>
      <c r="H141" s="5">
        <v>1.7</v>
      </c>
      <c r="I141" s="5">
        <v>-0.8</v>
      </c>
      <c r="J141" s="5">
        <v>-0.1</v>
      </c>
      <c r="K141" s="5">
        <v>1.6</v>
      </c>
      <c r="L141" s="5">
        <v>3.5</v>
      </c>
      <c r="M141" s="5">
        <v>5.9</v>
      </c>
      <c r="N141" s="5">
        <v>5.5</v>
      </c>
      <c r="O141" s="5">
        <v>3.5</v>
      </c>
      <c r="P141" s="5">
        <v>4.3</v>
      </c>
      <c r="Q141" s="5">
        <v>0.8</v>
      </c>
      <c r="R141" s="5">
        <v>3</v>
      </c>
      <c r="S141" s="5">
        <v>5.9</v>
      </c>
      <c r="T141" s="5">
        <v>3.7</v>
      </c>
      <c r="U141" s="5">
        <v>4.2</v>
      </c>
    </row>
    <row r="142" spans="2:21" x14ac:dyDescent="0.35">
      <c r="B142" s="5">
        <v>-2.8</v>
      </c>
      <c r="C142" s="5">
        <v>-4</v>
      </c>
      <c r="D142" s="5">
        <v>-3.8</v>
      </c>
      <c r="E142" s="5">
        <v>-1</v>
      </c>
      <c r="F142" s="5">
        <v>1.5</v>
      </c>
      <c r="G142" s="5">
        <v>5.0999999999999996</v>
      </c>
      <c r="H142" s="5">
        <v>4.2</v>
      </c>
      <c r="I142" s="5">
        <v>1.7</v>
      </c>
      <c r="J142" s="5">
        <v>-0.8</v>
      </c>
      <c r="K142" s="5">
        <v>-0.1</v>
      </c>
      <c r="L142" s="5">
        <v>1.6</v>
      </c>
      <c r="M142" s="5">
        <v>3.5</v>
      </c>
      <c r="N142" s="5">
        <v>5.9</v>
      </c>
      <c r="O142" s="5">
        <v>5.5</v>
      </c>
      <c r="P142" s="5">
        <v>3.5</v>
      </c>
      <c r="Q142" s="5">
        <v>4.3</v>
      </c>
      <c r="R142" s="5">
        <v>0.8</v>
      </c>
      <c r="S142" s="5">
        <v>3</v>
      </c>
      <c r="T142" s="5">
        <v>5.9</v>
      </c>
      <c r="U142" s="5">
        <v>3.7</v>
      </c>
    </row>
    <row r="143" spans="2:21" x14ac:dyDescent="0.35">
      <c r="B143" s="5">
        <v>-2.9</v>
      </c>
      <c r="C143" s="5">
        <v>-2.8</v>
      </c>
      <c r="D143" s="5">
        <v>-4</v>
      </c>
      <c r="E143" s="5">
        <v>-3.8</v>
      </c>
      <c r="F143" s="5">
        <v>-1</v>
      </c>
      <c r="G143" s="5">
        <v>1.5</v>
      </c>
      <c r="H143" s="5">
        <v>5.0999999999999996</v>
      </c>
      <c r="I143" s="5">
        <v>4.2</v>
      </c>
      <c r="J143" s="5">
        <v>1.7</v>
      </c>
      <c r="K143" s="5">
        <v>-0.8</v>
      </c>
      <c r="L143" s="5">
        <v>-0.1</v>
      </c>
      <c r="M143" s="5">
        <v>1.6</v>
      </c>
      <c r="N143" s="5">
        <v>3.5</v>
      </c>
      <c r="O143" s="5">
        <v>5.9</v>
      </c>
      <c r="P143" s="5">
        <v>5.5</v>
      </c>
      <c r="Q143" s="5">
        <v>3.5</v>
      </c>
      <c r="R143" s="5">
        <v>4.3</v>
      </c>
      <c r="S143" s="5">
        <v>0.8</v>
      </c>
      <c r="T143" s="5">
        <v>3</v>
      </c>
      <c r="U143" s="5">
        <v>5.9</v>
      </c>
    </row>
    <row r="144" spans="2:21" x14ac:dyDescent="0.35">
      <c r="B144" s="5">
        <v>-1.1000000000000001</v>
      </c>
      <c r="C144" s="5">
        <v>-2.9</v>
      </c>
      <c r="D144" s="5">
        <v>-2.8</v>
      </c>
      <c r="E144" s="5">
        <v>-4</v>
      </c>
      <c r="F144" s="5">
        <v>-3.8</v>
      </c>
      <c r="G144" s="5">
        <v>-1</v>
      </c>
      <c r="H144" s="5">
        <v>1.5</v>
      </c>
      <c r="I144" s="5">
        <v>5.0999999999999996</v>
      </c>
      <c r="J144" s="5">
        <v>4.2</v>
      </c>
      <c r="K144" s="5">
        <v>1.7</v>
      </c>
      <c r="L144" s="5">
        <v>-0.8</v>
      </c>
      <c r="M144" s="5">
        <v>-0.1</v>
      </c>
      <c r="N144" s="5">
        <v>1.6</v>
      </c>
      <c r="O144" s="5">
        <v>3.5</v>
      </c>
      <c r="P144" s="5">
        <v>5.9</v>
      </c>
      <c r="Q144" s="5">
        <v>5.5</v>
      </c>
      <c r="R144" s="5">
        <v>3.5</v>
      </c>
      <c r="S144" s="5">
        <v>4.3</v>
      </c>
      <c r="T144" s="5">
        <v>0.8</v>
      </c>
      <c r="U144" s="5">
        <v>3</v>
      </c>
    </row>
    <row r="145" spans="2:21" x14ac:dyDescent="0.35">
      <c r="B145" s="5">
        <v>1.2</v>
      </c>
      <c r="C145" s="5">
        <v>-1.1000000000000001</v>
      </c>
      <c r="D145" s="5">
        <v>-2.9</v>
      </c>
      <c r="E145" s="5">
        <v>-2.8</v>
      </c>
      <c r="F145" s="5">
        <v>-4</v>
      </c>
      <c r="G145" s="5">
        <v>-3.8</v>
      </c>
      <c r="H145" s="5">
        <v>-1</v>
      </c>
      <c r="I145" s="5">
        <v>1.5</v>
      </c>
      <c r="J145" s="5">
        <v>5.0999999999999996</v>
      </c>
      <c r="K145" s="5">
        <v>4.2</v>
      </c>
      <c r="L145" s="5">
        <v>1.7</v>
      </c>
      <c r="M145" s="5">
        <v>-0.8</v>
      </c>
      <c r="N145" s="5">
        <v>-0.1</v>
      </c>
      <c r="O145" s="5">
        <v>1.6</v>
      </c>
      <c r="P145" s="5">
        <v>3.5</v>
      </c>
      <c r="Q145" s="5">
        <v>5.9</v>
      </c>
      <c r="R145" s="5">
        <v>5.5</v>
      </c>
      <c r="S145" s="5">
        <v>3.5</v>
      </c>
      <c r="T145" s="5">
        <v>4.3</v>
      </c>
      <c r="U145" s="5">
        <v>0.8</v>
      </c>
    </row>
    <row r="146" spans="2:21" x14ac:dyDescent="0.35">
      <c r="B146" s="5">
        <v>-1.4</v>
      </c>
      <c r="C146" s="5">
        <v>1.2</v>
      </c>
      <c r="D146" s="5">
        <v>-1.1000000000000001</v>
      </c>
      <c r="E146" s="5">
        <v>-2.9</v>
      </c>
      <c r="F146" s="5">
        <v>-2.8</v>
      </c>
      <c r="G146" s="5">
        <v>-4</v>
      </c>
      <c r="H146" s="5">
        <v>-3.8</v>
      </c>
      <c r="I146" s="5">
        <v>-1</v>
      </c>
      <c r="J146" s="5">
        <v>1.5</v>
      </c>
      <c r="K146" s="5">
        <v>5.0999999999999996</v>
      </c>
      <c r="L146" s="5">
        <v>4.2</v>
      </c>
      <c r="M146" s="5">
        <v>1.7</v>
      </c>
      <c r="N146" s="5">
        <v>-0.8</v>
      </c>
      <c r="O146" s="5">
        <v>-0.1</v>
      </c>
      <c r="P146" s="5">
        <v>1.6</v>
      </c>
      <c r="Q146" s="5">
        <v>3.5</v>
      </c>
      <c r="R146" s="5">
        <v>5.9</v>
      </c>
      <c r="S146" s="5">
        <v>5.5</v>
      </c>
      <c r="T146" s="5">
        <v>3.5</v>
      </c>
      <c r="U146" s="5">
        <v>4.3</v>
      </c>
    </row>
    <row r="147" spans="2:21" x14ac:dyDescent="0.35">
      <c r="B147" s="5">
        <v>-1.3</v>
      </c>
      <c r="C147" s="5">
        <v>-1.4</v>
      </c>
      <c r="D147" s="5">
        <v>1.2</v>
      </c>
      <c r="E147" s="5">
        <v>-1.1000000000000001</v>
      </c>
      <c r="F147" s="5">
        <v>-2.9</v>
      </c>
      <c r="G147" s="5">
        <v>-2.8</v>
      </c>
      <c r="H147" s="5">
        <v>-4</v>
      </c>
      <c r="I147" s="5">
        <v>-3.8</v>
      </c>
      <c r="J147" s="5">
        <v>-1</v>
      </c>
      <c r="K147" s="5">
        <v>1.5</v>
      </c>
      <c r="L147" s="5">
        <v>5.0999999999999996</v>
      </c>
      <c r="M147" s="5">
        <v>4.2</v>
      </c>
      <c r="N147" s="5">
        <v>1.7</v>
      </c>
      <c r="O147" s="5">
        <v>-0.8</v>
      </c>
      <c r="P147" s="5">
        <v>-0.1</v>
      </c>
      <c r="Q147" s="5">
        <v>1.6</v>
      </c>
      <c r="R147" s="5">
        <v>3.5</v>
      </c>
      <c r="S147" s="5">
        <v>5.9</v>
      </c>
      <c r="T147" s="5">
        <v>5.5</v>
      </c>
      <c r="U147" s="5">
        <v>3.5</v>
      </c>
    </row>
    <row r="148" spans="2:21" x14ac:dyDescent="0.35">
      <c r="C148" s="5">
        <v>-1.3</v>
      </c>
      <c r="D148" s="5">
        <v>-1.4</v>
      </c>
      <c r="E148" s="5">
        <v>1.2</v>
      </c>
      <c r="F148" s="5">
        <v>-1.1000000000000001</v>
      </c>
      <c r="G148" s="5">
        <v>-2.9</v>
      </c>
      <c r="H148" s="5">
        <v>-2.8</v>
      </c>
      <c r="I148" s="5">
        <v>-4</v>
      </c>
      <c r="J148" s="5">
        <v>-3.8</v>
      </c>
      <c r="K148" s="5">
        <v>-1</v>
      </c>
      <c r="L148" s="5">
        <v>1.5</v>
      </c>
      <c r="M148" s="5">
        <v>5.0999999999999996</v>
      </c>
      <c r="N148" s="5">
        <v>4.2</v>
      </c>
      <c r="O148" s="5">
        <v>1.7</v>
      </c>
      <c r="P148" s="5">
        <v>-0.8</v>
      </c>
      <c r="Q148" s="5">
        <v>-0.1</v>
      </c>
      <c r="R148" s="5">
        <v>1.6</v>
      </c>
      <c r="S148" s="5">
        <v>3.5</v>
      </c>
      <c r="T148" s="5">
        <v>5.9</v>
      </c>
      <c r="U148" s="5">
        <v>5.5</v>
      </c>
    </row>
    <row r="149" spans="2:21" x14ac:dyDescent="0.35">
      <c r="D149" s="5">
        <v>-1.3</v>
      </c>
      <c r="E149" s="5">
        <v>-1.4</v>
      </c>
      <c r="F149" s="5">
        <v>1.2</v>
      </c>
      <c r="G149" s="5">
        <v>-1.1000000000000001</v>
      </c>
      <c r="H149" s="5">
        <v>-2.9</v>
      </c>
      <c r="I149" s="5">
        <v>-2.8</v>
      </c>
      <c r="J149" s="5">
        <v>-4</v>
      </c>
      <c r="K149" s="5">
        <v>-3.8</v>
      </c>
      <c r="L149" s="5">
        <v>-1</v>
      </c>
      <c r="M149" s="5">
        <v>1.5</v>
      </c>
      <c r="N149" s="5">
        <v>5.0999999999999996</v>
      </c>
      <c r="O149" s="5">
        <v>4.2</v>
      </c>
      <c r="P149" s="5">
        <v>1.7</v>
      </c>
      <c r="Q149" s="5">
        <v>-0.8</v>
      </c>
      <c r="R149" s="5">
        <v>-0.1</v>
      </c>
      <c r="S149" s="5">
        <v>1.6</v>
      </c>
      <c r="T149" s="5">
        <v>3.5</v>
      </c>
      <c r="U149" s="5">
        <v>5.9</v>
      </c>
    </row>
    <row r="150" spans="2:21" x14ac:dyDescent="0.35">
      <c r="E150" s="5">
        <v>-1.3</v>
      </c>
      <c r="F150" s="5">
        <v>-1.4</v>
      </c>
      <c r="G150" s="5">
        <v>1.2</v>
      </c>
      <c r="H150" s="5">
        <v>-1.1000000000000001</v>
      </c>
      <c r="I150" s="5">
        <v>-2.9</v>
      </c>
      <c r="J150" s="5">
        <v>-2.8</v>
      </c>
      <c r="K150" s="5">
        <v>-4</v>
      </c>
      <c r="L150" s="5">
        <v>-3.8</v>
      </c>
      <c r="M150" s="5">
        <v>-1</v>
      </c>
      <c r="N150" s="5">
        <v>1.5</v>
      </c>
      <c r="O150" s="5">
        <v>5.0999999999999996</v>
      </c>
      <c r="P150" s="5">
        <v>4.2</v>
      </c>
      <c r="Q150" s="5">
        <v>1.7</v>
      </c>
      <c r="R150" s="5">
        <v>-0.8</v>
      </c>
      <c r="S150" s="5">
        <v>-0.1</v>
      </c>
      <c r="T150" s="5">
        <v>1.6</v>
      </c>
      <c r="U150" s="5">
        <v>3.5</v>
      </c>
    </row>
    <row r="151" spans="2:21" x14ac:dyDescent="0.35">
      <c r="F151" s="5">
        <v>-1.3</v>
      </c>
      <c r="G151" s="5">
        <v>-1.4</v>
      </c>
      <c r="H151" s="5">
        <v>1.2</v>
      </c>
      <c r="I151" s="5">
        <v>-1.1000000000000001</v>
      </c>
      <c r="J151" s="5">
        <v>-2.9</v>
      </c>
      <c r="K151" s="5">
        <v>-2.8</v>
      </c>
      <c r="L151" s="5">
        <v>-4</v>
      </c>
      <c r="M151" s="5">
        <v>-3.8</v>
      </c>
      <c r="N151" s="5">
        <v>-1</v>
      </c>
      <c r="O151" s="5">
        <v>1.5</v>
      </c>
      <c r="P151" s="5">
        <v>5.0999999999999996</v>
      </c>
      <c r="Q151" s="5">
        <v>4.2</v>
      </c>
      <c r="R151" s="5">
        <v>1.7</v>
      </c>
      <c r="S151" s="5">
        <v>-0.8</v>
      </c>
      <c r="T151" s="5">
        <v>-0.1</v>
      </c>
      <c r="U151" s="5">
        <v>1.6</v>
      </c>
    </row>
    <row r="152" spans="2:21" x14ac:dyDescent="0.35">
      <c r="G152" s="5">
        <v>-1.3</v>
      </c>
      <c r="H152" s="5">
        <v>-1.4</v>
      </c>
      <c r="I152" s="5">
        <v>1.2</v>
      </c>
      <c r="J152" s="5">
        <v>-1.1000000000000001</v>
      </c>
      <c r="K152" s="5">
        <v>-2.9</v>
      </c>
      <c r="L152" s="5">
        <v>-2.8</v>
      </c>
      <c r="M152" s="5">
        <v>-4</v>
      </c>
      <c r="N152" s="5">
        <v>-3.8</v>
      </c>
      <c r="O152" s="5">
        <v>-1</v>
      </c>
      <c r="P152" s="5">
        <v>1.5</v>
      </c>
      <c r="Q152" s="5">
        <v>5.0999999999999996</v>
      </c>
      <c r="R152" s="5">
        <v>4.2</v>
      </c>
      <c r="S152" s="5">
        <v>1.7</v>
      </c>
      <c r="T152" s="5">
        <v>-0.8</v>
      </c>
      <c r="U152" s="5">
        <v>-0.1</v>
      </c>
    </row>
    <row r="153" spans="2:21" x14ac:dyDescent="0.35">
      <c r="H153" s="5">
        <v>-1.3</v>
      </c>
      <c r="I153" s="5">
        <v>-1.4</v>
      </c>
      <c r="J153" s="5">
        <v>1.2</v>
      </c>
      <c r="K153" s="5">
        <v>-1.1000000000000001</v>
      </c>
      <c r="L153" s="5">
        <v>-2.9</v>
      </c>
      <c r="M153" s="5">
        <v>-2.8</v>
      </c>
      <c r="N153" s="5">
        <v>-4</v>
      </c>
      <c r="O153" s="5">
        <v>-3.8</v>
      </c>
      <c r="P153" s="5">
        <v>-1</v>
      </c>
      <c r="Q153" s="5">
        <v>1.5</v>
      </c>
      <c r="R153" s="5">
        <v>5.0999999999999996</v>
      </c>
      <c r="S153" s="5">
        <v>4.2</v>
      </c>
      <c r="T153" s="5">
        <v>1.7</v>
      </c>
      <c r="U153" s="5">
        <v>-0.8</v>
      </c>
    </row>
    <row r="154" spans="2:21" x14ac:dyDescent="0.35">
      <c r="I154" s="5">
        <v>-1.3</v>
      </c>
      <c r="J154" s="5">
        <v>-1.4</v>
      </c>
      <c r="K154" s="5">
        <v>1.2</v>
      </c>
      <c r="L154" s="5">
        <v>-1.1000000000000001</v>
      </c>
      <c r="M154" s="5">
        <v>-2.9</v>
      </c>
      <c r="N154" s="5">
        <v>-2.8</v>
      </c>
      <c r="O154" s="5">
        <v>-4</v>
      </c>
      <c r="P154" s="5">
        <v>-3.8</v>
      </c>
      <c r="Q154" s="5">
        <v>-1</v>
      </c>
      <c r="R154" s="5">
        <v>1.5</v>
      </c>
      <c r="S154" s="5">
        <v>5.0999999999999996</v>
      </c>
      <c r="T154" s="5">
        <v>4.2</v>
      </c>
      <c r="U154" s="5">
        <v>1.7</v>
      </c>
    </row>
    <row r="155" spans="2:21" x14ac:dyDescent="0.35">
      <c r="J155" s="5">
        <v>-1.3</v>
      </c>
      <c r="K155" s="5">
        <v>-1.4</v>
      </c>
      <c r="L155" s="5">
        <v>1.2</v>
      </c>
      <c r="M155" s="5">
        <v>-1.1000000000000001</v>
      </c>
      <c r="N155" s="5">
        <v>-2.9</v>
      </c>
      <c r="O155" s="5">
        <v>-2.8</v>
      </c>
      <c r="P155" s="5">
        <v>-4</v>
      </c>
      <c r="Q155" s="5">
        <v>-3.8</v>
      </c>
      <c r="R155" s="5">
        <v>-1</v>
      </c>
      <c r="S155" s="5">
        <v>1.5</v>
      </c>
      <c r="T155" s="5">
        <v>5.0999999999999996</v>
      </c>
      <c r="U155" s="5">
        <v>4.2</v>
      </c>
    </row>
    <row r="156" spans="2:21" x14ac:dyDescent="0.35">
      <c r="K156" s="5">
        <v>-1.3</v>
      </c>
      <c r="L156" s="5">
        <v>-1.4</v>
      </c>
      <c r="M156" s="5">
        <v>1.2</v>
      </c>
      <c r="N156" s="5">
        <v>-1.1000000000000001</v>
      </c>
      <c r="O156" s="5">
        <v>-2.9</v>
      </c>
      <c r="P156" s="5">
        <v>-2.8</v>
      </c>
      <c r="Q156" s="5">
        <v>-4</v>
      </c>
      <c r="R156" s="5">
        <v>-3.8</v>
      </c>
      <c r="S156" s="5">
        <v>-1</v>
      </c>
      <c r="T156" s="5">
        <v>1.5</v>
      </c>
      <c r="U156" s="5">
        <v>5.0999999999999996</v>
      </c>
    </row>
    <row r="157" spans="2:21" x14ac:dyDescent="0.35">
      <c r="L157" s="5">
        <v>-1.3</v>
      </c>
      <c r="M157" s="5">
        <v>-1.4</v>
      </c>
      <c r="N157" s="5">
        <v>1.2</v>
      </c>
      <c r="O157" s="5">
        <v>-1.1000000000000001</v>
      </c>
      <c r="P157" s="5">
        <v>-2.9</v>
      </c>
      <c r="Q157" s="5">
        <v>-2.8</v>
      </c>
      <c r="R157" s="5">
        <v>-4</v>
      </c>
      <c r="S157" s="5">
        <v>-3.8</v>
      </c>
      <c r="T157" s="5">
        <v>-1</v>
      </c>
      <c r="U157" s="5">
        <v>1.5</v>
      </c>
    </row>
    <row r="158" spans="2:21" x14ac:dyDescent="0.35">
      <c r="M158" s="5">
        <v>-1.3</v>
      </c>
      <c r="N158" s="5">
        <v>-1.4</v>
      </c>
      <c r="O158" s="5">
        <v>1.2</v>
      </c>
      <c r="P158" s="5">
        <v>-1.1000000000000001</v>
      </c>
      <c r="Q158" s="5">
        <v>-2.9</v>
      </c>
      <c r="R158" s="5">
        <v>-2.8</v>
      </c>
      <c r="S158" s="5">
        <v>-4</v>
      </c>
      <c r="T158" s="5">
        <v>-3.8</v>
      </c>
      <c r="U158" s="5">
        <v>-1</v>
      </c>
    </row>
    <row r="159" spans="2:21" x14ac:dyDescent="0.35">
      <c r="N159" s="5">
        <v>-1.3</v>
      </c>
      <c r="O159" s="5">
        <v>-1.4</v>
      </c>
      <c r="P159" s="5">
        <v>1.2</v>
      </c>
      <c r="Q159" s="5">
        <v>-1.1000000000000001</v>
      </c>
      <c r="R159" s="5">
        <v>-2.9</v>
      </c>
      <c r="S159" s="5">
        <v>-2.8</v>
      </c>
      <c r="T159" s="5">
        <v>-4</v>
      </c>
      <c r="U159" s="5">
        <v>-3.8</v>
      </c>
    </row>
    <row r="160" spans="2:21" x14ac:dyDescent="0.35">
      <c r="O160" s="5">
        <v>-1.3</v>
      </c>
      <c r="P160" s="5">
        <v>-1.4</v>
      </c>
      <c r="Q160" s="5">
        <v>1.2</v>
      </c>
      <c r="R160" s="5">
        <v>-1.1000000000000001</v>
      </c>
      <c r="S160" s="5">
        <v>-2.9</v>
      </c>
      <c r="T160" s="5">
        <v>-2.8</v>
      </c>
      <c r="U160" s="5">
        <v>-4</v>
      </c>
    </row>
    <row r="161" spans="16:21" x14ac:dyDescent="0.35">
      <c r="P161" s="5">
        <v>-1.3</v>
      </c>
      <c r="Q161" s="5">
        <v>-1.4</v>
      </c>
      <c r="R161" s="5">
        <v>1.2</v>
      </c>
      <c r="S161" s="5">
        <v>-1.1000000000000001</v>
      </c>
      <c r="T161" s="5">
        <v>-2.9</v>
      </c>
      <c r="U161" s="5">
        <v>-2.8</v>
      </c>
    </row>
    <row r="162" spans="16:21" x14ac:dyDescent="0.35">
      <c r="Q162" s="5">
        <v>-1.3</v>
      </c>
      <c r="R162" s="5">
        <v>-1.4</v>
      </c>
      <c r="S162" s="5">
        <v>1.2</v>
      </c>
      <c r="T162" s="5">
        <v>-1.1000000000000001</v>
      </c>
      <c r="U162" s="5">
        <v>-2.9</v>
      </c>
    </row>
    <row r="163" spans="16:21" x14ac:dyDescent="0.35">
      <c r="R163" s="5">
        <v>-1.3</v>
      </c>
      <c r="S163" s="5">
        <v>-1.4</v>
      </c>
      <c r="T163" s="5">
        <v>1.2</v>
      </c>
      <c r="U163" s="5">
        <v>-1.1000000000000001</v>
      </c>
    </row>
    <row r="164" spans="16:21" x14ac:dyDescent="0.35">
      <c r="S164" s="5">
        <v>-1.3</v>
      </c>
      <c r="T164" s="5">
        <v>-1.4</v>
      </c>
      <c r="U164" s="5">
        <v>1.2</v>
      </c>
    </row>
    <row r="165" spans="16:21" x14ac:dyDescent="0.35">
      <c r="T165" s="5">
        <v>-1.3</v>
      </c>
      <c r="U165" s="5">
        <v>-1.4</v>
      </c>
    </row>
    <row r="166" spans="16:21" x14ac:dyDescent="0.35">
      <c r="U166" s="5">
        <v>-1.3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10</vt:i4>
      </vt:variant>
    </vt:vector>
  </HeadingPairs>
  <TitlesOfParts>
    <vt:vector size="10" baseType="lpstr">
      <vt:lpstr>Випадковість та аномальність</vt:lpstr>
      <vt:lpstr>Класичні методи згладжування5</vt:lpstr>
      <vt:lpstr>Класичні методи (продовження)4</vt:lpstr>
      <vt:lpstr>Класичні методи (продовження)3</vt:lpstr>
      <vt:lpstr>Класичні методи (продовження)2</vt:lpstr>
      <vt:lpstr>Додаткові методи згладжування</vt:lpstr>
      <vt:lpstr>Проектування тренду</vt:lpstr>
      <vt:lpstr>Кореляційний,регресійний аналіз</vt:lpstr>
      <vt:lpstr>Аналіз сезонних коливань</vt:lpstr>
      <vt:lpstr>Авторегресія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Компанієць Анастасія Андріївна</dc:creator>
  <cp:lastModifiedBy>Компанієць Анастасія Андріївна</cp:lastModifiedBy>
  <dcterms:created xsi:type="dcterms:W3CDTF">2024-12-26T09:55:17Z</dcterms:created>
  <dcterms:modified xsi:type="dcterms:W3CDTF">2026-06-20T18:39:23Z</dcterms:modified>
</cp:coreProperties>
</file>