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PAS 10\PAS10 Design Team Burndown\"/>
    </mc:Choice>
  </mc:AlternateContent>
  <bookViews>
    <workbookView xWindow="0" yWindow="0" windowWidth="24000" windowHeight="9735" tabRatio="758" firstSheet="1" activeTab="7"/>
  </bookViews>
  <sheets>
    <sheet name="Summary" sheetId="34" state="hidden" r:id="rId1"/>
    <sheet name="PAS10_Sp19 &amp; BP Comparison" sheetId="41" r:id="rId2"/>
    <sheet name="PAS10_Sprint19 PreliminaryScope" sheetId="40" r:id="rId3"/>
    <sheet name="PAS10_Business Priority" sheetId="37" r:id="rId4"/>
    <sheet name="Scope Sheets" sheetId="33" state="hidden" r:id="rId5"/>
    <sheet name="Revised Scope Sheet Jen" sheetId="35" state="hidden" r:id="rId6"/>
    <sheet name="Burndown 4FTE-12Wk" sheetId="29" state="hidden" r:id="rId7"/>
    <sheet name="Burndown 4FTE-13Wk (Auto)" sheetId="42" r:id="rId8"/>
    <sheet name="PTO calc" sheetId="43" r:id="rId9"/>
    <sheet name="Burndown 12 Weeks" sheetId="36" state="hidden" r:id="rId10"/>
    <sheet name="PAS 7 Burndown" sheetId="9" state="hidden" r:id="rId11"/>
    <sheet name="PAS2,3,4 estimates" sheetId="15" state="hidden" r:id="rId12"/>
    <sheet name="PAS5,6 estimates" sheetId="19" state="hidden" r:id="rId13"/>
    <sheet name="CA Select Approaches" sheetId="12" state="hidden" r:id="rId14"/>
    <sheet name="CA Select Estimates ALT 1" sheetId="20" state="hidden" r:id="rId15"/>
  </sheets>
  <externalReferences>
    <externalReference r:id="rId16"/>
    <externalReference r:id="rId17"/>
  </externalReferences>
  <definedNames>
    <definedName name="_xlnm._FilterDatabase" localSheetId="3" hidden="1">'PAS10_Business Priority'!$B$1:$S$27</definedName>
    <definedName name="_xlnm._FilterDatabase" localSheetId="1" hidden="1">'PAS10_Sp19 &amp; BP Comparison'!#REF!</definedName>
    <definedName name="_xlnm._FilterDatabase" localSheetId="2" hidden="1">'PAS10_Sprint19 PreliminaryScope'!$D$1:$S$29</definedName>
    <definedName name="Analysis_Hr_AC" localSheetId="9">'Burndown 12 Weeks'!$B$44</definedName>
    <definedName name="Analysis_Hr_AC" localSheetId="6">'Burndown 4FTE-12Wk'!$B$20</definedName>
    <definedName name="Analysis_Hr_AC" localSheetId="7">'Burndown 4FTE-13Wk (Auto)'!$B$22</definedName>
    <definedName name="Analysis_Hr_AC" localSheetId="13">'CA Select Approaches'!#REF!</definedName>
    <definedName name="Analysis_Hr_AC" localSheetId="14">'CA Select Estimates ALT 1'!$D$30</definedName>
    <definedName name="Analysis_Hr_AC" localSheetId="10">'PAS 7 Burndown'!$D$30</definedName>
    <definedName name="Analysis_Hr_AC" localSheetId="1">#REF!</definedName>
    <definedName name="Analysis_Hr_AC" localSheetId="2">#REF!</definedName>
    <definedName name="Analysis_Hr_AC" localSheetId="12">'[1]New Scenario Plan (ACs)'!$D$15</definedName>
    <definedName name="Analysis_Hr_AC">#REF!</definedName>
    <definedName name="Design_Hr_AC" localSheetId="13">'CA Select Approaches'!#REF!</definedName>
    <definedName name="Design_Hr_AC" localSheetId="14">'CA Select Estimates ALT 1'!$D$31</definedName>
    <definedName name="Design_Hr_AC" localSheetId="10">'PAS 7 Burndown'!$D$31</definedName>
    <definedName name="Hr_OtherAnalysis" localSheetId="9">'Burndown 12 Weeks'!$B$48</definedName>
    <definedName name="Hr_OtherAnalysis" localSheetId="6">'Burndown 4FTE-12Wk'!$B$24</definedName>
    <definedName name="Hr_OtherAnalysis" localSheetId="7">'Burndown 4FTE-13Wk (Auto)'!$B$26</definedName>
    <definedName name="Hr_OtherAnalysis" localSheetId="13">'CA Select Approaches'!#REF!</definedName>
    <definedName name="Hr_OtherAnalysis" localSheetId="14">'CA Select Estimates ALT 1'!$D$35</definedName>
    <definedName name="Hr_OtherAnalysis" localSheetId="10">'PAS 7 Burndown'!$D$35</definedName>
    <definedName name="Hr_OtherAnalysis" localSheetId="1">#REF!</definedName>
    <definedName name="Hr_OtherAnalysis" localSheetId="2">#REF!</definedName>
    <definedName name="Hr_OtherAnalysis" localSheetId="12">'[1]New Scenario Plan (ACs)'!$D$20</definedName>
    <definedName name="Hr_OtherAnalysis">#REF!</definedName>
    <definedName name="Hr_Query" localSheetId="9">'Burndown 12 Weeks'!$B$47</definedName>
    <definedName name="Hr_Query" localSheetId="6">'Burndown 4FTE-12Wk'!$B$23</definedName>
    <definedName name="Hr_Query" localSheetId="7">'Burndown 4FTE-13Wk (Auto)'!$B$25</definedName>
    <definedName name="Hr_Query" localSheetId="13">'CA Select Approaches'!#REF!</definedName>
    <definedName name="Hr_Query" localSheetId="14">'CA Select Estimates ALT 1'!$D$34</definedName>
    <definedName name="Hr_Query" localSheetId="10">'PAS 7 Burndown'!$D$34</definedName>
    <definedName name="Hr_Query" localSheetId="1">#REF!</definedName>
    <definedName name="Hr_Query" localSheetId="2">#REF!</definedName>
    <definedName name="Hr_Query" localSheetId="12">'[1]New Scenario Plan (ACs)'!$D$19</definedName>
    <definedName name="Hr_Query">#REF!</definedName>
    <definedName name="Hr_Review" localSheetId="9">'Burndown 12 Weeks'!$B$46</definedName>
    <definedName name="Hr_Review" localSheetId="6">'Burndown 4FTE-12Wk'!$B$22</definedName>
    <definedName name="Hr_Review" localSheetId="7">'Burndown 4FTE-13Wk (Auto)'!$B$24</definedName>
    <definedName name="Hr_Review" localSheetId="13">'CA Select Approaches'!#REF!</definedName>
    <definedName name="Hr_Review" localSheetId="14">'CA Select Estimates ALT 1'!$D$33</definedName>
    <definedName name="Hr_Review" localSheetId="10">'PAS 7 Burndown'!$D$33</definedName>
    <definedName name="Hr_Review" localSheetId="1">#REF!</definedName>
    <definedName name="Hr_Review" localSheetId="2">#REF!</definedName>
    <definedName name="Hr_Review" localSheetId="12">'[1]New Scenario Plan (ACs)'!$D$18</definedName>
    <definedName name="Hr_Review">#REF!</definedName>
    <definedName name="Hr_ST" localSheetId="13">'CA Select Approaches'!#REF!</definedName>
    <definedName name="Hr_ST" localSheetId="14">'CA Select Estimates ALT 1'!#REF!</definedName>
    <definedName name="Hr_ST" localSheetId="10">'PAS 7 Burndown'!#REF!</definedName>
    <definedName name="Hr_ST" localSheetId="12">'[1]New Scenario Plan (ACs)'!#REF!</definedName>
    <definedName name="Hr_Week" localSheetId="9">'Burndown 12 Weeks'!#REF!</definedName>
    <definedName name="Hr_Week" localSheetId="6">'Burndown 4FTE-12Wk'!#REF!</definedName>
    <definedName name="Hr_Week" localSheetId="7">'Burndown 4FTE-13Wk (Auto)'!#REF!</definedName>
    <definedName name="Hr_Week" localSheetId="13">'CA Select Approaches'!#REF!</definedName>
    <definedName name="Hr_Week" localSheetId="14">'CA Select Estimates ALT 1'!$D$37</definedName>
    <definedName name="Hr_Week" localSheetId="10">'PAS 7 Burndown'!$D$37</definedName>
    <definedName name="Hr_Week" localSheetId="12">'[1]New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3">'CA Select Approaches'!#REF!</definedName>
    <definedName name="NBAC_Pattern" localSheetId="14">'CA Select Estimates ALT 1'!$D$36</definedName>
    <definedName name="NBAC_Pattern" localSheetId="10">'PAS 7 Burndown'!$D$36</definedName>
    <definedName name="NBAC_Pattern" localSheetId="12">'[1]New Scenario Plan (ACs)'!$D$21</definedName>
    <definedName name="NO_AC_Pattern" localSheetId="9">'Burndown 12 Weeks'!#REF!</definedName>
    <definedName name="NO_AC_Pattern" localSheetId="6">'Burndown 4FTE-12Wk'!#REF!</definedName>
    <definedName name="NO_AC_Pattern" localSheetId="7">'Burndown 4FTE-13Wk (Auto)'!#REF!</definedName>
    <definedName name="NO_AC_US" localSheetId="9">'Burndown 12 Weeks'!$B$49</definedName>
    <definedName name="NO_AC_US" localSheetId="6">'Burndown 4FTE-12Wk'!$B$25</definedName>
    <definedName name="NO_AC_US" localSheetId="7">'Burndown 4FTE-13Wk (Auto)'!$B$27</definedName>
    <definedName name="NO_AC_US" localSheetId="1">#REF!</definedName>
    <definedName name="NO_AC_US" localSheetId="2">#REF!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9" i="42" l="1"/>
  <c r="D8" i="43" l="1"/>
  <c r="D9" i="43" s="1"/>
  <c r="D7" i="43"/>
  <c r="D4" i="43"/>
  <c r="D3" i="43"/>
  <c r="D2" i="43"/>
  <c r="H14" i="42"/>
  <c r="H13" i="42" l="1"/>
  <c r="H12" i="42"/>
  <c r="G17" i="42" l="1"/>
  <c r="G18" i="42"/>
  <c r="H15" i="42"/>
  <c r="J19" i="42"/>
  <c r="AD19" i="42" s="1"/>
  <c r="AG19" i="42"/>
  <c r="W19" i="42"/>
  <c r="R19" i="42" s="1"/>
  <c r="B19" i="42"/>
  <c r="AA19" i="42" l="1"/>
  <c r="Q19" i="42" s="1"/>
  <c r="AB19" i="42"/>
  <c r="M19" i="42" s="1"/>
  <c r="Y19" i="42"/>
  <c r="X19" i="42"/>
  <c r="N19" i="42" l="1"/>
  <c r="Z19" i="42"/>
  <c r="P19" i="42" s="1"/>
  <c r="U19" i="42"/>
  <c r="O19" i="42"/>
  <c r="AC19" i="42" l="1"/>
  <c r="AG12" i="42" l="1"/>
  <c r="W12" i="42" s="1"/>
  <c r="J12" i="42"/>
  <c r="AG18" i="42"/>
  <c r="W18" i="42"/>
  <c r="R18" i="42" s="1"/>
  <c r="J18" i="42"/>
  <c r="AD18" i="42" s="1"/>
  <c r="X12" i="42" l="1"/>
  <c r="AD12" i="42"/>
  <c r="Y12" i="42"/>
  <c r="AA18" i="42"/>
  <c r="Q18" i="42" s="1"/>
  <c r="AB18" i="42"/>
  <c r="M18" i="42" s="1"/>
  <c r="L18" i="42"/>
  <c r="Y18" i="42" s="1"/>
  <c r="U18" i="42" s="1"/>
  <c r="X18" i="42"/>
  <c r="Z12" i="42" l="1"/>
  <c r="AA12" i="42"/>
  <c r="Q12" i="42" s="1"/>
  <c r="AB12" i="42"/>
  <c r="Z18" i="42"/>
  <c r="O18" i="42"/>
  <c r="N18" i="42"/>
  <c r="M12" i="42" l="1"/>
  <c r="N12" i="42"/>
  <c r="O12" i="42"/>
  <c r="P12" i="42"/>
  <c r="AC12" i="42"/>
  <c r="P18" i="42"/>
  <c r="AC18" i="42"/>
  <c r="I13" i="37" l="1"/>
  <c r="I9" i="37"/>
  <c r="G12" i="37" l="1"/>
  <c r="G14" i="37"/>
  <c r="G13" i="37"/>
  <c r="D18" i="37"/>
  <c r="E18" i="37"/>
  <c r="F18" i="37"/>
  <c r="T20" i="37" l="1"/>
  <c r="AA18" i="37"/>
  <c r="X30" i="37" s="1"/>
  <c r="Z18" i="37"/>
  <c r="X29" i="37" s="1"/>
  <c r="Y18" i="37"/>
  <c r="H18" i="37"/>
  <c r="G18" i="37"/>
  <c r="AB17" i="37"/>
  <c r="T17" i="37"/>
  <c r="U17" i="37" s="1"/>
  <c r="S17" i="37"/>
  <c r="R17" i="37"/>
  <c r="Q17" i="37"/>
  <c r="AB16" i="37"/>
  <c r="T16" i="37"/>
  <c r="U16" i="37" s="1"/>
  <c r="S16" i="37"/>
  <c r="R16" i="37"/>
  <c r="Q16" i="37"/>
  <c r="S15" i="37"/>
  <c r="R15" i="37"/>
  <c r="Q15" i="37"/>
  <c r="I15" i="37"/>
  <c r="M15" i="37" s="1"/>
  <c r="S14" i="37"/>
  <c r="R14" i="37"/>
  <c r="Q14" i="37"/>
  <c r="I14" i="37"/>
  <c r="M14" i="37" s="1"/>
  <c r="S13" i="37"/>
  <c r="R13" i="37"/>
  <c r="Q13" i="37"/>
  <c r="M13" i="37"/>
  <c r="S12" i="37"/>
  <c r="R12" i="37"/>
  <c r="Q12" i="37"/>
  <c r="I12" i="37"/>
  <c r="M12" i="37" s="1"/>
  <c r="AB11" i="37"/>
  <c r="T11" i="37"/>
  <c r="U11" i="37" s="1"/>
  <c r="S11" i="37"/>
  <c r="R11" i="37"/>
  <c r="Q11" i="37"/>
  <c r="AB10" i="37"/>
  <c r="S10" i="37"/>
  <c r="R10" i="37"/>
  <c r="Q10" i="37"/>
  <c r="I10" i="37"/>
  <c r="M10" i="37" s="1"/>
  <c r="AB9" i="37"/>
  <c r="S9" i="37"/>
  <c r="R9" i="37"/>
  <c r="Q9" i="37"/>
  <c r="M9" i="37"/>
  <c r="AB8" i="37"/>
  <c r="S8" i="37"/>
  <c r="R8" i="37"/>
  <c r="Q8" i="37"/>
  <c r="I8" i="37"/>
  <c r="M8" i="37" s="1"/>
  <c r="AB7" i="37"/>
  <c r="S7" i="37"/>
  <c r="R7" i="37"/>
  <c r="Q7" i="37"/>
  <c r="I7" i="37"/>
  <c r="M7" i="37" s="1"/>
  <c r="AB6" i="37"/>
  <c r="S6" i="37"/>
  <c r="R6" i="37"/>
  <c r="Q6" i="37"/>
  <c r="I6" i="37"/>
  <c r="N6" i="37" s="1"/>
  <c r="AB5" i="37"/>
  <c r="S5" i="37"/>
  <c r="R5" i="37"/>
  <c r="Q5" i="37"/>
  <c r="I5" i="37"/>
  <c r="M5" i="37" s="1"/>
  <c r="AB4" i="37"/>
  <c r="S4" i="37"/>
  <c r="R4" i="37"/>
  <c r="Q4" i="37"/>
  <c r="I4" i="37"/>
  <c r="J4" i="37" s="1"/>
  <c r="T4" i="37" s="1"/>
  <c r="U4" i="37" s="1"/>
  <c r="AC4" i="37" s="1"/>
  <c r="S3" i="37"/>
  <c r="R3" i="37"/>
  <c r="Q3" i="37"/>
  <c r="I3" i="37"/>
  <c r="L10" i="37" l="1"/>
  <c r="R18" i="37"/>
  <c r="R20" i="37" s="1"/>
  <c r="AC17" i="37"/>
  <c r="AC11" i="37"/>
  <c r="AC16" i="37"/>
  <c r="M21" i="37"/>
  <c r="J15" i="37"/>
  <c r="N15" i="37"/>
  <c r="K15" i="37"/>
  <c r="L15" i="37"/>
  <c r="J14" i="37"/>
  <c r="K14" i="37"/>
  <c r="N14" i="37"/>
  <c r="L14" i="37"/>
  <c r="N13" i="37"/>
  <c r="J13" i="37"/>
  <c r="K13" i="37"/>
  <c r="L13" i="37"/>
  <c r="N12" i="37"/>
  <c r="J12" i="37"/>
  <c r="K12" i="37"/>
  <c r="L12" i="37"/>
  <c r="N10" i="37"/>
  <c r="J10" i="37"/>
  <c r="K10" i="37"/>
  <c r="J9" i="37"/>
  <c r="S18" i="37"/>
  <c r="S20" i="37" s="1"/>
  <c r="J6" i="37"/>
  <c r="T6" i="37" s="1"/>
  <c r="U6" i="37" s="1"/>
  <c r="AC6" i="37" s="1"/>
  <c r="I18" i="37"/>
  <c r="Q18" i="37"/>
  <c r="Q20" i="37" s="1"/>
  <c r="L4" i="37"/>
  <c r="N4" i="37"/>
  <c r="K3" i="37"/>
  <c r="L3" i="37"/>
  <c r="M20" i="37"/>
  <c r="J3" i="37"/>
  <c r="N7" i="37"/>
  <c r="J5" i="37"/>
  <c r="T5" i="37" s="1"/>
  <c r="U5" i="37" s="1"/>
  <c r="AC5" i="37" s="1"/>
  <c r="J8" i="37"/>
  <c r="AF28" i="37"/>
  <c r="J7" i="37"/>
  <c r="T7" i="37" s="1"/>
  <c r="U7" i="37" s="1"/>
  <c r="AC7" i="37" s="1"/>
  <c r="K9" i="37"/>
  <c r="M3" i="37"/>
  <c r="M18" i="37" s="1"/>
  <c r="AJ26" i="37" s="1"/>
  <c r="AK26" i="37" s="1"/>
  <c r="L7" i="37"/>
  <c r="K8" i="37"/>
  <c r="X28" i="37"/>
  <c r="M20" i="40"/>
  <c r="L20" i="40"/>
  <c r="K20" i="40"/>
  <c r="J20" i="40"/>
  <c r="I20" i="40"/>
  <c r="H20" i="40"/>
  <c r="G20" i="40"/>
  <c r="T15" i="37" l="1"/>
  <c r="U15" i="37" s="1"/>
  <c r="V15" i="37" s="1"/>
  <c r="T3" i="37"/>
  <c r="U3" i="37" s="1"/>
  <c r="X3" i="37" s="1"/>
  <c r="T10" i="37"/>
  <c r="U10" i="37" s="1"/>
  <c r="AC10" i="37" s="1"/>
  <c r="T12" i="37"/>
  <c r="U12" i="37" s="1"/>
  <c r="X12" i="37" s="1"/>
  <c r="T13" i="37"/>
  <c r="U13" i="37" s="1"/>
  <c r="X13" i="37" s="1"/>
  <c r="T9" i="37"/>
  <c r="U9" i="37" s="1"/>
  <c r="AC9" i="37" s="1"/>
  <c r="T14" i="37"/>
  <c r="U14" i="37" s="1"/>
  <c r="X14" i="37" s="1"/>
  <c r="K18" i="37"/>
  <c r="AF27" i="37" s="1"/>
  <c r="T8" i="37"/>
  <c r="U8" i="37" s="1"/>
  <c r="AC8" i="37" s="1"/>
  <c r="N18" i="37"/>
  <c r="L18" i="37"/>
  <c r="J18" i="37"/>
  <c r="V3" i="37"/>
  <c r="X15" i="37"/>
  <c r="W15" i="37"/>
  <c r="H10" i="42"/>
  <c r="W3" i="37" l="1"/>
  <c r="AB3" i="37" s="1"/>
  <c r="AC3" i="37" s="1"/>
  <c r="V12" i="37"/>
  <c r="V13" i="37"/>
  <c r="W13" i="37"/>
  <c r="W12" i="37"/>
  <c r="W18" i="37" s="1"/>
  <c r="V14" i="37"/>
  <c r="W14" i="37"/>
  <c r="AB15" i="37"/>
  <c r="AC15" i="37" s="1"/>
  <c r="AB13" i="37"/>
  <c r="AC13" i="37" s="1"/>
  <c r="U18" i="37"/>
  <c r="W28" i="37" s="1"/>
  <c r="X18" i="37"/>
  <c r="AJ27" i="37"/>
  <c r="AK27" i="37" s="1"/>
  <c r="N21" i="37"/>
  <c r="T18" i="37"/>
  <c r="AF26" i="37"/>
  <c r="AG26" i="37" s="1"/>
  <c r="AG17" i="42"/>
  <c r="W17" i="42" s="1"/>
  <c r="R17" i="42" s="1"/>
  <c r="J17" i="42"/>
  <c r="AD17" i="42" s="1"/>
  <c r="W26" i="37" l="1"/>
  <c r="W27" i="37"/>
  <c r="AB12" i="37"/>
  <c r="AC12" i="37" s="1"/>
  <c r="AB14" i="37"/>
  <c r="AC14" i="37" s="1"/>
  <c r="V18" i="37"/>
  <c r="Y29" i="37"/>
  <c r="Z29" i="37" s="1"/>
  <c r="W30" i="37"/>
  <c r="W29" i="37"/>
  <c r="AA20" i="37"/>
  <c r="Y20" i="37"/>
  <c r="Z20" i="37"/>
  <c r="Y28" i="37"/>
  <c r="Z28" i="37" s="1"/>
  <c r="Y30" i="37"/>
  <c r="Z30" i="37" s="1"/>
  <c r="X27" i="37"/>
  <c r="Y27" i="37" s="1"/>
  <c r="Z27" i="37" s="1"/>
  <c r="X20" i="37"/>
  <c r="AI27" i="37"/>
  <c r="AI26" i="37"/>
  <c r="X26" i="37"/>
  <c r="Y26" i="37" s="1"/>
  <c r="Z26" i="37" s="1"/>
  <c r="W20" i="37"/>
  <c r="AA17" i="42"/>
  <c r="Q17" i="42" s="1"/>
  <c r="AB17" i="42"/>
  <c r="M17" i="42" s="1"/>
  <c r="L17" i="42"/>
  <c r="Y17" i="42" s="1"/>
  <c r="U17" i="42" s="1"/>
  <c r="X17" i="42"/>
  <c r="X25" i="37" l="1"/>
  <c r="Y25" i="37" s="1"/>
  <c r="W25" i="37"/>
  <c r="W31" i="37" s="1"/>
  <c r="V20" i="37"/>
  <c r="Y31" i="37"/>
  <c r="Z25" i="37"/>
  <c r="N17" i="42"/>
  <c r="Z17" i="42"/>
  <c r="O17" i="42"/>
  <c r="P17" i="42" l="1"/>
  <c r="AC17" i="42"/>
  <c r="H11" i="42" l="1"/>
  <c r="G4" i="42" l="1"/>
  <c r="G5" i="42"/>
  <c r="G6" i="42"/>
  <c r="G7" i="42"/>
  <c r="G9" i="42"/>
  <c r="J9" i="42" s="1"/>
  <c r="G10" i="42"/>
  <c r="J10" i="42" s="1"/>
  <c r="G11" i="42"/>
  <c r="J11" i="42" s="1"/>
  <c r="J13" i="42"/>
  <c r="J14" i="42"/>
  <c r="G15" i="42"/>
  <c r="J15" i="42" s="1"/>
  <c r="G16" i="42"/>
  <c r="J16" i="42" s="1"/>
  <c r="AG16" i="42" l="1"/>
  <c r="W16" i="42" s="1"/>
  <c r="R16" i="42" s="1"/>
  <c r="AK16" i="42" s="1"/>
  <c r="AD16" i="42"/>
  <c r="AG15" i="42"/>
  <c r="W15" i="42" s="1"/>
  <c r="R15" i="42" s="1"/>
  <c r="AK15" i="42" s="1"/>
  <c r="AD15" i="42"/>
  <c r="AG14" i="42"/>
  <c r="W14" i="42" s="1"/>
  <c r="R14" i="42" s="1"/>
  <c r="AK14" i="42" s="1"/>
  <c r="AD14" i="42"/>
  <c r="AG13" i="42"/>
  <c r="AD13" i="42"/>
  <c r="AK12" i="42"/>
  <c r="AG11" i="42"/>
  <c r="W11" i="42" s="1"/>
  <c r="AK11" i="42" s="1"/>
  <c r="AG10" i="42"/>
  <c r="W10" i="42" s="1"/>
  <c r="AK10" i="42" s="1"/>
  <c r="AG9" i="42"/>
  <c r="W9" i="42" s="1"/>
  <c r="AK9" i="42" s="1"/>
  <c r="AD9" i="42"/>
  <c r="AG7" i="42"/>
  <c r="J7" i="42"/>
  <c r="AD7" i="42" s="1"/>
  <c r="AG6" i="42"/>
  <c r="J6" i="42"/>
  <c r="AG5" i="42"/>
  <c r="J5" i="42"/>
  <c r="AD5" i="42" s="1"/>
  <c r="B5" i="42"/>
  <c r="B6" i="42" s="1"/>
  <c r="B7" i="42" s="1"/>
  <c r="B8" i="42" s="1"/>
  <c r="B9" i="42" s="1"/>
  <c r="B10" i="42" s="1"/>
  <c r="B11" i="42" s="1"/>
  <c r="AG4" i="42"/>
  <c r="Y4" i="42" s="1"/>
  <c r="Z4" i="42" s="1"/>
  <c r="J4" i="42"/>
  <c r="AD4" i="42" s="1"/>
  <c r="B12" i="42" l="1"/>
  <c r="B13" i="42" s="1"/>
  <c r="B14" i="42" s="1"/>
  <c r="B15" i="42" s="1"/>
  <c r="B16" i="42" s="1"/>
  <c r="B17" i="42" s="1"/>
  <c r="B18" i="42" s="1"/>
  <c r="W4" i="42"/>
  <c r="L7" i="42"/>
  <c r="Y7" i="42" s="1"/>
  <c r="U7" i="42" s="1"/>
  <c r="AD6" i="42"/>
  <c r="AB6" i="42" s="1"/>
  <c r="K6" i="42"/>
  <c r="K5" i="42"/>
  <c r="W5" i="42" s="1"/>
  <c r="R5" i="42" s="1"/>
  <c r="AK5" i="42" s="1"/>
  <c r="L9" i="42"/>
  <c r="Y9" i="42" s="1"/>
  <c r="L14" i="42"/>
  <c r="Y14" i="42" s="1"/>
  <c r="U14" i="42" s="1"/>
  <c r="L15" i="42"/>
  <c r="Y15" i="42" s="1"/>
  <c r="U15" i="42" s="1"/>
  <c r="L13" i="42"/>
  <c r="Y13" i="42" s="1"/>
  <c r="U13" i="42" s="1"/>
  <c r="AD11" i="42"/>
  <c r="AB11" i="42" s="1"/>
  <c r="M11" i="42" s="1"/>
  <c r="L11" i="42"/>
  <c r="Y11" i="42" s="1"/>
  <c r="AD10" i="42"/>
  <c r="AB10" i="42" s="1"/>
  <c r="M10" i="42" s="1"/>
  <c r="L10" i="42"/>
  <c r="Y10" i="42" s="1"/>
  <c r="L16" i="42"/>
  <c r="Y16" i="42" s="1"/>
  <c r="U16" i="42" s="1"/>
  <c r="X16" i="42"/>
  <c r="X14" i="42"/>
  <c r="X11" i="42"/>
  <c r="W7" i="42"/>
  <c r="AA4" i="42"/>
  <c r="Q4" i="42" s="1"/>
  <c r="AB4" i="42"/>
  <c r="P4" i="42" s="1"/>
  <c r="AA5" i="42"/>
  <c r="Q5" i="42" s="1"/>
  <c r="AB5" i="42"/>
  <c r="AA7" i="42"/>
  <c r="Q7" i="42" s="1"/>
  <c r="AB7" i="42"/>
  <c r="AB15" i="42"/>
  <c r="M15" i="42" s="1"/>
  <c r="AA15" i="42"/>
  <c r="Q15" i="42" s="1"/>
  <c r="U4" i="42"/>
  <c r="V4" i="42" s="1"/>
  <c r="AA16" i="42"/>
  <c r="Q16" i="42" s="1"/>
  <c r="AB16" i="42"/>
  <c r="M16" i="42" s="1"/>
  <c r="AA9" i="42"/>
  <c r="Q9" i="42" s="1"/>
  <c r="AB9" i="42"/>
  <c r="M9" i="42" s="1"/>
  <c r="AB13" i="42"/>
  <c r="AA13" i="42"/>
  <c r="Q13" i="42" s="1"/>
  <c r="AA14" i="42"/>
  <c r="Q14" i="42" s="1"/>
  <c r="AB14" i="42"/>
  <c r="M14" i="42" s="1"/>
  <c r="W13" i="42"/>
  <c r="T4" i="42"/>
  <c r="X4" i="42"/>
  <c r="X9" i="42"/>
  <c r="X15" i="42"/>
  <c r="X10"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O7" i="42" l="1"/>
  <c r="Z7" i="42"/>
  <c r="R4" i="42"/>
  <c r="AK4" i="42" s="1"/>
  <c r="AL4" i="42" s="1"/>
  <c r="P7" i="42"/>
  <c r="AA6" i="42"/>
  <c r="Q6" i="42" s="1"/>
  <c r="AA10" i="42"/>
  <c r="Q10" i="42" s="1"/>
  <c r="AA11" i="42"/>
  <c r="Q11" i="42" s="1"/>
  <c r="Z11" i="42"/>
  <c r="M7" i="42"/>
  <c r="Z16" i="42"/>
  <c r="P16" i="42" s="1"/>
  <c r="Z10" i="42"/>
  <c r="T5" i="42"/>
  <c r="M5" i="42"/>
  <c r="W6" i="42"/>
  <c r="L6" i="42"/>
  <c r="Y6" i="42" s="1"/>
  <c r="U6" i="42" s="1"/>
  <c r="Z14" i="42"/>
  <c r="P14" i="42" s="1"/>
  <c r="L5" i="42"/>
  <c r="Y5" i="42" s="1"/>
  <c r="X5" i="42"/>
  <c r="N5" i="42" s="1"/>
  <c r="N15" i="42"/>
  <c r="N10" i="42"/>
  <c r="N16" i="42"/>
  <c r="O15" i="42"/>
  <c r="O13" i="42"/>
  <c r="O10" i="42"/>
  <c r="Z9" i="42"/>
  <c r="P9" i="42" s="1"/>
  <c r="O9" i="42"/>
  <c r="Z15" i="42"/>
  <c r="P15" i="42" s="1"/>
  <c r="Z13" i="42"/>
  <c r="P13" i="42" s="1"/>
  <c r="AK7" i="42"/>
  <c r="X7" i="42"/>
  <c r="AC7" i="42" s="1"/>
  <c r="O4" i="42"/>
  <c r="N4" i="42"/>
  <c r="M4" i="42"/>
  <c r="N9" i="42"/>
  <c r="O16" i="42"/>
  <c r="N14" i="42"/>
  <c r="O11" i="42"/>
  <c r="N11" i="42"/>
  <c r="M13" i="42"/>
  <c r="X13" i="42"/>
  <c r="N13" i="42" s="1"/>
  <c r="R13" i="42"/>
  <c r="AK13" i="42" s="1"/>
  <c r="O14" i="42"/>
  <c r="AC4" i="42"/>
  <c r="E17" i="41"/>
  <c r="J14" i="29"/>
  <c r="H10" i="29"/>
  <c r="H9" i="29"/>
  <c r="G10" i="29"/>
  <c r="H12" i="29"/>
  <c r="G12" i="29"/>
  <c r="H11" i="29"/>
  <c r="G11" i="29"/>
  <c r="J15" i="29"/>
  <c r="H15" i="40"/>
  <c r="I15" i="40" s="1"/>
  <c r="F18" i="40"/>
  <c r="G18" i="40" s="1"/>
  <c r="H18" i="40" s="1"/>
  <c r="M18" i="40" s="1"/>
  <c r="F17" i="40"/>
  <c r="F16" i="40"/>
  <c r="F15" i="40"/>
  <c r="F20" i="40" s="1"/>
  <c r="G12" i="40"/>
  <c r="G11" i="40"/>
  <c r="AC11" i="42" l="1"/>
  <c r="S4" i="42"/>
  <c r="S5" i="42" s="1"/>
  <c r="G16" i="40"/>
  <c r="P11" i="42"/>
  <c r="AC10" i="42"/>
  <c r="AC16" i="42"/>
  <c r="O6" i="42"/>
  <c r="AC14" i="42"/>
  <c r="P10" i="42"/>
  <c r="N7" i="42"/>
  <c r="Z6" i="42"/>
  <c r="P6" i="42" s="1"/>
  <c r="T6" i="42"/>
  <c r="T7" i="42" s="1"/>
  <c r="T9" i="42" s="1"/>
  <c r="T10" i="42" s="1"/>
  <c r="T11" i="42" s="1"/>
  <c r="R6" i="42"/>
  <c r="X6" i="42"/>
  <c r="N6" i="42" s="1"/>
  <c r="M6" i="42"/>
  <c r="U5" i="42"/>
  <c r="V5" i="42" s="1"/>
  <c r="Z5" i="42"/>
  <c r="P5" i="42" s="1"/>
  <c r="O5" i="42"/>
  <c r="AC9" i="42"/>
  <c r="AC15" i="42"/>
  <c r="AC13" i="42"/>
  <c r="J15" i="40"/>
  <c r="L15" i="40"/>
  <c r="K15" i="40"/>
  <c r="M15" i="40"/>
  <c r="Q16" i="40"/>
  <c r="G17" i="40"/>
  <c r="H17" i="40" s="1"/>
  <c r="M17" i="40" s="1"/>
  <c r="J18" i="40"/>
  <c r="K18" i="40"/>
  <c r="L18" i="40"/>
  <c r="I18" i="40"/>
  <c r="T12" i="42" l="1"/>
  <c r="T13" i="42" s="1"/>
  <c r="T14" i="42" s="1"/>
  <c r="T15" i="42" s="1"/>
  <c r="T16" i="42" s="1"/>
  <c r="T17" i="42" s="1"/>
  <c r="T18" i="42" s="1"/>
  <c r="T19" i="42" s="1"/>
  <c r="H16" i="40"/>
  <c r="AC6" i="42"/>
  <c r="AC5" i="42"/>
  <c r="V6" i="42"/>
  <c r="V7" i="42" s="1"/>
  <c r="V9" i="42" s="1"/>
  <c r="AL5" i="42"/>
  <c r="AK6" i="42"/>
  <c r="S6" i="42"/>
  <c r="S7" i="42" s="1"/>
  <c r="S9" i="42" s="1"/>
  <c r="S10" i="42" s="1"/>
  <c r="S11" i="42" s="1"/>
  <c r="L17" i="40"/>
  <c r="K17" i="40"/>
  <c r="I17" i="40"/>
  <c r="S12" i="42" l="1"/>
  <c r="S13" i="42" s="1"/>
  <c r="S14" i="42" s="1"/>
  <c r="S15" i="42" s="1"/>
  <c r="S16" i="42" s="1"/>
  <c r="S17" i="42" s="1"/>
  <c r="S18" i="42" s="1"/>
  <c r="S19" i="42" s="1"/>
  <c r="M16" i="40"/>
  <c r="I16" i="40"/>
  <c r="K16" i="40"/>
  <c r="AL6" i="42"/>
  <c r="AL7" i="42"/>
  <c r="AL9" i="42"/>
  <c r="V10" i="42"/>
  <c r="F26" i="40"/>
  <c r="Z20" i="40"/>
  <c r="W32" i="40" s="1"/>
  <c r="Y20" i="40"/>
  <c r="W31" i="40" s="1"/>
  <c r="X20" i="40"/>
  <c r="W30"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V11" i="42" l="1"/>
  <c r="V12" i="42" s="1"/>
  <c r="AL10"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H21" i="40" l="1"/>
  <c r="AL11"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AG15" i="29"/>
  <c r="Y15" i="29" s="1"/>
  <c r="G15" i="29"/>
  <c r="V13" i="42" l="1"/>
  <c r="AL12"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l="1"/>
  <c r="V14" i="42"/>
  <c r="AL13" i="42"/>
  <c r="U15" i="40"/>
  <c r="V15" i="40"/>
  <c r="U13" i="40"/>
  <c r="V13" i="40"/>
  <c r="AA13" i="40" s="1"/>
  <c r="AB13" i="40" s="1"/>
  <c r="AA8" i="40"/>
  <c r="AB8" i="40" s="1"/>
  <c r="T20" i="40"/>
  <c r="W10" i="40"/>
  <c r="U10" i="40"/>
  <c r="V10" i="40"/>
  <c r="AA15" i="40"/>
  <c r="AB15" i="40" s="1"/>
  <c r="V9" i="40"/>
  <c r="W9" i="40"/>
  <c r="U9" i="40"/>
  <c r="AA15" i="29"/>
  <c r="Q15" i="29" s="1"/>
  <c r="M15" i="29"/>
  <c r="N15" i="29"/>
  <c r="P15" i="29"/>
  <c r="V15" i="42" l="1"/>
  <c r="AL14" i="42"/>
  <c r="V20" i="40"/>
  <c r="V28" i="40" s="1"/>
  <c r="W20" i="40"/>
  <c r="W29" i="40" s="1"/>
  <c r="AA9" i="40"/>
  <c r="AB9" i="40" s="1"/>
  <c r="Y21" i="40"/>
  <c r="X21" i="40"/>
  <c r="V31" i="40"/>
  <c r="V32" i="40"/>
  <c r="Z21" i="40"/>
  <c r="V30" i="40"/>
  <c r="U20" i="40"/>
  <c r="AA10" i="40"/>
  <c r="AB10" i="40" s="1"/>
  <c r="AC15" i="29"/>
  <c r="G5" i="29"/>
  <c r="J5" i="29" s="1"/>
  <c r="G6" i="29"/>
  <c r="J6" i="29" s="1"/>
  <c r="G7" i="29"/>
  <c r="J7" i="29" s="1"/>
  <c r="G8" i="29"/>
  <c r="J8" i="29" s="1"/>
  <c r="G9" i="29"/>
  <c r="J9" i="29" s="1"/>
  <c r="J10" i="29"/>
  <c r="J11" i="29"/>
  <c r="J12" i="29"/>
  <c r="G13" i="29"/>
  <c r="J13" i="29" s="1"/>
  <c r="G14" i="29"/>
  <c r="G4" i="29"/>
  <c r="W28" i="40" l="1"/>
  <c r="V16" i="42"/>
  <c r="V17" i="42" s="1"/>
  <c r="V18" i="42" s="1"/>
  <c r="V19" i="42" s="1"/>
  <c r="AL15" i="42"/>
  <c r="V21" i="40"/>
  <c r="V29" i="40"/>
  <c r="W21" i="40"/>
  <c r="W27" i="40"/>
  <c r="V27" i="40"/>
  <c r="U21" i="40"/>
  <c r="AL16" i="42" l="1"/>
  <c r="V33" i="40"/>
  <c r="B5" i="29" l="1"/>
  <c r="B6" i="29" s="1"/>
  <c r="B7" i="29" s="1"/>
  <c r="B8" i="29" s="1"/>
  <c r="B9" i="29" s="1"/>
  <c r="B10" i="29" s="1"/>
  <c r="B11" i="29" s="1"/>
  <c r="B12" i="29" s="1"/>
  <c r="B13" i="29" s="1"/>
  <c r="B14" i="29" s="1"/>
  <c r="B15" i="29" s="1"/>
  <c r="L54" i="33" l="1"/>
  <c r="M54" i="33"/>
  <c r="M55" i="33" s="1"/>
  <c r="N54" i="33"/>
  <c r="K54" i="33"/>
  <c r="K66" i="33"/>
  <c r="K65" i="33"/>
  <c r="I54" i="33"/>
  <c r="J54" i="33"/>
  <c r="H54" i="33"/>
  <c r="J51" i="33" l="1"/>
  <c r="I51" i="33"/>
  <c r="M51" i="33"/>
  <c r="L51" i="33"/>
  <c r="M37" i="33"/>
  <c r="M36" i="33"/>
  <c r="M35" i="33"/>
  <c r="L35" i="33"/>
  <c r="F61" i="33"/>
  <c r="E61" i="33"/>
  <c r="J35" i="33" l="1"/>
  <c r="F35" i="33"/>
  <c r="J4" i="29" l="1"/>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s="1"/>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s="1"/>
  <c r="D11" i="35"/>
  <c r="B11" i="35" s="1"/>
  <c r="D10" i="35"/>
  <c r="B10" i="35" s="1"/>
  <c r="D9" i="35"/>
  <c r="B9" i="35" s="1"/>
  <c r="D8" i="35"/>
  <c r="B8" i="35" s="1"/>
  <c r="N121" i="35" l="1"/>
  <c r="L121" i="35"/>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H9" i="35" s="1" a="1"/>
  <c r="H9" i="35" s="1"/>
  <c r="J24" i="33"/>
  <c r="L24" i="33" s="1"/>
  <c r="M39" i="33"/>
  <c r="N39" i="33"/>
  <c r="L39" i="33"/>
  <c r="K39" i="33"/>
  <c r="F10" i="35" a="1"/>
  <c r="F10" i="35" s="1"/>
  <c r="E11" i="35" a="1"/>
  <c r="E11" i="35" s="1"/>
  <c r="I8" i="35" a="1"/>
  <c r="I8" i="35" s="1"/>
  <c r="J8" i="35" s="1" a="1"/>
  <c r="J8" i="35" s="1"/>
  <c r="G32" i="33"/>
  <c r="G31" i="33"/>
  <c r="G30" i="33"/>
  <c r="G29" i="33"/>
  <c r="G28" i="33"/>
  <c r="G27" i="33"/>
  <c r="G24" i="33"/>
  <c r="G26" i="33"/>
  <c r="G23" i="33"/>
  <c r="G22" i="33"/>
  <c r="G21" i="33"/>
  <c r="G20" i="33"/>
  <c r="E34" i="33"/>
  <c r="I32" i="33"/>
  <c r="J32" i="33" s="1"/>
  <c r="I9" i="35" l="1" a="1"/>
  <c r="I9" i="35" s="1"/>
  <c r="J9" i="35" s="1" a="1"/>
  <c r="J9" i="35" s="1"/>
  <c r="E12" i="35" a="1"/>
  <c r="E12" i="35" s="1"/>
  <c r="G10" i="35" a="1"/>
  <c r="G10" i="35" s="1"/>
  <c r="H10" i="35" s="1" a="1"/>
  <c r="H10" i="35" s="1"/>
  <c r="F11" i="35" a="1"/>
  <c r="F11" i="35" s="1"/>
  <c r="K8" i="35" a="1"/>
  <c r="K8" i="35" s="1"/>
  <c r="N32" i="33"/>
  <c r="M32" i="33"/>
  <c r="L32" i="33"/>
  <c r="K32" i="33"/>
  <c r="G34" i="33"/>
  <c r="I31" i="33"/>
  <c r="J31" i="33" s="1"/>
  <c r="I23" i="33"/>
  <c r="J23" i="33" s="1"/>
  <c r="I28" i="33"/>
  <c r="J28" i="33" s="1"/>
  <c r="I29" i="33"/>
  <c r="J29" i="33" s="1"/>
  <c r="I30" i="33"/>
  <c r="J30" i="33" s="1"/>
  <c r="I27" i="33"/>
  <c r="I20" i="33"/>
  <c r="J20" i="33" s="1"/>
  <c r="G11" i="35" l="1" a="1"/>
  <c r="G11" i="35" s="1"/>
  <c r="H11" i="35" s="1" a="1"/>
  <c r="H11" i="35" s="1"/>
  <c r="J27" i="33"/>
  <c r="J33" i="33" s="1"/>
  <c r="I33" i="33"/>
  <c r="K9" i="35" a="1"/>
  <c r="K9" i="35" s="1"/>
  <c r="F12" i="35" a="1"/>
  <c r="F12" i="35" s="1"/>
  <c r="E13" i="35" a="1"/>
  <c r="E13"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F13" i="35" a="1"/>
  <c r="F13" i="35" s="1"/>
  <c r="E14" i="35" a="1"/>
  <c r="E14" i="35" s="1"/>
  <c r="H12" i="35" a="1"/>
  <c r="H12" i="35" s="1"/>
  <c r="L9" i="35" a="1"/>
  <c r="L9" i="35" s="1"/>
  <c r="M9" i="35" s="1" a="1"/>
  <c r="M9" i="35" s="1"/>
  <c r="AG14" i="29"/>
  <c r="W14" i="29" s="1"/>
  <c r="AG13" i="29"/>
  <c r="Y13" i="29" s="1"/>
  <c r="AD14" i="29"/>
  <c r="AD13" i="29"/>
  <c r="G13" i="35" l="1" a="1"/>
  <c r="G13" i="35" s="1"/>
  <c r="H13" i="35" s="1" a="1"/>
  <c r="H13" i="35" s="1"/>
  <c r="J11" i="35" a="1"/>
  <c r="J11"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H16" i="35" l="1" a="1"/>
  <c r="H16" i="35" s="1"/>
  <c r="R9" i="35" a="1"/>
  <c r="R9" i="35" s="1"/>
  <c r="J15" i="35" a="1"/>
  <c r="J15" i="35" s="1"/>
  <c r="K15" i="35" s="1" a="1"/>
  <c r="K15" i="35" s="1"/>
  <c r="I16" i="35" a="1"/>
  <c r="I16" i="35" s="1"/>
  <c r="S8" i="35" a="1"/>
  <c r="S8"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J16" i="35" l="1" a="1"/>
  <c r="J16" i="35" s="1"/>
  <c r="S9" i="35" a="1"/>
  <c r="S9" i="35" s="1"/>
  <c r="L15" i="35" a="1"/>
  <c r="L15" i="35" s="1"/>
  <c r="P12" i="29"/>
  <c r="H17" i="35" a="1"/>
  <c r="H17" i="35" s="1"/>
  <c r="I17" i="35" s="1" a="1"/>
  <c r="I17" i="35" s="1"/>
  <c r="J17" i="35" s="1" a="1"/>
  <c r="J17" i="35" s="1"/>
  <c r="M14" i="35" a="1"/>
  <c r="M14"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M15" i="35" l="1" a="1"/>
  <c r="M15" i="35" s="1"/>
  <c r="G19" i="35" a="1"/>
  <c r="G19" i="35" s="1"/>
  <c r="N14" i="35" a="1"/>
  <c r="N14" i="35" s="1"/>
  <c r="N15" i="35" s="1" a="1"/>
  <c r="N15" i="35" s="1"/>
  <c r="Q11" i="35" a="1"/>
  <c r="Q11" i="35" s="1"/>
  <c r="U8" i="35" a="1"/>
  <c r="U8" i="35" s="1"/>
  <c r="T9" i="35" a="1"/>
  <c r="T9" i="35" s="1"/>
  <c r="K17" i="35" a="1"/>
  <c r="K17" i="35" s="1"/>
  <c r="R10" i="35" a="1"/>
  <c r="R10" i="35" s="1"/>
  <c r="F20" i="35" a="1"/>
  <c r="F20" i="35" s="1"/>
  <c r="E21" i="35" a="1"/>
  <c r="E21" i="35" s="1"/>
  <c r="L16" i="35" a="1"/>
  <c r="L16" i="35" s="1"/>
  <c r="O12" i="35" a="1"/>
  <c r="O12" i="35" s="1"/>
  <c r="H18" i="35" a="1"/>
  <c r="H18" i="35" s="1"/>
  <c r="I18" i="35" s="1" a="1"/>
  <c r="I18" i="35" s="1"/>
  <c r="AC11" i="29"/>
  <c r="AC10" i="29"/>
  <c r="AC12" i="29"/>
  <c r="AC9" i="29"/>
  <c r="G20" i="35" l="1" a="1"/>
  <c r="G20" i="35" s="1"/>
  <c r="H19" i="35" a="1"/>
  <c r="H19" i="35" s="1"/>
  <c r="I19" i="35" s="1" a="1"/>
  <c r="I19" i="35" s="1"/>
  <c r="U9" i="35" a="1"/>
  <c r="U9" i="35" s="1"/>
  <c r="J18" i="35" a="1"/>
  <c r="J18" i="35" s="1"/>
  <c r="K18" i="35" s="1" a="1"/>
  <c r="K18" i="35" s="1"/>
  <c r="P12" i="35" a="1"/>
  <c r="P12" i="35" s="1"/>
  <c r="L17" i="35" a="1"/>
  <c r="L17" i="35" s="1"/>
  <c r="F21" i="35" a="1"/>
  <c r="F21" i="35" s="1"/>
  <c r="E22" i="35" a="1"/>
  <c r="E22" i="35" s="1"/>
  <c r="M16" i="35" a="1"/>
  <c r="M16" i="35" s="1"/>
  <c r="V8" i="35" a="1"/>
  <c r="V8" i="35" s="1"/>
  <c r="S10" i="35" a="1"/>
  <c r="S10" i="35" s="1"/>
  <c r="O13" i="35" a="1"/>
  <c r="O13" i="35" s="1"/>
  <c r="R11" i="35" a="1"/>
  <c r="R11" i="35" s="1"/>
  <c r="F34" i="33"/>
  <c r="V9" i="35" l="1" a="1"/>
  <c r="V9" i="35" s="1"/>
  <c r="H20" i="35" a="1"/>
  <c r="H20" i="35" s="1"/>
  <c r="I20" i="35" s="1" a="1"/>
  <c r="I20" i="35" s="1"/>
  <c r="S11" i="35" a="1"/>
  <c r="S11" i="35" s="1"/>
  <c r="J19" i="35" a="1"/>
  <c r="J19" i="35" s="1"/>
  <c r="P13" i="35" a="1"/>
  <c r="P13" i="35" s="1"/>
  <c r="M17" i="35" a="1"/>
  <c r="M17" i="35" s="1"/>
  <c r="L18" i="35" a="1"/>
  <c r="L18" i="35" s="1"/>
  <c r="G21" i="35" a="1"/>
  <c r="G21" i="35" s="1"/>
  <c r="F22" i="35" a="1"/>
  <c r="F22" i="35" s="1"/>
  <c r="E23" i="35" a="1"/>
  <c r="E23" i="35" s="1"/>
  <c r="T10" i="35" a="1"/>
  <c r="T10" i="35" s="1"/>
  <c r="K19" i="35" a="1"/>
  <c r="K19" i="35" s="1"/>
  <c r="W8" i="35" a="1"/>
  <c r="W8" i="35" s="1"/>
  <c r="W9" i="35" s="1" a="1"/>
  <c r="W9" i="35" s="1"/>
  <c r="N16" i="35" a="1"/>
  <c r="N16" i="35" s="1"/>
  <c r="Q12" i="35" a="1"/>
  <c r="Q12" i="35" s="1"/>
  <c r="O14" i="35" a="1"/>
  <c r="O14"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P14" i="35" l="1" a="1"/>
  <c r="P14" i="35" s="1"/>
  <c r="Q13" i="35" a="1"/>
  <c r="Q13" i="35" s="1"/>
  <c r="M18" i="35" a="1"/>
  <c r="M18" i="35" s="1"/>
  <c r="G22" i="35" a="1"/>
  <c r="G22" i="35" s="1"/>
  <c r="L19" i="35" a="1"/>
  <c r="L19" i="35" s="1"/>
  <c r="O15" i="35" a="1"/>
  <c r="O15" i="35" s="1"/>
  <c r="O16" i="35" s="1" a="1"/>
  <c r="O16" i="35" s="1"/>
  <c r="J46" i="33"/>
  <c r="U10" i="35" a="1"/>
  <c r="U10" i="35" s="1"/>
  <c r="T11" i="35" a="1"/>
  <c r="T11" i="35" s="1"/>
  <c r="Q14" i="35" a="1"/>
  <c r="Q14" i="35" s="1"/>
  <c r="R12" i="35" a="1"/>
  <c r="R12" i="35" s="1"/>
  <c r="R13" i="35" s="1" a="1"/>
  <c r="R13" i="35" s="1"/>
  <c r="X8" i="35" a="1"/>
  <c r="X8" i="35" s="1"/>
  <c r="F23" i="35" a="1"/>
  <c r="F23" i="35" s="1"/>
  <c r="E24" i="35" a="1"/>
  <c r="E24" i="35" s="1"/>
  <c r="H21" i="35" a="1"/>
  <c r="H21" i="35" s="1"/>
  <c r="I21" i="35" s="1" a="1"/>
  <c r="I21" i="35" s="1"/>
  <c r="N17" i="35" a="1"/>
  <c r="N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O17" i="35" l="1" a="1"/>
  <c r="O17" i="35" s="1"/>
  <c r="M19" i="35" a="1"/>
  <c r="M19" i="35" s="1"/>
  <c r="P15" i="35" a="1"/>
  <c r="P15" i="35" s="1"/>
  <c r="G23" i="35" a="1"/>
  <c r="G23" i="35" s="1"/>
  <c r="H23" i="35" s="1" a="1"/>
  <c r="H23" i="35" s="1"/>
  <c r="H22" i="35" a="1"/>
  <c r="H22" i="35" s="1"/>
  <c r="U11" i="35" a="1"/>
  <c r="U11" i="35" s="1"/>
  <c r="R14" i="35" a="1"/>
  <c r="R14" i="35" s="1"/>
  <c r="I25" i="33"/>
  <c r="I34" i="33"/>
  <c r="F24" i="35" a="1"/>
  <c r="F24" i="35" s="1"/>
  <c r="E25" i="35" a="1"/>
  <c r="E25" i="35" s="1"/>
  <c r="K20" i="35" a="1"/>
  <c r="K20" i="35" s="1"/>
  <c r="Y8" i="35" a="1"/>
  <c r="Y8" i="35" s="1"/>
  <c r="S12" i="35" a="1"/>
  <c r="S12" i="35" s="1"/>
  <c r="S13" i="35" s="1" a="1"/>
  <c r="S13" i="35" s="1"/>
  <c r="X9" i="35" a="1"/>
  <c r="X9" i="35" s="1"/>
  <c r="V10" i="35" a="1"/>
  <c r="V10" i="35" s="1"/>
  <c r="J21" i="35" a="1"/>
  <c r="J21" i="35" s="1"/>
  <c r="N18" i="35" a="1"/>
  <c r="N18" i="35" s="1"/>
  <c r="I22" i="35" a="1"/>
  <c r="I22" i="35" s="1"/>
  <c r="J22" i="33"/>
  <c r="M15" i="33"/>
  <c r="N15" i="33"/>
  <c r="P15" i="33"/>
  <c r="O15" i="33"/>
  <c r="G24" i="35" l="1" a="1"/>
  <c r="G24" i="35" s="1"/>
  <c r="Q15" i="35" a="1"/>
  <c r="Q15" i="35" s="1"/>
  <c r="P16" i="35" a="1"/>
  <c r="P16" i="35" s="1"/>
  <c r="P17" i="35" s="1" a="1"/>
  <c r="P17" i="35" s="1"/>
  <c r="V11" i="35" a="1"/>
  <c r="V11" i="35" s="1"/>
  <c r="S14" i="35"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T12" i="35" a="1"/>
  <c r="T12" i="35" s="1"/>
  <c r="L20" i="35" a="1"/>
  <c r="L20" i="35" s="1"/>
  <c r="N22" i="33"/>
  <c r="N34" i="33" s="1"/>
  <c r="M22" i="33"/>
  <c r="M34" i="33" s="1"/>
  <c r="L22" i="33"/>
  <c r="L34" i="33" s="1"/>
  <c r="K22" i="33"/>
  <c r="K34" i="33" s="1"/>
  <c r="Q16" i="35" l="1" a="1"/>
  <c r="Q16" i="35" s="1"/>
  <c r="Q17" i="35" s="1" a="1"/>
  <c r="Q17" i="35" s="1"/>
  <c r="J23" i="35" a="1"/>
  <c r="J23" i="35" s="1"/>
  <c r="J24" i="35" s="1" a="1"/>
  <c r="J24" i="35" s="1"/>
  <c r="M20" i="35" a="1"/>
  <c r="M20" i="35" s="1"/>
  <c r="L21" i="35" a="1"/>
  <c r="L21" i="35" s="1"/>
  <c r="H25" i="35" a="1"/>
  <c r="H25" i="35" s="1"/>
  <c r="I25" i="35" s="1" a="1"/>
  <c r="I25" i="35" s="1"/>
  <c r="AA8" i="35" a="1"/>
  <c r="AA8" i="35" s="1"/>
  <c r="AA9" i="35" s="1" a="1"/>
  <c r="AA9" i="35" s="1"/>
  <c r="U12" i="35" a="1"/>
  <c r="U12" i="35" s="1"/>
  <c r="P18" i="35" a="1"/>
  <c r="P18" i="35" s="1"/>
  <c r="S15" i="35" a="1"/>
  <c r="S15" i="35" s="1"/>
  <c r="T13" i="35" a="1"/>
  <c r="T13" i="35" s="1"/>
  <c r="O19" i="35" a="1"/>
  <c r="O19" i="35" s="1"/>
  <c r="F26" i="35" a="1"/>
  <c r="F26" i="35" s="1"/>
  <c r="G26" i="35" s="1" a="1"/>
  <c r="G26" i="35" s="1"/>
  <c r="E27" i="35" a="1"/>
  <c r="E27" i="35" s="1"/>
  <c r="X10" i="35" a="1"/>
  <c r="X10" i="35" s="1"/>
  <c r="X11" i="35" s="1" a="1"/>
  <c r="X11" i="35" s="1"/>
  <c r="K22" i="35" a="1"/>
  <c r="K22" i="35" s="1"/>
  <c r="R16" i="35" l="1" a="1"/>
  <c r="R16" i="35" s="1"/>
  <c r="R17" i="35" s="1" a="1"/>
  <c r="R17" i="35" s="1"/>
  <c r="P19" i="35" a="1"/>
  <c r="P19" i="35" s="1"/>
  <c r="F27" i="35" a="1"/>
  <c r="F27" i="35" s="1"/>
  <c r="E28" i="35" a="1"/>
  <c r="E28" i="35" s="1"/>
  <c r="V12" i="35" a="1"/>
  <c r="V12" i="35" s="1"/>
  <c r="U13" i="35" a="1"/>
  <c r="U13" i="35" s="1"/>
  <c r="M21" i="35" a="1"/>
  <c r="M21" i="35" s="1"/>
  <c r="N20" i="35" a="1"/>
  <c r="N20" i="35" s="1"/>
  <c r="AB8" i="35" a="1"/>
  <c r="AB8" i="35" s="1"/>
  <c r="AB9" i="35" s="1" a="1"/>
  <c r="AB9" i="35" s="1"/>
  <c r="AE9" i="35" s="1"/>
  <c r="AF9" i="35" s="1"/>
  <c r="L22" i="35" a="1"/>
  <c r="L22" i="35" s="1"/>
  <c r="K23" i="35" a="1"/>
  <c r="K23" i="35" s="1"/>
  <c r="T14" i="35" a="1"/>
  <c r="T14" i="35" s="1"/>
  <c r="Y10" i="35" a="1"/>
  <c r="Y10" i="35" s="1"/>
  <c r="Y11" i="35" s="1" a="1"/>
  <c r="Y11" i="35" s="1"/>
  <c r="H26" i="35" a="1"/>
  <c r="H26" i="35" s="1"/>
  <c r="I26" i="35" s="1" a="1"/>
  <c r="I26" i="35" s="1"/>
  <c r="Q18" i="35" a="1"/>
  <c r="Q18" i="35" s="1"/>
  <c r="J25" i="35" a="1"/>
  <c r="J25" i="35" s="1"/>
  <c r="Q19" i="35" l="1" a="1"/>
  <c r="Q19" i="35" s="1"/>
  <c r="S16" i="35" a="1"/>
  <c r="S16" i="35" s="1"/>
  <c r="S17" i="35" s="1" a="1"/>
  <c r="S17" i="35" s="1"/>
  <c r="V13" i="35" a="1"/>
  <c r="V13" i="35" s="1"/>
  <c r="U14" i="35" a="1"/>
  <c r="U14" i="35" s="1"/>
  <c r="T15" i="35" a="1"/>
  <c r="T15"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F28" i="35" a="1"/>
  <c r="F28" i="35" s="1"/>
  <c r="E29" i="35" a="1"/>
  <c r="E29" i="35" s="1"/>
  <c r="G28" i="35" l="1" a="1"/>
  <c r="G28" i="35" s="1"/>
  <c r="T16" i="35" a="1"/>
  <c r="T16" i="35" s="1"/>
  <c r="W13" i="35" a="1"/>
  <c r="W13" i="35" s="1"/>
  <c r="V14" i="35" a="1"/>
  <c r="V14" i="35" s="1"/>
  <c r="W14" i="35" s="1" a="1"/>
  <c r="W14" i="35" s="1"/>
  <c r="H27" i="35" a="1"/>
  <c r="H27" i="35" s="1"/>
  <c r="I27" i="35" s="1" a="1"/>
  <c r="I27" i="35" s="1"/>
  <c r="J27" i="35" s="1" a="1"/>
  <c r="J27" i="35" s="1"/>
  <c r="U15" i="35" a="1"/>
  <c r="U15" i="35" s="1"/>
  <c r="O21" i="35" a="1"/>
  <c r="O21" i="35" s="1"/>
  <c r="T17" i="35" a="1"/>
  <c r="T17" i="35" s="1"/>
  <c r="H28" i="35" a="1"/>
  <c r="H28" i="35" s="1"/>
  <c r="X12" i="35" a="1"/>
  <c r="X12"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Z11" i="35" a="1"/>
  <c r="Z11" i="35" s="1"/>
  <c r="AG8" i="29"/>
  <c r="W8" i="29" s="1"/>
  <c r="AD8" i="29"/>
  <c r="AG7" i="29"/>
  <c r="W7" i="29" s="1"/>
  <c r="X7" i="29" s="1"/>
  <c r="AD7" i="29"/>
  <c r="AG6" i="29"/>
  <c r="Y6" i="29" s="1"/>
  <c r="Z6" i="29" s="1"/>
  <c r="AD6" i="29"/>
  <c r="AB6" i="29" s="1"/>
  <c r="AG5" i="29"/>
  <c r="Y5" i="29" s="1"/>
  <c r="AD5" i="29"/>
  <c r="X13" i="35" l="1" a="1"/>
  <c r="X13" i="35" s="1"/>
  <c r="V15" i="35" a="1"/>
  <c r="V15" i="35" s="1"/>
  <c r="W15" i="35" s="1" a="1"/>
  <c r="W15" i="35" s="1"/>
  <c r="S19" i="35" a="1"/>
  <c r="S19" i="35" s="1"/>
  <c r="P21" i="35" a="1"/>
  <c r="P21" i="35" s="1"/>
  <c r="P22" i="35" s="1" a="1"/>
  <c r="P22" i="35" s="1"/>
  <c r="I28" i="35" a="1"/>
  <c r="I28" i="35" s="1"/>
  <c r="M24" i="35" a="1"/>
  <c r="M24" i="35" s="1"/>
  <c r="AA11" i="35" a="1"/>
  <c r="AA11" i="35" s="1"/>
  <c r="U16" i="35" a="1"/>
  <c r="U16" i="35" s="1"/>
  <c r="V16" i="35" s="1" a="1"/>
  <c r="V16" i="35" s="1"/>
  <c r="J28" i="35" a="1"/>
  <c r="J28" i="35" s="1"/>
  <c r="L25" i="35" a="1"/>
  <c r="L25" i="35" s="1"/>
  <c r="X14" i="35" a="1"/>
  <c r="X14" i="35" s="1"/>
  <c r="T18" i="35" a="1"/>
  <c r="T18" i="35" s="1"/>
  <c r="G29" i="35" a="1"/>
  <c r="G29" i="35" s="1"/>
  <c r="AB10" i="35" a="1"/>
  <c r="AB10" i="35" s="1"/>
  <c r="F30" i="35" a="1"/>
  <c r="F30" i="35" s="1"/>
  <c r="E31" i="35" a="1"/>
  <c r="E31"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X15" i="35" l="1" a="1"/>
  <c r="X15" i="35" s="1"/>
  <c r="P23" i="35"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S22" i="35" s="1" a="1"/>
  <c r="S22" i="35" s="1"/>
  <c r="M28" i="35" a="1"/>
  <c r="M28" i="35" s="1"/>
  <c r="V19" i="35" a="1"/>
  <c r="V19" i="35" s="1"/>
  <c r="AA14" i="35" a="1"/>
  <c r="AA14" i="35" s="1"/>
  <c r="Y16" i="35" a="1"/>
  <c r="Y16" i="35" s="1"/>
  <c r="O25" i="35" a="1"/>
  <c r="O25" i="35" s="1"/>
  <c r="G32" i="35" a="1"/>
  <c r="G32" i="35" s="1"/>
  <c r="H32" i="35" s="1" a="1"/>
  <c r="H3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P27" i="35" l="1" a="1"/>
  <c r="P27" i="35" s="1"/>
  <c r="Q27" i="35" s="1" a="1"/>
  <c r="Q27" i="35" s="1"/>
  <c r="S25" i="35"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F37" i="35" a="1"/>
  <c r="F37" i="35" s="1"/>
  <c r="G37" i="35" s="1" a="1"/>
  <c r="G37" i="35" s="1"/>
  <c r="E38" i="35" a="1"/>
  <c r="E38" i="35" s="1"/>
  <c r="N30" i="35" a="1"/>
  <c r="N30" i="35" s="1"/>
  <c r="U24" i="35" a="1"/>
  <c r="U24" i="35" s="1"/>
  <c r="V24" i="35" s="1" a="1"/>
  <c r="V24" i="35" s="1"/>
  <c r="T26" i="35" a="1"/>
  <c r="T26" i="35" s="1"/>
  <c r="AE15" i="35"/>
  <c r="AF15" i="35" s="1"/>
  <c r="AB16" i="35" a="1"/>
  <c r="AB16" i="35" s="1"/>
  <c r="I34" i="35" a="1"/>
  <c r="I34" i="35" s="1"/>
  <c r="W21" i="35" a="1"/>
  <c r="W21" i="35" s="1"/>
  <c r="L32" i="35" a="1"/>
  <c r="L32" i="35" s="1"/>
  <c r="X21" i="35" l="1" a="1"/>
  <c r="X21" i="35" s="1"/>
  <c r="N31" i="35" a="1"/>
  <c r="N31" i="35" s="1"/>
  <c r="J34" i="35" a="1"/>
  <c r="J34" i="35" s="1"/>
  <c r="K34" i="35" s="1" a="1"/>
  <c r="K34" i="35" s="1"/>
  <c r="M32" i="35" a="1"/>
  <c r="M32" i="35" s="1"/>
  <c r="N32" i="35" s="1" a="1"/>
  <c r="N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Y21" i="35" s="1" a="1"/>
  <c r="Y21" i="35" s="1"/>
  <c r="I35" i="35" a="1"/>
  <c r="I35" i="35" s="1"/>
  <c r="L33" i="35" a="1"/>
  <c r="L33" i="35" s="1"/>
  <c r="X22" i="35" l="1" a="1"/>
  <c r="X22" i="35" s="1"/>
  <c r="W23" i="35" a="1"/>
  <c r="W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U27" i="35" s="1" a="1"/>
  <c r="U27" i="35" s="1"/>
  <c r="L34" i="35" a="1"/>
  <c r="L34" i="35" s="1"/>
  <c r="Q29" i="35" a="1"/>
  <c r="Q29" i="35" s="1"/>
  <c r="M33" i="35" a="1"/>
  <c r="M33" i="35" s="1"/>
  <c r="P30" i="35" a="1"/>
  <c r="P30" i="35" s="1"/>
  <c r="O31" i="35" a="1"/>
  <c r="O31" i="35" s="1"/>
  <c r="X23" i="35" l="1" a="1"/>
  <c r="X23" i="35" s="1"/>
  <c r="P31" i="35"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Z21" i="35" a="1"/>
  <c r="Z21" i="35" s="1"/>
  <c r="AE18" i="35"/>
  <c r="AF18" i="35" s="1"/>
  <c r="AB19" i="35" a="1"/>
  <c r="AB19" i="35" s="1"/>
  <c r="AE19" i="35" s="1"/>
  <c r="AF19" i="35" s="1"/>
  <c r="S28" i="35" a="1"/>
  <c r="S28" i="35" s="1"/>
  <c r="Y23" i="35" a="1"/>
  <c r="Y23" i="35" s="1"/>
  <c r="R30" i="35" l="1" a="1"/>
  <c r="R30" i="35" s="1"/>
  <c r="N34" i="35" a="1"/>
  <c r="N34" i="35" s="1"/>
  <c r="M35" i="35" a="1"/>
  <c r="M35" i="35" s="1"/>
  <c r="N35" i="35" s="1" a="1"/>
  <c r="N35" i="35" s="1"/>
  <c r="J37" i="35" a="1"/>
  <c r="J37" i="35" s="1"/>
  <c r="K37" i="35" s="1" a="1"/>
  <c r="K37" i="35" s="1"/>
  <c r="X24" i="35" a="1"/>
  <c r="X24" i="35" s="1"/>
  <c r="X25" i="35" s="1" a="1"/>
  <c r="X25" i="35" s="1"/>
  <c r="G40" i="35" a="1"/>
  <c r="G40" i="35" s="1"/>
  <c r="AA21" i="35" a="1"/>
  <c r="AA21" i="35" s="1"/>
  <c r="Z22" i="35" a="1"/>
  <c r="Z22" i="35" s="1"/>
  <c r="Q31" i="35" a="1"/>
  <c r="Q31" i="35" s="1"/>
  <c r="R31" i="35" s="1" a="1"/>
  <c r="R31" i="35" s="1"/>
  <c r="L36" i="35" a="1"/>
  <c r="L36" i="35" s="1"/>
  <c r="M36" i="35" s="1" a="1"/>
  <c r="M36" i="35" s="1"/>
  <c r="F41" i="35" a="1"/>
  <c r="F41" i="35" s="1"/>
  <c r="G41" i="35" s="1" a="1"/>
  <c r="G41" i="35" s="1"/>
  <c r="E42" i="35" a="1"/>
  <c r="E42" i="35" s="1"/>
  <c r="I38" i="35" a="1"/>
  <c r="I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J38" i="35" l="1" a="1"/>
  <c r="J38" i="35" s="1"/>
  <c r="AA22" i="35" a="1"/>
  <c r="AA22" i="35" s="1"/>
  <c r="N36" i="35" a="1"/>
  <c r="N36" i="35" s="1"/>
  <c r="Y24" i="35" a="1"/>
  <c r="Y24" i="35" s="1"/>
  <c r="Y25" i="35" s="1" a="1"/>
  <c r="Y25" i="35" s="1"/>
  <c r="Z23" i="35" a="1"/>
  <c r="Z23" i="35" s="1"/>
  <c r="AA23" i="35" s="1" a="1"/>
  <c r="AA23" i="35" s="1"/>
  <c r="T29" i="35" a="1"/>
  <c r="T29" i="35" s="1"/>
  <c r="Q32" i="35" a="1"/>
  <c r="Q32" i="35" s="1"/>
  <c r="R32" i="35" s="1" a="1"/>
  <c r="R32" i="35" s="1"/>
  <c r="H41" i="35" a="1"/>
  <c r="H41" i="35" s="1"/>
  <c r="AB21" i="35" a="1"/>
  <c r="AB21" i="35" s="1"/>
  <c r="AE21" i="35" s="1"/>
  <c r="AF21" i="35" s="1"/>
  <c r="L37" i="35" a="1"/>
  <c r="L37" i="35" s="1"/>
  <c r="M37" i="35" s="1" a="1"/>
  <c r="M37" i="35" s="1"/>
  <c r="U28" i="35" a="1"/>
  <c r="U28" i="35" s="1"/>
  <c r="O35" i="35" a="1"/>
  <c r="O35" i="35" s="1"/>
  <c r="O36" i="35" s="1" a="1"/>
  <c r="O36" i="35" s="1"/>
  <c r="X26" i="35" a="1"/>
  <c r="X26" i="35" s="1"/>
  <c r="AB22" i="35" a="1"/>
  <c r="AB22" i="35" s="1"/>
  <c r="AB23" i="35" s="1" a="1"/>
  <c r="AB23" i="35" s="1"/>
  <c r="AE23" i="35" s="1"/>
  <c r="AF23" i="35" s="1"/>
  <c r="S30" i="35" a="1"/>
  <c r="S30" i="35" s="1"/>
  <c r="S31" i="35" s="1" a="1"/>
  <c r="S31" i="35" s="1"/>
  <c r="P33" i="35" a="1"/>
  <c r="P33" i="35" s="1"/>
  <c r="P34" i="35" s="1" a="1"/>
  <c r="P34" i="35" s="1"/>
  <c r="K38" i="35" a="1"/>
  <c r="K38" i="35" s="1"/>
  <c r="I39" i="35" a="1"/>
  <c r="I39" i="35" s="1"/>
  <c r="J39" i="35" s="1" a="1"/>
  <c r="J39" i="35" s="1"/>
  <c r="W27" i="35" a="1"/>
  <c r="W27" i="35" s="1"/>
  <c r="F42" i="35" a="1"/>
  <c r="F42" i="35" s="1"/>
  <c r="G42" i="35" s="1" a="1"/>
  <c r="G42" i="35" s="1"/>
  <c r="E43" i="35" a="1"/>
  <c r="E43" i="35" s="1"/>
  <c r="N37" i="35" l="1" a="1"/>
  <c r="N37" i="35" s="1"/>
  <c r="I40" i="35"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J40" i="35" a="1"/>
  <c r="J40" i="35" s="1"/>
  <c r="J41" i="35" s="1" a="1"/>
  <c r="J41" i="35" s="1"/>
  <c r="P35" i="35" a="1"/>
  <c r="P35" i="35" s="1"/>
  <c r="P36" i="35" s="1" a="1"/>
  <c r="P36" i="35" s="1"/>
  <c r="F43" i="35" a="1"/>
  <c r="F43" i="35" s="1"/>
  <c r="E44" i="35" a="1"/>
  <c r="E44" i="35" s="1"/>
  <c r="I42" i="35" a="1"/>
  <c r="I42" i="35" s="1"/>
  <c r="Q33" i="35" a="1"/>
  <c r="Q33" i="35" s="1"/>
  <c r="AE22" i="35"/>
  <c r="AF22" i="35" s="1"/>
  <c r="Y26" i="35" a="1"/>
  <c r="Y26" i="35" s="1"/>
  <c r="Y27" i="35" s="1" a="1"/>
  <c r="Y27" i="35" s="1"/>
  <c r="K39" i="35" a="1"/>
  <c r="K39" i="35" s="1"/>
  <c r="K40" i="35" s="1" a="1"/>
  <c r="K40" i="35" s="1"/>
  <c r="S32" i="35" a="1"/>
  <c r="S32" i="35" s="1"/>
  <c r="T30" i="35" a="1"/>
  <c r="T30" i="35" s="1"/>
  <c r="O37" i="35" a="1"/>
  <c r="O37" i="35" s="1"/>
  <c r="V28" i="35" a="1"/>
  <c r="V28" i="35" s="1"/>
  <c r="F15" i="9"/>
  <c r="F14" i="9"/>
  <c r="F13" i="9"/>
  <c r="F12" i="9"/>
  <c r="F11" i="9"/>
  <c r="F10" i="9"/>
  <c r="F9" i="9"/>
  <c r="F8" i="9"/>
  <c r="F7" i="9"/>
  <c r="F6" i="9"/>
  <c r="F5" i="9"/>
  <c r="F4" i="9"/>
  <c r="Z25" i="35" l="1" a="1"/>
  <c r="Z25" i="35" s="1"/>
  <c r="AA25" i="35" s="1" a="1"/>
  <c r="AA25" i="35" s="1"/>
  <c r="P37" i="35" a="1"/>
  <c r="P37" i="35" s="1"/>
  <c r="U30" i="35" a="1"/>
  <c r="U30" i="35" s="1"/>
  <c r="R33" i="35" a="1"/>
  <c r="R33" i="35" s="1"/>
  <c r="W28" i="35" a="1"/>
  <c r="W28" i="35" s="1"/>
  <c r="L39" i="35" a="1"/>
  <c r="L39" i="35" s="1"/>
  <c r="M39" i="35" s="1" a="1"/>
  <c r="M39" i="35" s="1"/>
  <c r="O38" i="35" a="1"/>
  <c r="O38" i="35" s="1"/>
  <c r="P38" i="35" s="1" a="1"/>
  <c r="P38" i="35" s="1"/>
  <c r="V29" i="35" a="1"/>
  <c r="V29" i="35" s="1"/>
  <c r="Z26" i="35" a="1"/>
  <c r="Z26" i="35" s="1"/>
  <c r="F44" i="35" a="1"/>
  <c r="F44" i="35" s="1"/>
  <c r="E46" i="35" a="1"/>
  <c r="E46" i="35" s="1"/>
  <c r="G43" i="35" a="1"/>
  <c r="G43" i="35" s="1"/>
  <c r="AB24" i="35" a="1"/>
  <c r="AB24" i="35" s="1"/>
  <c r="J42" i="35" a="1"/>
  <c r="J42" i="35" s="1"/>
  <c r="Q34" i="35" a="1"/>
  <c r="Q34" i="35" s="1"/>
  <c r="T31" i="35" a="1"/>
  <c r="T31" i="35" s="1"/>
  <c r="K41" i="35" a="1"/>
  <c r="K41" i="35" s="1"/>
  <c r="F41" i="12"/>
  <c r="AB25" i="35" l="1" a="1"/>
  <c r="AB25" i="35" s="1"/>
  <c r="AE25" i="35" s="1"/>
  <c r="AF25" i="35" s="1"/>
  <c r="AA26" i="35" a="1"/>
  <c r="AA26" i="35" s="1"/>
  <c r="U31" i="35" a="1"/>
  <c r="U31" i="35" s="1"/>
  <c r="R34" i="35" a="1"/>
  <c r="R34" i="35" s="1"/>
  <c r="W29" i="35" a="1"/>
  <c r="W29" i="35" s="1"/>
  <c r="T32" i="35" a="1"/>
  <c r="T32" i="35" s="1"/>
  <c r="U32" i="35" s="1" a="1"/>
  <c r="U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L40" i="35" a="1"/>
  <c r="L40" i="35" s="1"/>
  <c r="F46" i="35" a="1"/>
  <c r="F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G46" i="35" l="1" a="1"/>
  <c r="G46" i="35" s="1"/>
  <c r="R35" i="35" a="1"/>
  <c r="R35" i="35" s="1"/>
  <c r="AB27" i="35"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V34" i="35" s="1" a="1"/>
  <c r="V34"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I49" i="35" l="1" a="1"/>
  <c r="I49" i="35" s="1"/>
  <c r="W5" i="20"/>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AA32" i="35" s="1" a="1"/>
  <c r="AA32" i="35" s="1"/>
  <c r="W34" i="35" a="1"/>
  <c r="W34" i="35" s="1"/>
  <c r="X34" i="35" s="1" a="1"/>
  <c r="X34" i="35" s="1"/>
  <c r="U36" i="35" a="1"/>
  <c r="U36" i="35" s="1"/>
  <c r="U37" i="35" s="1" a="1"/>
  <c r="U37"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U38" i="35" l="1" a="1"/>
  <c r="U38" i="35" s="1"/>
  <c r="S39" i="35" a="1"/>
  <c r="S39" i="35" s="1"/>
  <c r="T39" i="35" s="1" a="1"/>
  <c r="T39" i="35" s="1"/>
  <c r="W35" i="35" a="1"/>
  <c r="W35" i="35" s="1"/>
  <c r="X35" i="35" s="1" a="1"/>
  <c r="X35" i="35" s="1"/>
  <c r="N44" i="35" a="1"/>
  <c r="N44" i="35" s="1"/>
  <c r="M45" i="35" a="1"/>
  <c r="M45" i="35" s="1"/>
  <c r="U39" i="35" a="1"/>
  <c r="U39" i="35" s="1"/>
  <c r="F53" i="35" a="1"/>
  <c r="F53" i="35" s="1"/>
  <c r="E54" i="35" a="1"/>
  <c r="E54" i="35" s="1"/>
  <c r="V36" i="35" a="1"/>
  <c r="V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W36" i="35" l="1" a="1"/>
  <c r="W36" i="35" s="1"/>
  <c r="X36" i="35" s="1" a="1"/>
  <c r="X36" i="35" s="1"/>
  <c r="O44" i="35"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K54" i="35" s="1" a="1"/>
  <c r="K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M57" i="35" s="1" a="1"/>
  <c r="M57" i="35" s="1"/>
  <c r="R51" i="35" a="1"/>
  <c r="R51" i="35" s="1"/>
  <c r="S51" i="35" s="1" a="1"/>
  <c r="S51" i="35" s="1"/>
  <c r="W46" i="35" a="1"/>
  <c r="W46" i="35" s="1"/>
  <c r="W47" i="35" s="1" a="1"/>
  <c r="W47" i="35" s="1"/>
  <c r="H66" i="35" a="1"/>
  <c r="H66" i="35" s="1"/>
  <c r="Q52" i="35" a="1"/>
  <c r="Q52" i="35" s="1"/>
  <c r="J59" i="35" a="1"/>
  <c r="J59" i="35" s="1"/>
  <c r="AD39" i="35" a="1"/>
  <c r="AD39" i="35" s="1"/>
  <c r="AE39" i="35" s="1"/>
  <c r="AF39"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L58" i="35" a="1"/>
  <c r="L58" i="35" s="1"/>
  <c r="AB41" i="35" a="1"/>
  <c r="AB41" i="35" s="1"/>
  <c r="T51" i="35" l="1" a="1"/>
  <c r="T51" i="35" s="1"/>
  <c r="U51" i="35" s="1" a="1"/>
  <c r="U51" i="35" s="1"/>
  <c r="V51" i="35" s="1" a="1"/>
  <c r="V51" i="35" s="1"/>
  <c r="AC41" i="35"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Q55" i="35" a="1"/>
  <c r="Q55" i="35" s="1"/>
  <c r="Y47" i="35" a="1"/>
  <c r="Y47" i="35" s="1"/>
  <c r="Z47" i="35" s="1" a="1"/>
  <c r="Z47" i="35" s="1"/>
  <c r="AB44" i="35" l="1" a="1"/>
  <c r="AB44" i="35" s="1"/>
  <c r="AC44" i="35" s="1" a="1"/>
  <c r="AC44" i="35" s="1"/>
  <c r="T53" i="35" a="1"/>
  <c r="T53" i="35" s="1"/>
  <c r="AD42" i="35" a="1"/>
  <c r="AD42" i="35" s="1"/>
  <c r="AE42" i="35" s="1"/>
  <c r="AF42" i="35" s="1"/>
  <c r="S54" i="35" a="1"/>
  <c r="S54" i="35" s="1"/>
  <c r="T54" i="35" s="1" a="1"/>
  <c r="T54" i="35" s="1"/>
  <c r="W51" i="35" a="1"/>
  <c r="W51" i="35" s="1"/>
  <c r="X51" i="35" s="1" a="1"/>
  <c r="X51" i="35" s="1"/>
  <c r="AA45" i="35" a="1"/>
  <c r="AA45" i="35" s="1"/>
  <c r="AB45" i="35" s="1" a="1"/>
  <c r="AB45" i="35" s="1"/>
  <c r="AC45" i="35" s="1" a="1"/>
  <c r="AC45" i="35" s="1"/>
  <c r="U52" i="35" a="1"/>
  <c r="U52" i="35" s="1"/>
  <c r="U53" i="35" s="1" a="1"/>
  <c r="U53" i="35" s="1"/>
  <c r="L63" i="35" a="1"/>
  <c r="L63"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L66" i="35" s="1" a="1"/>
  <c r="L66" i="35" s="1"/>
  <c r="AA46" i="35" a="1"/>
  <c r="AA46" i="35" s="1"/>
  <c r="AA47" i="35" s="1" a="1"/>
  <c r="AA47" i="35" s="1"/>
  <c r="O58" i="35" a="1"/>
  <c r="O58" i="35" s="1"/>
  <c r="G73" i="35" a="1"/>
  <c r="G73" i="35" s="1"/>
  <c r="AD43" i="35" l="1" a="1"/>
  <c r="AD43" i="35" s="1"/>
  <c r="AE43" i="35" s="1"/>
  <c r="AF43" i="35" s="1"/>
  <c r="H73" i="35" a="1"/>
  <c r="H73" i="35" s="1"/>
  <c r="R56" i="35" a="1"/>
  <c r="R56" i="35" s="1"/>
  <c r="Q57" i="35" a="1"/>
  <c r="Q57" i="35" s="1"/>
  <c r="R57" i="35" s="1" a="1"/>
  <c r="R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H76" i="35" s="1" a="1"/>
  <c r="H76" i="35" s="1"/>
  <c r="S55" i="35" a="1"/>
  <c r="S55" i="35" s="1"/>
  <c r="M64" i="35" a="1"/>
  <c r="M64" i="35" s="1"/>
  <c r="N64" i="35" s="1" a="1"/>
  <c r="N64" i="35" s="1"/>
  <c r="U54" i="35" a="1"/>
  <c r="U54" i="35" s="1"/>
  <c r="V52" i="35" a="1"/>
  <c r="V52" i="35" s="1"/>
  <c r="V53" i="35" s="1" a="1"/>
  <c r="V53" i="35" s="1"/>
  <c r="P58" i="35" a="1"/>
  <c r="P58" i="35" s="1"/>
  <c r="AB46" i="35" a="1"/>
  <c r="AB46" i="35" s="1"/>
  <c r="AB47" i="35" s="1" a="1"/>
  <c r="AB47" i="35" s="1"/>
  <c r="AA48" i="35" a="1"/>
  <c r="AA48" i="35" s="1"/>
  <c r="O59" i="35" a="1"/>
  <c r="O59" i="35" s="1"/>
  <c r="M63" i="35" a="1"/>
  <c r="M63" i="35" s="1"/>
  <c r="N63" i="35" s="1" a="1"/>
  <c r="N63" i="35" s="1"/>
  <c r="S56" i="35" l="1" a="1"/>
  <c r="S56" i="35" s="1"/>
  <c r="S57" i="35" s="1" a="1"/>
  <c r="S57" i="35" s="1"/>
  <c r="AD45" i="35" a="1"/>
  <c r="AD45" i="35" s="1"/>
  <c r="AE45" i="35" s="1"/>
  <c r="V54" i="35" a="1"/>
  <c r="V54" i="35" s="1"/>
  <c r="Z49" i="35" a="1"/>
  <c r="Z49" i="35" s="1"/>
  <c r="AA49" i="35" s="1" a="1"/>
  <c r="AA49" i="35" s="1"/>
  <c r="Y50" i="35" a="1"/>
  <c r="Y50" i="35" s="1"/>
  <c r="Q58" i="35" a="1"/>
  <c r="Q58" i="35" s="1"/>
  <c r="T55" i="35" a="1"/>
  <c r="T55" i="35" s="1"/>
  <c r="F80" i="35" a="1"/>
  <c r="F80" i="35" s="1"/>
  <c r="E81" i="35" a="1"/>
  <c r="E81" i="35" s="1"/>
  <c r="G79" i="35" a="1"/>
  <c r="G79" i="35" s="1"/>
  <c r="AB48" i="35" a="1"/>
  <c r="AB48"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R59" i="35" l="1" a="1"/>
  <c r="R59" i="35" s="1"/>
  <c r="H80" i="35"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X56" i="35" s="1" a="1"/>
  <c r="X56" i="35" s="1"/>
  <c r="F87" i="35" a="1"/>
  <c r="F87" i="35" s="1"/>
  <c r="E91" i="35" a="1"/>
  <c r="E91" i="35" s="1"/>
  <c r="AA52" i="35" a="1"/>
  <c r="AA52" i="35" s="1"/>
  <c r="AC51" i="35" a="1"/>
  <c r="AC51" i="35" s="1"/>
  <c r="AD51" i="35" s="1" a="1"/>
  <c r="AD51" i="35" s="1"/>
  <c r="AE51" i="35" s="1"/>
  <c r="AF51" i="35" s="1"/>
  <c r="S61" i="35" a="1"/>
  <c r="S61" i="35" s="1"/>
  <c r="F93" i="35" a="1"/>
  <c r="F93" i="35" s="1"/>
  <c r="L76" i="35" a="1"/>
  <c r="L76" i="35" s="1"/>
  <c r="M76" i="35" s="1" a="1"/>
  <c r="M76" i="35" s="1"/>
  <c r="N76" i="35" s="1" a="1"/>
  <c r="N76" i="35" s="1"/>
  <c r="Z53" i="35" a="1"/>
  <c r="Z53" i="35" s="1"/>
  <c r="Q62" i="35" a="1"/>
  <c r="Q62" i="35" s="1"/>
  <c r="P63" i="35" a="1"/>
  <c r="P63" i="35" s="1"/>
  <c r="O64" i="35" a="1"/>
  <c r="O64" i="35" s="1"/>
  <c r="H82" i="35" a="1"/>
  <c r="H82" i="35" s="1"/>
  <c r="H86" i="35" s="1" a="1"/>
  <c r="H86" i="35" s="1"/>
  <c r="T60" i="35" a="1"/>
  <c r="T60" i="35" s="1"/>
  <c r="K79" i="35" a="1"/>
  <c r="K79" i="35" s="1"/>
  <c r="J80" i="35" a="1"/>
  <c r="J80" i="35" s="1"/>
  <c r="V57" i="35" a="1"/>
  <c r="V57" i="35" s="1"/>
  <c r="AE49" i="35"/>
  <c r="AF49" i="35" s="1"/>
  <c r="G93" i="35" l="1" a="1"/>
  <c r="G93" i="35" s="1"/>
  <c r="AA53" i="35"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H93" i="35" a="1"/>
  <c r="H93" i="35" s="1"/>
  <c r="T61" i="35" a="1"/>
  <c r="T61" i="35" s="1"/>
  <c r="Z54" i="35" a="1"/>
  <c r="Z54" i="35" s="1"/>
  <c r="AA54" i="35" s="1" a="1"/>
  <c r="AA54" i="35" s="1"/>
  <c r="F91" i="35" a="1"/>
  <c r="F91" i="35" s="1"/>
  <c r="E94" i="35" a="1"/>
  <c r="E94" i="35" s="1"/>
  <c r="E92" i="35" a="1"/>
  <c r="E92" i="35" s="1"/>
  <c r="Y55" i="35" a="1"/>
  <c r="Y55" i="35" s="1"/>
  <c r="W58" i="35" l="1" a="1"/>
  <c r="W58" i="35" s="1"/>
  <c r="U61" i="35" a="1"/>
  <c r="U61" i="35" s="1"/>
  <c r="J82" i="35" a="1"/>
  <c r="J82" i="35" s="1"/>
  <c r="I93" i="35" a="1"/>
  <c r="I93" i="35" s="1"/>
  <c r="F92" i="35" a="1"/>
  <c r="F92" i="35" s="1"/>
  <c r="E95" i="35" a="1"/>
  <c r="E95" i="35" s="1"/>
  <c r="AC52" i="35" a="1"/>
  <c r="AC52" i="35" s="1"/>
  <c r="R63" i="35" a="1"/>
  <c r="R63" i="35" s="1"/>
  <c r="Q64" i="35" a="1"/>
  <c r="Q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R64" i="35" l="1" a="1"/>
  <c r="R64" i="35" s="1"/>
  <c r="G94" i="35"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P66" i="35" a="1"/>
  <c r="P66" i="35" s="1"/>
  <c r="P67" i="35" s="1" a="1"/>
  <c r="P67" i="35" s="1"/>
  <c r="K86" i="35" a="1"/>
  <c r="K86" i="35" s="1"/>
  <c r="Y57" i="35" a="1"/>
  <c r="Y57" i="35" s="1"/>
  <c r="Z57" i="35" s="1" a="1"/>
  <c r="Z57" i="35" s="1"/>
  <c r="AA57" i="35" s="1" a="1"/>
  <c r="AA57" i="35" s="1"/>
  <c r="I87" i="35" a="1"/>
  <c r="I87" i="35" s="1"/>
  <c r="J87" i="35" s="1" a="1"/>
  <c r="J87" i="35" s="1"/>
  <c r="H92" i="35" l="1" a="1"/>
  <c r="H92" i="35" s="1"/>
  <c r="T63" i="35"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U62" i="35" a="1"/>
  <c r="U62" i="35" s="1"/>
  <c r="AE52" i="35"/>
  <c r="AF52" i="35" s="1"/>
  <c r="L86" i="35" a="1"/>
  <c r="L86" i="35" s="1"/>
  <c r="O70" i="35" a="1"/>
  <c r="O70" i="35" s="1"/>
  <c r="P69" i="35" a="1"/>
  <c r="P69" i="35" s="1"/>
  <c r="W61" i="35" l="1" a="1"/>
  <c r="W61" i="35" s="1"/>
  <c r="X61" i="35" s="1" a="1"/>
  <c r="X61" i="35" s="1"/>
  <c r="Q67" i="35" a="1"/>
  <c r="Q67" i="35" s="1"/>
  <c r="R67" i="35" s="1" a="1"/>
  <c r="R67"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Y60" i="35" a="1"/>
  <c r="Y60" i="35" s="1"/>
  <c r="Z60" i="35" s="1" a="1"/>
  <c r="Z60" i="35" s="1"/>
  <c r="J91" i="35" a="1"/>
  <c r="J91" i="35" s="1"/>
  <c r="Q68" i="35" a="1"/>
  <c r="Q68" i="35" s="1"/>
  <c r="R68" i="35" s="1" a="1"/>
  <c r="R68" i="35" s="1"/>
  <c r="U64" i="35" a="1"/>
  <c r="U64"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J110" i="35" l="1" a="1"/>
  <c r="J110" i="35" s="1"/>
  <c r="I117" i="35" a="1"/>
  <c r="I117" i="35" s="1"/>
  <c r="F117" i="35" a="1"/>
  <c r="F117" i="35" s="1"/>
  <c r="K97" i="35" a="1"/>
  <c r="K97"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K102" i="35" l="1" a="1"/>
  <c r="K102" i="35" s="1"/>
  <c r="J117" i="35"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AD63" i="35" s="1" a="1"/>
  <c r="AD63" i="35" s="1"/>
  <c r="AE63" i="35" s="1"/>
  <c r="AF63" i="35" s="1"/>
  <c r="V71" i="35" a="1"/>
  <c r="V71"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T75" i="35" a="1"/>
  <c r="T75" i="35" s="1"/>
  <c r="Q80" i="35" a="1"/>
  <c r="Q80" i="35" s="1"/>
  <c r="Q81" i="35" s="1" a="1"/>
  <c r="Q81" i="35" s="1"/>
  <c r="U74" i="35" a="1"/>
  <c r="U74" i="35" s="1"/>
  <c r="V74" i="35" s="1" a="1"/>
  <c r="V74" i="35" s="1"/>
  <c r="W74" i="35" s="1" a="1"/>
  <c r="W74" i="35" s="1"/>
  <c r="X74" i="35" s="1" a="1"/>
  <c r="X74" i="35" s="1"/>
  <c r="AA70" i="35" l="1" a="1"/>
  <c r="AA70" i="35" s="1"/>
  <c r="U75" i="35"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AC69" i="35" a="1"/>
  <c r="AC69" i="35" s="1"/>
  <c r="AB70" i="35" a="1"/>
  <c r="AB70" i="35" s="1"/>
  <c r="V77" i="35" a="1"/>
  <c r="V77" i="35" s="1"/>
  <c r="S80" i="35" a="1"/>
  <c r="S80" i="35" s="1"/>
  <c r="T80" i="35" s="1" a="1"/>
  <c r="T80" i="35" s="1"/>
  <c r="AE66" i="35"/>
  <c r="AF66" i="35" s="1"/>
  <c r="Q84" i="35" a="1"/>
  <c r="Q84" i="35" s="1"/>
  <c r="Z74" i="35" l="1" a="1"/>
  <c r="Z74" i="35" s="1"/>
  <c r="R84" i="35" a="1"/>
  <c r="R84" i="35" s="1"/>
  <c r="X75" i="35" a="1"/>
  <c r="X75" i="35" s="1"/>
  <c r="W76" i="35" a="1"/>
  <c r="W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X76" i="35" l="1" a="1"/>
  <c r="X76" i="35" s="1"/>
  <c r="Q86" i="35"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AE69" i="35"/>
  <c r="AF69" i="35" s="1"/>
  <c r="O88" i="35" a="1"/>
  <c r="O88" i="35" s="1"/>
  <c r="P87" i="35" a="1"/>
  <c r="P87" i="35" s="1"/>
  <c r="AB73" i="35" a="1"/>
  <c r="AB73" i="35" s="1"/>
  <c r="U80" i="35" a="1"/>
  <c r="U80" i="35" s="1"/>
  <c r="V80" i="35" s="1" a="1"/>
  <c r="V80" i="35" s="1"/>
  <c r="W78" i="35" l="1" a="1"/>
  <c r="W78" i="35" s="1"/>
  <c r="X78" i="35" s="1" a="1"/>
  <c r="X78" i="35" s="1"/>
  <c r="S83" i="35"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C78" i="35" a="1"/>
  <c r="AC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D77" i="35" l="1" a="1"/>
  <c r="AD77" i="35" s="1"/>
  <c r="AE77" i="35" s="1"/>
  <c r="AC79" i="35" a="1"/>
  <c r="AC79" i="35" s="1"/>
  <c r="X86" i="35" a="1"/>
  <c r="X86" i="35" s="1"/>
  <c r="AB80" i="35" a="1"/>
  <c r="AB80" i="35" s="1"/>
  <c r="AC80" i="35" s="1" a="1"/>
  <c r="AC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AD78" i="35" l="1" a="1"/>
  <c r="AD78" i="35" s="1"/>
  <c r="AE78" i="35" s="1"/>
  <c r="V88" i="35" a="1"/>
  <c r="V88" i="35" s="1"/>
  <c r="R93" i="35" a="1"/>
  <c r="R93" i="35" s="1"/>
  <c r="AB82" i="35" a="1"/>
  <c r="AB82" i="35" s="1"/>
  <c r="W87" i="35" a="1"/>
  <c r="W87" i="35" s="1"/>
  <c r="P95" i="35" a="1"/>
  <c r="P95" i="35" s="1"/>
  <c r="O96" i="35" a="1"/>
  <c r="O96" i="35" s="1"/>
  <c r="U89" i="35" a="1"/>
  <c r="U89" i="35" s="1"/>
  <c r="Q94" i="35" a="1"/>
  <c r="Q94" i="35" s="1"/>
  <c r="R94" i="35" s="1" a="1"/>
  <c r="R94" i="35" s="1"/>
  <c r="Y85" i="35" a="1"/>
  <c r="Y85" i="35" s="1"/>
  <c r="Y86" i="35" s="1" a="1"/>
  <c r="Y86" i="35" s="1"/>
  <c r="AA83" i="35" a="1"/>
  <c r="AA83" i="35" s="1"/>
  <c r="AB83" i="35" s="1" a="1"/>
  <c r="AB83" i="35" s="1"/>
  <c r="T90" i="35" a="1"/>
  <c r="T90" i="35" s="1"/>
  <c r="T91" i="35" s="1" a="1"/>
  <c r="T91" i="35" s="1"/>
  <c r="S92" i="35" a="1"/>
  <c r="S92" i="35" s="1"/>
  <c r="AD79" i="35" l="1" a="1"/>
  <c r="AD79" i="35" s="1"/>
  <c r="AE79" i="35" s="1"/>
  <c r="AF79" i="35" s="1"/>
  <c r="W88" i="35" a="1"/>
  <c r="W88" i="35" s="1"/>
  <c r="T92" i="35" a="1"/>
  <c r="T92" i="35" s="1"/>
  <c r="U90" i="35" a="1"/>
  <c r="U90"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AD80" i="35" l="1" a="1"/>
  <c r="AD80" i="35" s="1"/>
  <c r="AE80" i="35" s="1"/>
  <c r="AF80" i="35" s="1"/>
  <c r="V90" i="35" a="1"/>
  <c r="V90" i="35" s="1"/>
  <c r="T93" i="35" a="1"/>
  <c r="T93"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S94" i="35" a="1"/>
  <c r="S94" i="35" s="1"/>
  <c r="T94" i="35" s="1" a="1"/>
  <c r="T94" i="35" s="1"/>
  <c r="U91" i="35" a="1"/>
  <c r="U91" i="35" s="1"/>
  <c r="V91" i="35" s="1" a="1"/>
  <c r="V91" i="35" s="1"/>
  <c r="AD81" i="35" l="1" a="1"/>
  <c r="AD81" i="35" s="1"/>
  <c r="AE81" i="35" s="1"/>
  <c r="AF81" i="35" s="1"/>
  <c r="O117" i="35" a="1"/>
  <c r="O117" i="35" s="1"/>
  <c r="AA86" i="35" a="1"/>
  <c r="AA86" i="35" s="1"/>
  <c r="S95" i="35" a="1"/>
  <c r="S95" i="35" s="1"/>
  <c r="T95" i="35" s="1" a="1"/>
  <c r="T95" i="35" s="1"/>
  <c r="R96" i="35" a="1"/>
  <c r="R96" i="35" s="1"/>
  <c r="X89" i="35" a="1"/>
  <c r="X89" i="35" s="1"/>
  <c r="Z87" i="35" a="1"/>
  <c r="Z87" i="35" s="1"/>
  <c r="U92" i="35" a="1"/>
  <c r="U92" i="35" s="1"/>
  <c r="V92" i="35" s="1" a="1"/>
  <c r="V92" i="35" s="1"/>
  <c r="AB85" i="35" a="1"/>
  <c r="AB85"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U93" i="35" a="1"/>
  <c r="U93" i="35" s="1"/>
  <c r="V93" i="35" s="1" a="1"/>
  <c r="V93" i="35" s="1"/>
  <c r="AD82" i="35" l="1" a="1"/>
  <c r="AD82" i="35" s="1"/>
  <c r="AB86" i="35" a="1"/>
  <c r="AB86" i="35" s="1"/>
  <c r="P117" i="35"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Y90" i="35" s="1" a="1"/>
  <c r="Y90" i="35" s="1"/>
  <c r="AC85" i="35" a="1"/>
  <c r="AC85" i="35" s="1"/>
  <c r="AA87" i="35" a="1"/>
  <c r="AA87" i="35" s="1"/>
  <c r="W91" i="35" a="1"/>
  <c r="W91" i="35" s="1"/>
  <c r="X91" i="35" s="1" a="1"/>
  <c r="X91" i="35" s="1"/>
  <c r="S96" i="35" a="1"/>
  <c r="S96" i="35" s="1"/>
  <c r="Z88" i="35" a="1"/>
  <c r="Z88" i="35" s="1"/>
  <c r="U94" i="35" a="1"/>
  <c r="U94" i="35" s="1"/>
  <c r="U95" i="35" s="1" a="1"/>
  <c r="U95" i="35" s="1"/>
  <c r="AD84" i="35" l="1" a="1"/>
  <c r="AD84" i="35" s="1"/>
  <c r="AE84" i="35" s="1"/>
  <c r="AD83" i="35" a="1"/>
  <c r="AD83" i="35" s="1"/>
  <c r="AE83" i="35" s="1"/>
  <c r="AE82" i="35"/>
  <c r="AF82" i="35" s="1"/>
  <c r="AA88" i="35"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AD85" i="35" l="1" a="1"/>
  <c r="AD85" i="35" s="1"/>
  <c r="AE85" i="35" s="1"/>
  <c r="S98" i="35"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U96" i="35" a="1"/>
  <c r="U96" i="35" s="1"/>
  <c r="Z91" i="35" a="1"/>
  <c r="Z91" i="35" s="1"/>
  <c r="W94" i="35" a="1"/>
  <c r="W94" i="35" s="1"/>
  <c r="AC87" i="35" a="1"/>
  <c r="AC87" i="35" s="1"/>
  <c r="Y92" i="35" a="1"/>
  <c r="Y92" i="35" s="1"/>
  <c r="V95" i="35" a="1"/>
  <c r="V95" i="35" s="1"/>
  <c r="AD86" i="35" l="1" a="1"/>
  <c r="AD86" i="35" s="1"/>
  <c r="AD87" i="35" s="1" a="1"/>
  <c r="AD87" i="35" s="1"/>
  <c r="AE87" i="35" s="1"/>
  <c r="AF87" i="35" s="1"/>
  <c r="W95" i="35"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B89" i="35" a="1"/>
  <c r="AB89" i="35" s="1"/>
  <c r="Y93" i="35" a="1"/>
  <c r="Y93" i="35" s="1"/>
  <c r="V96" i="35" a="1"/>
  <c r="V96" i="35" s="1"/>
  <c r="W96" i="35" s="1" a="1"/>
  <c r="W96" i="35" s="1"/>
  <c r="T98" i="35" a="1"/>
  <c r="T98" i="35" s="1"/>
  <c r="U97" i="35" a="1"/>
  <c r="U97" i="35" s="1"/>
  <c r="AA90" i="35" a="1"/>
  <c r="AA90" i="35" s="1"/>
  <c r="AB90" i="35" s="1" a="1"/>
  <c r="AB90" i="35" s="1"/>
  <c r="AD88" i="35" l="1" a="1"/>
  <c r="AD88" i="35" s="1"/>
  <c r="AE88" i="35" s="1"/>
  <c r="Z93" i="35"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9" i="40" l="1"/>
  <c r="R21" i="40"/>
  <c r="P21" i="40"/>
  <c r="G28" i="40"/>
  <c r="Q21" i="40"/>
  <c r="S20" i="40"/>
  <c r="H29" i="40"/>
  <c r="K33" i="40"/>
  <c r="L33" i="40" s="1"/>
  <c r="G33" i="40"/>
  <c r="G26" i="40"/>
  <c r="H26" i="40" s="1"/>
  <c r="I26" i="40" s="1"/>
  <c r="K32" i="40"/>
  <c r="L32" i="40" s="1"/>
  <c r="G32" i="40"/>
  <c r="H32" i="40" l="1"/>
  <c r="J32" i="40" s="1"/>
  <c r="J26" i="40"/>
  <c r="K26" i="40" s="1"/>
  <c r="L26" i="40" s="1"/>
  <c r="M26" i="40" s="1"/>
  <c r="X32" i="40" l="1"/>
  <c r="Y32" i="40" s="1"/>
  <c r="J33" i="40"/>
  <c r="X30" i="40"/>
  <c r="Y30" i="40" s="1"/>
  <c r="X29" i="40"/>
  <c r="Y29" i="40" s="1"/>
  <c r="X31" i="40"/>
  <c r="Y31" i="40" s="1"/>
  <c r="X28" i="40"/>
  <c r="Y28" i="40" s="1"/>
  <c r="X27" i="40"/>
  <c r="S21" i="40"/>
  <c r="X33" i="40" l="1"/>
  <c r="Y27" i="40"/>
</calcChain>
</file>

<file path=xl/comments1.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2.xml><?xml version="1.0" encoding="utf-8"?>
<comments xmlns="http://schemas.openxmlformats.org/spreadsheetml/2006/main">
  <authors>
    <author>Chavan, Siddhi</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List>
</comments>
</file>

<file path=xl/comments3.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<sst xmlns="http://schemas.openxmlformats.org/spreadsheetml/2006/main" count="1364" uniqueCount="604">
  <si>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</si>
  <si>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</si>
  <si>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</si>
  <si>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</si>
  <si>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</si>
  <si>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</si>
  <si>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</si>
  <si>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</si>
  <si>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</si>
  <si>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</si>
  <si>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</si>
  <si>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</si>
  <si>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</si>
  <si>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</si>
  <si>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</si>
  <si>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</si>
  <si>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</si>
  <si>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</si>
  <si>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</si>
  <si>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</si>
  <si>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</si>
  <si>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</si>
  <si>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</si>
  <si>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</si>
  <si>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</si>
  <si>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</si>
  <si>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</si>
  <si>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</si>
  <si>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</si>
  <si>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</si>
  <si>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</si>
  <si>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</si>
  <si>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</si>
  <si>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</si>
  <si>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</si>
  <si>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</si>
  <si>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</si>
  <si>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</si>
  <si>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</si>
  <si>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</si>
  <si>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</si>
  <si>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</si>
  <si>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</si>
  <si>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</si>
  <si>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</si>
  <si>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</si>
  <si>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</si>
  <si>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</si>
  <si>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</si>
  <si>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</si>
  <si>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</si>
  <si>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</si>
  <si>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</si>
  <si>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</si>
  <si>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</si>
  <si>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</si>
  <si>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</si>
  <si>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</si>
  <si>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</si>
  <si>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</si>
  <si>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</si>
  <si>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</si>
  <si>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</si>
  <si>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</si>
  <si>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</si>
  <si>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</si>
  <si>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</si>
  <si>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</si>
  <si>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</si>
  <si>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</si>
  <si>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</si>
  <si>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</si>
  <si>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</si>
  <si>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</si>
  <si>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</si>
  <si>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</si>
  <si>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</si>
  <si>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</si>
  <si>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</si>
  <si>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</si>
  <si>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</si>
  <si>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</si>
  <si>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</si>
  <si>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</si>
  <si>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</si>
  <si>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</si>
  <si>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</si>
  <si>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</si>
  <si>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</si>
  <si>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</si>
  <si>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</si>
  <si>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</si>
  <si>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</si>
  <si>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</si>
  <si>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</si>
  <si>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</si>
  <si>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</si>
  <si>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</si>
  <si>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</si>
  <si>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</si>
  <si>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</si>
  <si>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</si>
  <si>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</si>
  <si>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</si>
  <si>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</si>
  <si>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</si>
  <si>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</si>
  <si>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</si>
  <si>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</si>
  <si>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</si>
  <si>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</si>
  <si>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</si>
  <si>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</si>
  <si>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</si>
  <si>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</si>
  <si>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</si>
  <si>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</si>
  <si>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</si>
  <si>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</si>
  <si>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</si>
  <si>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</si>
  <si>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</si>
  <si>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</si>
  <si>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</si>
  <si>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</si>
  <si>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</si>
  <si>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</si>
  <si>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</si>
  <si>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</si>
  <si>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</si>
  <si>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</si>
  <si>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</si>
  <si>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</si>
  <si>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</si>
  <si>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</si>
  <si>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</si>
  <si>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</si>
  <si>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</si>
  <si>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</si>
  <si>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</si>
  <si>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</si>
  <si>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</si>
  <si>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</si>
  <si>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</si>
  <si>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</si>
  <si>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</si>
  <si>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</si>
  <si>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</si>
  <si>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</si>
  <si>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</si>
  <si>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</si>
  <si>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</si>
  <si>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</si>
  <si>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</si>
  <si>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</si>
  <si>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</si>
  <si>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</si>
  <si>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</si>
  <si>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</si>
  <si>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</si>
  <si>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</si>
  <si>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</si>
  <si>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</si>
  <si>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</si>
  <si>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</si>
  <si>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</si>
  <si>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</si>
  <si>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</si>
  <si>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</si>
  <si>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</si>
  <si>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</si>
  <si>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</si>
  <si>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</si>
  <si>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</si>
  <si>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</si>
  <si>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</si>
  <si>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</si>
  <si>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</si>
  <si>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</si>
  <si>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</si>
  <si>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</si>
  <si>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</si>
  <si>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</si>
  <si>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</si>
  <si>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</si>
  <si>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</si>
  <si>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</si>
  <si>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</si>
  <si>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</si>
  <si>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</si>
  <si>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</si>
  <si>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</si>
  <si>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</si>
  <si>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</si>
  <si>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</si>
  <si>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</si>
  <si>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</si>
  <si>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</si>
  <si>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</si>
  <si>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</si>
  <si>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</si>
  <si>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</si>
  <si>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</si>
  <si>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</si>
  <si>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</si>
  <si>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</si>
  <si>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</si>
  <si>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</si>
  <si>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</si>
  <si>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</si>
  <si>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</si>
  <si>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</si>
  <si>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</si>
  <si>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</si>
  <si>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</si>
  <si>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</si>
  <si>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</si>
  <si>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</si>
  <si>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</si>
  <si>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</si>
  <si>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</si>
  <si>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</si>
  <si>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</si>
  <si>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</si>
  <si>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</si>
  <si>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</si>
  <si>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</si>
  <si>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</si>
  <si>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</si>
  <si>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</si>
  <si>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</si>
  <si>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</si>
  <si>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</si>
  <si>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</si>
  <si>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</si>
  <si>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</si>
  <si>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</si>
  <si>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</si>
  <si>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</si>
  <si>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</si>
  <si>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</si>
  <si>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</si>
  <si>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</si>
  <si>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</si>
  <si>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</si>
  <si>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</si>
  <si>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</si>
  <si>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</si>
  <si>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</si>
  <si>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</si>
  <si>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</si>
  <si>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</si>
  <si>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</si>
  <si>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</si>
  <si>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</si>
  <si>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</si>
  <si>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</si>
  <si>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</si>
  <si>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</si>
  <si>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</si>
  <si>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</si>
  <si>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</si>
  <si>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</si>
  <si>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</si>
  <si>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</si>
  <si>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</si>
  <si>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</si>
  <si>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</si>
  <si>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</si>
  <si>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</si>
  <si>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</si>
  <si>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</si>
  <si>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</si>
  <si>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</si>
  <si>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</si>
  <si>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</si>
  <si>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</si>
  <si>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</si>
  <si>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</si>
  <si>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</si>
  <si>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</si>
  <si>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</si>
  <si>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</si>
  <si>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</si>
  <si>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</si>
  <si>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</si>
  <si>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</si>
  <si>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</si>
  <si>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</si>
  <si>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</si>
  <si>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</si>
  <si>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</si>
  <si>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</si>
  <si>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</si>
  <si>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</si>
  <si>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</si>
  <si>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</si>
  <si>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</si>
  <si>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</si>
  <si>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</si>
  <si>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</si>
  <si>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</si>
  <si>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</si>
  <si>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</si>
  <si>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</si>
  <si>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</si>
  <si>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</si>
  <si>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</si>
  <si>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</si>
  <si>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</si>
  <si>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</si>
  <si>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</si>
  <si>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</si>
  <si>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</si>
  <si>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</si>
  <si>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</si>
  <si>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</si>
  <si>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</si>
  <si>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</si>
  <si>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</si>
  <si>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</si>
  <si>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</si>
  <si>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</si>
  <si>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</si>
  <si>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</si>
  <si>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</si>
  <si>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</si>
  <si>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</si>
  <si>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</si>
  <si>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</si>
  <si>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</si>
  <si>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</si>
  <si>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</si>
  <si>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</si>
  <si>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</si>
  <si>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</si>
  <si>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</si>
  <si>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</si>
  <si>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</si>
  <si>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</si>
  <si>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</si>
  <si>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</si>
  <si>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</si>
  <si>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</si>
  <si>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</si>
  <si>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</si>
  <si>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</si>
  <si>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</si>
  <si>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</si>
  <si>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</si>
  <si>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</si>
  <si>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</si>
  <si>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</si>
  <si>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</si>
  <si>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</si>
  <si>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</si>
  <si>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</si>
  <si>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</si>
  <si>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</si>
  <si>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</si>
  <si>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</si>
  <si>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</si>
  <si>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</si>
  <si>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</si>
  <si>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</si>
  <si>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</si>
  <si>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</si>
  <si>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</si>
  <si>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</si>
  <si>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</si>
  <si>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</si>
  <si>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</si>
  <si>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</si>
  <si>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</si>
  <si>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</si>
  <si>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</si>
  <si>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</si>
  <si>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</si>
  <si>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</si>
  <si>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</si>
  <si>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</si>
  <si>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</si>
  <si>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</si>
  <si>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</si>
  <si>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</si>
  <si>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</si>
  <si>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</si>
  <si>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</si>
  <si>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</si>
  <si>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</si>
  <si>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</si>
  <si>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</si>
  <si>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</si>
  <si>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</si>
  <si>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</si>
  <si>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</si>
  <si>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</si>
  <si>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</si>
  <si>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</si>
  <si>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</si>
  <si>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</si>
  <si>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</si>
  <si>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</si>
  <si>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</si>
  <si>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</si>
  <si>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</si>
  <si>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</si>
  <si>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</si>
  <si>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</si>
  <si>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</si>
  <si>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</si>
  <si>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</si>
  <si>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</si>
  <si>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</si>
  <si>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</si>
  <si>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</si>
  <si>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</si>
  <si>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</si>
  <si>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</si>
  <si>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</si>
  <si>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</si>
  <si>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</si>
  <si>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</si>
  <si>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</si>
  <si>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</si>
  <si>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</si>
  <si>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</si>
  <si>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</si>
  <si>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</si>
  <si>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</si>
  <si>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</si>
  <si>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</si>
  <si>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</si>
  <si>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</si>
  <si>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</si>
  <si>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</si>
  <si>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</si>
  <si>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</si>
  <si>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</si>
  <si>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</si>
  <si>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</si>
  <si>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</si>
  <si>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</si>
  <si>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</si>
  <si>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</si>
  <si>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</si>
  <si>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</si>
  <si>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</si>
  <si>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</si>
  <si>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</si>
  <si>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</si>
  <si>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</si>
  <si>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</si>
  <si>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</si>
  <si>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</si>
  <si>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</si>
  <si>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</si>
  <si>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</si>
  <si>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</si>
  <si>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</si>
  <si>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</si>
  <si>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</si>
  <si>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</si>
  <si>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</si>
  <si>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</si>
  <si>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</si>
  <si>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</si>
  <si>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</si>
  <si>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</si>
  <si>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</si>
  <si>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</si>
  <si>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</si>
  <si>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</si>
  <si>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</si>
  <si>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</si>
  <si>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</si>
  <si>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</si>
  <si>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</si>
  <si>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</si>
  <si>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</si>
  <si>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</si>
  <si>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</si>
  <si>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</si>
  <si>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</si>
  <si>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</si>
  <si>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</si>
  <si>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</si>
  <si>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</si>
  <si>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</si>
  <si>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</si>
  <si>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</si>
  <si>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</si>
  <si>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</si>
  <si>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</si>
  <si>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</si>
  <si>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</si>
  <si>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</si>
  <si>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</si>
  <si>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</si>
  <si>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</si>
  <si>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</si>
  <si>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</si>
  <si>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</si>
  <si>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</si>
  <si>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</si>
  <si>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</si>
  <si>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</si>
  <si>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</si>
  <si>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</si>
  <si>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</si>
  <si>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</si>
  <si>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</si>
  <si>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</si>
  <si>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</si>
  <si>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</si>
  <si>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</si>
  <si>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</si>
  <si>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</si>
  <si>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</si>
  <si>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</si>
  <si>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</si>
  <si>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</si>
  <si>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</si>
  <si>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</si>
  <si>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</si>
  <si>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</si>
  <si>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</si>
  <si>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</si>
  <si>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</si>
  <si>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</si>
  <si>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</si>
  <si>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</si>
  <si>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</si>
  <si>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</si>
  <si>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</si>
  <si>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</si>
  <si>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</si>
  <si>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</si>
  <si>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</si>
  <si>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</si>
  <si>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</si>
  <si>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</si>
  <si>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</si>
  <si>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</si>
  <si>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</si>
  <si>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</si>
  <si>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</si>
  <si>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</si>
  <si>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</si>
  <si>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</si>
  <si>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</si>
  <si>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</si>
  <si>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</si>
  <si>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</si>
  <si>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</si>
  <si>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</si>
  <si>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</si>
  <si>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</si>
  <si>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</si>
  <si>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</si>
  <si>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</si>
  <si>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</si>
  <si>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</si>
  <si>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</si>
  <si>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</si>
  <si>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</si>
  <si>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</si>
  <si>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</si>
  <si>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</si>
  <si>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</si>
  <si>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</si>
  <si>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</si>
  <si>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</si>
  <si>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</si>
  <si>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</si>
  <si>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</si>
  <si>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</si>
  <si>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</si>
  <si>
    <t>PAS Core design, Invoice Document Testing activities</t>
  </si>
  <si>
    <t>Siddhi's and Varun's Planned PTO</t>
  </si>
  <si>
    <t>350 US</t>
  </si>
  <si>
    <t>Siddhi, Varun, Harsh,Gurpreet</t>
  </si>
  <si>
    <t>MVR Redesign - Phase 1</t>
  </si>
  <si>
    <t>PAS9 refactor to E-Folder is impacting the folder structure</t>
  </si>
  <si>
    <t xml:space="preserve">WI0371 </t>
  </si>
  <si>
    <t>Sprint-19 &amp; 20</t>
  </si>
  <si>
    <t>BSS - Enabling book roll in new business and capping</t>
  </si>
  <si>
    <t>Estimated US count (Base)</t>
  </si>
  <si>
    <t>Estimated AC Count (Base)</t>
  </si>
  <si>
    <t>Integration</t>
  </si>
  <si>
    <t>Story Points
(As per the latest scope of SP19 and SP20)</t>
  </si>
  <si>
    <t>US Count
(As per the latest scope of SP19 and SP20)</t>
  </si>
  <si>
    <t>CA-CP optimization</t>
  </si>
  <si>
    <t>Gurpreet's planned PTO; Siddhi and Varun working on CP optimization</t>
  </si>
  <si>
    <t>Siddhi and Varun working on CP optimization, Varun working on Invoice document testing for 1 day</t>
  </si>
  <si>
    <t>Days/per week</t>
  </si>
  <si>
    <t>FTE</t>
  </si>
  <si>
    <t>Hrs/Days</t>
  </si>
  <si>
    <t>Total capacity</t>
  </si>
  <si>
    <t>Unavailable due to PTOs</t>
  </si>
  <si>
    <t>As per latest communication</t>
  </si>
  <si>
    <t>Total Capacity</t>
  </si>
  <si>
    <t>Expected capacity</t>
  </si>
  <si>
    <t>% Unavailable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</si>
</sst>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sz val="11"/>
      <color theme="0"/>
      <name val="Calibri"/>
      <family val="2"/>
      <scheme val="minor"/>
    </font>
    <font>
      <sz val="10"/>
      <color rgb="FFFF0000"/>
      <name val="Calibri"/>
      <family val="2"/>
      <scheme val="minor"/>
    </font>
    <font>
      <b/>
      <sz val="10"/>
      <color theme="1"/>
      <name val="Calibri"/>
      <family val="2"/>
      <scheme val="minor"/>
    </font>
  </fonts>
  <fills count="3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82">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16" fontId="18" fillId="27" borderId="48" xfId="2" applyNumberFormat="1" applyFont="1" applyFill="1" applyBorder="1" applyAlignment="1">
      <alignment horizontal="center" vertical="center"/>
    </xf>
    <xf numFmtId="0" fontId="18" fillId="0" borderId="48" xfId="1" applyNumberFormat="1" applyFont="1" applyFill="1" applyBorder="1" applyAlignment="1">
      <alignment horizontal="center" vertical="center"/>
    </xf>
    <xf numFmtId="0" fontId="18" fillId="0" borderId="0" xfId="1" applyNumberFormat="1" applyFont="1" applyFill="1" applyBorder="1" applyAlignment="1">
      <alignment horizontal="center" vertical="center"/>
    </xf>
    <xf numFmtId="0" fontId="0" fillId="0" borderId="0" xfId="0" applyFont="1" applyFill="1" applyAlignment="1">
      <alignment vertical="center"/>
    </xf>
    <xf numFmtId="0" fontId="18" fillId="0" borderId="0" xfId="2" applyFont="1" applyFill="1" applyBorder="1" applyAlignment="1">
      <alignment horizontal="center" vertical="center"/>
    </xf>
    <xf numFmtId="164" fontId="18" fillId="0" borderId="0" xfId="1" applyNumberFormat="1" applyFont="1" applyFill="1" applyBorder="1" applyAlignment="1">
      <alignment horizontal="center" vertical="center"/>
    </xf>
    <xf numFmtId="0" fontId="0" fillId="0" borderId="0" xfId="0" applyFont="1" applyFill="1" applyBorder="1" applyAlignment="1">
      <alignment horizontal="center" vertical="center"/>
    </xf>
    <xf numFmtId="1" fontId="61" fillId="0" borderId="51" xfId="0" applyNumberFormat="1" applyFont="1" applyFill="1" applyBorder="1" applyAlignment="1">
      <alignment horizontal="center" vertical="center"/>
    </xf>
    <xf numFmtId="1" fontId="61" fillId="3" borderId="51" xfId="0" applyNumberFormat="1" applyFont="1" applyFill="1" applyBorder="1" applyAlignment="1">
      <alignment horizontal="center" vertical="center"/>
    </xf>
    <xf numFmtId="1" fontId="61" fillId="0" borderId="0" xfId="0" applyNumberFormat="1" applyFont="1" applyFill="1" applyBorder="1" applyAlignment="1">
      <alignment horizontal="center" vertical="center"/>
    </xf>
    <xf numFmtId="0" fontId="55" fillId="25" borderId="51" xfId="0" applyFont="1" applyFill="1" applyBorder="1" applyAlignment="1">
      <alignment horizontal="left" vertical="center"/>
    </xf>
    <xf numFmtId="0" fontId="58" fillId="0" borderId="51" xfId="2" applyFont="1" applyFill="1" applyBorder="1" applyAlignment="1">
      <alignment horizontal="center" vertical="center"/>
    </xf>
    <xf numFmtId="0" fontId="58" fillId="0" borderId="51" xfId="0" applyFont="1" applyFill="1" applyBorder="1" applyAlignment="1">
      <alignment horizontal="left" vertical="center"/>
    </xf>
    <xf numFmtId="0" fontId="55" fillId="25" borderId="51" xfId="2" applyFont="1" applyFill="1" applyBorder="1" applyAlignment="1">
      <alignment horizontal="center" vertical="center"/>
    </xf>
    <xf numFmtId="164" fontId="55" fillId="25" borderId="51" xfId="0" applyNumberFormat="1" applyFont="1" applyFill="1" applyBorder="1" applyAlignment="1">
      <alignment horizontal="center" vertical="center"/>
    </xf>
    <xf numFmtId="1" fontId="55" fillId="25" borderId="51" xfId="0" applyNumberFormat="1" applyFont="1" applyFill="1" applyBorder="1" applyAlignment="1">
      <alignment horizontal="center" vertical="center"/>
    </xf>
    <xf numFmtId="0" fontId="55" fillId="28" borderId="1" xfId="2" applyFont="1" applyFill="1" applyBorder="1" applyAlignment="1">
      <alignment horizontal="center" vertical="center"/>
    </xf>
    <xf numFmtId="0" fontId="55" fillId="28" borderId="1" xfId="0" applyFont="1" applyFill="1" applyBorder="1" applyAlignment="1">
      <alignment horizontal="left" vertical="center"/>
    </xf>
    <xf numFmtId="164" fontId="55" fillId="28" borderId="1" xfId="0" applyNumberFormat="1" applyFont="1" applyFill="1" applyBorder="1" applyAlignment="1">
      <alignment horizontal="center" vertical="center"/>
    </xf>
    <xf numFmtId="1" fontId="55" fillId="28" borderId="1" xfId="0" applyNumberFormat="1" applyFont="1" applyFill="1" applyBorder="1" applyAlignment="1">
      <alignment horizontal="center" vertical="center"/>
    </xf>
    <xf numFmtId="0" fontId="56" fillId="28" borderId="1" xfId="0" applyFont="1" applyFill="1" applyBorder="1" applyAlignment="1">
      <alignment horizontal="left" vertical="center"/>
    </xf>
    <xf numFmtId="0" fontId="58" fillId="0" borderId="1" xfId="2" applyFont="1" applyBorder="1"/>
    <xf numFmtId="1" fontId="57" fillId="0" borderId="0" xfId="0" applyNumberFormat="1" applyFont="1" applyFill="1" applyBorder="1" applyAlignment="1">
      <alignment horizontal="center" vertical="center"/>
    </xf>
    <xf numFmtId="0" fontId="56" fillId="0" borderId="0" xfId="0" applyFont="1" applyFill="1" applyBorder="1" applyAlignment="1">
      <alignment horizontal="left" vertical="center"/>
    </xf>
    <xf numFmtId="0" fontId="60" fillId="27" borderId="54" xfId="0" applyFont="1" applyFill="1" applyBorder="1" applyAlignment="1">
      <alignment horizontal="center" vertical="center"/>
    </xf>
    <xf numFmtId="0" fontId="55" fillId="29" borderId="1" xfId="2" applyFont="1" applyFill="1" applyBorder="1" applyAlignment="1">
      <alignment horizontal="center" vertical="center"/>
    </xf>
    <xf numFmtId="0" fontId="55" fillId="29" borderId="1" xfId="0" applyFont="1" applyFill="1" applyBorder="1" applyAlignment="1">
      <alignment horizontal="left" vertical="center"/>
    </xf>
    <xf numFmtId="164" fontId="55" fillId="29" borderId="1" xfId="0" applyNumberFormat="1" applyFont="1" applyFill="1" applyBorder="1" applyAlignment="1">
      <alignment horizontal="center" vertical="center"/>
    </xf>
    <xf numFmtId="1" fontId="55" fillId="29" borderId="1" xfId="0" applyNumberFormat="1" applyFont="1" applyFill="1" applyBorder="1" applyAlignment="1">
      <alignment horizontal="center" vertical="center"/>
    </xf>
    <xf numFmtId="0" fontId="56" fillId="29" borderId="1" xfId="0" applyFont="1" applyFill="1" applyBorder="1" applyAlignment="1">
      <alignment horizontal="center" vertical="center"/>
    </xf>
    <xf numFmtId="0" fontId="56" fillId="29" borderId="1" xfId="0" applyFont="1" applyFill="1" applyBorder="1" applyAlignment="1">
      <alignment horizontal="left" vertical="center"/>
    </xf>
    <xf numFmtId="0" fontId="54" fillId="30" borderId="1" xfId="0" applyFont="1" applyFill="1" applyBorder="1" applyAlignment="1">
      <alignment horizontal="center" vertical="center" wrapText="1"/>
    </xf>
    <xf numFmtId="1" fontId="56" fillId="0" borderId="1" xfId="0" applyNumberFormat="1" applyFont="1" applyFill="1" applyBorder="1" applyAlignment="1">
      <alignment horizontal="center" vertical="center"/>
    </xf>
    <xf numFmtId="1" fontId="56" fillId="29" borderId="1" xfId="0" applyNumberFormat="1" applyFont="1" applyFill="1" applyBorder="1" applyAlignment="1">
      <alignment horizontal="center" vertical="center"/>
    </xf>
    <xf numFmtId="1" fontId="56" fillId="28" borderId="1" xfId="0" applyNumberFormat="1" applyFont="1" applyFill="1" applyBorder="1" applyAlignment="1">
      <alignment horizontal="center" vertical="center"/>
    </xf>
    <xf numFmtId="0" fontId="62" fillId="3" borderId="1" xfId="0" applyFont="1" applyFill="1" applyBorder="1" applyAlignment="1">
      <alignment horizontal="center" vertical="center" wrapText="1"/>
    </xf>
    <xf numFmtId="0" fontId="58" fillId="0" borderId="1" xfId="2" applyFont="1" applyFill="1" applyBorder="1" applyAlignment="1">
      <alignment horizontal="center" vertical="center"/>
    </xf>
    <xf numFmtId="0" fontId="0" fillId="4" borderId="0" xfId="0" applyFont="1" applyFill="1" applyAlignment="1">
      <alignment vertical="center"/>
    </xf>
    <xf numFmtId="16" fontId="18" fillId="11" borderId="48" xfId="2" applyNumberFormat="1" applyFont="1" applyFill="1" applyBorder="1" applyAlignment="1">
      <alignment horizontal="center" vertical="center"/>
    </xf>
    <xf numFmtId="0" fontId="18" fillId="11" borderId="48" xfId="2" applyFont="1" applyFill="1" applyBorder="1" applyAlignment="1">
      <alignment horizontal="center" vertical="center"/>
    </xf>
    <xf numFmtId="0" fontId="18" fillId="11" borderId="48" xfId="1" applyNumberFormat="1" applyFont="1" applyFill="1" applyBorder="1" applyAlignment="1">
      <alignment horizontal="center" vertical="center"/>
    </xf>
    <xf numFmtId="164" fontId="18" fillId="11" borderId="48" xfId="2" applyNumberFormat="1" applyFont="1" applyFill="1" applyBorder="1" applyAlignment="1">
      <alignment horizontal="center" vertical="center"/>
    </xf>
    <xf numFmtId="1" fontId="0" fillId="11" borderId="48" xfId="0" applyNumberFormat="1" applyFont="1" applyFill="1" applyBorder="1" applyAlignment="1">
      <alignment horizontal="center" vertical="center"/>
    </xf>
    <xf numFmtId="0" fontId="0" fillId="11" borderId="48" xfId="0" applyFont="1" applyFill="1" applyBorder="1" applyAlignment="1">
      <alignment horizontal="center" vertical="center"/>
    </xf>
    <xf numFmtId="0" fontId="0" fillId="11" borderId="0" xfId="0" applyFont="1" applyFill="1" applyAlignment="1">
      <alignment vertical="center"/>
    </xf>
    <xf numFmtId="0" fontId="3" fillId="0" borderId="1" xfId="2" applyBorder="1" applyAlignment="1">
      <alignment vertical="top" wrapText="1"/>
    </xf>
    <xf numFmtId="0" fontId="3" fillId="0" borderId="0" xfId="2" applyAlignment="1">
      <alignment vertical="top" wrapText="1"/>
    </xf>
    <xf numFmtId="0" fontId="0" fillId="0" borderId="1" xfId="0" applyBorder="1" applyAlignment="1">
      <alignment vertical="top"/>
    </xf>
    <xf numFmtId="0" fontId="3" fillId="0" borderId="0" xfId="2" applyAlignment="1">
      <alignment vertical="top"/>
    </xf>
    <xf numFmtId="0" fontId="3" fillId="0" borderId="45" xfId="2" applyBorder="1" applyAlignment="1">
      <alignment vertical="top" wrapText="1"/>
    </xf>
    <xf numFmtId="0" fontId="0" fillId="0" borderId="0" xfId="0" applyBorder="1" applyAlignment="1">
      <alignment vertical="top"/>
    </xf>
    <xf numFmtId="0" fontId="18" fillId="0" borderId="0" xfId="2" applyFont="1" applyAlignment="1">
      <alignment horizont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25" fillId="27" borderId="53" xfId="0" applyFont="1" applyFill="1" applyBorder="1" applyAlignment="1">
      <alignment horizontal="center" vertical="center"/>
    </xf>
    <xf numFmtId="0" fontId="25" fillId="27" borderId="54" xfId="0" applyFont="1" applyFill="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6484375" defaultRowHeight="14.25" x14ac:dyDescent="0.45"/>
  <cols>
    <col min="1" max="1" width="8" style="160" bestFit="1" customWidth="1"/>
    <col min="2" max="2" width="9.6640625" style="160" bestFit="1" customWidth="1"/>
    <col min="3" max="3" width="14.53125" style="160" bestFit="1" customWidth="1"/>
    <col min="4" max="4" width="8.86328125" style="160" bestFit="1" customWidth="1"/>
    <col min="5" max="5" width="15.53125" style="160" bestFit="1" customWidth="1"/>
    <col min="6" max="6" width="16" style="160" bestFit="1" customWidth="1"/>
    <col min="7" max="7" width="16.1328125" style="160" bestFit="1" customWidth="1"/>
    <col min="8" max="8" width="12.53125" style="160" bestFit="1" customWidth="1"/>
    <col min="9" max="9" width="5" style="160" bestFit="1" customWidth="1"/>
    <col min="10" max="10" width="4.86328125" style="160" bestFit="1" customWidth="1"/>
    <col min="11" max="16384" width="8.46484375" style="160"/>
  </cols>
  <sheetData>
    <row r="1" spans="1:10" s="161" customFormat="1" ht="42.75" x14ac:dyDescent="0.45">
      <c r="A1" s="208" t="s">
        <v>205</v>
      </c>
      <c r="B1" s="208" t="s">
        <v>301</v>
      </c>
      <c r="C1" s="208" t="s">
        <v>303</v>
      </c>
      <c r="D1" s="208" t="s">
        <v>302</v>
      </c>
      <c r="E1" s="208" t="s">
        <v>303</v>
      </c>
      <c r="F1" s="208" t="s">
        <v>74</v>
      </c>
      <c r="G1" s="209" t="s">
        <v>338</v>
      </c>
      <c r="H1" s="208" t="s">
        <v>304</v>
      </c>
      <c r="I1" s="208" t="s">
        <v>305</v>
      </c>
      <c r="J1" s="208" t="s">
        <v>306</v>
      </c>
    </row>
    <row r="2" spans="1:10" x14ac:dyDescent="0.45">
      <c r="A2" s="207" t="s">
        <v>204</v>
      </c>
      <c r="B2" s="205">
        <v>42391</v>
      </c>
      <c r="C2" s="206" t="s">
        <v>307</v>
      </c>
      <c r="D2" s="205">
        <v>42440</v>
      </c>
      <c r="E2" s="206" t="s">
        <v>339</v>
      </c>
      <c r="F2" s="207">
        <v>10</v>
      </c>
      <c r="G2" s="207">
        <v>9</v>
      </c>
      <c r="H2" s="207">
        <v>8</v>
      </c>
      <c r="I2" s="206">
        <v>523</v>
      </c>
      <c r="J2" s="206">
        <v>300</v>
      </c>
    </row>
    <row r="3" spans="1:10" x14ac:dyDescent="0.45">
      <c r="A3" s="207" t="s">
        <v>249</v>
      </c>
      <c r="B3" s="205">
        <v>42447</v>
      </c>
      <c r="C3" s="206" t="s">
        <v>335</v>
      </c>
      <c r="D3" s="205">
        <v>42503</v>
      </c>
      <c r="E3" s="206" t="s">
        <v>336</v>
      </c>
      <c r="F3" s="207">
        <v>7</v>
      </c>
      <c r="G3" s="207">
        <v>5.5</v>
      </c>
      <c r="H3" s="207">
        <v>9</v>
      </c>
      <c r="I3" s="206">
        <v>421</v>
      </c>
      <c r="J3" s="206">
        <v>306</v>
      </c>
    </row>
    <row r="4" spans="1:10" x14ac:dyDescent="0.45">
      <c r="A4" s="207" t="s">
        <v>260</v>
      </c>
      <c r="B4" s="205">
        <v>42510</v>
      </c>
      <c r="C4" s="206" t="s">
        <v>340</v>
      </c>
      <c r="D4" s="205">
        <v>42587</v>
      </c>
      <c r="E4" s="207" t="s">
        <v>337</v>
      </c>
      <c r="F4" s="207">
        <v>4</v>
      </c>
      <c r="G4" s="207">
        <v>2.5</v>
      </c>
      <c r="H4" s="207">
        <v>12</v>
      </c>
      <c r="I4" s="206">
        <v>230</v>
      </c>
      <c r="J4" s="206">
        <v>208</v>
      </c>
    </row>
    <row r="6" spans="1:10" x14ac:dyDescent="0.45">
      <c r="A6" s="536" t="s">
        <v>308</v>
      </c>
      <c r="B6" s="536"/>
      <c r="C6" s="536"/>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1328125" defaultRowHeight="13.15" x14ac:dyDescent="0.45"/>
  <cols>
    <col min="1" max="1" width="4.86328125" style="475" customWidth="1"/>
    <col min="2" max="2" width="9" style="475" bestFit="1" customWidth="1"/>
    <col min="3" max="3" width="50.6640625" style="475" bestFit="1" customWidth="1"/>
    <col min="4" max="4" width="20" style="475" customWidth="1"/>
    <col min="5" max="5" width="11.6640625" style="475" bestFit="1" customWidth="1"/>
    <col min="6" max="6" width="17.86328125" style="475" bestFit="1" customWidth="1"/>
    <col min="7" max="7" width="12.53125" style="475" bestFit="1" customWidth="1"/>
    <col min="8" max="8" width="11.6640625" style="475" bestFit="1" customWidth="1"/>
    <col min="9" max="9" width="17.86328125" style="475" bestFit="1" customWidth="1"/>
    <col min="10" max="10" width="11.33203125" style="475" bestFit="1" customWidth="1"/>
    <col min="11" max="12" width="11.6640625" style="475" bestFit="1" customWidth="1"/>
    <col min="13" max="16384" width="9.1328125" style="475"/>
  </cols>
  <sheetData>
    <row r="1" spans="2:12" ht="27.75" x14ac:dyDescent="0.45">
      <c r="B1" s="229" t="s">
        <v>282</v>
      </c>
      <c r="C1" s="229" t="s">
        <v>283</v>
      </c>
      <c r="D1" s="229" t="s">
        <v>556</v>
      </c>
      <c r="E1" s="229" t="s">
        <v>544</v>
      </c>
      <c r="F1" s="229" t="s">
        <v>543</v>
      </c>
      <c r="G1" s="476" t="s">
        <v>570</v>
      </c>
      <c r="H1" s="476" t="s">
        <v>544</v>
      </c>
      <c r="I1" s="476" t="s">
        <v>543</v>
      </c>
      <c r="J1" s="231" t="s">
        <v>571</v>
      </c>
      <c r="K1" s="231" t="s">
        <v>572</v>
      </c>
      <c r="L1" s="231" t="s">
        <v>573</v>
      </c>
    </row>
    <row r="2" spans="2:12" ht="13.9" x14ac:dyDescent="0.45">
      <c r="B2" s="247" t="s">
        <v>504</v>
      </c>
      <c r="C2" s="233" t="s">
        <v>503</v>
      </c>
      <c r="D2" s="234">
        <v>150</v>
      </c>
      <c r="E2" s="235">
        <f>D2/2</f>
        <v>75</v>
      </c>
      <c r="F2" s="235">
        <v>75</v>
      </c>
      <c r="G2" s="234"/>
      <c r="H2" s="235"/>
      <c r="I2" s="235"/>
      <c r="J2" s="478">
        <f>(G2-D2)</f>
        <v>-150</v>
      </c>
      <c r="K2" s="479">
        <f>H2-E2</f>
        <v>-75</v>
      </c>
      <c r="L2" s="479">
        <f>I2-F2</f>
        <v>-75</v>
      </c>
    </row>
    <row r="3" spans="2:12" ht="13.9" x14ac:dyDescent="0.45">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3.9" x14ac:dyDescent="0.45">
      <c r="B4" s="247" t="s">
        <v>506</v>
      </c>
      <c r="C4" s="233" t="s">
        <v>501</v>
      </c>
      <c r="D4" s="234">
        <v>15</v>
      </c>
      <c r="E4" s="235">
        <f>D4/2</f>
        <v>7.5</v>
      </c>
      <c r="F4" s="235">
        <v>8</v>
      </c>
      <c r="G4" s="234"/>
      <c r="H4" s="235"/>
      <c r="I4" s="235"/>
      <c r="J4" s="478">
        <f t="shared" si="0"/>
        <v>-15</v>
      </c>
      <c r="K4" s="479">
        <f t="shared" si="1"/>
        <v>-7.5</v>
      </c>
      <c r="L4" s="479">
        <f t="shared" si="1"/>
        <v>-8</v>
      </c>
    </row>
    <row r="5" spans="2:12" ht="13.9" x14ac:dyDescent="0.45">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3.9" x14ac:dyDescent="0.45">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3.9" x14ac:dyDescent="0.45">
      <c r="B7" s="247" t="s">
        <v>505</v>
      </c>
      <c r="C7" s="233" t="s">
        <v>502</v>
      </c>
      <c r="D7" s="234">
        <v>15</v>
      </c>
      <c r="E7" s="235">
        <f>D7/2</f>
        <v>7.5</v>
      </c>
      <c r="F7" s="235">
        <v>8</v>
      </c>
      <c r="G7" s="234"/>
      <c r="H7" s="235"/>
      <c r="I7" s="235"/>
      <c r="J7" s="478">
        <f t="shared" si="0"/>
        <v>-15</v>
      </c>
      <c r="K7" s="479">
        <f t="shared" si="1"/>
        <v>-7.5</v>
      </c>
      <c r="L7" s="479">
        <f t="shared" si="1"/>
        <v>-8</v>
      </c>
    </row>
    <row r="8" spans="2:12" ht="13.9" x14ac:dyDescent="0.45">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3.9" x14ac:dyDescent="0.45">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3.9" x14ac:dyDescent="0.45">
      <c r="B10" s="247" t="s">
        <v>487</v>
      </c>
      <c r="C10" s="233" t="s">
        <v>488</v>
      </c>
      <c r="D10" s="234"/>
      <c r="E10" s="235"/>
      <c r="F10" s="235"/>
      <c r="G10" s="234"/>
      <c r="H10" s="235"/>
      <c r="I10" s="235"/>
      <c r="J10" s="478">
        <f t="shared" si="0"/>
        <v>0</v>
      </c>
      <c r="K10" s="479">
        <f t="shared" si="1"/>
        <v>0</v>
      </c>
      <c r="L10" s="479">
        <f t="shared" si="1"/>
        <v>0</v>
      </c>
    </row>
    <row r="11" spans="2:12" ht="13.9" x14ac:dyDescent="0.45">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3.9" x14ac:dyDescent="0.45">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3.9" x14ac:dyDescent="0.45">
      <c r="B13" s="247" t="s">
        <v>499</v>
      </c>
      <c r="C13" s="233" t="s">
        <v>569</v>
      </c>
      <c r="D13" s="234">
        <v>15</v>
      </c>
      <c r="E13" s="235">
        <f>D13/2</f>
        <v>7.5</v>
      </c>
      <c r="F13" s="235">
        <v>6</v>
      </c>
      <c r="G13" s="234">
        <v>77.5</v>
      </c>
      <c r="H13" s="235">
        <v>47</v>
      </c>
      <c r="I13" s="235">
        <v>35</v>
      </c>
      <c r="J13" s="478">
        <f t="shared" si="0"/>
        <v>62.5</v>
      </c>
      <c r="K13" s="479">
        <f t="shared" si="1"/>
        <v>39.5</v>
      </c>
      <c r="L13" s="479">
        <f t="shared" si="1"/>
        <v>29</v>
      </c>
    </row>
    <row r="14" spans="2:12" ht="13.9" x14ac:dyDescent="0.45">
      <c r="B14" s="247" t="s">
        <v>498</v>
      </c>
      <c r="C14" s="233" t="s">
        <v>497</v>
      </c>
      <c r="D14" s="234">
        <v>30</v>
      </c>
      <c r="E14" s="235">
        <f>D14/2</f>
        <v>15</v>
      </c>
      <c r="F14" s="235">
        <v>11</v>
      </c>
      <c r="G14" s="234"/>
      <c r="H14" s="235"/>
      <c r="I14" s="235"/>
      <c r="J14" s="478">
        <f t="shared" si="0"/>
        <v>-30</v>
      </c>
      <c r="K14" s="479">
        <f t="shared" si="1"/>
        <v>-15</v>
      </c>
      <c r="L14" s="479">
        <f t="shared" si="1"/>
        <v>-11</v>
      </c>
    </row>
    <row r="15" spans="2:12" ht="13.9" x14ac:dyDescent="0.45">
      <c r="B15" s="247" t="s">
        <v>509</v>
      </c>
      <c r="C15" s="233"/>
      <c r="D15" s="234"/>
      <c r="E15" s="235"/>
      <c r="G15" s="234"/>
      <c r="H15" s="235"/>
      <c r="I15" s="235"/>
      <c r="J15" s="478">
        <f t="shared" si="0"/>
        <v>0</v>
      </c>
      <c r="K15" s="479">
        <f t="shared" si="1"/>
        <v>0</v>
      </c>
      <c r="L15" s="479">
        <f t="shared" si="1"/>
        <v>0</v>
      </c>
    </row>
    <row r="16" spans="2:12" ht="13.9" x14ac:dyDescent="0.45">
      <c r="B16" s="247" t="s">
        <v>485</v>
      </c>
      <c r="C16" s="233" t="s">
        <v>486</v>
      </c>
      <c r="D16" s="234">
        <v>27</v>
      </c>
      <c r="E16" s="235">
        <v>9</v>
      </c>
      <c r="F16" s="235"/>
      <c r="G16" s="234">
        <v>22</v>
      </c>
      <c r="H16" s="235">
        <v>9</v>
      </c>
      <c r="I16" s="235"/>
      <c r="J16" s="478">
        <f t="shared" si="0"/>
        <v>-5</v>
      </c>
      <c r="K16" s="479">
        <f t="shared" si="1"/>
        <v>0</v>
      </c>
      <c r="L16" s="479">
        <f t="shared" si="1"/>
        <v>0</v>
      </c>
    </row>
    <row r="17" spans="2:12" ht="13.9" x14ac:dyDescent="0.45">
      <c r="B17" s="537" t="s">
        <v>62</v>
      </c>
      <c r="C17" s="538"/>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zoomScale="85" zoomScaleNormal="85" workbookViewId="0">
      <selection activeCell="H20" sqref="H20"/>
    </sheetView>
  </sheetViews>
  <sheetFormatPr defaultColWidth="9.1328125" defaultRowHeight="13.15" x14ac:dyDescent="0.4"/>
  <cols>
    <col min="1" max="1" width="4.86328125" style="422" customWidth="1"/>
    <col min="2" max="2" width="5" style="422" bestFit="1" customWidth="1"/>
    <col min="3" max="3" width="16" style="422" customWidth="1"/>
    <col min="4" max="4" width="9" style="422" bestFit="1" customWidth="1"/>
    <col min="5" max="5" width="48.1328125" style="422" bestFit="1" customWidth="1"/>
    <col min="6" max="6" width="21.1328125" style="422" customWidth="1"/>
    <col min="7" max="7" width="10" style="422" customWidth="1"/>
    <col min="8" max="8" width="16.6640625" style="422" bestFit="1" customWidth="1"/>
    <col min="9" max="9" width="13.6640625" style="422" customWidth="1"/>
    <col min="10" max="10" width="10.86328125" style="422" customWidth="1"/>
    <col min="11" max="11" width="11.19921875" style="422" customWidth="1"/>
    <col min="12" max="12" width="14.86328125" style="422" customWidth="1"/>
    <col min="13" max="13" width="18.19921875" style="422" customWidth="1"/>
    <col min="14" max="14" width="186.53125" style="422" bestFit="1" customWidth="1"/>
    <col min="15" max="18" width="9.1328125" style="422"/>
    <col min="19" max="19" width="8.53125" style="422" hidden="1" customWidth="1"/>
    <col min="20" max="20" width="8.46484375" style="422" hidden="1" customWidth="1"/>
    <col min="21" max="21" width="7.53125" style="422" hidden="1" customWidth="1"/>
    <col min="22" max="22" width="8" style="422" hidden="1" customWidth="1"/>
    <col min="23" max="23" width="7.86328125" style="422" hidden="1" customWidth="1"/>
    <col min="24" max="24" width="8.1328125" style="422" hidden="1" customWidth="1"/>
    <col min="25" max="25" width="7.6640625" style="422" hidden="1" customWidth="1"/>
    <col min="26" max="28" width="0" style="422" hidden="1" customWidth="1"/>
    <col min="29" max="16384" width="9.1328125" style="422"/>
  </cols>
  <sheetData>
    <row r="1" spans="1:28" s="426" customFormat="1" ht="26.25" x14ac:dyDescent="0.4">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4">
      <c r="B2" s="450"/>
      <c r="C2" s="459"/>
      <c r="D2" s="460"/>
      <c r="E2" s="461"/>
      <c r="F2" s="462"/>
      <c r="G2" s="462"/>
      <c r="H2" s="463" t="s">
        <v>547</v>
      </c>
      <c r="I2" s="463" t="s">
        <v>539</v>
      </c>
      <c r="J2" s="463" t="s">
        <v>540</v>
      </c>
      <c r="K2" s="463" t="s">
        <v>541</v>
      </c>
      <c r="L2" s="463" t="s">
        <v>542</v>
      </c>
      <c r="M2" s="463"/>
      <c r="N2" s="448"/>
    </row>
    <row r="3" spans="1:28" s="423" customFormat="1" x14ac:dyDescent="0.4">
      <c r="A3" s="445"/>
      <c r="B3" s="450"/>
      <c r="C3" s="539" t="s">
        <v>585</v>
      </c>
      <c r="D3" s="460" t="s">
        <v>295</v>
      </c>
      <c r="E3" s="461" t="s">
        <v>482</v>
      </c>
      <c r="F3" s="464">
        <v>29</v>
      </c>
      <c r="G3" s="492">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4">
      <c r="A4" s="445"/>
      <c r="B4" s="450"/>
      <c r="C4" s="539"/>
      <c r="D4" s="460" t="s">
        <v>483</v>
      </c>
      <c r="E4" s="461" t="s">
        <v>484</v>
      </c>
      <c r="F4" s="464">
        <v>7</v>
      </c>
      <c r="G4" s="492">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4">
      <c r="A5" s="445"/>
      <c r="B5" s="450"/>
      <c r="C5" s="539"/>
      <c r="D5" s="460" t="s">
        <v>489</v>
      </c>
      <c r="E5" s="461" t="s">
        <v>490</v>
      </c>
      <c r="F5" s="464">
        <v>30.5</v>
      </c>
      <c r="G5" s="492">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4">
      <c r="A6" s="445"/>
      <c r="B6" s="450"/>
      <c r="C6" s="539"/>
      <c r="D6" s="460" t="s">
        <v>491</v>
      </c>
      <c r="E6" s="461" t="s">
        <v>492</v>
      </c>
      <c r="F6" s="464">
        <v>76.25</v>
      </c>
      <c r="G6" s="492">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4">
      <c r="A7" s="445"/>
      <c r="B7" s="450"/>
      <c r="C7" s="539"/>
      <c r="D7" s="460" t="s">
        <v>493</v>
      </c>
      <c r="E7" s="461" t="s">
        <v>494</v>
      </c>
      <c r="F7" s="464">
        <v>49</v>
      </c>
      <c r="G7" s="492">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4">
      <c r="A8" s="445"/>
      <c r="B8" s="450" t="s">
        <v>508</v>
      </c>
      <c r="C8" s="539"/>
      <c r="D8" s="460" t="s">
        <v>495</v>
      </c>
      <c r="E8" s="461" t="s">
        <v>558</v>
      </c>
      <c r="F8" s="464">
        <v>36.5</v>
      </c>
      <c r="G8" s="492">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4">
      <c r="A9" s="445"/>
      <c r="B9" s="450" t="s">
        <v>508</v>
      </c>
      <c r="C9" s="539"/>
      <c r="D9" s="460" t="s">
        <v>326</v>
      </c>
      <c r="E9" s="461" t="s">
        <v>481</v>
      </c>
      <c r="F9" s="464">
        <v>160.5</v>
      </c>
      <c r="G9" s="492">
        <v>59</v>
      </c>
      <c r="H9" s="462">
        <f>ROUND(G9*0.75,0)</f>
        <v>44</v>
      </c>
      <c r="I9" s="462">
        <f>ROUND($H9*80%,0)</f>
        <v>35</v>
      </c>
      <c r="J9" s="462">
        <f t="shared" si="7"/>
        <v>4</v>
      </c>
      <c r="K9" s="462">
        <f t="shared" si="7"/>
        <v>4</v>
      </c>
      <c r="L9" s="462">
        <f>ROUND($H9*0%,0)</f>
        <v>0</v>
      </c>
      <c r="M9" s="462">
        <f>ROUND($H9*20%,0)</f>
        <v>9</v>
      </c>
      <c r="N9" s="448" t="s">
        <v>510</v>
      </c>
      <c r="P9" s="442">
        <f t="shared" si="0"/>
        <v>23.6</v>
      </c>
      <c r="Q9" s="442">
        <f t="shared" si="1"/>
        <v>20.65</v>
      </c>
      <c r="R9" s="442">
        <f t="shared" si="2"/>
        <v>14.75</v>
      </c>
      <c r="S9" s="442">
        <f t="shared" si="3"/>
        <v>39</v>
      </c>
      <c r="T9" s="423">
        <f t="shared" si="4"/>
        <v>13</v>
      </c>
      <c r="U9" s="423">
        <f t="shared" si="8"/>
        <v>5</v>
      </c>
      <c r="V9" s="423">
        <f t="shared" si="9"/>
        <v>5</v>
      </c>
      <c r="W9" s="423">
        <f t="shared" si="10"/>
        <v>3</v>
      </c>
      <c r="AA9" s="423">
        <f t="shared" si="5"/>
        <v>13</v>
      </c>
      <c r="AB9" s="423">
        <f t="shared" si="6"/>
        <v>1</v>
      </c>
    </row>
    <row r="10" spans="1:28" s="423" customFormat="1" x14ac:dyDescent="0.4">
      <c r="A10" s="445"/>
      <c r="B10" s="450" t="s">
        <v>508</v>
      </c>
      <c r="C10" s="539"/>
      <c r="D10" s="460" t="s">
        <v>499</v>
      </c>
      <c r="E10" s="461" t="s">
        <v>557</v>
      </c>
      <c r="F10" s="464">
        <v>77.5</v>
      </c>
      <c r="G10" s="492">
        <v>44</v>
      </c>
      <c r="H10" s="462">
        <f>ROUND(G10*0.75,0)</f>
        <v>33</v>
      </c>
      <c r="I10" s="462">
        <f>ROUND($H10*80%,0)</f>
        <v>26</v>
      </c>
      <c r="J10" s="462">
        <f>ROUND($H10*10%,0)</f>
        <v>3</v>
      </c>
      <c r="K10" s="462">
        <f>ROUND($H10*10%,0)</f>
        <v>3</v>
      </c>
      <c r="L10" s="462">
        <f>ROUND($H10*0%,0)</f>
        <v>0</v>
      </c>
      <c r="M10" s="462">
        <f>ROUND($H10*20%,0)</f>
        <v>7</v>
      </c>
      <c r="N10" s="448" t="s">
        <v>510</v>
      </c>
      <c r="P10" s="442">
        <f>G10*40%</f>
        <v>17.600000000000001</v>
      </c>
      <c r="Q10" s="442">
        <f>G10*35%</f>
        <v>15.399999999999999</v>
      </c>
      <c r="R10" s="442">
        <f>G10*25%</f>
        <v>11</v>
      </c>
      <c r="S10" s="442">
        <f>I10+J10+L10</f>
        <v>29</v>
      </c>
      <c r="T10" s="423">
        <f>ROUND(S10/3,0)</f>
        <v>10</v>
      </c>
      <c r="U10" s="423">
        <f>ROUND(T10*0.4,0)</f>
        <v>4</v>
      </c>
      <c r="V10" s="423">
        <f>ROUND(T10*0.4,0)</f>
        <v>4</v>
      </c>
      <c r="W10" s="423">
        <f>ROUND(T10*0.2,0)</f>
        <v>2</v>
      </c>
      <c r="AA10" s="423">
        <f>SUM(U10:Z10)</f>
        <v>10</v>
      </c>
      <c r="AB10" s="423">
        <f>MATCH(AA10,T10,0)</f>
        <v>1</v>
      </c>
    </row>
    <row r="11" spans="1:28" s="423" customFormat="1" ht="13.8" customHeight="1" x14ac:dyDescent="0.4">
      <c r="A11" s="445"/>
      <c r="B11" s="450"/>
      <c r="C11" s="541" t="s">
        <v>562</v>
      </c>
      <c r="D11" s="498" t="s">
        <v>506</v>
      </c>
      <c r="E11" s="495" t="s">
        <v>501</v>
      </c>
      <c r="F11" s="499">
        <v>15</v>
      </c>
      <c r="G11" s="500">
        <f>F11/2</f>
        <v>7.5</v>
      </c>
      <c r="H11" s="500">
        <f>ROUND(G11*1,0)</f>
        <v>8</v>
      </c>
      <c r="I11" s="500">
        <f>ROUND($H11*90%,0)</f>
        <v>7</v>
      </c>
      <c r="J11" s="500"/>
      <c r="K11" s="500"/>
      <c r="L11" s="500">
        <f>ROUND($H11*10%,0)</f>
        <v>1</v>
      </c>
      <c r="M11" s="500"/>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4">
      <c r="A12" s="445"/>
      <c r="B12" s="450"/>
      <c r="C12" s="541"/>
      <c r="D12" s="498" t="s">
        <v>505</v>
      </c>
      <c r="E12" s="495" t="s">
        <v>502</v>
      </c>
      <c r="F12" s="499">
        <v>15</v>
      </c>
      <c r="G12" s="500">
        <f>F12/2</f>
        <v>7.5</v>
      </c>
      <c r="H12" s="500">
        <f>ROUND(G12*1,0)</f>
        <v>8</v>
      </c>
      <c r="I12" s="500">
        <f>ROUND($H12*80%,0)</f>
        <v>6</v>
      </c>
      <c r="J12" s="500">
        <f>ROUND($H12*10%,0)</f>
        <v>1</v>
      </c>
      <c r="K12" s="500"/>
      <c r="L12" s="500">
        <f>ROUND($H12*10%,0)</f>
        <v>1</v>
      </c>
      <c r="M12" s="500"/>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4">
      <c r="A13" s="445"/>
      <c r="B13" s="450"/>
      <c r="C13" s="541"/>
      <c r="D13" s="465" t="s">
        <v>504</v>
      </c>
      <c r="E13" s="466" t="s">
        <v>582</v>
      </c>
      <c r="F13" s="467">
        <v>150</v>
      </c>
      <c r="G13" s="493">
        <v>90</v>
      </c>
      <c r="H13" s="468">
        <f>ROUND(G13*1,0)</f>
        <v>90</v>
      </c>
      <c r="I13" s="468">
        <f>ROUND($H13*70%,0)</f>
        <v>63</v>
      </c>
      <c r="J13" s="468">
        <f>ROUND($H13*10%,0)</f>
        <v>9</v>
      </c>
      <c r="K13" s="468">
        <f>ROUND($H13*10%,0)</f>
        <v>9</v>
      </c>
      <c r="L13" s="468">
        <f>ROUND($H13*10%,0)</f>
        <v>9</v>
      </c>
      <c r="M13" s="468"/>
      <c r="N13" s="448" t="s">
        <v>549</v>
      </c>
      <c r="P13" s="442">
        <f>G13*40%</f>
        <v>36</v>
      </c>
      <c r="Q13" s="442">
        <f>G13*35%</f>
        <v>31.499999999999996</v>
      </c>
      <c r="R13" s="442">
        <f>G13*25%</f>
        <v>22.5</v>
      </c>
      <c r="S13" s="442">
        <f>I13+J13+L13</f>
        <v>81</v>
      </c>
      <c r="T13" s="423">
        <f>ROUND(S13/3,0)</f>
        <v>27</v>
      </c>
      <c r="U13" s="423">
        <f>ROUND(T13*0.3,0)</f>
        <v>8</v>
      </c>
      <c r="V13" s="423">
        <f>ROUND(T13*0.35,0)</f>
        <v>9</v>
      </c>
      <c r="W13" s="423">
        <f>ROUND(T13*0.25,0)</f>
        <v>7</v>
      </c>
      <c r="X13" s="423">
        <v>1</v>
      </c>
      <c r="Y13" s="423">
        <v>1</v>
      </c>
      <c r="Z13" s="423">
        <v>1</v>
      </c>
      <c r="AA13" s="423">
        <f>SUM(U13:Z13)</f>
        <v>27</v>
      </c>
      <c r="AB13" s="423">
        <f>MATCH(AA13,T13,0)</f>
        <v>1</v>
      </c>
    </row>
    <row r="14" spans="1:28" s="423" customFormat="1" x14ac:dyDescent="0.4">
      <c r="A14" s="445"/>
      <c r="C14" s="541"/>
      <c r="D14" s="465" t="s">
        <v>498</v>
      </c>
      <c r="E14" s="466" t="s">
        <v>497</v>
      </c>
      <c r="F14" s="467">
        <v>30</v>
      </c>
      <c r="G14" s="493">
        <v>29</v>
      </c>
      <c r="H14" s="468">
        <f>ROUND(G14*0.75,0)</f>
        <v>22</v>
      </c>
      <c r="I14" s="468">
        <f>ROUND($H14*80%,0)</f>
        <v>18</v>
      </c>
      <c r="J14" s="468">
        <f>ROUND($H14*10%,0)</f>
        <v>2</v>
      </c>
      <c r="K14" s="468">
        <f>ROUND($H14*10%,0)</f>
        <v>2</v>
      </c>
      <c r="L14" s="468">
        <f>ROUND($H14*0%,0)</f>
        <v>0</v>
      </c>
      <c r="M14" s="468">
        <f>ROUND($H14*20%,0)</f>
        <v>4</v>
      </c>
      <c r="N14" s="448"/>
      <c r="P14" s="442">
        <f>G19*40%</f>
        <v>0</v>
      </c>
      <c r="Q14" s="442">
        <f>G19*35%</f>
        <v>0</v>
      </c>
      <c r="R14" s="442">
        <f>G19*25%</f>
        <v>0</v>
      </c>
      <c r="S14" s="442">
        <f>I19+J19+L19</f>
        <v>0</v>
      </c>
      <c r="T14" s="423">
        <f>ROUND(S14/3,0)</f>
        <v>0</v>
      </c>
      <c r="AA14" s="423">
        <f>SUM(U14:Z14)</f>
        <v>0</v>
      </c>
      <c r="AB14" s="423">
        <f>MATCH(AA14,T14,0)</f>
        <v>1</v>
      </c>
    </row>
    <row r="15" spans="1:28" s="423" customFormat="1" x14ac:dyDescent="0.4">
      <c r="A15" s="445"/>
      <c r="B15" s="450" t="s">
        <v>508</v>
      </c>
      <c r="C15" s="542" t="s">
        <v>561</v>
      </c>
      <c r="D15" s="469" t="s">
        <v>326</v>
      </c>
      <c r="E15" s="470" t="s">
        <v>481</v>
      </c>
      <c r="F15" s="471">
        <f>200-F9</f>
        <v>39.5</v>
      </c>
      <c r="G15" s="472">
        <v>59</v>
      </c>
      <c r="H15" s="472">
        <f>ROUND(G15*0.75,0)</f>
        <v>44</v>
      </c>
      <c r="I15" s="472">
        <f>ROUND($H15*80%,0)</f>
        <v>35</v>
      </c>
      <c r="J15" s="472">
        <f t="shared" ref="J15:K15" si="11">ROUND($H15*10%,0)</f>
        <v>4</v>
      </c>
      <c r="K15" s="472">
        <f t="shared" si="11"/>
        <v>4</v>
      </c>
      <c r="L15" s="472">
        <f>ROUND($H15*0%,0)</f>
        <v>0</v>
      </c>
      <c r="M15" s="472">
        <f>ROUND($H15*20%,0)</f>
        <v>9</v>
      </c>
      <c r="N15" s="448" t="s">
        <v>510</v>
      </c>
      <c r="P15" s="442">
        <f>G14*40%</f>
        <v>11.600000000000001</v>
      </c>
      <c r="Q15" s="442">
        <f>G14*35%</f>
        <v>10.149999999999999</v>
      </c>
      <c r="R15" s="442">
        <f>G14*25%</f>
        <v>7.25</v>
      </c>
      <c r="S15" s="442">
        <f>I14+J14+L14</f>
        <v>20</v>
      </c>
      <c r="T15" s="423">
        <f t="shared" si="4"/>
        <v>7</v>
      </c>
      <c r="U15" s="423">
        <f t="shared" si="8"/>
        <v>3</v>
      </c>
      <c r="V15" s="423">
        <f t="shared" si="9"/>
        <v>3</v>
      </c>
      <c r="W15" s="423">
        <f t="shared" si="10"/>
        <v>1</v>
      </c>
      <c r="AA15" s="423">
        <f t="shared" si="5"/>
        <v>7</v>
      </c>
      <c r="AB15" s="423">
        <f t="shared" si="6"/>
        <v>1</v>
      </c>
    </row>
    <row r="16" spans="1:28" s="423" customFormat="1" x14ac:dyDescent="0.4">
      <c r="A16" s="445"/>
      <c r="B16" s="450"/>
      <c r="C16" s="542"/>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20.65</v>
      </c>
      <c r="R16" s="442"/>
      <c r="S16" s="442"/>
    </row>
    <row r="17" spans="1:28" s="423" customFormat="1" x14ac:dyDescent="0.4">
      <c r="A17" s="445"/>
      <c r="B17" s="450"/>
      <c r="C17" s="542"/>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4">
      <c r="A18" s="445"/>
      <c r="B18" s="450"/>
      <c r="C18" s="542"/>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4">
      <c r="A19" s="445"/>
      <c r="B19" s="450" t="s">
        <v>530</v>
      </c>
      <c r="C19" s="473"/>
      <c r="F19" s="464"/>
      <c r="G19" s="462"/>
      <c r="H19" s="462"/>
      <c r="I19" s="462"/>
      <c r="J19" s="462"/>
      <c r="K19" s="462"/>
      <c r="L19" s="462"/>
      <c r="M19" s="462"/>
      <c r="N19" s="448"/>
      <c r="P19" s="442"/>
      <c r="Q19" s="442"/>
      <c r="R19" s="442"/>
      <c r="S19" s="442"/>
    </row>
    <row r="20" spans="1:28" ht="15" customHeight="1" x14ac:dyDescent="0.4">
      <c r="B20" s="454"/>
      <c r="C20" s="540" t="s">
        <v>62</v>
      </c>
      <c r="D20" s="540"/>
      <c r="E20" s="540"/>
      <c r="F20" s="474">
        <f>SUM(F3:F19)</f>
        <v>801.25</v>
      </c>
      <c r="G20" s="474">
        <f>SUM(G3:G14)</f>
        <v>349</v>
      </c>
      <c r="H20" s="474">
        <f>SUM(H3:H14)</f>
        <v>308</v>
      </c>
      <c r="I20" s="474">
        <f t="shared" ref="I20:M20" si="12">SUM(I3:I14)</f>
        <v>230</v>
      </c>
      <c r="J20" s="474">
        <f t="shared" si="12"/>
        <v>27</v>
      </c>
      <c r="K20" s="474">
        <f t="shared" si="12"/>
        <v>24</v>
      </c>
      <c r="L20" s="474">
        <f t="shared" si="12"/>
        <v>27</v>
      </c>
      <c r="M20" s="474">
        <f t="shared" si="12"/>
        <v>28</v>
      </c>
      <c r="N20" s="446"/>
      <c r="P20" s="421">
        <f>SUM(P3:P19)</f>
        <v>131.54999999999998</v>
      </c>
      <c r="Q20" s="421">
        <f>SUM(Q3:Q19)</f>
        <v>146.57500000000002</v>
      </c>
      <c r="R20" s="421">
        <f>SUM(R3:R19)</f>
        <v>91.525000000000006</v>
      </c>
      <c r="S20" s="442">
        <f t="shared" si="3"/>
        <v>284</v>
      </c>
      <c r="T20" s="421">
        <f t="shared" ref="T20:Z20" si="13">SUM(T3:T19)</f>
        <v>96</v>
      </c>
      <c r="U20" s="421">
        <f t="shared" si="13"/>
        <v>34</v>
      </c>
      <c r="V20" s="421">
        <f t="shared" si="13"/>
        <v>40</v>
      </c>
      <c r="W20" s="421">
        <f t="shared" si="13"/>
        <v>22</v>
      </c>
      <c r="X20" s="421">
        <f t="shared" si="13"/>
        <v>8</v>
      </c>
      <c r="Y20" s="421">
        <f t="shared" si="13"/>
        <v>10</v>
      </c>
      <c r="Z20" s="421">
        <f t="shared" si="13"/>
        <v>7</v>
      </c>
      <c r="AB20" s="423"/>
    </row>
    <row r="21" spans="1:28" x14ac:dyDescent="0.4">
      <c r="E21" s="451"/>
      <c r="F21" s="453"/>
      <c r="G21" s="452"/>
      <c r="H21" s="453">
        <f>H20/G20</f>
        <v>0.88252148997134672</v>
      </c>
      <c r="I21" s="452"/>
      <c r="J21" s="452"/>
      <c r="K21" s="452"/>
      <c r="L21" s="452"/>
      <c r="M21" s="455"/>
      <c r="P21" s="443">
        <f>P20/G$20%</f>
        <v>37.693409742120338</v>
      </c>
      <c r="Q21" s="443">
        <f>Q20/G$20%</f>
        <v>41.998567335243557</v>
      </c>
      <c r="R21" s="443">
        <f>R20/G$20%</f>
        <v>26.224928366762178</v>
      </c>
      <c r="S21" s="442">
        <f>I26+J26+L26</f>
        <v>275.75912636505456</v>
      </c>
      <c r="U21" s="440">
        <f>U20/T20</f>
        <v>0.35416666666666669</v>
      </c>
      <c r="V21" s="440">
        <f>V20/T20</f>
        <v>0.41666666666666669</v>
      </c>
      <c r="W21" s="440">
        <f>W20/T20</f>
        <v>0.22916666666666666</v>
      </c>
      <c r="X21" s="440">
        <f>X20/T20</f>
        <v>8.3333333333333329E-2</v>
      </c>
      <c r="Y21" s="440">
        <f>Y20/T20</f>
        <v>0.10416666666666667</v>
      </c>
      <c r="Z21" s="440">
        <f>Z20/T20</f>
        <v>7.2916666666666671E-2</v>
      </c>
      <c r="AB21" s="423"/>
    </row>
    <row r="22" spans="1:28" x14ac:dyDescent="0.4">
      <c r="C22" s="456" t="s">
        <v>509</v>
      </c>
      <c r="D22" s="456" t="s">
        <v>485</v>
      </c>
      <c r="E22" s="457" t="s">
        <v>486</v>
      </c>
      <c r="F22" s="453">
        <v>22</v>
      </c>
      <c r="G22" s="494">
        <v>9</v>
      </c>
      <c r="H22" s="452"/>
      <c r="I22" s="452"/>
      <c r="J22" s="452"/>
      <c r="K22" s="452"/>
      <c r="L22" s="452"/>
      <c r="M22" s="455"/>
    </row>
    <row r="23" spans="1:28" x14ac:dyDescent="0.4">
      <c r="D23" s="456" t="s">
        <v>584</v>
      </c>
      <c r="E23" s="457" t="s">
        <v>583</v>
      </c>
      <c r="G23" s="494">
        <v>603</v>
      </c>
    </row>
    <row r="24" spans="1:28" x14ac:dyDescent="0.4">
      <c r="D24" s="496" t="s">
        <v>487</v>
      </c>
      <c r="E24" s="497" t="s">
        <v>488</v>
      </c>
      <c r="G24" s="494"/>
    </row>
    <row r="25" spans="1:28" x14ac:dyDescent="0.4">
      <c r="D25" s="456"/>
      <c r="E25" s="457"/>
      <c r="G25" s="494"/>
    </row>
    <row r="26" spans="1:28" x14ac:dyDescent="0.4">
      <c r="E26" s="422" t="s">
        <v>559</v>
      </c>
      <c r="F26" s="426">
        <f>800-22</f>
        <v>778</v>
      </c>
      <c r="G26" s="443">
        <f t="shared" ref="G26:M26" si="14">F26/F20*G20</f>
        <v>338.8730109204368</v>
      </c>
      <c r="H26" s="443">
        <f t="shared" si="14"/>
        <v>299.06271450858031</v>
      </c>
      <c r="I26" s="443">
        <f t="shared" si="14"/>
        <v>223.32605304212166</v>
      </c>
      <c r="J26" s="443">
        <f t="shared" si="14"/>
        <v>26.216536661466456</v>
      </c>
      <c r="K26" s="443">
        <f t="shared" si="14"/>
        <v>23.303588143525737</v>
      </c>
      <c r="L26" s="443">
        <f t="shared" si="14"/>
        <v>26.216536661466453</v>
      </c>
      <c r="M26" s="443">
        <f t="shared" si="14"/>
        <v>27.187519500780024</v>
      </c>
      <c r="V26" s="422" t="s">
        <v>528</v>
      </c>
      <c r="W26" s="422" t="s">
        <v>529</v>
      </c>
      <c r="X26" s="422" t="s">
        <v>285</v>
      </c>
      <c r="Y26" s="422" t="s">
        <v>534</v>
      </c>
    </row>
    <row r="27" spans="1:28" x14ac:dyDescent="0.4">
      <c r="T27" s="422" t="s">
        <v>526</v>
      </c>
      <c r="U27" s="422" t="s">
        <v>517</v>
      </c>
      <c r="V27" s="424">
        <f>U$20/T$20%</f>
        <v>35.416666666666671</v>
      </c>
      <c r="W27" s="424">
        <f>U20</f>
        <v>34</v>
      </c>
      <c r="X27" s="422">
        <f t="shared" ref="X27:X32" si="15">W27/T$20*H$32</f>
        <v>100.58333333333334</v>
      </c>
      <c r="Y27" s="422">
        <f>X27/W27</f>
        <v>2.9583333333333335</v>
      </c>
    </row>
    <row r="28" spans="1:28" x14ac:dyDescent="0.4">
      <c r="G28" s="441">
        <f>F20/G20</f>
        <v>2.2958452722063036</v>
      </c>
      <c r="H28" s="441"/>
      <c r="U28" s="422" t="s">
        <v>518</v>
      </c>
      <c r="V28" s="424">
        <f>V20/T20%</f>
        <v>41.666666666666671</v>
      </c>
      <c r="W28" s="424">
        <f>V20</f>
        <v>40</v>
      </c>
      <c r="X28" s="422">
        <f t="shared" si="15"/>
        <v>118.33333333333334</v>
      </c>
      <c r="Y28" s="422">
        <f t="shared" ref="Y28:Y32" si="16">X28/W28</f>
        <v>2.9583333333333335</v>
      </c>
    </row>
    <row r="29" spans="1:28" x14ac:dyDescent="0.4">
      <c r="G29" s="441">
        <f>G20/F20</f>
        <v>0.43556942277691107</v>
      </c>
      <c r="H29" s="441">
        <f>(I20+J20+L20)/G20</f>
        <v>0.81375358166189116</v>
      </c>
      <c r="U29" s="422" t="s">
        <v>519</v>
      </c>
      <c r="V29" s="424">
        <f>W20/T20%</f>
        <v>22.916666666666668</v>
      </c>
      <c r="W29" s="424">
        <f>W20</f>
        <v>22</v>
      </c>
      <c r="X29" s="422">
        <f t="shared" si="15"/>
        <v>65.083333333333329</v>
      </c>
      <c r="Y29" s="422">
        <f t="shared" si="16"/>
        <v>2.958333333333333</v>
      </c>
    </row>
    <row r="30" spans="1:28" x14ac:dyDescent="0.4">
      <c r="T30" s="422" t="s">
        <v>527</v>
      </c>
      <c r="U30" s="422" t="s">
        <v>517</v>
      </c>
      <c r="V30" s="424">
        <f>X20/T20%</f>
        <v>8.3333333333333339</v>
      </c>
      <c r="W30" s="424">
        <f>X20</f>
        <v>8</v>
      </c>
      <c r="X30" s="422">
        <f t="shared" si="15"/>
        <v>23.666666666666664</v>
      </c>
      <c r="Y30" s="422">
        <f t="shared" si="16"/>
        <v>2.958333333333333</v>
      </c>
    </row>
    <row r="31" spans="1:28" x14ac:dyDescent="0.4">
      <c r="G31" s="424"/>
      <c r="K31" s="422" t="s">
        <v>22</v>
      </c>
      <c r="L31" s="422" t="s">
        <v>535</v>
      </c>
      <c r="U31" s="422" t="s">
        <v>518</v>
      </c>
      <c r="V31" s="424">
        <f>Y20/T20%</f>
        <v>10.416666666666668</v>
      </c>
      <c r="W31" s="424">
        <f>Y20</f>
        <v>10</v>
      </c>
      <c r="X31" s="422">
        <f t="shared" si="15"/>
        <v>29.583333333333336</v>
      </c>
      <c r="Y31" s="422">
        <f t="shared" si="16"/>
        <v>2.9583333333333335</v>
      </c>
    </row>
    <row r="32" spans="1:28" x14ac:dyDescent="0.4">
      <c r="E32" s="422" t="s">
        <v>513</v>
      </c>
      <c r="F32" s="422" t="s">
        <v>511</v>
      </c>
      <c r="G32" s="424">
        <f>I20+L20</f>
        <v>257</v>
      </c>
      <c r="H32" s="424">
        <f>G32+G33</f>
        <v>284</v>
      </c>
      <c r="I32" s="422" t="s">
        <v>527</v>
      </c>
      <c r="J32" s="441">
        <f>36/H32%</f>
        <v>12.67605633802817</v>
      </c>
      <c r="K32" s="424">
        <f>L20</f>
        <v>27</v>
      </c>
      <c r="L32" s="441">
        <f>K32/3</f>
        <v>9</v>
      </c>
      <c r="U32" s="422" t="s">
        <v>519</v>
      </c>
      <c r="V32" s="424">
        <f>Z20/T20%</f>
        <v>7.291666666666667</v>
      </c>
      <c r="W32" s="424">
        <f>Z20</f>
        <v>7</v>
      </c>
      <c r="X32" s="422">
        <f t="shared" si="15"/>
        <v>20.708333333333336</v>
      </c>
      <c r="Y32" s="422">
        <f t="shared" si="16"/>
        <v>2.9583333333333335</v>
      </c>
    </row>
    <row r="33" spans="6:24" x14ac:dyDescent="0.4">
      <c r="F33" s="422" t="s">
        <v>512</v>
      </c>
      <c r="G33" s="424">
        <f>J20</f>
        <v>27</v>
      </c>
      <c r="I33" s="422" t="s">
        <v>526</v>
      </c>
      <c r="J33" s="441">
        <f>(H32-L20)/H32%</f>
        <v>90.492957746478879</v>
      </c>
      <c r="K33" s="424">
        <f>I20+J20</f>
        <v>257</v>
      </c>
      <c r="L33" s="441">
        <f>K33/3</f>
        <v>85.666666666666671</v>
      </c>
      <c r="V33" s="424">
        <f>SUM(V27:V32)</f>
        <v>126.04166666666669</v>
      </c>
      <c r="X33" s="422">
        <f>SUM(X27:X32)</f>
        <v>357.95833333333331</v>
      </c>
    </row>
  </sheetData>
  <mergeCells count="4">
    <mergeCell ref="C3:C10"/>
    <mergeCell ref="C20:E20"/>
    <mergeCell ref="C11:C14"/>
    <mergeCell ref="C15:C18"/>
  </mergeCells>
  <conditionalFormatting sqref="V33">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zoomScale="85" zoomScaleNormal="85" workbookViewId="0">
      <pane xSplit="3" topLeftCell="D1" activePane="topRight" state="frozen"/>
      <selection pane="topRight" activeCell="I18" sqref="I18"/>
    </sheetView>
  </sheetViews>
  <sheetFormatPr defaultColWidth="9.1328125" defaultRowHeight="13.15" x14ac:dyDescent="0.4"/>
  <cols>
    <col min="1" max="1" width="5" style="422" bestFit="1" customWidth="1"/>
    <col min="2" max="2" width="11.53125" style="422" customWidth="1"/>
    <col min="3" max="3" width="44" style="422" customWidth="1"/>
    <col min="4" max="4" width="12.265625" style="422" customWidth="1"/>
    <col min="5" max="5" width="12.1328125" style="422" customWidth="1"/>
    <col min="6" max="6" width="11.06640625" style="422" customWidth="1"/>
    <col min="7" max="7" width="12.46484375" style="422" customWidth="1"/>
    <col min="8" max="8" width="12.33203125" style="422" bestFit="1" customWidth="1"/>
    <col min="9" max="9" width="14" style="422" customWidth="1"/>
    <col min="10" max="10" width="10.46484375" style="422" customWidth="1"/>
    <col min="11" max="11" width="8.46484375" style="422" customWidth="1"/>
    <col min="12" max="12" width="16.46484375" style="422" customWidth="1"/>
    <col min="13" max="13" width="12" style="422" customWidth="1"/>
    <col min="14" max="14" width="10.1328125" style="422" bestFit="1" customWidth="1"/>
    <col min="15" max="15" width="96.9296875" style="422" customWidth="1"/>
    <col min="16" max="19" width="9.1328125" style="422"/>
    <col min="20" max="20" width="8.53125" style="422" hidden="1" customWidth="1"/>
    <col min="21" max="21" width="8.46484375" style="422" hidden="1" customWidth="1"/>
    <col min="22" max="22" width="7.53125" style="422" hidden="1" customWidth="1"/>
    <col min="23" max="23" width="8" style="422" hidden="1" customWidth="1"/>
    <col min="24" max="24" width="7.86328125" style="422" hidden="1" customWidth="1"/>
    <col min="25" max="25" width="8.1328125" style="422" hidden="1" customWidth="1"/>
    <col min="26" max="26" width="7.6640625" style="422" hidden="1" customWidth="1"/>
    <col min="27" max="29" width="0" style="422" hidden="1" customWidth="1"/>
    <col min="30" max="16384" width="9.1328125" style="422"/>
  </cols>
  <sheetData>
    <row r="1" spans="1:29" s="426" customFormat="1" ht="37.5" customHeight="1" x14ac:dyDescent="0.4">
      <c r="A1" s="410" t="s">
        <v>507</v>
      </c>
      <c r="B1" s="410" t="s">
        <v>282</v>
      </c>
      <c r="C1" s="410" t="s">
        <v>283</v>
      </c>
      <c r="D1" s="516" t="s">
        <v>515</v>
      </c>
      <c r="E1" s="516" t="s">
        <v>587</v>
      </c>
      <c r="F1" s="516" t="s">
        <v>588</v>
      </c>
      <c r="G1" s="520" t="s">
        <v>590</v>
      </c>
      <c r="H1" s="520" t="s">
        <v>591</v>
      </c>
      <c r="I1" s="425" t="s">
        <v>543</v>
      </c>
      <c r="J1" s="425" t="s">
        <v>545</v>
      </c>
      <c r="K1" s="425" t="s">
        <v>480</v>
      </c>
      <c r="L1" s="425" t="s">
        <v>273</v>
      </c>
      <c r="M1" s="425" t="s">
        <v>546</v>
      </c>
      <c r="N1" s="425" t="s">
        <v>514</v>
      </c>
      <c r="O1" s="411" t="s">
        <v>10</v>
      </c>
      <c r="Q1" s="410" t="s">
        <v>536</v>
      </c>
      <c r="R1" s="410" t="s">
        <v>538</v>
      </c>
      <c r="S1" s="410" t="s">
        <v>537</v>
      </c>
      <c r="U1" s="425" t="s">
        <v>516</v>
      </c>
      <c r="V1" s="425" t="s">
        <v>520</v>
      </c>
      <c r="W1" s="425" t="s">
        <v>521</v>
      </c>
      <c r="X1" s="425" t="s">
        <v>522</v>
      </c>
      <c r="Y1" s="425" t="s">
        <v>523</v>
      </c>
      <c r="Z1" s="425" t="s">
        <v>524</v>
      </c>
      <c r="AA1" s="425" t="s">
        <v>525</v>
      </c>
    </row>
    <row r="2" spans="1:29" s="423" customFormat="1" x14ac:dyDescent="0.4">
      <c r="A2" s="412"/>
      <c r="B2" s="412"/>
      <c r="C2" s="413"/>
      <c r="D2" s="414"/>
      <c r="E2" s="415"/>
      <c r="F2" s="444"/>
      <c r="G2" s="414"/>
      <c r="H2" s="415"/>
      <c r="I2" s="444" t="s">
        <v>547</v>
      </c>
      <c r="J2" s="444" t="s">
        <v>539</v>
      </c>
      <c r="K2" s="444" t="s">
        <v>540</v>
      </c>
      <c r="L2" s="444" t="s">
        <v>541</v>
      </c>
      <c r="M2" s="444" t="s">
        <v>542</v>
      </c>
      <c r="N2" s="444"/>
      <c r="O2" s="416"/>
    </row>
    <row r="3" spans="1:29" s="423" customFormat="1" x14ac:dyDescent="0.4">
      <c r="A3" s="412"/>
      <c r="B3" s="412" t="s">
        <v>504</v>
      </c>
      <c r="C3" s="413" t="s">
        <v>582</v>
      </c>
      <c r="D3" s="414">
        <v>150</v>
      </c>
      <c r="E3" s="415">
        <v>75</v>
      </c>
      <c r="F3" s="415">
        <v>75</v>
      </c>
      <c r="G3" s="414">
        <v>184</v>
      </c>
      <c r="H3" s="517">
        <v>90</v>
      </c>
      <c r="I3" s="415">
        <f>ROUND(H3*1,0)</f>
        <v>90</v>
      </c>
      <c r="J3" s="417">
        <f>ROUND($I3*70%,0)</f>
        <v>63</v>
      </c>
      <c r="K3" s="417">
        <f>ROUND($I3*10%,0)</f>
        <v>9</v>
      </c>
      <c r="L3" s="417">
        <f>ROUND($I3*10%,0)</f>
        <v>9</v>
      </c>
      <c r="M3" s="415">
        <f>ROUND($I3*10%,0)</f>
        <v>9</v>
      </c>
      <c r="N3" s="415"/>
      <c r="O3" s="416" t="s">
        <v>549</v>
      </c>
      <c r="Q3" s="442">
        <f>H3*40%</f>
        <v>36</v>
      </c>
      <c r="R3" s="442">
        <f>H3*35%</f>
        <v>31.499999999999996</v>
      </c>
      <c r="S3" s="442">
        <f>H3*25%</f>
        <v>22.5</v>
      </c>
      <c r="T3" s="442">
        <f>J3+K3+M3</f>
        <v>81</v>
      </c>
      <c r="U3" s="423">
        <f>ROUND(T3/3,0)</f>
        <v>27</v>
      </c>
      <c r="V3" s="423">
        <f>ROUND(U3*0.3,0)</f>
        <v>8</v>
      </c>
      <c r="W3" s="423">
        <f>ROUND(U3*0.35,0)</f>
        <v>9</v>
      </c>
      <c r="X3" s="423">
        <f>ROUND(U3*0.25,0)</f>
        <v>7</v>
      </c>
      <c r="Y3" s="423">
        <v>1</v>
      </c>
      <c r="Z3" s="423">
        <v>1</v>
      </c>
      <c r="AA3" s="423">
        <v>1</v>
      </c>
      <c r="AB3" s="423">
        <f>SUM(V3:AA3)</f>
        <v>27</v>
      </c>
      <c r="AC3" s="423">
        <f>MATCH(AB3,U3,0)</f>
        <v>1</v>
      </c>
    </row>
    <row r="4" spans="1:29" s="423" customFormat="1" x14ac:dyDescent="0.4">
      <c r="A4" s="417"/>
      <c r="B4" s="417" t="s">
        <v>295</v>
      </c>
      <c r="C4" s="418" t="s">
        <v>482</v>
      </c>
      <c r="D4" s="417">
        <v>35</v>
      </c>
      <c r="E4" s="415">
        <v>17.5</v>
      </c>
      <c r="F4" s="417">
        <v>13</v>
      </c>
      <c r="G4" s="417">
        <v>27</v>
      </c>
      <c r="H4" s="517">
        <v>11</v>
      </c>
      <c r="I4" s="417">
        <f>ROUND(H4*0.75,0)</f>
        <v>8</v>
      </c>
      <c r="J4" s="417">
        <f>ROUND($I4*90%,0)</f>
        <v>7</v>
      </c>
      <c r="K4" s="417"/>
      <c r="L4" s="417">
        <f>ROUND($I4*10%,0)</f>
        <v>1</v>
      </c>
      <c r="M4" s="417"/>
      <c r="N4" s="417">
        <f>ROUND($I4*10%,0)</f>
        <v>1</v>
      </c>
      <c r="O4" s="416" t="s">
        <v>533</v>
      </c>
      <c r="Q4" s="442">
        <f t="shared" ref="Q4:Q17" si="0">H4*40%</f>
        <v>4.4000000000000004</v>
      </c>
      <c r="R4" s="442">
        <f t="shared" ref="R4:R17" si="1">H4*35%</f>
        <v>3.8499999999999996</v>
      </c>
      <c r="S4" s="442">
        <f t="shared" ref="S4:S17" si="2">H4*25%</f>
        <v>2.75</v>
      </c>
      <c r="T4" s="442">
        <f t="shared" ref="T4:T18" si="3">J4+K4+M4</f>
        <v>7</v>
      </c>
      <c r="U4" s="423">
        <f t="shared" ref="U4:U17" si="4">ROUND(T4/3,0)</f>
        <v>2</v>
      </c>
      <c r="V4" s="423">
        <v>1</v>
      </c>
      <c r="W4" s="423">
        <v>2</v>
      </c>
      <c r="X4" s="423">
        <v>1</v>
      </c>
      <c r="AB4" s="423">
        <f t="shared" ref="AB4:AB17" si="5">SUM(V4:AA4)</f>
        <v>4</v>
      </c>
      <c r="AC4" s="423" t="e">
        <f t="shared" ref="AC4:AC17" si="6">MATCH(AB4,U4,0)</f>
        <v>#N/A</v>
      </c>
    </row>
    <row r="5" spans="1:29" s="423" customFormat="1" x14ac:dyDescent="0.4">
      <c r="A5" s="510"/>
      <c r="B5" s="510" t="s">
        <v>506</v>
      </c>
      <c r="C5" s="511" t="s">
        <v>501</v>
      </c>
      <c r="D5" s="512">
        <v>15</v>
      </c>
      <c r="E5" s="513">
        <v>7.5</v>
      </c>
      <c r="F5" s="514">
        <v>8</v>
      </c>
      <c r="G5" s="512">
        <v>0</v>
      </c>
      <c r="H5" s="518">
        <v>0</v>
      </c>
      <c r="I5" s="514">
        <f>ROUND(H5*1,0)</f>
        <v>0</v>
      </c>
      <c r="J5" s="514">
        <f>ROUND($I5*90%,0)</f>
        <v>0</v>
      </c>
      <c r="K5" s="513"/>
      <c r="L5" s="513"/>
      <c r="M5" s="513">
        <f>ROUND($I5*10%,0)</f>
        <v>0</v>
      </c>
      <c r="N5" s="513"/>
      <c r="O5" s="515" t="s">
        <v>550</v>
      </c>
      <c r="Q5" s="442">
        <f>H5*20%</f>
        <v>0</v>
      </c>
      <c r="R5" s="442">
        <f>H5*40%</f>
        <v>0</v>
      </c>
      <c r="S5" s="442">
        <f>H5*40%</f>
        <v>0</v>
      </c>
      <c r="T5" s="442">
        <f t="shared" si="3"/>
        <v>0</v>
      </c>
      <c r="U5" s="423">
        <f t="shared" si="4"/>
        <v>0</v>
      </c>
      <c r="W5" s="423">
        <v>1</v>
      </c>
      <c r="Z5" s="423">
        <v>2</v>
      </c>
      <c r="AA5" s="423">
        <v>1</v>
      </c>
      <c r="AB5" s="423">
        <f t="shared" si="5"/>
        <v>4</v>
      </c>
      <c r="AC5" s="423" t="e">
        <f t="shared" si="6"/>
        <v>#N/A</v>
      </c>
    </row>
    <row r="6" spans="1:29" s="423" customFormat="1" x14ac:dyDescent="0.4">
      <c r="A6" s="412"/>
      <c r="B6" s="412" t="s">
        <v>483</v>
      </c>
      <c r="C6" s="413" t="s">
        <v>484</v>
      </c>
      <c r="D6" s="417">
        <v>5</v>
      </c>
      <c r="E6" s="415">
        <v>3.3333333333333335</v>
      </c>
      <c r="F6" s="417">
        <v>3</v>
      </c>
      <c r="G6" s="417">
        <v>5</v>
      </c>
      <c r="H6" s="517">
        <v>2</v>
      </c>
      <c r="I6" s="417">
        <f>ROUND(H6*0.75,0)</f>
        <v>2</v>
      </c>
      <c r="J6" s="417">
        <f>ROUND($I6*100%,0)</f>
        <v>2</v>
      </c>
      <c r="K6" s="417"/>
      <c r="L6" s="417"/>
      <c r="M6" s="417"/>
      <c r="N6" s="417">
        <f>ROUND($I6*20%,0)</f>
        <v>0</v>
      </c>
      <c r="O6" s="416" t="s">
        <v>551</v>
      </c>
      <c r="Q6" s="442">
        <f>H6*10%</f>
        <v>0.2</v>
      </c>
      <c r="R6" s="442">
        <f>H6*40%</f>
        <v>0.8</v>
      </c>
      <c r="S6" s="442">
        <f>H6*50%</f>
        <v>1</v>
      </c>
      <c r="T6" s="442">
        <f t="shared" si="3"/>
        <v>2</v>
      </c>
      <c r="U6" s="423">
        <f t="shared" si="4"/>
        <v>1</v>
      </c>
      <c r="V6" s="423">
        <v>1</v>
      </c>
      <c r="W6" s="423">
        <v>1</v>
      </c>
      <c r="AB6" s="423">
        <f t="shared" si="5"/>
        <v>2</v>
      </c>
      <c r="AC6" s="423" t="e">
        <f t="shared" si="6"/>
        <v>#N/A</v>
      </c>
    </row>
    <row r="7" spans="1:29" s="423" customFormat="1" x14ac:dyDescent="0.4">
      <c r="A7" s="412"/>
      <c r="B7" s="412" t="s">
        <v>489</v>
      </c>
      <c r="C7" s="413" t="s">
        <v>490</v>
      </c>
      <c r="D7" s="414">
        <v>66</v>
      </c>
      <c r="E7" s="415">
        <v>33</v>
      </c>
      <c r="F7" s="417">
        <v>40</v>
      </c>
      <c r="G7" s="414">
        <v>30</v>
      </c>
      <c r="H7" s="517">
        <v>17</v>
      </c>
      <c r="I7" s="417">
        <f>ROUND(H7*1.2,0)</f>
        <v>20</v>
      </c>
      <c r="J7" s="417">
        <f>ROUND($I7*70%,0)</f>
        <v>14</v>
      </c>
      <c r="K7" s="415"/>
      <c r="L7" s="417">
        <f>ROUND($I7*10%,0)</f>
        <v>2</v>
      </c>
      <c r="M7" s="415">
        <f>ROUND($I7*20%,0)</f>
        <v>4</v>
      </c>
      <c r="N7" s="417">
        <f>ROUND($I7*10%,0)</f>
        <v>2</v>
      </c>
      <c r="O7" s="416" t="s">
        <v>552</v>
      </c>
      <c r="Q7" s="442">
        <f>H7*35%</f>
        <v>5.9499999999999993</v>
      </c>
      <c r="R7" s="442">
        <f>H7*35%</f>
        <v>5.9499999999999993</v>
      </c>
      <c r="S7" s="442">
        <f>H7*30%</f>
        <v>5.0999999999999996</v>
      </c>
      <c r="T7" s="442">
        <f t="shared" si="3"/>
        <v>18</v>
      </c>
      <c r="U7" s="423">
        <f t="shared" si="4"/>
        <v>6</v>
      </c>
      <c r="V7" s="423">
        <v>2</v>
      </c>
      <c r="W7" s="423">
        <v>3</v>
      </c>
      <c r="X7" s="423">
        <v>2</v>
      </c>
      <c r="Y7" s="423">
        <v>2</v>
      </c>
      <c r="Z7" s="423">
        <v>2</v>
      </c>
      <c r="AA7" s="423">
        <v>1</v>
      </c>
      <c r="AB7" s="423">
        <f t="shared" si="5"/>
        <v>12</v>
      </c>
      <c r="AC7" s="423" t="e">
        <f t="shared" si="6"/>
        <v>#N/A</v>
      </c>
    </row>
    <row r="8" spans="1:29" s="423" customFormat="1" x14ac:dyDescent="0.4">
      <c r="A8" s="510"/>
      <c r="B8" s="510" t="s">
        <v>505</v>
      </c>
      <c r="C8" s="511" t="s">
        <v>502</v>
      </c>
      <c r="D8" s="512">
        <v>15</v>
      </c>
      <c r="E8" s="513">
        <v>7.5</v>
      </c>
      <c r="F8" s="514">
        <v>8</v>
      </c>
      <c r="G8" s="512">
        <v>0</v>
      </c>
      <c r="H8" s="518">
        <v>0</v>
      </c>
      <c r="I8" s="514">
        <f>ROUND(H8*1,0)</f>
        <v>0</v>
      </c>
      <c r="J8" s="514">
        <f>ROUND($I8*80%,0)</f>
        <v>0</v>
      </c>
      <c r="K8" s="514">
        <f>ROUND($I8*10%,0)</f>
        <v>0</v>
      </c>
      <c r="L8" s="513"/>
      <c r="M8" s="513">
        <f>ROUND($I8*10%,0)</f>
        <v>0</v>
      </c>
      <c r="N8" s="513"/>
      <c r="O8" s="515" t="s">
        <v>553</v>
      </c>
      <c r="Q8" s="442">
        <f>H8*30%</f>
        <v>0</v>
      </c>
      <c r="R8" s="442">
        <f>H8*35%</f>
        <v>0</v>
      </c>
      <c r="S8" s="442">
        <f>H8*35%</f>
        <v>0</v>
      </c>
      <c r="T8" s="442">
        <f t="shared" si="3"/>
        <v>0</v>
      </c>
      <c r="U8" s="423">
        <f t="shared" si="4"/>
        <v>0</v>
      </c>
      <c r="V8" s="423">
        <v>1</v>
      </c>
      <c r="W8" s="423">
        <v>1</v>
      </c>
      <c r="X8" s="423">
        <v>1</v>
      </c>
      <c r="Z8" s="423">
        <v>1</v>
      </c>
      <c r="AB8" s="423">
        <f t="shared" si="5"/>
        <v>4</v>
      </c>
      <c r="AC8" s="423" t="e">
        <f t="shared" si="6"/>
        <v>#N/A</v>
      </c>
    </row>
    <row r="9" spans="1:29" s="423" customFormat="1" x14ac:dyDescent="0.4">
      <c r="A9" s="412"/>
      <c r="B9" s="412" t="s">
        <v>491</v>
      </c>
      <c r="C9" s="413" t="s">
        <v>492</v>
      </c>
      <c r="D9" s="414">
        <v>111</v>
      </c>
      <c r="E9" s="415">
        <v>55.5</v>
      </c>
      <c r="F9" s="417">
        <v>56</v>
      </c>
      <c r="G9" s="414">
        <v>67</v>
      </c>
      <c r="H9" s="517">
        <v>45</v>
      </c>
      <c r="I9" s="417">
        <f>ROUND(H9*1.3,0)</f>
        <v>59</v>
      </c>
      <c r="J9" s="417">
        <f>ROUND($I9*70%,0)</f>
        <v>41</v>
      </c>
      <c r="K9" s="417">
        <f>ROUND($I9*10%,0)</f>
        <v>6</v>
      </c>
      <c r="L9" s="415"/>
      <c r="M9" s="415">
        <f>ROUND($I9*20%,0)</f>
        <v>12</v>
      </c>
      <c r="N9" s="415"/>
      <c r="O9" s="416" t="s">
        <v>554</v>
      </c>
      <c r="Q9" s="442">
        <f>H9*35%</f>
        <v>15.749999999999998</v>
      </c>
      <c r="R9" s="442">
        <f>H9*40%</f>
        <v>18</v>
      </c>
      <c r="S9" s="442">
        <f>H9*25%</f>
        <v>11.25</v>
      </c>
      <c r="T9" s="442">
        <f t="shared" si="3"/>
        <v>59</v>
      </c>
      <c r="U9" s="423">
        <f t="shared" si="4"/>
        <v>20</v>
      </c>
      <c r="V9" s="423">
        <v>5</v>
      </c>
      <c r="W9" s="423">
        <v>5</v>
      </c>
      <c r="X9" s="423">
        <v>2</v>
      </c>
      <c r="Y9" s="423">
        <v>4</v>
      </c>
      <c r="Z9" s="423">
        <v>3</v>
      </c>
      <c r="AA9" s="423">
        <v>3</v>
      </c>
      <c r="AB9" s="423">
        <f t="shared" si="5"/>
        <v>22</v>
      </c>
      <c r="AC9" s="423" t="e">
        <f t="shared" si="6"/>
        <v>#N/A</v>
      </c>
    </row>
    <row r="10" spans="1:29" s="423" customFormat="1" x14ac:dyDescent="0.4">
      <c r="A10" s="412"/>
      <c r="B10" s="412" t="s">
        <v>493</v>
      </c>
      <c r="C10" s="413" t="s">
        <v>494</v>
      </c>
      <c r="D10" s="414">
        <v>93</v>
      </c>
      <c r="E10" s="415">
        <v>46.5</v>
      </c>
      <c r="F10" s="417">
        <v>35</v>
      </c>
      <c r="G10" s="414">
        <v>46</v>
      </c>
      <c r="H10" s="517">
        <v>21</v>
      </c>
      <c r="I10" s="417">
        <f>ROUND(H10*0.75,0)</f>
        <v>16</v>
      </c>
      <c r="J10" s="417">
        <f>ROUND($I10*60%,0)</f>
        <v>10</v>
      </c>
      <c r="K10" s="417">
        <f>ROUND($I10*10%,0)</f>
        <v>2</v>
      </c>
      <c r="L10" s="417">
        <f>ROUND($I10*10%,0)</f>
        <v>2</v>
      </c>
      <c r="M10" s="415">
        <f>ROUND($I10*20%,0)</f>
        <v>3</v>
      </c>
      <c r="N10" s="417">
        <f>ROUND($I10*20%,0)</f>
        <v>3</v>
      </c>
      <c r="O10" s="416" t="s">
        <v>555</v>
      </c>
      <c r="Q10" s="442">
        <f>H10*30%</f>
        <v>6.3</v>
      </c>
      <c r="R10" s="442">
        <f>H10*40%</f>
        <v>8.4</v>
      </c>
      <c r="S10" s="442">
        <f>H10*30%</f>
        <v>6.3</v>
      </c>
      <c r="T10" s="442">
        <f t="shared" si="3"/>
        <v>15</v>
      </c>
      <c r="U10" s="423">
        <f t="shared" si="4"/>
        <v>5</v>
      </c>
      <c r="V10" s="423">
        <v>2</v>
      </c>
      <c r="W10" s="423">
        <v>4</v>
      </c>
      <c r="X10" s="423">
        <v>2</v>
      </c>
      <c r="Y10" s="423">
        <v>1</v>
      </c>
      <c r="Z10" s="423">
        <v>1</v>
      </c>
      <c r="AA10" s="423">
        <v>1</v>
      </c>
      <c r="AB10" s="423">
        <f t="shared" si="5"/>
        <v>11</v>
      </c>
      <c r="AC10" s="423" t="e">
        <f t="shared" si="6"/>
        <v>#N/A</v>
      </c>
    </row>
    <row r="11" spans="1:29" s="423" customFormat="1" x14ac:dyDescent="0.4">
      <c r="A11" s="501" t="s">
        <v>530</v>
      </c>
      <c r="B11" s="501" t="s">
        <v>487</v>
      </c>
      <c r="C11" s="502" t="s">
        <v>488</v>
      </c>
      <c r="D11" s="503"/>
      <c r="E11" s="504"/>
      <c r="F11" s="504"/>
      <c r="G11" s="503"/>
      <c r="H11" s="519"/>
      <c r="I11" s="504"/>
      <c r="J11" s="504"/>
      <c r="K11" s="504"/>
      <c r="L11" s="504"/>
      <c r="M11" s="504"/>
      <c r="N11" s="504"/>
      <c r="O11" s="505"/>
      <c r="Q11" s="442">
        <f t="shared" si="0"/>
        <v>0</v>
      </c>
      <c r="R11" s="442">
        <f t="shared" si="1"/>
        <v>0</v>
      </c>
      <c r="S11" s="442">
        <f t="shared" si="2"/>
        <v>0</v>
      </c>
      <c r="T11" s="442">
        <f t="shared" si="3"/>
        <v>0</v>
      </c>
      <c r="U11" s="423">
        <f t="shared" si="4"/>
        <v>0</v>
      </c>
      <c r="AB11" s="423">
        <f t="shared" si="5"/>
        <v>0</v>
      </c>
      <c r="AC11" s="423">
        <f t="shared" si="6"/>
        <v>1</v>
      </c>
    </row>
    <row r="12" spans="1:29" s="423" customFormat="1" x14ac:dyDescent="0.4">
      <c r="A12" s="412" t="s">
        <v>508</v>
      </c>
      <c r="B12" s="412" t="s">
        <v>495</v>
      </c>
      <c r="C12" s="413" t="s">
        <v>586</v>
      </c>
      <c r="D12" s="414">
        <v>30</v>
      </c>
      <c r="E12" s="415">
        <v>15</v>
      </c>
      <c r="F12" s="415">
        <v>11</v>
      </c>
      <c r="G12" s="414">
        <f>32+4</f>
        <v>36</v>
      </c>
      <c r="H12" s="517">
        <v>16</v>
      </c>
      <c r="I12" s="415">
        <f>ROUND(H12*0.75,0)</f>
        <v>12</v>
      </c>
      <c r="J12" s="415">
        <f>ROUND($I12*80%,0)</f>
        <v>10</v>
      </c>
      <c r="K12" s="415">
        <f t="shared" ref="K12:L15" si="7">ROUND($I12*10%,0)</f>
        <v>1</v>
      </c>
      <c r="L12" s="415">
        <f t="shared" si="7"/>
        <v>1</v>
      </c>
      <c r="M12" s="415">
        <f>ROUND($I12*0%,0)</f>
        <v>0</v>
      </c>
      <c r="N12" s="415">
        <f>ROUND($I12*20%,0)</f>
        <v>2</v>
      </c>
      <c r="O12" s="416" t="s">
        <v>510</v>
      </c>
      <c r="Q12" s="442">
        <f t="shared" si="0"/>
        <v>6.4</v>
      </c>
      <c r="R12" s="442">
        <f t="shared" si="1"/>
        <v>5.6</v>
      </c>
      <c r="S12" s="442">
        <f t="shared" si="2"/>
        <v>4</v>
      </c>
      <c r="T12" s="442">
        <f t="shared" si="3"/>
        <v>11</v>
      </c>
      <c r="U12" s="423">
        <f t="shared" si="4"/>
        <v>4</v>
      </c>
      <c r="V12" s="423">
        <f t="shared" ref="V12:V15" si="8">ROUND(U12*0.4,0)</f>
        <v>2</v>
      </c>
      <c r="W12" s="423">
        <f t="shared" ref="W12:W15" si="9">ROUND(U12*0.4,0)</f>
        <v>2</v>
      </c>
      <c r="X12" s="423">
        <f t="shared" ref="X12:X15" si="10">ROUND(U12*0.2,0)</f>
        <v>1</v>
      </c>
      <c r="AB12" s="423">
        <f t="shared" si="5"/>
        <v>5</v>
      </c>
      <c r="AC12" s="423" t="e">
        <f t="shared" si="6"/>
        <v>#N/A</v>
      </c>
    </row>
    <row r="13" spans="1:29" s="423" customFormat="1" x14ac:dyDescent="0.4">
      <c r="A13" s="412" t="s">
        <v>508</v>
      </c>
      <c r="B13" s="412" t="s">
        <v>326</v>
      </c>
      <c r="C13" s="413" t="s">
        <v>481</v>
      </c>
      <c r="D13" s="414">
        <v>200</v>
      </c>
      <c r="E13" s="415">
        <v>100</v>
      </c>
      <c r="F13" s="415">
        <v>75</v>
      </c>
      <c r="G13" s="414">
        <f>158+0</f>
        <v>158</v>
      </c>
      <c r="H13" s="517">
        <v>59</v>
      </c>
      <c r="I13" s="415">
        <f>ROUND(H13*0.9,0)</f>
        <v>53</v>
      </c>
      <c r="J13" s="415">
        <f>ROUND($I13*80%,0)</f>
        <v>42</v>
      </c>
      <c r="K13" s="415">
        <f t="shared" si="7"/>
        <v>5</v>
      </c>
      <c r="L13" s="415">
        <f t="shared" si="7"/>
        <v>5</v>
      </c>
      <c r="M13" s="415">
        <f>ROUND($I13*0%,0)</f>
        <v>0</v>
      </c>
      <c r="N13" s="415">
        <f>ROUND($I13*20%,0)</f>
        <v>11</v>
      </c>
      <c r="O13" s="416" t="s">
        <v>510</v>
      </c>
      <c r="Q13" s="442">
        <f t="shared" si="0"/>
        <v>23.6</v>
      </c>
      <c r="R13" s="442">
        <f t="shared" si="1"/>
        <v>20.65</v>
      </c>
      <c r="S13" s="442">
        <f t="shared" si="2"/>
        <v>14.75</v>
      </c>
      <c r="T13" s="442">
        <f t="shared" si="3"/>
        <v>47</v>
      </c>
      <c r="U13" s="423">
        <f t="shared" si="4"/>
        <v>16</v>
      </c>
      <c r="V13" s="423">
        <f t="shared" si="8"/>
        <v>6</v>
      </c>
      <c r="W13" s="423">
        <f t="shared" si="9"/>
        <v>6</v>
      </c>
      <c r="X13" s="423">
        <f t="shared" si="10"/>
        <v>3</v>
      </c>
      <c r="AB13" s="423">
        <f t="shared" si="5"/>
        <v>15</v>
      </c>
      <c r="AC13" s="423" t="e">
        <f t="shared" si="6"/>
        <v>#N/A</v>
      </c>
    </row>
    <row r="14" spans="1:29" s="423" customFormat="1" x14ac:dyDescent="0.4">
      <c r="A14" s="412" t="s">
        <v>508</v>
      </c>
      <c r="B14" s="412" t="s">
        <v>499</v>
      </c>
      <c r="C14" s="413" t="s">
        <v>500</v>
      </c>
      <c r="D14" s="414">
        <v>15</v>
      </c>
      <c r="E14" s="415">
        <v>7.5</v>
      </c>
      <c r="F14" s="415">
        <v>6</v>
      </c>
      <c r="G14" s="414">
        <f>79.5+5</f>
        <v>84.5</v>
      </c>
      <c r="H14" s="517">
        <v>44</v>
      </c>
      <c r="I14" s="415">
        <f>ROUND(H14*0.75,0)</f>
        <v>33</v>
      </c>
      <c r="J14" s="415">
        <f>ROUND($I14*80%,0)</f>
        <v>26</v>
      </c>
      <c r="K14" s="415">
        <f t="shared" si="7"/>
        <v>3</v>
      </c>
      <c r="L14" s="415">
        <f t="shared" si="7"/>
        <v>3</v>
      </c>
      <c r="M14" s="415">
        <f>ROUND($I14*0%,0)</f>
        <v>0</v>
      </c>
      <c r="N14" s="415">
        <f>ROUND($I14*20%,0)</f>
        <v>7</v>
      </c>
      <c r="O14" s="416" t="s">
        <v>510</v>
      </c>
      <c r="Q14" s="442">
        <f t="shared" si="0"/>
        <v>17.600000000000001</v>
      </c>
      <c r="R14" s="442">
        <f t="shared" si="1"/>
        <v>15.399999999999999</v>
      </c>
      <c r="S14" s="442">
        <f t="shared" si="2"/>
        <v>11</v>
      </c>
      <c r="T14" s="442">
        <f t="shared" si="3"/>
        <v>29</v>
      </c>
      <c r="U14" s="423">
        <f t="shared" si="4"/>
        <v>10</v>
      </c>
      <c r="V14" s="423">
        <f t="shared" si="8"/>
        <v>4</v>
      </c>
      <c r="W14" s="423">
        <f t="shared" si="9"/>
        <v>4</v>
      </c>
      <c r="X14" s="423">
        <f t="shared" si="10"/>
        <v>2</v>
      </c>
      <c r="AB14" s="423">
        <f t="shared" si="5"/>
        <v>10</v>
      </c>
      <c r="AC14" s="423">
        <f t="shared" si="6"/>
        <v>1</v>
      </c>
    </row>
    <row r="15" spans="1:29" s="423" customFormat="1" x14ac:dyDescent="0.4">
      <c r="A15" s="412" t="s">
        <v>508</v>
      </c>
      <c r="B15" s="412" t="s">
        <v>498</v>
      </c>
      <c r="C15" s="413" t="s">
        <v>497</v>
      </c>
      <c r="D15" s="414">
        <v>30</v>
      </c>
      <c r="E15" s="415">
        <v>15</v>
      </c>
      <c r="F15" s="415">
        <v>11</v>
      </c>
      <c r="G15" s="414">
        <v>59.5</v>
      </c>
      <c r="H15" s="517">
        <v>29</v>
      </c>
      <c r="I15" s="415">
        <f>ROUND(H15*0.75,0)</f>
        <v>22</v>
      </c>
      <c r="J15" s="415">
        <f>ROUND($I15*80%,0)</f>
        <v>18</v>
      </c>
      <c r="K15" s="415">
        <f t="shared" si="7"/>
        <v>2</v>
      </c>
      <c r="L15" s="415">
        <f t="shared" si="7"/>
        <v>2</v>
      </c>
      <c r="M15" s="415">
        <f>ROUND($I15*0%,0)</f>
        <v>0</v>
      </c>
      <c r="N15" s="415">
        <f>ROUND($I15*20%,0)</f>
        <v>4</v>
      </c>
      <c r="O15" s="416" t="s">
        <v>510</v>
      </c>
      <c r="Q15" s="442">
        <f t="shared" si="0"/>
        <v>11.600000000000001</v>
      </c>
      <c r="R15" s="442">
        <f t="shared" si="1"/>
        <v>10.149999999999999</v>
      </c>
      <c r="S15" s="442">
        <f t="shared" si="2"/>
        <v>7.25</v>
      </c>
      <c r="T15" s="442">
        <f t="shared" si="3"/>
        <v>20</v>
      </c>
      <c r="U15" s="423">
        <f t="shared" si="4"/>
        <v>7</v>
      </c>
      <c r="V15" s="423">
        <f t="shared" si="8"/>
        <v>3</v>
      </c>
      <c r="W15" s="423">
        <f t="shared" si="9"/>
        <v>3</v>
      </c>
      <c r="X15" s="423">
        <f t="shared" si="10"/>
        <v>1</v>
      </c>
      <c r="AB15" s="423">
        <f t="shared" si="5"/>
        <v>7</v>
      </c>
      <c r="AC15" s="423">
        <f t="shared" si="6"/>
        <v>1</v>
      </c>
    </row>
    <row r="16" spans="1:29" s="423" customFormat="1" x14ac:dyDescent="0.4">
      <c r="A16" s="412"/>
      <c r="B16" s="521" t="s">
        <v>509</v>
      </c>
      <c r="C16" s="413"/>
      <c r="D16" s="414"/>
      <c r="E16" s="415"/>
      <c r="F16" s="415"/>
      <c r="G16" s="414"/>
      <c r="H16" s="517"/>
      <c r="I16" s="415"/>
      <c r="J16" s="415"/>
      <c r="K16" s="415"/>
      <c r="L16" s="415"/>
      <c r="M16" s="415"/>
      <c r="N16" s="415"/>
      <c r="O16" s="416"/>
      <c r="Q16" s="442">
        <f t="shared" si="0"/>
        <v>0</v>
      </c>
      <c r="R16" s="442">
        <f t="shared" si="1"/>
        <v>0</v>
      </c>
      <c r="S16" s="442">
        <f t="shared" si="2"/>
        <v>0</v>
      </c>
      <c r="T16" s="442">
        <f t="shared" si="3"/>
        <v>0</v>
      </c>
      <c r="U16" s="423">
        <f t="shared" si="4"/>
        <v>0</v>
      </c>
      <c r="AB16" s="423">
        <f t="shared" si="5"/>
        <v>0</v>
      </c>
      <c r="AC16" s="423">
        <f t="shared" si="6"/>
        <v>1</v>
      </c>
    </row>
    <row r="17" spans="1:37" s="423" customFormat="1" x14ac:dyDescent="0.4">
      <c r="A17" s="412"/>
      <c r="B17" s="412" t="s">
        <v>485</v>
      </c>
      <c r="C17" s="413" t="s">
        <v>486</v>
      </c>
      <c r="D17" s="414">
        <v>27</v>
      </c>
      <c r="E17" s="415"/>
      <c r="F17" s="415"/>
      <c r="G17" s="414">
        <v>18</v>
      </c>
      <c r="H17" s="517">
        <v>9</v>
      </c>
      <c r="I17" s="415"/>
      <c r="J17" s="415"/>
      <c r="K17" s="415"/>
      <c r="L17" s="415"/>
      <c r="M17" s="415"/>
      <c r="N17" s="415"/>
      <c r="O17" s="416"/>
      <c r="Q17" s="442">
        <f t="shared" si="0"/>
        <v>3.6</v>
      </c>
      <c r="R17" s="442">
        <f t="shared" si="1"/>
        <v>3.15</v>
      </c>
      <c r="S17" s="442">
        <f t="shared" si="2"/>
        <v>2.25</v>
      </c>
      <c r="T17" s="442">
        <f t="shared" si="3"/>
        <v>0</v>
      </c>
      <c r="U17" s="423">
        <f t="shared" si="4"/>
        <v>0</v>
      </c>
      <c r="AB17" s="423">
        <f t="shared" si="5"/>
        <v>0</v>
      </c>
      <c r="AC17" s="423">
        <f t="shared" si="6"/>
        <v>1</v>
      </c>
    </row>
    <row r="18" spans="1:37" x14ac:dyDescent="0.4">
      <c r="A18" s="419"/>
      <c r="B18" s="419" t="s">
        <v>62</v>
      </c>
      <c r="C18" s="419"/>
      <c r="D18" s="421">
        <f>SUM(D3:D17)</f>
        <v>792</v>
      </c>
      <c r="E18" s="421">
        <f>SUM(E3:E17)</f>
        <v>383.33333333333331</v>
      </c>
      <c r="F18" s="421">
        <f>SUM(F3:F17)</f>
        <v>341</v>
      </c>
      <c r="G18" s="421">
        <f>SUM(G3:G17)</f>
        <v>715</v>
      </c>
      <c r="H18" s="421">
        <f t="shared" ref="H18:N18" si="11">SUM(H3:H17)</f>
        <v>343</v>
      </c>
      <c r="I18" s="421">
        <f t="shared" si="11"/>
        <v>315</v>
      </c>
      <c r="J18" s="421">
        <f>SUM(J3:J17)</f>
        <v>233</v>
      </c>
      <c r="K18" s="421">
        <f>SUM(K3:K17)</f>
        <v>28</v>
      </c>
      <c r="L18" s="421">
        <f>SUM(L3:L17)</f>
        <v>25</v>
      </c>
      <c r="M18" s="421">
        <f>SUM(M3:M17)</f>
        <v>28</v>
      </c>
      <c r="N18" s="421">
        <f t="shared" si="11"/>
        <v>30</v>
      </c>
      <c r="O18" s="420"/>
      <c r="Q18" s="421">
        <f t="shared" ref="Q18:S18" si="12">SUM(Q3:Q17)</f>
        <v>131.39999999999998</v>
      </c>
      <c r="R18" s="421">
        <f t="shared" si="12"/>
        <v>123.45000000000002</v>
      </c>
      <c r="S18" s="421">
        <f t="shared" si="12"/>
        <v>88.15</v>
      </c>
      <c r="T18" s="442">
        <f t="shared" si="3"/>
        <v>289</v>
      </c>
      <c r="U18" s="421">
        <f t="shared" ref="U18:AA18" si="13">SUM(U3:U17)</f>
        <v>98</v>
      </c>
      <c r="V18" s="421">
        <f t="shared" si="13"/>
        <v>35</v>
      </c>
      <c r="W18" s="421">
        <f t="shared" si="13"/>
        <v>41</v>
      </c>
      <c r="X18" s="421">
        <f t="shared" si="13"/>
        <v>22</v>
      </c>
      <c r="Y18" s="421">
        <f t="shared" si="13"/>
        <v>8</v>
      </c>
      <c r="Z18" s="421">
        <f t="shared" si="13"/>
        <v>10</v>
      </c>
      <c r="AA18" s="421">
        <f t="shared" si="13"/>
        <v>7</v>
      </c>
      <c r="AC18" s="423"/>
    </row>
    <row r="19" spans="1:37" s="423" customFormat="1" x14ac:dyDescent="0.4">
      <c r="A19" s="454"/>
      <c r="B19" s="454"/>
      <c r="C19" s="454"/>
      <c r="D19" s="507"/>
      <c r="E19" s="507"/>
      <c r="F19" s="507"/>
      <c r="G19" s="507"/>
      <c r="H19" s="507"/>
      <c r="I19" s="507"/>
      <c r="J19" s="507"/>
      <c r="K19" s="507"/>
      <c r="L19" s="507"/>
      <c r="M19" s="507"/>
      <c r="N19" s="507"/>
      <c r="O19" s="508"/>
      <c r="Q19" s="507"/>
      <c r="R19" s="507"/>
      <c r="S19" s="507"/>
      <c r="T19" s="442"/>
      <c r="U19" s="507"/>
      <c r="V19" s="507"/>
      <c r="W19" s="507"/>
      <c r="X19" s="507"/>
      <c r="Y19" s="507"/>
      <c r="Z19" s="507"/>
      <c r="AA19" s="507"/>
    </row>
    <row r="20" spans="1:37" x14ac:dyDescent="0.4">
      <c r="M20" s="422">
        <f>G18/H18</f>
        <v>2.0845481049562684</v>
      </c>
      <c r="Q20" s="443">
        <f>Q18/H$18%</f>
        <v>38.309037900874628</v>
      </c>
      <c r="R20" s="443">
        <f>R18/H$18%</f>
        <v>35.991253644314874</v>
      </c>
      <c r="S20" s="443">
        <f>S18/H$18%</f>
        <v>25.699708454810494</v>
      </c>
      <c r="T20" s="442" t="e">
        <f>J20+K20+#REF!</f>
        <v>#REF!</v>
      </c>
      <c r="V20" s="440">
        <f>V18/U18</f>
        <v>0.35714285714285715</v>
      </c>
      <c r="W20" s="440">
        <f>W18/U18</f>
        <v>0.41836734693877553</v>
      </c>
      <c r="X20" s="440">
        <f>X18/U18</f>
        <v>0.22448979591836735</v>
      </c>
      <c r="Y20" s="440">
        <f>Y18/U18</f>
        <v>8.1632653061224483E-2</v>
      </c>
      <c r="Z20" s="440">
        <f>Z18/U18</f>
        <v>0.10204081632653061</v>
      </c>
      <c r="AA20" s="440">
        <f>AA18/U18</f>
        <v>7.1428571428571425E-2</v>
      </c>
      <c r="AC20" s="423"/>
    </row>
    <row r="21" spans="1:37" x14ac:dyDescent="0.4">
      <c r="M21" s="422">
        <f>H18/G18</f>
        <v>0.4797202797202797</v>
      </c>
      <c r="N21" s="422">
        <f>(J18+K18+M18)/H18</f>
        <v>0.8425655976676385</v>
      </c>
    </row>
    <row r="23" spans="1:37" x14ac:dyDescent="0.4">
      <c r="A23" s="506"/>
      <c r="B23" s="506" t="s">
        <v>584</v>
      </c>
      <c r="C23" s="506" t="s">
        <v>583</v>
      </c>
      <c r="D23" s="506"/>
      <c r="E23" s="506"/>
      <c r="F23" s="506"/>
      <c r="G23" s="506">
        <v>2</v>
      </c>
      <c r="H23" s="506">
        <v>603</v>
      </c>
    </row>
    <row r="24" spans="1:37" x14ac:dyDescent="0.4">
      <c r="W24" s="422" t="s">
        <v>528</v>
      </c>
      <c r="X24" s="422" t="s">
        <v>529</v>
      </c>
      <c r="Y24" s="422" t="s">
        <v>285</v>
      </c>
      <c r="Z24" s="422" t="s">
        <v>534</v>
      </c>
    </row>
    <row r="25" spans="1:37" x14ac:dyDescent="0.4">
      <c r="U25" s="422" t="s">
        <v>526</v>
      </c>
      <c r="V25" s="422" t="s">
        <v>517</v>
      </c>
      <c r="W25" s="424">
        <f>V$18/U$18%</f>
        <v>35.714285714285715</v>
      </c>
      <c r="X25" s="424">
        <f>V18</f>
        <v>35</v>
      </c>
      <c r="Y25" s="422">
        <f t="shared" ref="Y25:Y30" si="14">X25/U$18*AG$26</f>
        <v>103.21428571428572</v>
      </c>
      <c r="Z25" s="422">
        <f>Y25/X25</f>
        <v>2.9489795918367347</v>
      </c>
      <c r="AF25" s="424"/>
      <c r="AJ25" s="422" t="s">
        <v>22</v>
      </c>
      <c r="AK25" s="422" t="s">
        <v>535</v>
      </c>
    </row>
    <row r="26" spans="1:37" x14ac:dyDescent="0.4">
      <c r="V26" s="422" t="s">
        <v>518</v>
      </c>
      <c r="W26" s="424">
        <f>W18/U18%</f>
        <v>41.836734693877553</v>
      </c>
      <c r="X26" s="424">
        <f>W18</f>
        <v>41</v>
      </c>
      <c r="Y26" s="422">
        <f t="shared" si="14"/>
        <v>120.90816326530613</v>
      </c>
      <c r="Z26" s="422">
        <f t="shared" ref="Z26:Z30" si="15">Y26/X26</f>
        <v>2.9489795918367347</v>
      </c>
      <c r="AE26" s="422" t="s">
        <v>511</v>
      </c>
      <c r="AF26" s="424">
        <f>J18+M18</f>
        <v>261</v>
      </c>
      <c r="AG26" s="424">
        <f>AF26+AF27</f>
        <v>289</v>
      </c>
      <c r="AH26" s="422" t="s">
        <v>527</v>
      </c>
      <c r="AI26" s="441">
        <f>36/AG26%</f>
        <v>12.45674740484429</v>
      </c>
      <c r="AJ26" s="424">
        <f>M18</f>
        <v>28</v>
      </c>
      <c r="AK26" s="422">
        <f>AJ26/3</f>
        <v>9.3333333333333339</v>
      </c>
    </row>
    <row r="27" spans="1:37" x14ac:dyDescent="0.4">
      <c r="V27" s="422" t="s">
        <v>519</v>
      </c>
      <c r="W27" s="424">
        <f>X18/U18%</f>
        <v>22.448979591836736</v>
      </c>
      <c r="X27" s="424">
        <f>X18</f>
        <v>22</v>
      </c>
      <c r="Y27" s="422">
        <f t="shared" si="14"/>
        <v>64.877551020408163</v>
      </c>
      <c r="Z27" s="422">
        <f t="shared" si="15"/>
        <v>2.9489795918367347</v>
      </c>
      <c r="AE27" s="422" t="s">
        <v>512</v>
      </c>
      <c r="AF27" s="424">
        <f>K18</f>
        <v>28</v>
      </c>
      <c r="AH27" s="422" t="s">
        <v>526</v>
      </c>
      <c r="AI27" s="441">
        <f>(AG26-M18)/AG26%</f>
        <v>90.311418685121097</v>
      </c>
      <c r="AJ27" s="424">
        <f>J18+K18</f>
        <v>261</v>
      </c>
      <c r="AK27" s="422">
        <f>AJ27/3</f>
        <v>87</v>
      </c>
    </row>
    <row r="28" spans="1:37" x14ac:dyDescent="0.4">
      <c r="U28" s="422" t="s">
        <v>527</v>
      </c>
      <c r="V28" s="422" t="s">
        <v>517</v>
      </c>
      <c r="W28" s="424">
        <f>Y18/U18%</f>
        <v>8.1632653061224492</v>
      </c>
      <c r="X28" s="424">
        <f>Y18</f>
        <v>8</v>
      </c>
      <c r="Y28" s="422">
        <f t="shared" si="14"/>
        <v>23.591836734693874</v>
      </c>
      <c r="Z28" s="422">
        <f t="shared" si="15"/>
        <v>2.9489795918367343</v>
      </c>
      <c r="AF28" s="422">
        <f>G18/H18</f>
        <v>2.0845481049562684</v>
      </c>
    </row>
    <row r="29" spans="1:37" x14ac:dyDescent="0.4">
      <c r="V29" s="422" t="s">
        <v>518</v>
      </c>
      <c r="W29" s="424">
        <f>Z18/U18%</f>
        <v>10.204081632653061</v>
      </c>
      <c r="X29" s="424">
        <f>Z18</f>
        <v>10</v>
      </c>
      <c r="Y29" s="422">
        <f t="shared" si="14"/>
        <v>29.489795918367349</v>
      </c>
      <c r="Z29" s="422">
        <f t="shared" si="15"/>
        <v>2.9489795918367347</v>
      </c>
    </row>
    <row r="30" spans="1:37" x14ac:dyDescent="0.4">
      <c r="V30" s="422" t="s">
        <v>519</v>
      </c>
      <c r="W30" s="424">
        <f>AA18/U18%</f>
        <v>7.1428571428571432</v>
      </c>
      <c r="X30" s="424">
        <f>AA18</f>
        <v>7</v>
      </c>
      <c r="Y30" s="422">
        <f t="shared" si="14"/>
        <v>20.642857142857142</v>
      </c>
      <c r="Z30" s="422">
        <f t="shared" si="15"/>
        <v>2.9489795918367347</v>
      </c>
    </row>
    <row r="31" spans="1:37" ht="30.4" customHeight="1" x14ac:dyDescent="0.4">
      <c r="W31" s="424">
        <f>SUM(W25:W30)</f>
        <v>125.51020408163265</v>
      </c>
      <c r="Y31" s="422">
        <f>SUM(Y25:Y30)</f>
        <v>362.72448979591837</v>
      </c>
    </row>
    <row r="37" spans="2:2" x14ac:dyDescent="0.4">
      <c r="B37" s="422" t="s">
        <v>512</v>
      </c>
    </row>
    <row r="38" spans="2:2" x14ac:dyDescent="0.4">
      <c r="B38" s="422" t="s">
        <v>589</v>
      </c>
    </row>
  </sheetData>
  <conditionalFormatting sqref="W31">
    <cfRule type="cellIs" dxfId="138" priority="1" operator="lessThan">
      <formula>99.99</formula>
    </cfRule>
    <cfRule type="cellIs" dxfId="137" priority="2" operator="equal">
      <formula>100</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640625" defaultRowHeight="13.9" x14ac:dyDescent="0.45"/>
  <cols>
    <col min="1" max="1" width="3.53125" style="134" customWidth="1"/>
    <col min="2" max="2" width="7.6640625" style="134" bestFit="1" customWidth="1"/>
    <col min="3" max="3" width="7.86328125" style="135" bestFit="1" customWidth="1"/>
    <col min="4" max="4" width="31.33203125" style="151" customWidth="1"/>
    <col min="5" max="14" width="7.53125" style="135" customWidth="1"/>
    <col min="15" max="15" width="186.1328125" style="135" bestFit="1" customWidth="1"/>
    <col min="16" max="16" width="10.6640625" style="135" bestFit="1" customWidth="1"/>
    <col min="17" max="17" width="174.46484375" style="135" bestFit="1" customWidth="1"/>
    <col min="18" max="16384" width="8.6640625" style="145"/>
  </cols>
  <sheetData>
    <row r="1" spans="2:17" x14ac:dyDescent="0.45">
      <c r="M1" s="136"/>
      <c r="N1" s="136"/>
      <c r="O1" s="136"/>
      <c r="P1" s="136"/>
    </row>
    <row r="2" spans="2:17" ht="55.5" customHeight="1" x14ac:dyDescent="0.45">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45">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45">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45">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45">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7.75" x14ac:dyDescent="0.45">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7.75" x14ac:dyDescent="0.45">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7.75" x14ac:dyDescent="0.45">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45">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45">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45">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45">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7.75" x14ac:dyDescent="0.45">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45">
      <c r="B15" s="543" t="s">
        <v>315</v>
      </c>
      <c r="C15" s="543"/>
      <c r="D15" s="543"/>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45">
      <c r="E18" s="147"/>
      <c r="F18" s="147"/>
      <c r="G18" s="147"/>
      <c r="H18" s="147"/>
      <c r="I18" s="147"/>
      <c r="J18" s="147"/>
      <c r="K18" s="148"/>
      <c r="L18" s="137"/>
      <c r="M18" s="136"/>
      <c r="N18" s="136"/>
      <c r="O18" s="136"/>
      <c r="P18" s="136"/>
    </row>
    <row r="19" spans="2:17" ht="152.65" x14ac:dyDescent="0.45">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45">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45">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45">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45">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45">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45">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45">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45">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45">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45">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45">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45">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45">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45">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45">
      <c r="B34" s="544" t="s">
        <v>280</v>
      </c>
      <c r="C34" s="544"/>
      <c r="D34" s="544"/>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45">
      <c r="F35" s="394">
        <f>F34-F26</f>
        <v>456</v>
      </c>
      <c r="J35" s="394">
        <f>J34-N34</f>
        <v>339</v>
      </c>
      <c r="L35" s="394">
        <f>L34+SUM(L39:L43)</f>
        <v>325</v>
      </c>
      <c r="M35" s="394">
        <f>M34+SUM(M39:M43)</f>
        <v>57</v>
      </c>
    </row>
    <row r="36" spans="1:17" x14ac:dyDescent="0.45">
      <c r="K36" s="159"/>
      <c r="M36" s="135">
        <f>M35*70%</f>
        <v>39.9</v>
      </c>
    </row>
    <row r="37" spans="1:17" x14ac:dyDescent="0.45">
      <c r="M37" s="135">
        <f>L35+M36</f>
        <v>364.9</v>
      </c>
      <c r="N37" s="136"/>
      <c r="O37" s="136"/>
      <c r="P37" s="136"/>
    </row>
    <row r="38" spans="1:17" s="141" customFormat="1" ht="152.65" x14ac:dyDescent="0.45">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45">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45">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45">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45">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45">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45">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45">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45">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45">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45">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45">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45">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45">
      <c r="I51" s="394">
        <f>I50-SUM(I39:I43)</f>
        <v>175</v>
      </c>
      <c r="J51" s="394">
        <f>J50-SUM(J39:J43)</f>
        <v>154</v>
      </c>
      <c r="L51" s="394">
        <f>L50-SUM(L39:L43)</f>
        <v>133</v>
      </c>
      <c r="M51" s="394">
        <f>M50-SUM(M39:M43)</f>
        <v>3</v>
      </c>
    </row>
    <row r="52" spans="1:17" x14ac:dyDescent="0.45">
      <c r="M52" s="135">
        <f>L50+M51</f>
        <v>170</v>
      </c>
    </row>
    <row r="53" spans="1:17" ht="138.75" x14ac:dyDescent="0.45">
      <c r="G53" s="232"/>
      <c r="H53" s="227" t="s">
        <v>478</v>
      </c>
      <c r="I53" s="228" t="s">
        <v>479</v>
      </c>
      <c r="J53" s="227" t="s">
        <v>348</v>
      </c>
      <c r="K53" s="229" t="s">
        <v>270</v>
      </c>
      <c r="L53" s="229" t="s">
        <v>271</v>
      </c>
      <c r="M53" s="229" t="s">
        <v>272</v>
      </c>
      <c r="N53" s="229" t="s">
        <v>273</v>
      </c>
    </row>
    <row r="54" spans="1:17" x14ac:dyDescent="0.45">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45">
      <c r="G55" s="409" t="s">
        <v>475</v>
      </c>
      <c r="H55" s="232"/>
      <c r="I55" s="232"/>
      <c r="J55" s="232"/>
      <c r="K55" s="232"/>
      <c r="L55" s="232">
        <v>24</v>
      </c>
      <c r="M55" s="232">
        <f>M54/1.5</f>
        <v>80</v>
      </c>
      <c r="N55" s="232"/>
    </row>
    <row r="56" spans="1:17" x14ac:dyDescent="0.45">
      <c r="G56" s="232" t="s">
        <v>477</v>
      </c>
      <c r="H56" s="232"/>
      <c r="I56" s="232"/>
      <c r="J56" s="232"/>
      <c r="K56" s="232"/>
      <c r="L56" s="232"/>
      <c r="M56" s="232"/>
      <c r="N56" s="232"/>
    </row>
    <row r="57" spans="1:17" x14ac:dyDescent="0.45">
      <c r="G57" s="232" t="s">
        <v>476</v>
      </c>
      <c r="H57" s="232"/>
      <c r="I57" s="232"/>
      <c r="J57" s="232"/>
      <c r="K57" s="232"/>
      <c r="L57" s="232"/>
      <c r="M57" s="232"/>
      <c r="N57" s="232"/>
    </row>
    <row r="58" spans="1:17" x14ac:dyDescent="0.45">
      <c r="E58" s="135" t="s">
        <v>284</v>
      </c>
      <c r="F58" s="135" t="s">
        <v>285</v>
      </c>
    </row>
    <row r="59" spans="1:17" x14ac:dyDescent="0.45">
      <c r="D59" s="151" t="s">
        <v>249</v>
      </c>
      <c r="E59" s="135">
        <v>429</v>
      </c>
      <c r="F59" s="135">
        <v>339</v>
      </c>
    </row>
    <row r="60" spans="1:17" x14ac:dyDescent="0.45">
      <c r="D60" s="151" t="s">
        <v>260</v>
      </c>
      <c r="E60" s="135">
        <v>63</v>
      </c>
      <c r="F60" s="135">
        <v>47</v>
      </c>
    </row>
    <row r="61" spans="1:17" x14ac:dyDescent="0.45">
      <c r="D61" s="151" t="s">
        <v>468</v>
      </c>
      <c r="E61" s="135">
        <f>E59+E60</f>
        <v>492</v>
      </c>
      <c r="F61" s="135">
        <f>F59+F60</f>
        <v>386</v>
      </c>
    </row>
    <row r="65" spans="8:11" x14ac:dyDescent="0.45">
      <c r="H65" s="135" t="s">
        <v>471</v>
      </c>
      <c r="I65" s="135" t="s">
        <v>469</v>
      </c>
      <c r="J65" s="135" t="s">
        <v>470</v>
      </c>
      <c r="K65" s="135">
        <f>33/26</f>
        <v>1.2692307692307692</v>
      </c>
    </row>
    <row r="66" spans="8:11" x14ac:dyDescent="0.45">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86328125" defaultRowHeight="14.25" outlineLevelRow="1" outlineLevelCol="1" x14ac:dyDescent="0.45"/>
  <cols>
    <col min="1" max="1" width="22.1328125" hidden="1" customWidth="1"/>
    <col min="2" max="2" width="9.6640625" customWidth="1"/>
    <col min="3" max="3" width="0.46484375" customWidth="1"/>
    <col min="4" max="4" width="111.46484375" customWidth="1"/>
    <col min="5" max="5" width="11.86328125" hidden="1" customWidth="1" outlineLevel="1"/>
    <col min="6" max="10" width="13.46484375" hidden="1" customWidth="1" outlineLevel="1"/>
    <col min="11" max="13" width="13.53125" hidden="1" customWidth="1" outlineLevel="1"/>
    <col min="14" max="14" width="15.1328125" hidden="1" customWidth="1" outlineLevel="1"/>
    <col min="15" max="15" width="12.46484375" customWidth="1" collapsed="1"/>
    <col min="16" max="17" width="12.46484375" customWidth="1"/>
    <col min="18" max="18" width="13.86328125" customWidth="1"/>
    <col min="19" max="19" width="14.46484375" customWidth="1"/>
    <col min="20" max="20" width="13.53125" customWidth="1"/>
    <col min="21" max="21" width="13.53125" bestFit="1" customWidth="1"/>
    <col min="22" max="22" width="13.86328125" bestFit="1" customWidth="1"/>
    <col min="23" max="24" width="12.46484375" bestFit="1" customWidth="1"/>
    <col min="25" max="25" width="12.46484375" customWidth="1"/>
    <col min="26" max="27" width="13.86328125" customWidth="1"/>
    <col min="28" max="30" width="13.53125" customWidth="1"/>
    <col min="31" max="31" width="11.46484375" customWidth="1"/>
    <col min="32" max="32" width="12.1328125" hidden="1" customWidth="1"/>
  </cols>
  <sheetData>
    <row r="1" spans="1:32" ht="36.950000000000003" hidden="1" customHeight="1" x14ac:dyDescent="0.45">
      <c r="E1" s="557" t="s">
        <v>353</v>
      </c>
      <c r="F1" s="558"/>
      <c r="G1" s="558"/>
      <c r="H1" s="558"/>
      <c r="I1" s="558"/>
      <c r="J1" s="558"/>
      <c r="K1" s="558"/>
      <c r="L1" s="558"/>
      <c r="M1" s="559"/>
      <c r="N1" s="258" t="s">
        <v>354</v>
      </c>
      <c r="O1" s="259"/>
      <c r="P1" s="259"/>
      <c r="Q1" s="259"/>
      <c r="R1" s="259"/>
      <c r="S1" s="259"/>
      <c r="T1" s="259"/>
      <c r="U1" s="259"/>
      <c r="V1" s="260"/>
      <c r="W1" s="560" t="s">
        <v>355</v>
      </c>
      <c r="X1" s="561"/>
      <c r="Y1" s="561"/>
      <c r="Z1" s="561"/>
      <c r="AA1" s="561"/>
      <c r="AB1" s="561"/>
      <c r="AC1" s="261"/>
      <c r="AD1" s="261"/>
    </row>
    <row r="2" spans="1:32" s="264" customFormat="1" ht="30.95" customHeight="1" x14ac:dyDescent="0.45">
      <c r="A2" s="262"/>
      <c r="B2" s="562" t="s">
        <v>356</v>
      </c>
      <c r="C2" s="562"/>
      <c r="D2" s="563"/>
      <c r="E2" s="564" t="s">
        <v>357</v>
      </c>
      <c r="F2" s="565"/>
      <c r="G2" s="566" t="s">
        <v>358</v>
      </c>
      <c r="H2" s="565"/>
      <c r="I2" s="567" t="s">
        <v>359</v>
      </c>
      <c r="J2" s="568"/>
      <c r="K2" s="569" t="s">
        <v>360</v>
      </c>
      <c r="L2" s="570"/>
      <c r="M2" s="569" t="s">
        <v>361</v>
      </c>
      <c r="N2" s="570"/>
      <c r="O2" s="571" t="s">
        <v>362</v>
      </c>
      <c r="P2" s="572"/>
      <c r="Q2" s="573" t="s">
        <v>363</v>
      </c>
      <c r="R2" s="574"/>
      <c r="S2" s="573" t="s">
        <v>364</v>
      </c>
      <c r="T2" s="574"/>
      <c r="U2" s="575" t="s">
        <v>365</v>
      </c>
      <c r="V2" s="576"/>
      <c r="W2" s="573" t="s">
        <v>366</v>
      </c>
      <c r="X2" s="574"/>
      <c r="Y2" s="551" t="s">
        <v>367</v>
      </c>
      <c r="Z2" s="552"/>
      <c r="AA2" s="551" t="s">
        <v>368</v>
      </c>
      <c r="AB2" s="552"/>
      <c r="AC2" s="551" t="s">
        <v>369</v>
      </c>
      <c r="AD2" s="552"/>
      <c r="AE2" s="263"/>
    </row>
    <row r="3" spans="1:32" ht="33.75" thickBot="1" x14ac:dyDescent="0.5">
      <c r="B3" s="562"/>
      <c r="C3" s="562"/>
      <c r="D3" s="563"/>
      <c r="E3" s="553" t="s">
        <v>370</v>
      </c>
      <c r="F3" s="554"/>
      <c r="G3" s="554" t="s">
        <v>371</v>
      </c>
      <c r="H3" s="554"/>
      <c r="I3" s="555" t="s">
        <v>372</v>
      </c>
      <c r="J3" s="556"/>
      <c r="K3" s="547" t="s">
        <v>373</v>
      </c>
      <c r="L3" s="548"/>
      <c r="M3" s="547" t="s">
        <v>118</v>
      </c>
      <c r="N3" s="548"/>
      <c r="O3" s="547" t="s">
        <v>125</v>
      </c>
      <c r="P3" s="548"/>
      <c r="Q3" s="547" t="s">
        <v>41</v>
      </c>
      <c r="R3" s="548"/>
      <c r="S3" s="547" t="s">
        <v>204</v>
      </c>
      <c r="T3" s="548"/>
      <c r="U3" s="547" t="s">
        <v>249</v>
      </c>
      <c r="V3" s="548"/>
      <c r="W3" s="547" t="s">
        <v>260</v>
      </c>
      <c r="X3" s="548"/>
      <c r="Y3" s="549" t="s">
        <v>374</v>
      </c>
      <c r="Z3" s="550"/>
      <c r="AA3" s="545" t="s">
        <v>375</v>
      </c>
      <c r="AB3" s="546"/>
      <c r="AC3" s="545" t="s">
        <v>376</v>
      </c>
      <c r="AD3" s="546"/>
      <c r="AE3" s="265"/>
    </row>
    <row r="4" spans="1:32" s="266" customFormat="1" ht="18" customHeight="1" x14ac:dyDescent="0.55000000000000004">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 x14ac:dyDescent="0.55000000000000004">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 x14ac:dyDescent="0.55000000000000004">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25" x14ac:dyDescent="0.7">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 hidden="1" outlineLevel="1" x14ac:dyDescent="0.55000000000000004">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 hidden="1" outlineLevel="1" x14ac:dyDescent="0.55000000000000004">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 hidden="1" outlineLevel="1" x14ac:dyDescent="0.55000000000000004">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 hidden="1" outlineLevel="1" x14ac:dyDescent="0.55000000000000004">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 hidden="1" outlineLevel="1" x14ac:dyDescent="0.55000000000000004">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 hidden="1" outlineLevel="1" x14ac:dyDescent="0.55000000000000004">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 hidden="1" outlineLevel="1" x14ac:dyDescent="0.55000000000000004">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 hidden="1" outlineLevel="1" x14ac:dyDescent="0.55000000000000004">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 hidden="1" outlineLevel="1" x14ac:dyDescent="0.55000000000000004">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 hidden="1" outlineLevel="1" x14ac:dyDescent="0.55000000000000004">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 hidden="1" outlineLevel="1" x14ac:dyDescent="0.55000000000000004">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 hidden="1" outlineLevel="1" x14ac:dyDescent="0.55000000000000004">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 hidden="1" outlineLevel="1" x14ac:dyDescent="0.55000000000000004">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 hidden="1" outlineLevel="1" x14ac:dyDescent="0.55000000000000004">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 hidden="1" outlineLevel="1" x14ac:dyDescent="0.55000000000000004">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 hidden="1" outlineLevel="1" x14ac:dyDescent="0.55000000000000004">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 hidden="1" outlineLevel="1" x14ac:dyDescent="0.55000000000000004">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 hidden="1" outlineLevel="1" x14ac:dyDescent="0.55000000000000004">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 hidden="1" outlineLevel="1" x14ac:dyDescent="0.55000000000000004">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 hidden="1" outlineLevel="1" x14ac:dyDescent="0.55000000000000004">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 hidden="1" outlineLevel="1" x14ac:dyDescent="0.55000000000000004">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 hidden="1" outlineLevel="1" x14ac:dyDescent="0.55000000000000004">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 hidden="1" outlineLevel="1" x14ac:dyDescent="0.55000000000000004">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 hidden="1" outlineLevel="1" x14ac:dyDescent="0.55000000000000004">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 hidden="1" outlineLevel="1" x14ac:dyDescent="0.55000000000000004">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 hidden="1" outlineLevel="1" x14ac:dyDescent="0.55000000000000004">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 hidden="1" outlineLevel="1" x14ac:dyDescent="0.55000000000000004">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 hidden="1" outlineLevel="1" x14ac:dyDescent="0.55000000000000004">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 hidden="1" outlineLevel="1" x14ac:dyDescent="0.55000000000000004">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 hidden="1" outlineLevel="1" x14ac:dyDescent="0.55000000000000004">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 hidden="1" outlineLevel="1" collapsed="1" x14ac:dyDescent="0.55000000000000004">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 hidden="1" outlineLevel="1" x14ac:dyDescent="0.55000000000000004">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 hidden="1" outlineLevel="1" x14ac:dyDescent="0.55000000000000004">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 hidden="1" outlineLevel="1" x14ac:dyDescent="0.55000000000000004">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 hidden="1" outlineLevel="1" x14ac:dyDescent="0.55000000000000004">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 hidden="1" outlineLevel="1" x14ac:dyDescent="0.55000000000000004">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 hidden="1" outlineLevel="1" x14ac:dyDescent="0.55000000000000004">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 hidden="1" outlineLevel="1" x14ac:dyDescent="0.55000000000000004">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 hidden="1" outlineLevel="1" x14ac:dyDescent="0.55000000000000004">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 hidden="1" outlineLevel="1" x14ac:dyDescent="0.55000000000000004">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 hidden="1" outlineLevel="1" x14ac:dyDescent="0.55000000000000004">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 hidden="1" outlineLevel="1" x14ac:dyDescent="0.55000000000000004">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 hidden="1" outlineLevel="1" x14ac:dyDescent="0.55000000000000004">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 hidden="1" outlineLevel="1" x14ac:dyDescent="0.55000000000000004">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 hidden="1" outlineLevel="1" x14ac:dyDescent="0.55000000000000004">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 hidden="1" outlineLevel="1" x14ac:dyDescent="0.55000000000000004">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 hidden="1" outlineLevel="1" x14ac:dyDescent="0.55000000000000004">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 hidden="1" outlineLevel="1" x14ac:dyDescent="0.55000000000000004">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 hidden="1" outlineLevel="1" x14ac:dyDescent="0.55000000000000004">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 hidden="1" outlineLevel="1" x14ac:dyDescent="0.55000000000000004">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 hidden="1" outlineLevel="1" x14ac:dyDescent="0.55000000000000004">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 hidden="1" outlineLevel="1" x14ac:dyDescent="0.55000000000000004">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 hidden="1" outlineLevel="1" x14ac:dyDescent="0.55000000000000004">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 hidden="1" outlineLevel="1" x14ac:dyDescent="0.55000000000000004">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 hidden="1" outlineLevel="1" x14ac:dyDescent="0.55000000000000004">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 hidden="1" outlineLevel="1" x14ac:dyDescent="0.55000000000000004">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 hidden="1" outlineLevel="1" x14ac:dyDescent="0.55000000000000004">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 collapsed="1" x14ac:dyDescent="0.55000000000000004">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 collapsed="1" x14ac:dyDescent="0.55000000000000004">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 x14ac:dyDescent="0.55000000000000004">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 x14ac:dyDescent="0.55000000000000004">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 x14ac:dyDescent="0.55000000000000004">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 x14ac:dyDescent="0.55000000000000004">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 x14ac:dyDescent="0.55000000000000004">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 x14ac:dyDescent="0.55000000000000004">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00000000000001" customHeight="1" x14ac:dyDescent="0.55000000000000004">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00000000000001" customHeight="1" x14ac:dyDescent="0.55000000000000004">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00000000000001" customHeight="1" x14ac:dyDescent="0.55000000000000004">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 x14ac:dyDescent="0.55000000000000004">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 x14ac:dyDescent="0.55000000000000004">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 x14ac:dyDescent="0.55000000000000004">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 x14ac:dyDescent="0.55000000000000004">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55000000000000004">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 x14ac:dyDescent="0.55000000000000004">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55000000000000004">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55000000000000004">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55000000000000004">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55000000000000004">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55000000000000004">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55000000000000004">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55000000000000004">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55000000000000004">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55000000000000004">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55000000000000004">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55000000000000004">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55000000000000004">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55000000000000004">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55000000000000004">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55000000000000004">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55000000000000004">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55000000000000004">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55000000000000004">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55000000000000004">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55000000000000004">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55000000000000004">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55000000000000004">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55000000000000004">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55000000000000004">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55000000000000004">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55000000000000004">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55000000000000004">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55000000000000004">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55000000000000004">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55000000000000004">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55000000000000004">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55000000000000004">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55000000000000004">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55000000000000004">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45">
      <c r="Y116" s="303"/>
      <c r="Z116" s="303"/>
      <c r="AA116" s="303"/>
      <c r="AB116" s="303"/>
      <c r="AC116" s="303"/>
      <c r="AD116" s="303"/>
      <c r="AF116" s="304"/>
    </row>
    <row r="117" spans="1:35" ht="18" x14ac:dyDescent="0.55000000000000004">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45">
      <c r="B118" s="311"/>
      <c r="Y118" s="303"/>
      <c r="Z118" s="303"/>
      <c r="AA118" s="303"/>
      <c r="AB118" s="303"/>
      <c r="AC118" s="303"/>
      <c r="AD118" s="303"/>
      <c r="AF118" s="304"/>
    </row>
    <row r="119" spans="1:35" ht="6.6" customHeight="1" x14ac:dyDescent="0.45">
      <c r="B119" s="311"/>
      <c r="Y119" s="303"/>
      <c r="Z119" s="303"/>
      <c r="AA119" s="303"/>
      <c r="AB119" s="303"/>
      <c r="AC119" s="303"/>
      <c r="AD119" s="303"/>
      <c r="AF119" s="304"/>
    </row>
    <row r="120" spans="1:35" ht="23.1" customHeight="1" x14ac:dyDescent="0.55000000000000004">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 customHeight="1" x14ac:dyDescent="0.55000000000000004">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 customHeight="1" x14ac:dyDescent="0.55000000000000004">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 customHeight="1" x14ac:dyDescent="0.55000000000000004">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 customHeight="1" x14ac:dyDescent="0.55000000000000004">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45">
      <c r="B125" s="311"/>
      <c r="Y125" s="303"/>
      <c r="Z125" s="303"/>
      <c r="AA125" s="303"/>
      <c r="AB125" s="303"/>
      <c r="AC125" s="303"/>
      <c r="AD125" s="303"/>
      <c r="AF125" s="304"/>
    </row>
    <row r="126" spans="1:35" ht="28.5" x14ac:dyDescent="0.85">
      <c r="B126" s="337"/>
      <c r="C126" s="338"/>
      <c r="D126" s="339" t="s">
        <v>452</v>
      </c>
      <c r="K126" s="340"/>
      <c r="Y126" s="303"/>
      <c r="Z126" s="303"/>
      <c r="AA126" s="303"/>
      <c r="AB126" s="303"/>
      <c r="AC126" s="303"/>
      <c r="AD126" s="303"/>
      <c r="AF126" s="304"/>
    </row>
    <row r="127" spans="1:35" ht="21.95" customHeight="1" x14ac:dyDescent="0.55000000000000004">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1.95" customHeight="1" x14ac:dyDescent="0.55000000000000004">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 customHeight="1" x14ac:dyDescent="0.55000000000000004">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 customHeight="1" x14ac:dyDescent="0.55000000000000004">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1.95" customHeight="1" x14ac:dyDescent="0.55000000000000004">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45">
      <c r="AE135" s="323"/>
    </row>
    <row r="178" spans="15:15" x14ac:dyDescent="0.45">
      <c r="O178" s="362"/>
    </row>
  </sheetData>
  <mergeCells count="29">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 ref="Y2:Z2"/>
    <mergeCell ref="E3:F3"/>
    <mergeCell ref="G3:H3"/>
    <mergeCell ref="I3:J3"/>
    <mergeCell ref="K3:L3"/>
    <mergeCell ref="M3:N3"/>
    <mergeCell ref="AC3:AD3"/>
    <mergeCell ref="Q3:R3"/>
    <mergeCell ref="S3:T3"/>
    <mergeCell ref="U3:V3"/>
    <mergeCell ref="W3:X3"/>
    <mergeCell ref="Y3:Z3"/>
    <mergeCell ref="AA3:AB3"/>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1328125" defaultRowHeight="14.25" outlineLevelCol="1" x14ac:dyDescent="0.45"/>
  <cols>
    <col min="1" max="1" width="4.86328125" style="152"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6.6640625" style="153" bestFit="1"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28.46484375" style="152" bestFit="1" customWidth="1"/>
    <col min="36" max="16384" width="9.1328125" style="152"/>
  </cols>
  <sheetData>
    <row r="2" spans="2:35" s="133" customFormat="1" ht="109.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45">
      <c r="B3" s="407" t="s">
        <v>565</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45">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563</v>
      </c>
    </row>
    <row r="5" spans="2:35" ht="12.75" customHeight="1" x14ac:dyDescent="0.45">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563</v>
      </c>
    </row>
    <row r="6" spans="2:35" ht="12.75" customHeight="1" x14ac:dyDescent="0.45">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563</v>
      </c>
    </row>
    <row r="7" spans="2:35" ht="12.75" customHeight="1" x14ac:dyDescent="0.45">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row>
    <row r="8" spans="2:35" ht="12.75" customHeight="1" x14ac:dyDescent="0.45">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563</v>
      </c>
    </row>
    <row r="9" spans="2:35" ht="12.75" customHeight="1" x14ac:dyDescent="0.45">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563</v>
      </c>
      <c r="AI9" s="152" t="s">
        <v>566</v>
      </c>
    </row>
    <row r="10" spans="2:35" ht="12.75" customHeight="1" x14ac:dyDescent="0.45">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563</v>
      </c>
      <c r="AI10" s="152" t="s">
        <v>567</v>
      </c>
    </row>
    <row r="11" spans="2:35" ht="12.75" customHeight="1" x14ac:dyDescent="0.45">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563</v>
      </c>
      <c r="AI11" s="152" t="s">
        <v>568</v>
      </c>
    </row>
    <row r="12" spans="2:35" ht="12.75" customHeight="1" x14ac:dyDescent="0.45">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563</v>
      </c>
      <c r="AI12" s="152" t="s">
        <v>568</v>
      </c>
    </row>
    <row r="13" spans="2:35" ht="12.75" customHeight="1" x14ac:dyDescent="0.45">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563</v>
      </c>
    </row>
    <row r="14" spans="2:35" ht="12.75" customHeight="1" x14ac:dyDescent="0.45">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563</v>
      </c>
    </row>
    <row r="15" spans="2:35" ht="12.75" customHeight="1" x14ac:dyDescent="0.45">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563</v>
      </c>
    </row>
    <row r="16" spans="2:35" s="177" customFormat="1" x14ac:dyDescent="0.4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4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4.65" thickBot="1" x14ac:dyDescent="0.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45">
      <c r="B19" s="171"/>
      <c r="C19" s="174" t="s">
        <v>10</v>
      </c>
      <c r="D19" s="169"/>
      <c r="E19" s="169"/>
    </row>
    <row r="20" spans="2:33" x14ac:dyDescent="0.45">
      <c r="B20" s="172">
        <v>0.25</v>
      </c>
      <c r="C20" s="175" t="s">
        <v>242</v>
      </c>
      <c r="D20" s="169"/>
      <c r="E20" s="170"/>
    </row>
    <row r="21" spans="2:33" s="153" customFormat="1" x14ac:dyDescent="0.45">
      <c r="B21" s="172">
        <v>1</v>
      </c>
      <c r="C21" s="175" t="s">
        <v>243</v>
      </c>
      <c r="D21" s="169"/>
      <c r="E21" s="170"/>
    </row>
    <row r="22" spans="2:33" s="153" customFormat="1" x14ac:dyDescent="0.45">
      <c r="B22" s="172">
        <v>0.3</v>
      </c>
      <c r="C22" s="175" t="s">
        <v>21</v>
      </c>
      <c r="D22" s="169"/>
      <c r="E22" s="170"/>
    </row>
    <row r="23" spans="2:33" x14ac:dyDescent="0.45">
      <c r="B23" s="172">
        <v>0.2</v>
      </c>
      <c r="C23" s="175" t="s">
        <v>244</v>
      </c>
      <c r="D23" s="169"/>
      <c r="E23" s="170"/>
    </row>
    <row r="24" spans="2:33" x14ac:dyDescent="0.45">
      <c r="B24" s="172">
        <v>0.15</v>
      </c>
      <c r="C24" s="175" t="s">
        <v>245</v>
      </c>
      <c r="D24" s="169"/>
      <c r="E24" s="170"/>
    </row>
    <row r="25" spans="2:33" ht="14.65" thickBot="1" x14ac:dyDescent="0.5">
      <c r="B25" s="173">
        <v>5</v>
      </c>
      <c r="C25" s="176" t="s">
        <v>474</v>
      </c>
      <c r="D25" s="169"/>
      <c r="E25" s="169"/>
    </row>
    <row r="26" spans="2:33" x14ac:dyDescent="0.45">
      <c r="B26" s="154"/>
      <c r="D26" s="154"/>
      <c r="E26" s="154"/>
      <c r="F26" s="155"/>
    </row>
    <row r="27" spans="2:33" x14ac:dyDescent="0.45">
      <c r="E27" s="156"/>
    </row>
    <row r="28" spans="2:33" x14ac:dyDescent="0.45">
      <c r="E28" s="156"/>
    </row>
    <row r="29" spans="2:33" x14ac:dyDescent="0.45">
      <c r="E29" s="156"/>
    </row>
    <row r="30" spans="2:33" x14ac:dyDescent="0.45">
      <c r="E30" s="156"/>
    </row>
    <row r="31" spans="2:33" x14ac:dyDescent="0.45">
      <c r="E31" s="156"/>
    </row>
    <row r="32" spans="2:33"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39"/>
  <sheetViews>
    <sheetView tabSelected="1" zoomScaleNormal="100" workbookViewId="0">
      <pane ySplit="2" topLeftCell="A8" activePane="bottomLeft" state="frozen"/>
      <selection pane="bottomLeft" activeCell="L10" sqref="L10"/>
    </sheetView>
  </sheetViews>
  <sheetFormatPr defaultColWidth="9.1328125" defaultRowHeight="14.25" outlineLevelCol="1" x14ac:dyDescent="0.45"/>
  <cols>
    <col min="1" max="1" width="5.53125" style="152" bestFit="1" customWidth="1"/>
    <col min="2" max="2" width="7.1328125" style="156" bestFit="1" customWidth="1"/>
    <col min="3" max="3" width="8" style="152" customWidth="1"/>
    <col min="4" max="4" width="6.6640625" style="156" customWidth="1"/>
    <col min="5" max="5" width="21.86328125" style="157" customWidth="1"/>
    <col min="6" max="6" width="3.86328125" style="153" bestFit="1" customWidth="1"/>
    <col min="7" max="10" width="3.86328125" style="153" customWidth="1"/>
    <col min="11" max="11" width="9.53125" style="153" customWidth="1"/>
    <col min="12" max="12" width="9.53125" style="153"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7.33203125" style="153"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22.19921875" style="152" hidden="1" customWidth="1"/>
    <col min="35" max="35" width="22.86328125" style="152" customWidth="1"/>
    <col min="36" max="36" width="4.53125" style="152" bestFit="1" customWidth="1"/>
    <col min="37" max="37" width="15.6640625" style="152" hidden="1" customWidth="1"/>
    <col min="38" max="38" width="6.33203125" style="152" hidden="1" customWidth="1"/>
    <col min="39" max="16384" width="9.1328125" style="152"/>
  </cols>
  <sheetData>
    <row r="2" spans="1:40" s="133" customFormat="1" ht="100.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45">
      <c r="B3" s="407" t="s">
        <v>580</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2" t="s">
        <v>574</v>
      </c>
      <c r="AL3" s="482" t="s">
        <v>577</v>
      </c>
    </row>
    <row r="4" spans="1:40" ht="12.75" customHeight="1" x14ac:dyDescent="0.45">
      <c r="A4" s="483" t="s">
        <v>576</v>
      </c>
      <c r="B4" s="427">
        <v>42552</v>
      </c>
      <c r="C4" s="428" t="s">
        <v>260</v>
      </c>
      <c r="D4" s="428" t="s">
        <v>531</v>
      </c>
      <c r="E4" s="429" t="s">
        <v>265</v>
      </c>
      <c r="F4" s="430">
        <v>4</v>
      </c>
      <c r="G4" s="431">
        <f>F4*10%</f>
        <v>0.4</v>
      </c>
      <c r="H4" s="431">
        <v>0</v>
      </c>
      <c r="I4" s="431">
        <v>0</v>
      </c>
      <c r="J4" s="432">
        <f t="shared" ref="J4:J16"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ROUNDDOWN(W4/(Analysis_Hr_AC*NO_AC_US),0)</f>
        <v>49</v>
      </c>
      <c r="S4" s="435">
        <f>R4+S3</f>
        <v>49</v>
      </c>
      <c r="T4" s="436">
        <f t="shared" ref="T4" si="6">W4/Analysis_Hr_AC</f>
        <v>249.60000000000005</v>
      </c>
      <c r="U4" s="437">
        <f>Y4/$B$23</f>
        <v>0</v>
      </c>
      <c r="V4" s="435">
        <f>V3+U4</f>
        <v>0</v>
      </c>
      <c r="W4" s="438">
        <f t="shared" ref="W4:W7" si="7">K4*(AG4-AG4*Hr_Query-AG4*Hr_OtherAnalysis)*(1/(1+Hr_Query+Hr_OtherAnalysis))</f>
        <v>62.400000000000013</v>
      </c>
      <c r="X4" s="438">
        <f t="shared" ref="X4:X7" si="8">(W4)*Hr_Review</f>
        <v>18.720000000000002</v>
      </c>
      <c r="Y4" s="438">
        <f t="shared" ref="Y4:Y7" si="9">L4*(AG4-AG4*Hr_Query-AG4*Hr_OtherAnalysis)*(1/(1+Hr_Query+Hr_OtherAnalysis))</f>
        <v>0</v>
      </c>
      <c r="Z4" s="438">
        <f t="shared" ref="Z4:Z7" si="10">(Y4)*Hr_Review</f>
        <v>0</v>
      </c>
      <c r="AA4" s="438">
        <f t="shared" ref="AA4:AA7" si="11">AD4*Hr_OtherAnalysis</f>
        <v>19.439999999999998</v>
      </c>
      <c r="AB4" s="438">
        <f t="shared" ref="AB4:AB7" si="12">ROUND(AD4*Hr_Query,1)</f>
        <v>25.9</v>
      </c>
      <c r="AC4" s="438">
        <f t="shared" ref="AC4:AC7" si="13">W4+Y4+X4+Z4+AB4+AA4</f>
        <v>126.46000000000001</v>
      </c>
      <c r="AD4" s="438">
        <f t="shared" ref="AD4:AD7" si="14">J4*AE4*AF4</f>
        <v>129.6</v>
      </c>
      <c r="AE4" s="428">
        <v>4</v>
      </c>
      <c r="AF4" s="438">
        <v>9</v>
      </c>
      <c r="AG4" s="439">
        <f t="shared" ref="AG4:AG7" si="15">AE4*AF4</f>
        <v>36</v>
      </c>
      <c r="AH4" s="428" t="s">
        <v>563</v>
      </c>
      <c r="AJ4" s="480"/>
      <c r="AK4" s="481">
        <f t="shared" ref="AK4:AK7" si="16">AJ$4*R4</f>
        <v>0</v>
      </c>
      <c r="AL4" s="481">
        <f>AK4</f>
        <v>0</v>
      </c>
    </row>
    <row r="5" spans="1:40" ht="12.75" customHeight="1" x14ac:dyDescent="0.45">
      <c r="B5" s="427">
        <f>+B4+7</f>
        <v>42559</v>
      </c>
      <c r="C5" s="428" t="s">
        <v>260</v>
      </c>
      <c r="D5" s="428" t="s">
        <v>531</v>
      </c>
      <c r="E5" s="429" t="s">
        <v>548</v>
      </c>
      <c r="F5" s="430">
        <v>4</v>
      </c>
      <c r="G5" s="431">
        <f t="shared" ref="G5:G7" si="17">F5*10%</f>
        <v>0.4</v>
      </c>
      <c r="H5" s="431">
        <v>0</v>
      </c>
      <c r="I5" s="431">
        <v>0</v>
      </c>
      <c r="J5" s="432">
        <f t="shared" si="0"/>
        <v>3.6</v>
      </c>
      <c r="K5" s="430">
        <f>J5*60%</f>
        <v>2.16</v>
      </c>
      <c r="L5" s="431">
        <f t="shared" ref="L5:L7" si="18">J5-K5</f>
        <v>1.44</v>
      </c>
      <c r="M5" s="433">
        <f t="shared" si="1"/>
        <v>1.3720512820512822</v>
      </c>
      <c r="N5" s="433">
        <f t="shared" si="2"/>
        <v>0.41161538461538466</v>
      </c>
      <c r="O5" s="433">
        <f t="shared" si="3"/>
        <v>0.91470085470085472</v>
      </c>
      <c r="P5" s="433">
        <f t="shared" si="4"/>
        <v>0.2744102564102564</v>
      </c>
      <c r="Q5" s="433">
        <f t="shared" si="5"/>
        <v>0.53999999999999992</v>
      </c>
      <c r="R5" s="434">
        <f t="shared" ref="R5:R6" si="19">ROUNDDOWN(W5/(Analysis_Hr_AC*NO_AC_US),0)</f>
        <v>29</v>
      </c>
      <c r="S5" s="435">
        <f>R5+S4</f>
        <v>78</v>
      </c>
      <c r="T5" s="436">
        <f t="shared" ref="T5:T7" si="20">W5/Analysis_Hr_AC+T4</f>
        <v>399.36000000000013</v>
      </c>
      <c r="U5" s="437">
        <f>Y5/$B$23</f>
        <v>24.960000000000004</v>
      </c>
      <c r="V5" s="435">
        <f>V4+U5</f>
        <v>24.960000000000004</v>
      </c>
      <c r="W5" s="438">
        <f t="shared" si="7"/>
        <v>37.440000000000012</v>
      </c>
      <c r="X5" s="438">
        <f t="shared" si="8"/>
        <v>11.232000000000003</v>
      </c>
      <c r="Y5" s="438">
        <f t="shared" si="9"/>
        <v>24.960000000000004</v>
      </c>
      <c r="Z5" s="438">
        <f t="shared" si="10"/>
        <v>7.4880000000000013</v>
      </c>
      <c r="AA5" s="438">
        <f t="shared" si="11"/>
        <v>19.439999999999998</v>
      </c>
      <c r="AB5" s="438">
        <f t="shared" si="12"/>
        <v>25.9</v>
      </c>
      <c r="AC5" s="438">
        <f t="shared" si="13"/>
        <v>126.46000000000001</v>
      </c>
      <c r="AD5" s="438">
        <f t="shared" si="14"/>
        <v>129.6</v>
      </c>
      <c r="AE5" s="428">
        <v>4</v>
      </c>
      <c r="AF5" s="438">
        <v>9</v>
      </c>
      <c r="AG5" s="439">
        <f t="shared" si="15"/>
        <v>36</v>
      </c>
      <c r="AH5" s="428" t="s">
        <v>563</v>
      </c>
      <c r="AK5" s="481">
        <f t="shared" si="16"/>
        <v>0</v>
      </c>
      <c r="AL5" s="481">
        <f>AK5+AK4-V5</f>
        <v>-24.960000000000004</v>
      </c>
    </row>
    <row r="6" spans="1:40" ht="12.75" customHeight="1" x14ac:dyDescent="0.45">
      <c r="B6" s="427">
        <f t="shared" ref="B6:B7" si="21">+B5+7</f>
        <v>42566</v>
      </c>
      <c r="C6" s="428" t="s">
        <v>260</v>
      </c>
      <c r="D6" s="428" t="s">
        <v>531</v>
      </c>
      <c r="E6" s="429" t="s">
        <v>548</v>
      </c>
      <c r="F6" s="430">
        <v>4</v>
      </c>
      <c r="G6" s="431">
        <f t="shared" si="17"/>
        <v>0.4</v>
      </c>
      <c r="H6" s="431">
        <v>0</v>
      </c>
      <c r="I6" s="431">
        <v>0</v>
      </c>
      <c r="J6" s="432">
        <f t="shared" si="0"/>
        <v>3.6</v>
      </c>
      <c r="K6" s="430">
        <f>J6*32%</f>
        <v>1.1520000000000001</v>
      </c>
      <c r="L6" s="431">
        <f t="shared" si="18"/>
        <v>2.448</v>
      </c>
      <c r="M6" s="433">
        <f t="shared" si="1"/>
        <v>0.73189743589743606</v>
      </c>
      <c r="N6" s="433">
        <f t="shared" si="2"/>
        <v>0.21956923076923079</v>
      </c>
      <c r="O6" s="433">
        <f t="shared" si="3"/>
        <v>1.5552820512820513</v>
      </c>
      <c r="P6" s="433">
        <f t="shared" si="4"/>
        <v>0.46658461538461538</v>
      </c>
      <c r="Q6" s="433">
        <f t="shared" si="5"/>
        <v>0.54</v>
      </c>
      <c r="R6" s="486">
        <f t="shared" si="19"/>
        <v>19</v>
      </c>
      <c r="S6" s="435">
        <f t="shared" ref="S6:S7" si="22">R6+S5</f>
        <v>97</v>
      </c>
      <c r="T6" s="436">
        <f t="shared" si="20"/>
        <v>499.20000000000016</v>
      </c>
      <c r="U6" s="437">
        <f>Y6/$B$23</f>
        <v>53.040000000000006</v>
      </c>
      <c r="V6" s="435">
        <f t="shared" ref="V6:V7" si="23">V5+U6</f>
        <v>78.000000000000014</v>
      </c>
      <c r="W6" s="438">
        <f t="shared" si="7"/>
        <v>24.960000000000004</v>
      </c>
      <c r="X6" s="438">
        <f t="shared" si="8"/>
        <v>7.4880000000000013</v>
      </c>
      <c r="Y6" s="438">
        <f t="shared" si="9"/>
        <v>53.040000000000006</v>
      </c>
      <c r="Z6" s="438">
        <f t="shared" si="10"/>
        <v>15.912000000000001</v>
      </c>
      <c r="AA6" s="438">
        <f t="shared" si="11"/>
        <v>24.3</v>
      </c>
      <c r="AB6" s="438">
        <f t="shared" si="12"/>
        <v>32.4</v>
      </c>
      <c r="AC6" s="438">
        <f t="shared" si="13"/>
        <v>158.10000000000002</v>
      </c>
      <c r="AD6" s="438">
        <f t="shared" si="14"/>
        <v>162</v>
      </c>
      <c r="AE6" s="428">
        <v>5</v>
      </c>
      <c r="AF6" s="438">
        <v>9</v>
      </c>
      <c r="AG6" s="439">
        <f t="shared" si="15"/>
        <v>45</v>
      </c>
      <c r="AH6" s="428" t="s">
        <v>563</v>
      </c>
      <c r="AK6" s="481">
        <f t="shared" si="16"/>
        <v>0</v>
      </c>
      <c r="AL6" s="481">
        <f>(AK6+AK5+AK4)-V6</f>
        <v>-78.000000000000014</v>
      </c>
    </row>
    <row r="7" spans="1:40" ht="12.75" customHeight="1" x14ac:dyDescent="0.45">
      <c r="A7" s="484"/>
      <c r="B7" s="427">
        <f t="shared" si="21"/>
        <v>42573</v>
      </c>
      <c r="C7" s="428" t="s">
        <v>260</v>
      </c>
      <c r="D7" s="428" t="s">
        <v>531</v>
      </c>
      <c r="E7" s="429" t="s">
        <v>265</v>
      </c>
      <c r="F7" s="430">
        <v>4</v>
      </c>
      <c r="G7" s="431">
        <f t="shared" si="17"/>
        <v>0.4</v>
      </c>
      <c r="H7" s="431">
        <v>0</v>
      </c>
      <c r="I7" s="431">
        <v>0</v>
      </c>
      <c r="J7" s="432">
        <f t="shared" si="0"/>
        <v>3.6</v>
      </c>
      <c r="K7" s="430">
        <v>3.6</v>
      </c>
      <c r="L7" s="431">
        <f t="shared" si="18"/>
        <v>0</v>
      </c>
      <c r="M7" s="433">
        <f t="shared" si="1"/>
        <v>2.287179487179487</v>
      </c>
      <c r="N7" s="433">
        <f t="shared" si="2"/>
        <v>0.68615384615384611</v>
      </c>
      <c r="O7" s="433">
        <f t="shared" si="3"/>
        <v>0</v>
      </c>
      <c r="P7" s="433">
        <f t="shared" si="4"/>
        <v>0</v>
      </c>
      <c r="Q7" s="433">
        <f t="shared" si="5"/>
        <v>0.54</v>
      </c>
      <c r="R7" s="434">
        <v>8</v>
      </c>
      <c r="S7" s="435">
        <f t="shared" si="22"/>
        <v>105</v>
      </c>
      <c r="T7" s="436">
        <f t="shared" si="20"/>
        <v>811.20000000000016</v>
      </c>
      <c r="U7" s="437">
        <f>Y7/$B$23</f>
        <v>0</v>
      </c>
      <c r="V7" s="435">
        <f t="shared" si="23"/>
        <v>78.000000000000014</v>
      </c>
      <c r="W7" s="438">
        <f t="shared" si="7"/>
        <v>78</v>
      </c>
      <c r="X7" s="438">
        <f t="shared" si="8"/>
        <v>23.4</v>
      </c>
      <c r="Y7" s="438">
        <f t="shared" si="9"/>
        <v>0</v>
      </c>
      <c r="Z7" s="438">
        <f t="shared" si="10"/>
        <v>0</v>
      </c>
      <c r="AA7" s="438">
        <f t="shared" si="11"/>
        <v>24.3</v>
      </c>
      <c r="AB7" s="438">
        <f t="shared" si="12"/>
        <v>32.4</v>
      </c>
      <c r="AC7" s="438">
        <f t="shared" si="13"/>
        <v>158.10000000000002</v>
      </c>
      <c r="AD7" s="438">
        <f t="shared" si="14"/>
        <v>162</v>
      </c>
      <c r="AE7" s="428">
        <v>5</v>
      </c>
      <c r="AF7" s="438">
        <v>9</v>
      </c>
      <c r="AG7" s="439">
        <f t="shared" si="15"/>
        <v>45</v>
      </c>
      <c r="AH7" s="428" t="s">
        <v>563</v>
      </c>
      <c r="AK7" s="481">
        <f t="shared" si="16"/>
        <v>0</v>
      </c>
      <c r="AL7" s="481">
        <f>(AK7+AK6+AK5+AK4)-V7</f>
        <v>-78.000000000000014</v>
      </c>
      <c r="AM7" s="152" t="s">
        <v>508</v>
      </c>
    </row>
    <row r="8" spans="1:40" ht="12.75" customHeight="1" x14ac:dyDescent="0.45">
      <c r="B8" s="485">
        <f t="shared" ref="B8:B19" si="24">+B7+7</f>
        <v>42580</v>
      </c>
      <c r="C8" s="577" t="s">
        <v>578</v>
      </c>
      <c r="D8" s="578"/>
      <c r="E8" s="578"/>
      <c r="F8" s="578"/>
      <c r="G8" s="578"/>
      <c r="H8" s="578"/>
      <c r="I8" s="578"/>
      <c r="J8" s="578"/>
      <c r="K8" s="578"/>
      <c r="L8" s="578"/>
      <c r="M8" s="578"/>
      <c r="N8" s="578"/>
      <c r="O8" s="578"/>
      <c r="P8" s="578"/>
      <c r="Q8" s="578"/>
      <c r="R8" s="578"/>
      <c r="S8" s="578"/>
      <c r="T8" s="578"/>
      <c r="U8" s="578"/>
      <c r="V8" s="578"/>
      <c r="W8" s="578"/>
      <c r="X8" s="578"/>
      <c r="Y8" s="578"/>
      <c r="Z8" s="578"/>
      <c r="AA8" s="578"/>
      <c r="AB8" s="578"/>
      <c r="AC8" s="578"/>
      <c r="AD8" s="578"/>
      <c r="AE8" s="578"/>
      <c r="AF8" s="509"/>
      <c r="AG8" s="509"/>
      <c r="AH8" s="509"/>
    </row>
    <row r="9" spans="1:40" ht="12.75" customHeight="1" x14ac:dyDescent="0.45">
      <c r="B9" s="427">
        <f t="shared" si="24"/>
        <v>42587</v>
      </c>
      <c r="C9" s="428" t="s">
        <v>260</v>
      </c>
      <c r="D9" s="428" t="s">
        <v>531</v>
      </c>
      <c r="E9" s="429" t="s">
        <v>548</v>
      </c>
      <c r="F9" s="430">
        <v>4</v>
      </c>
      <c r="G9" s="431">
        <f t="shared" ref="G9:G11" si="25">F9*10%</f>
        <v>0.4</v>
      </c>
      <c r="H9" s="431">
        <v>0</v>
      </c>
      <c r="I9" s="431">
        <v>0.9</v>
      </c>
      <c r="J9" s="432">
        <f t="shared" si="0"/>
        <v>2.7</v>
      </c>
      <c r="K9" s="430">
        <v>2.1</v>
      </c>
      <c r="L9" s="431">
        <f t="shared" ref="L9:L16" si="26">J9-K9</f>
        <v>0.60000000000000009</v>
      </c>
      <c r="M9" s="433">
        <f t="shared" ref="M9:M16" si="27">(W9+(($AB9*($K9/$J9))/(1+Hr_Review)))/$AG9</f>
        <v>1.3341880341880343</v>
      </c>
      <c r="N9" s="433">
        <f t="shared" ref="N9:N16" si="28">(X9+(($AB9*($K9/$J9))/(1+Hr_Review))*Hr_Review)/$AG9</f>
        <v>0.40025641025641029</v>
      </c>
      <c r="O9" s="433">
        <f t="shared" ref="O9:O16" si="29">(Y9+(($AB9*($L9/$J9))/(1+Hr_Review)))/$AG9</f>
        <v>0.38119658119658129</v>
      </c>
      <c r="P9" s="433">
        <f t="shared" ref="P9:P16" si="30">(Z9+(($AB9*($L9/$J9))/(1+Hr_Review))*Hr_Review)/$AG9</f>
        <v>0.11435897435897438</v>
      </c>
      <c r="Q9" s="433">
        <f t="shared" ref="Q9:Q16" si="31">AA9/$AG9</f>
        <v>0.40499999999999997</v>
      </c>
      <c r="R9" s="434">
        <v>21</v>
      </c>
      <c r="S9" s="435">
        <f>R9+S7</f>
        <v>126</v>
      </c>
      <c r="T9" s="436">
        <f>W9/Analysis_Hr_AC+T7</f>
        <v>993.20000000000016</v>
      </c>
      <c r="U9" s="437">
        <v>3</v>
      </c>
      <c r="V9" s="435">
        <f>V7+U9</f>
        <v>81.000000000000014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16" si="32">W9+Y9+X9+Z9+AB9+AA9</f>
        <v>118.57500000000002</v>
      </c>
      <c r="AD9" s="438">
        <f t="shared" ref="AD9:AD16" si="33">J9*AE9*AF9</f>
        <v>121.5</v>
      </c>
      <c r="AE9" s="428">
        <v>5</v>
      </c>
      <c r="AF9" s="438">
        <v>9</v>
      </c>
      <c r="AG9" s="439">
        <f t="shared" ref="AG9:AG16" si="34">AE9*AF9</f>
        <v>45</v>
      </c>
      <c r="AH9" s="428" t="s">
        <v>581</v>
      </c>
      <c r="AK9" s="481">
        <f t="shared" ref="AK9:AK16" si="35">AJ$4*R9</f>
        <v>0</v>
      </c>
      <c r="AL9" s="481">
        <f>(AK9+AK7+AK6+AK5+AK4)-V9</f>
        <v>-81.000000000000014</v>
      </c>
      <c r="AM9" s="152" t="s">
        <v>508</v>
      </c>
    </row>
    <row r="10" spans="1:40" ht="12.75" customHeight="1" x14ac:dyDescent="0.45">
      <c r="B10" s="427">
        <f t="shared" si="24"/>
        <v>42594</v>
      </c>
      <c r="C10" s="428" t="s">
        <v>260</v>
      </c>
      <c r="D10" s="428" t="s">
        <v>531</v>
      </c>
      <c r="E10" s="429" t="s">
        <v>548</v>
      </c>
      <c r="F10" s="430">
        <v>4</v>
      </c>
      <c r="G10" s="431">
        <f t="shared" si="25"/>
        <v>0.4</v>
      </c>
      <c r="H10" s="431">
        <f>F10*20%</f>
        <v>0.8</v>
      </c>
      <c r="I10" s="431">
        <v>0</v>
      </c>
      <c r="J10" s="432">
        <f t="shared" si="0"/>
        <v>2.8</v>
      </c>
      <c r="K10" s="430">
        <v>1.2</v>
      </c>
      <c r="L10" s="431">
        <f t="shared" si="26"/>
        <v>1.5999999999999999</v>
      </c>
      <c r="M10" s="433">
        <f t="shared" si="27"/>
        <v>0.76239316239316257</v>
      </c>
      <c r="N10" s="433">
        <f t="shared" si="28"/>
        <v>0.22871794871794873</v>
      </c>
      <c r="O10" s="433">
        <f t="shared" si="29"/>
        <v>1.0165242165242163</v>
      </c>
      <c r="P10" s="433">
        <f t="shared" si="30"/>
        <v>0.30495726495726488</v>
      </c>
      <c r="Q10" s="433">
        <f t="shared" si="31"/>
        <v>0.42</v>
      </c>
      <c r="R10" s="434">
        <v>6</v>
      </c>
      <c r="S10" s="435">
        <f t="shared" ref="S10:S16" si="36">R10+S9</f>
        <v>132</v>
      </c>
      <c r="T10" s="436">
        <f t="shared" ref="T10:T15" si="37">W10/Analysis_Hr_AC+T9</f>
        <v>1097.2000000000003</v>
      </c>
      <c r="U10" s="437">
        <v>0</v>
      </c>
      <c r="V10" s="435">
        <f t="shared" ref="V10:V16" si="38">V9+U10</f>
        <v>81.000000000000014</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2"/>
        <v>122.96666666666667</v>
      </c>
      <c r="AD10" s="438">
        <f t="shared" si="33"/>
        <v>126</v>
      </c>
      <c r="AE10" s="428">
        <v>5</v>
      </c>
      <c r="AF10" s="438">
        <v>9</v>
      </c>
      <c r="AG10" s="439">
        <f t="shared" si="34"/>
        <v>45</v>
      </c>
      <c r="AH10" s="428" t="s">
        <v>581</v>
      </c>
      <c r="AI10" s="152" t="s">
        <v>579</v>
      </c>
      <c r="AK10" s="481">
        <f t="shared" si="35"/>
        <v>0</v>
      </c>
      <c r="AL10" s="481">
        <f>(AK10+AK9+AK7+AK6+AK5+AK4)-V10</f>
        <v>-81.000000000000014</v>
      </c>
    </row>
    <row r="11" spans="1:40" ht="12.75" customHeight="1" x14ac:dyDescent="0.45">
      <c r="A11" s="483" t="s">
        <v>575</v>
      </c>
      <c r="B11" s="427">
        <f t="shared" si="24"/>
        <v>42601</v>
      </c>
      <c r="C11" s="428" t="s">
        <v>260</v>
      </c>
      <c r="D11" s="428" t="s">
        <v>531</v>
      </c>
      <c r="E11" s="429" t="s">
        <v>548</v>
      </c>
      <c r="F11" s="430">
        <v>4</v>
      </c>
      <c r="G11" s="431">
        <f t="shared" si="25"/>
        <v>0.4</v>
      </c>
      <c r="H11" s="431">
        <f>F11*23%</f>
        <v>0.92</v>
      </c>
      <c r="I11" s="431">
        <v>0</v>
      </c>
      <c r="J11" s="432">
        <f t="shared" si="0"/>
        <v>2.6799999999999997</v>
      </c>
      <c r="K11" s="430">
        <v>1.2</v>
      </c>
      <c r="L11" s="431">
        <f t="shared" si="26"/>
        <v>1.4799999999999998</v>
      </c>
      <c r="M11" s="433">
        <f t="shared" si="27"/>
        <v>0.76243143258068646</v>
      </c>
      <c r="N11" s="433">
        <f t="shared" si="28"/>
        <v>0.22872942977420591</v>
      </c>
      <c r="O11" s="433">
        <f t="shared" si="29"/>
        <v>0.94033210018284641</v>
      </c>
      <c r="P11" s="433">
        <f t="shared" si="30"/>
        <v>0.28209963005485394</v>
      </c>
      <c r="Q11" s="433">
        <f t="shared" si="31"/>
        <v>0.40199999999999991</v>
      </c>
      <c r="R11" s="434">
        <v>16</v>
      </c>
      <c r="S11" s="435">
        <f t="shared" si="36"/>
        <v>148</v>
      </c>
      <c r="T11" s="436">
        <f t="shared" si="37"/>
        <v>1180.4000000000003</v>
      </c>
      <c r="U11" s="437">
        <v>0</v>
      </c>
      <c r="V11" s="435">
        <f t="shared" si="38"/>
        <v>81.000000000000014</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2"/>
        <v>94.161333333333332</v>
      </c>
      <c r="AD11" s="438">
        <f t="shared" si="33"/>
        <v>96.47999999999999</v>
      </c>
      <c r="AE11" s="428">
        <v>4</v>
      </c>
      <c r="AF11" s="438">
        <v>9</v>
      </c>
      <c r="AG11" s="439">
        <f t="shared" si="34"/>
        <v>36</v>
      </c>
      <c r="AH11" s="428" t="s">
        <v>581</v>
      </c>
      <c r="AI11" s="152" t="s">
        <v>568</v>
      </c>
      <c r="AK11" s="481">
        <f t="shared" si="35"/>
        <v>0</v>
      </c>
      <c r="AL11" s="481">
        <f>(AK11+AK10+AK9+AK7+AK6+AK5+AK4)-V11</f>
        <v>-81.000000000000014</v>
      </c>
    </row>
    <row r="12" spans="1:40" ht="12.75" customHeight="1" x14ac:dyDescent="0.45">
      <c r="B12" s="429">
        <f t="shared" si="24"/>
        <v>42608</v>
      </c>
      <c r="C12" s="428" t="s">
        <v>260</v>
      </c>
      <c r="D12" s="428" t="s">
        <v>531</v>
      </c>
      <c r="E12" s="429" t="s">
        <v>548</v>
      </c>
      <c r="F12" s="430">
        <v>4</v>
      </c>
      <c r="G12" s="431">
        <v>0.2</v>
      </c>
      <c r="H12" s="431">
        <f>F12*23%</f>
        <v>0.92</v>
      </c>
      <c r="I12" s="431">
        <v>2</v>
      </c>
      <c r="J12" s="432">
        <f>F12-(G12+H12+I12)</f>
        <v>0.87999999999999989</v>
      </c>
      <c r="K12" s="430">
        <v>0.2</v>
      </c>
      <c r="L12" s="431">
        <v>0.6</v>
      </c>
      <c r="M12" s="433">
        <f t="shared" ref="M12" si="39">(W12+(($AB12*($K12/$J12))/(1+Hr_Review)))/$AG12</f>
        <v>0.1268907018907019</v>
      </c>
      <c r="N12" s="433">
        <f t="shared" ref="N12" si="40">(X12+(($AB12*($K12/$J12))/(1+Hr_Review))*Hr_Review)/$AG12</f>
        <v>3.8067210567210567E-2</v>
      </c>
      <c r="O12" s="433">
        <f t="shared" ref="O12" si="41">(Y12+(($AB12*($L12/$J12))/(1+Hr_Review)))/$AG12</f>
        <v>0.38067210567210574</v>
      </c>
      <c r="P12" s="433">
        <f t="shared" ref="P12" si="42">(Z12+(($AB12*($L12/$J12))/(1+Hr_Review))*Hr_Review)/$AG12</f>
        <v>0.11420163170163172</v>
      </c>
      <c r="Q12" s="433">
        <f t="shared" ref="Q12" si="43">AA12/$AG12</f>
        <v>0.13199999999999998</v>
      </c>
      <c r="R12" s="434">
        <v>10</v>
      </c>
      <c r="S12" s="435">
        <f t="shared" ref="S12" si="44">R12+S11</f>
        <v>158</v>
      </c>
      <c r="T12" s="436">
        <f t="shared" ref="T12" si="45">W12/Analysis_Hr_AC+T11</f>
        <v>1194.2666666666669</v>
      </c>
      <c r="U12" s="437">
        <v>26</v>
      </c>
      <c r="V12" s="435">
        <f t="shared" ref="V12" si="46">V11+U12</f>
        <v>107.00000000000001</v>
      </c>
      <c r="W12" s="438">
        <f>K12*(AG12-AG12*Hr_Query-AG12*Hr_OtherAnalysis)*(1/(1+Hr_Query+Hr_OtherAnalysis))</f>
        <v>3.4666666666666672</v>
      </c>
      <c r="X12" s="438">
        <f>(W12)*Hr_Review</f>
        <v>1.04</v>
      </c>
      <c r="Y12" s="438">
        <f>L12*(AG12-AG12*Hr_Query-AG12*Hr_OtherAnalysis)*(1/(1+Hr_Query+Hr_OtherAnalysis))</f>
        <v>10.400000000000002</v>
      </c>
      <c r="Z12" s="438">
        <f>(Y12)*Hr_Review</f>
        <v>3.1200000000000006</v>
      </c>
      <c r="AA12" s="438">
        <f>AD12*Hr_OtherAnalysis</f>
        <v>4.7519999999999989</v>
      </c>
      <c r="AB12" s="438">
        <f>ROUND(AD12*Hr_Query,1)</f>
        <v>6.3</v>
      </c>
      <c r="AC12" s="438">
        <f t="shared" ref="AC12" si="47">W12+Y12+X12+Z12+AB12+AA12</f>
        <v>29.07866666666667</v>
      </c>
      <c r="AD12" s="438">
        <f t="shared" ref="AD12" si="48">J12*AE12*AF12</f>
        <v>31.679999999999996</v>
      </c>
      <c r="AE12" s="428">
        <v>4</v>
      </c>
      <c r="AF12" s="438">
        <v>9</v>
      </c>
      <c r="AG12" s="439">
        <f t="shared" ref="AG12" si="49">AE12*AF12</f>
        <v>36</v>
      </c>
      <c r="AH12" s="428" t="s">
        <v>581</v>
      </c>
      <c r="AI12" s="152" t="s">
        <v>568</v>
      </c>
      <c r="AK12" s="481">
        <f t="shared" si="35"/>
        <v>0</v>
      </c>
      <c r="AL12" s="481">
        <f>(AK12+AK11+AK10+AK9+AK7+AK6+AK4+AK5)-V12</f>
        <v>-107.00000000000001</v>
      </c>
    </row>
    <row r="13" spans="1:40" ht="12.75" customHeight="1" x14ac:dyDescent="0.45">
      <c r="A13" s="522" t="s">
        <v>592</v>
      </c>
      <c r="B13" s="427">
        <f t="shared" si="24"/>
        <v>42615</v>
      </c>
      <c r="C13" s="428" t="s">
        <v>260</v>
      </c>
      <c r="D13" s="428" t="s">
        <v>531</v>
      </c>
      <c r="E13" s="429" t="s">
        <v>548</v>
      </c>
      <c r="F13" s="430">
        <v>4</v>
      </c>
      <c r="G13" s="431">
        <v>0.2</v>
      </c>
      <c r="H13" s="431">
        <f>F13*5%</f>
        <v>0.2</v>
      </c>
      <c r="I13" s="431">
        <v>2.8</v>
      </c>
      <c r="J13" s="432">
        <f t="shared" si="0"/>
        <v>0.80000000000000027</v>
      </c>
      <c r="K13" s="430">
        <v>0</v>
      </c>
      <c r="L13" s="431">
        <f t="shared" si="26"/>
        <v>0.80000000000000027</v>
      </c>
      <c r="M13" s="433">
        <f t="shared" si="27"/>
        <v>0</v>
      </c>
      <c r="N13" s="433">
        <f t="shared" si="28"/>
        <v>0</v>
      </c>
      <c r="O13" s="433">
        <f t="shared" si="29"/>
        <v>0.50826210826210849</v>
      </c>
      <c r="P13" s="433">
        <f t="shared" si="30"/>
        <v>0.15247863247863253</v>
      </c>
      <c r="Q13" s="433">
        <f t="shared" si="31"/>
        <v>0.12000000000000005</v>
      </c>
      <c r="R13" s="434">
        <f>ROUNDDOWN(W13/(Analysis_Hr_AC*NO_AC_US),0)</f>
        <v>0</v>
      </c>
      <c r="S13" s="435">
        <f t="shared" si="36"/>
        <v>158</v>
      </c>
      <c r="T13" s="436">
        <f t="shared" si="37"/>
        <v>1194.2666666666669</v>
      </c>
      <c r="U13" s="437">
        <f t="shared" ref="U13:U19" si="50">Y13/$B$23</f>
        <v>17.333333333333343</v>
      </c>
      <c r="V13" s="435">
        <f t="shared" si="38"/>
        <v>124.33333333333336</v>
      </c>
      <c r="W13" s="438">
        <f>K13*(AG13-AG13*Hr_Query-AG13*Hr_OtherAnalysis)*(1/(1+Hr_Query+Hr_OtherAnalysis))</f>
        <v>0</v>
      </c>
      <c r="X13" s="438">
        <f>(W13)*Hr_Review</f>
        <v>0</v>
      </c>
      <c r="Y13" s="438">
        <f>L13*(AG13-AG13*Hr_Query-AG13*Hr_OtherAnalysis)*(1/(1+Hr_Query+Hr_OtherAnalysis))</f>
        <v>17.333333333333343</v>
      </c>
      <c r="Z13" s="438">
        <f>(Y13)*Hr_Review</f>
        <v>5.2000000000000028</v>
      </c>
      <c r="AA13" s="438">
        <f>AD13*Hr_OtherAnalysis</f>
        <v>5.4000000000000021</v>
      </c>
      <c r="AB13" s="438">
        <f>ROUND(AD13*Hr_Query,1)</f>
        <v>7.2</v>
      </c>
      <c r="AC13" s="438">
        <f t="shared" si="32"/>
        <v>35.133333333333347</v>
      </c>
      <c r="AD13" s="438">
        <f t="shared" si="33"/>
        <v>36.000000000000014</v>
      </c>
      <c r="AE13" s="428">
        <v>5</v>
      </c>
      <c r="AF13" s="438">
        <v>9</v>
      </c>
      <c r="AG13" s="439">
        <f t="shared" si="34"/>
        <v>45</v>
      </c>
      <c r="AH13" s="428" t="s">
        <v>581</v>
      </c>
      <c r="AI13" s="522" t="s">
        <v>594</v>
      </c>
      <c r="AK13" s="481">
        <f t="shared" si="35"/>
        <v>0</v>
      </c>
      <c r="AL13" s="481">
        <f>(AK13+AK12+AK11+AK10+AK9+AK7+AK5+AK6+AK4)-V13</f>
        <v>-124.33333333333336</v>
      </c>
    </row>
    <row r="14" spans="1:40" ht="12.75" customHeight="1" x14ac:dyDescent="0.45">
      <c r="A14" s="522" t="s">
        <v>592</v>
      </c>
      <c r="B14" s="427">
        <f t="shared" si="24"/>
        <v>42622</v>
      </c>
      <c r="C14" s="428" t="s">
        <v>260</v>
      </c>
      <c r="D14" s="428" t="s">
        <v>531</v>
      </c>
      <c r="E14" s="429" t="s">
        <v>548</v>
      </c>
      <c r="F14" s="430">
        <v>4</v>
      </c>
      <c r="G14" s="431">
        <v>0.2</v>
      </c>
      <c r="H14" s="431">
        <f>F14*19%</f>
        <v>0.76</v>
      </c>
      <c r="I14" s="431">
        <v>2</v>
      </c>
      <c r="J14" s="432">
        <f t="shared" si="0"/>
        <v>1.04</v>
      </c>
      <c r="K14" s="430">
        <v>1</v>
      </c>
      <c r="L14" s="431">
        <f t="shared" si="26"/>
        <v>4.0000000000000036E-2</v>
      </c>
      <c r="M14" s="433">
        <f t="shared" si="27"/>
        <v>0.63557418365110674</v>
      </c>
      <c r="N14" s="433">
        <f t="shared" si="28"/>
        <v>0.19067225509533203</v>
      </c>
      <c r="O14" s="433">
        <f t="shared" si="29"/>
        <v>2.5422967346044295E-2</v>
      </c>
      <c r="P14" s="433">
        <f t="shared" si="30"/>
        <v>7.6268902038132873E-3</v>
      </c>
      <c r="Q14" s="433">
        <f t="shared" si="31"/>
        <v>0.156</v>
      </c>
      <c r="R14" s="434">
        <f t="shared" ref="R14:R15" si="51">ROUNDDOWN(W14/(Analysis_Hr_AC*NO_AC_US),0)</f>
        <v>13</v>
      </c>
      <c r="S14" s="435">
        <f t="shared" si="36"/>
        <v>171</v>
      </c>
      <c r="T14" s="436">
        <f t="shared" si="37"/>
        <v>1263.6000000000001</v>
      </c>
      <c r="U14" s="437">
        <f t="shared" si="50"/>
        <v>0.69333333333333413</v>
      </c>
      <c r="V14" s="435">
        <f t="shared" si="38"/>
        <v>125.02666666666669</v>
      </c>
      <c r="W14" s="438">
        <f t="shared" ref="W14:W15" si="52">K14*(AG14-AG14*Hr_Query-AG14*Hr_OtherAnalysis)*(1/(1+Hr_Query+Hr_OtherAnalysis))</f>
        <v>17.333333333333336</v>
      </c>
      <c r="X14" s="438">
        <f t="shared" ref="X14:X15" si="53">(W14)*Hr_Review</f>
        <v>5.2</v>
      </c>
      <c r="Y14" s="438">
        <f t="shared" ref="Y14:Y15" si="54">L14*(AG14-AG14*Hr_Query-AG14*Hr_OtherAnalysis)*(1/(1+Hr_Query+Hr_OtherAnalysis))</f>
        <v>0.69333333333333413</v>
      </c>
      <c r="Z14" s="438">
        <f t="shared" ref="Z14:Z15" si="55">(Y14)*Hr_Review</f>
        <v>0.20800000000000024</v>
      </c>
      <c r="AA14" s="438">
        <f t="shared" ref="AA14:AA15" si="56">AD14*Hr_OtherAnalysis</f>
        <v>5.6159999999999997</v>
      </c>
      <c r="AB14" s="438">
        <f t="shared" ref="AB14:AB15" si="57">ROUND(AD14*Hr_Query,1)</f>
        <v>7.5</v>
      </c>
      <c r="AC14" s="438">
        <f t="shared" si="32"/>
        <v>36.550666666666672</v>
      </c>
      <c r="AD14" s="438">
        <f t="shared" si="33"/>
        <v>37.44</v>
      </c>
      <c r="AE14" s="428">
        <v>4</v>
      </c>
      <c r="AF14" s="438">
        <v>9</v>
      </c>
      <c r="AG14" s="439">
        <f t="shared" si="34"/>
        <v>36</v>
      </c>
      <c r="AH14" s="428" t="s">
        <v>581</v>
      </c>
      <c r="AI14" s="522" t="s">
        <v>593</v>
      </c>
      <c r="AK14" s="481">
        <f t="shared" si="35"/>
        <v>0</v>
      </c>
      <c r="AL14" s="481">
        <f>(AK14+AK13+AK12+AK11+AK10+AK9+AK6+AK7+AK5+AK4)-V14</f>
        <v>-125.02666666666669</v>
      </c>
    </row>
    <row r="15" spans="1:40" ht="12.75" customHeight="1" x14ac:dyDescent="0.45">
      <c r="B15" s="427">
        <f t="shared" si="24"/>
        <v>42629</v>
      </c>
      <c r="C15" s="428" t="s">
        <v>260</v>
      </c>
      <c r="D15" s="428" t="s">
        <v>531</v>
      </c>
      <c r="E15" s="429" t="s">
        <v>548</v>
      </c>
      <c r="F15" s="430">
        <v>4</v>
      </c>
      <c r="G15" s="431">
        <f>F15*5%</f>
        <v>0.2</v>
      </c>
      <c r="H15" s="431">
        <f>F15*15%</f>
        <v>0.6</v>
      </c>
      <c r="I15" s="431">
        <v>0</v>
      </c>
      <c r="J15" s="432">
        <f t="shared" si="0"/>
        <v>3.2</v>
      </c>
      <c r="K15" s="430">
        <v>2</v>
      </c>
      <c r="L15" s="431">
        <f t="shared" si="26"/>
        <v>1.2000000000000002</v>
      </c>
      <c r="M15" s="433">
        <f t="shared" si="27"/>
        <v>1.2706552706552707</v>
      </c>
      <c r="N15" s="433">
        <f t="shared" si="28"/>
        <v>0.38119658119658117</v>
      </c>
      <c r="O15" s="433">
        <f t="shared" si="29"/>
        <v>0.76239316239316268</v>
      </c>
      <c r="P15" s="433">
        <f t="shared" si="30"/>
        <v>0.22871794871794876</v>
      </c>
      <c r="Q15" s="433">
        <f t="shared" si="31"/>
        <v>0.47999999999999993</v>
      </c>
      <c r="R15" s="434">
        <f t="shared" si="51"/>
        <v>34</v>
      </c>
      <c r="S15" s="435">
        <f t="shared" si="36"/>
        <v>205</v>
      </c>
      <c r="T15" s="436">
        <f t="shared" si="37"/>
        <v>1436.9333333333334</v>
      </c>
      <c r="U15" s="437">
        <f t="shared" si="50"/>
        <v>26.000000000000007</v>
      </c>
      <c r="V15" s="435">
        <f t="shared" si="38"/>
        <v>151.0266666666667</v>
      </c>
      <c r="W15" s="438">
        <f t="shared" si="52"/>
        <v>43.333333333333336</v>
      </c>
      <c r="X15" s="438">
        <f t="shared" si="53"/>
        <v>13</v>
      </c>
      <c r="Y15" s="438">
        <f t="shared" si="54"/>
        <v>26.000000000000007</v>
      </c>
      <c r="Z15" s="438">
        <f t="shared" si="55"/>
        <v>7.8000000000000016</v>
      </c>
      <c r="AA15" s="438">
        <f t="shared" si="56"/>
        <v>21.599999999999998</v>
      </c>
      <c r="AB15" s="438">
        <f t="shared" si="57"/>
        <v>28.8</v>
      </c>
      <c r="AC15" s="438">
        <f t="shared" si="32"/>
        <v>140.53333333333333</v>
      </c>
      <c r="AD15" s="438">
        <f t="shared" si="33"/>
        <v>144</v>
      </c>
      <c r="AE15" s="428">
        <v>5</v>
      </c>
      <c r="AF15" s="438">
        <v>9</v>
      </c>
      <c r="AG15" s="439">
        <f t="shared" si="34"/>
        <v>45</v>
      </c>
      <c r="AH15" s="428" t="s">
        <v>581</v>
      </c>
      <c r="AI15" s="152" t="s">
        <v>566</v>
      </c>
      <c r="AK15" s="481">
        <f t="shared" si="35"/>
        <v>0</v>
      </c>
      <c r="AL15" s="481">
        <f>(AK15+AK14+AK13+AK12+AK11+AK10+AK7+AK9+AK6+AK5+AK4)-V15</f>
        <v>-151.0266666666667</v>
      </c>
    </row>
    <row r="16" spans="1:40" s="177" customFormat="1" x14ac:dyDescent="0.45">
      <c r="A16" s="152"/>
      <c r="B16" s="427">
        <f t="shared" si="24"/>
        <v>42636</v>
      </c>
      <c r="C16" s="428" t="s">
        <v>260</v>
      </c>
      <c r="D16" s="428" t="s">
        <v>531</v>
      </c>
      <c r="E16" s="429" t="s">
        <v>548</v>
      </c>
      <c r="F16" s="430">
        <v>4</v>
      </c>
      <c r="G16" s="431">
        <f>F16*5%</f>
        <v>0.2</v>
      </c>
      <c r="H16" s="431">
        <v>0</v>
      </c>
      <c r="I16" s="431">
        <v>0</v>
      </c>
      <c r="J16" s="432">
        <f t="shared" si="0"/>
        <v>3.8</v>
      </c>
      <c r="K16" s="430">
        <v>2</v>
      </c>
      <c r="L16" s="431">
        <f t="shared" si="26"/>
        <v>1.7999999999999998</v>
      </c>
      <c r="M16" s="433">
        <f t="shared" si="27"/>
        <v>1.2706552706552707</v>
      </c>
      <c r="N16" s="433">
        <f t="shared" si="28"/>
        <v>0.38119658119658117</v>
      </c>
      <c r="O16" s="433">
        <f t="shared" si="29"/>
        <v>1.1435897435897435</v>
      </c>
      <c r="P16" s="433">
        <f t="shared" si="30"/>
        <v>0.34307692307692306</v>
      </c>
      <c r="Q16" s="433">
        <f t="shared" si="31"/>
        <v>0.56999999999999995</v>
      </c>
      <c r="R16" s="486">
        <f t="shared" ref="R16" si="58">ROUNDDOWN(W16/(Analysis_Hr_AC*NO_AC_US),0)</f>
        <v>34</v>
      </c>
      <c r="S16" s="435">
        <f t="shared" si="36"/>
        <v>239</v>
      </c>
      <c r="T16" s="436">
        <f t="shared" ref="T16" si="59">W16/Analysis_Hr_AC+T15</f>
        <v>1610.2666666666667</v>
      </c>
      <c r="U16" s="437">
        <f t="shared" si="50"/>
        <v>39</v>
      </c>
      <c r="V16" s="435">
        <f t="shared" si="38"/>
        <v>190.0266666666667</v>
      </c>
      <c r="W16" s="438">
        <f t="shared" ref="W16" si="60">K16*(AG16-AG16*Hr_Query-AG16*Hr_OtherAnalysis)*(1/(1+Hr_Query+Hr_OtherAnalysis))</f>
        <v>43.333333333333336</v>
      </c>
      <c r="X16" s="438">
        <f t="shared" ref="X16" si="61">(W16)*Hr_Review</f>
        <v>13</v>
      </c>
      <c r="Y16" s="438">
        <f t="shared" ref="Y16" si="62">L16*(AG16-AG16*Hr_Query-AG16*Hr_OtherAnalysis)*(1/(1+Hr_Query+Hr_OtherAnalysis))</f>
        <v>39</v>
      </c>
      <c r="Z16" s="438">
        <f t="shared" ref="Z16" si="63">(Y16)*Hr_Review</f>
        <v>11.7</v>
      </c>
      <c r="AA16" s="438">
        <f t="shared" ref="AA16" si="64">AD16*Hr_OtherAnalysis</f>
        <v>25.65</v>
      </c>
      <c r="AB16" s="438">
        <f t="shared" ref="AB16" si="65">ROUND(AD16*Hr_Query,1)</f>
        <v>34.200000000000003</v>
      </c>
      <c r="AC16" s="438">
        <f t="shared" si="32"/>
        <v>166.88333333333335</v>
      </c>
      <c r="AD16" s="438">
        <f t="shared" si="33"/>
        <v>171</v>
      </c>
      <c r="AE16" s="428">
        <v>5</v>
      </c>
      <c r="AF16" s="438">
        <v>9</v>
      </c>
      <c r="AG16" s="439">
        <f t="shared" si="34"/>
        <v>45</v>
      </c>
      <c r="AH16" s="428" t="s">
        <v>581</v>
      </c>
      <c r="AI16" s="152"/>
      <c r="AJ16" s="152"/>
      <c r="AK16" s="481">
        <f t="shared" si="35"/>
        <v>0</v>
      </c>
      <c r="AL16" s="481">
        <f>(AK16+AK15+AK14+AK13+AK12+AK11+AK9+AK10+AK7+AK6+AK5+AK4)-V16</f>
        <v>-190.0266666666667</v>
      </c>
      <c r="AM16" s="152"/>
      <c r="AN16" s="152"/>
    </row>
    <row r="17" spans="2:35" x14ac:dyDescent="0.45">
      <c r="B17" s="427">
        <f t="shared" si="24"/>
        <v>42643</v>
      </c>
      <c r="C17" s="428" t="s">
        <v>260</v>
      </c>
      <c r="D17" s="428" t="s">
        <v>531</v>
      </c>
      <c r="E17" s="429" t="s">
        <v>548</v>
      </c>
      <c r="F17" s="430">
        <v>4</v>
      </c>
      <c r="G17" s="431">
        <f>F17*5%</f>
        <v>0.2</v>
      </c>
      <c r="H17" s="431">
        <v>0</v>
      </c>
      <c r="I17" s="431">
        <v>0</v>
      </c>
      <c r="J17" s="432">
        <f t="shared" ref="J17" si="66">F17-(G17+H17+I17)</f>
        <v>3.8</v>
      </c>
      <c r="K17" s="430">
        <v>2.5</v>
      </c>
      <c r="L17" s="431">
        <f t="shared" ref="L17" si="67">J17-K17</f>
        <v>1.2999999999999998</v>
      </c>
      <c r="M17" s="433">
        <f t="shared" ref="M17" si="68">(W17+(($AB17*($K17/$J17))/(1+Hr_Review)))/$AG17</f>
        <v>1.5883190883190883</v>
      </c>
      <c r="N17" s="433">
        <f t="shared" ref="N17" si="69">(X17+(($AB17*($K17/$J17))/(1+Hr_Review))*Hr_Review)/$AG17</f>
        <v>0.47649572649572652</v>
      </c>
      <c r="O17" s="433">
        <f t="shared" ref="O17" si="70">(Y17+(($AB17*($L17/$J17))/(1+Hr_Review)))/$AG17</f>
        <v>0.82592592592592584</v>
      </c>
      <c r="P17" s="433">
        <f t="shared" ref="P17" si="71">(Z17+(($AB17*($L17/$J17))/(1+Hr_Review))*Hr_Review)/$AG17</f>
        <v>0.24777777777777774</v>
      </c>
      <c r="Q17" s="433">
        <f t="shared" ref="Q17" si="72">AA17/$AG17</f>
        <v>0.56999999999999995</v>
      </c>
      <c r="R17" s="486">
        <f t="shared" ref="R17" si="73">ROUNDDOWN(W17/(Analysis_Hr_AC*NO_AC_US),0)</f>
        <v>43</v>
      </c>
      <c r="S17" s="435">
        <f t="shared" ref="S17" si="74">R17+S16</f>
        <v>282</v>
      </c>
      <c r="T17" s="436">
        <f t="shared" ref="T17" si="75">W17/Analysis_Hr_AC+T16</f>
        <v>1826.9333333333334</v>
      </c>
      <c r="U17" s="437">
        <f t="shared" si="50"/>
        <v>28.166666666666664</v>
      </c>
      <c r="V17" s="435">
        <f t="shared" ref="V17" si="76">V16+U17</f>
        <v>218.19333333333336</v>
      </c>
      <c r="W17" s="438">
        <f t="shared" ref="W17" si="77">K17*(AG17-AG17*Hr_Query-AG17*Hr_OtherAnalysis)*(1/(1+Hr_Query+Hr_OtherAnalysis))</f>
        <v>54.166666666666671</v>
      </c>
      <c r="X17" s="438">
        <f t="shared" ref="X17" si="78">(W17)*Hr_Review</f>
        <v>16.25</v>
      </c>
      <c r="Y17" s="438">
        <f t="shared" ref="Y17" si="79">L17*(AG17-AG17*Hr_Query-AG17*Hr_OtherAnalysis)*(1/(1+Hr_Query+Hr_OtherAnalysis))</f>
        <v>28.166666666666664</v>
      </c>
      <c r="Z17" s="438">
        <f t="shared" ref="Z17" si="80">(Y17)*Hr_Review</f>
        <v>8.4499999999999993</v>
      </c>
      <c r="AA17" s="438">
        <f t="shared" ref="AA17" si="81">AD17*Hr_OtherAnalysis</f>
        <v>25.65</v>
      </c>
      <c r="AB17" s="438">
        <f t="shared" ref="AB17" si="82">ROUND(AD17*Hr_Query,1)</f>
        <v>34.200000000000003</v>
      </c>
      <c r="AC17" s="438">
        <f t="shared" ref="AC17" si="83">W17+Y17+X17+Z17+AB17+AA17</f>
        <v>166.88333333333335</v>
      </c>
      <c r="AD17" s="438">
        <f t="shared" ref="AD17" si="84">J17*AE17*AF17</f>
        <v>171</v>
      </c>
      <c r="AE17" s="428">
        <v>5</v>
      </c>
      <c r="AF17" s="438">
        <v>9</v>
      </c>
      <c r="AG17" s="439">
        <f t="shared" ref="AG17" si="85">AE17*AF17</f>
        <v>45</v>
      </c>
      <c r="AH17" s="428" t="s">
        <v>581</v>
      </c>
    </row>
    <row r="18" spans="2:35" s="488" customFormat="1" x14ac:dyDescent="0.45">
      <c r="B18" s="427">
        <f t="shared" si="24"/>
        <v>42650</v>
      </c>
      <c r="C18" s="428" t="s">
        <v>260</v>
      </c>
      <c r="D18" s="428" t="s">
        <v>531</v>
      </c>
      <c r="E18" s="429" t="s">
        <v>548</v>
      </c>
      <c r="F18" s="430">
        <v>4</v>
      </c>
      <c r="G18" s="431">
        <f>F18*5%</f>
        <v>0.2</v>
      </c>
      <c r="H18" s="431">
        <v>0</v>
      </c>
      <c r="I18" s="431">
        <v>0</v>
      </c>
      <c r="J18" s="432">
        <f t="shared" ref="J18" si="86">F18-(G18+H18+I18)</f>
        <v>3.8</v>
      </c>
      <c r="K18" s="430">
        <v>2.1</v>
      </c>
      <c r="L18" s="431">
        <f t="shared" ref="L18:L19" si="87">J18-K18</f>
        <v>1.6999999999999997</v>
      </c>
      <c r="M18" s="433">
        <f t="shared" ref="M18" si="88">(W18+(($AB18*($K18/$J18))/(1+Hr_Review)))/$AG18</f>
        <v>1.3341880341880343</v>
      </c>
      <c r="N18" s="433">
        <f t="shared" ref="N18" si="89">(X18+(($AB18*($K18/$J18))/(1+Hr_Review))*Hr_Review)/$AG18</f>
        <v>0.40025641025641029</v>
      </c>
      <c r="O18" s="433">
        <f t="shared" ref="O18" si="90">(Y18+(($AB18*($L18/$J18))/(1+Hr_Review)))/$AG18</f>
        <v>1.0800569800569801</v>
      </c>
      <c r="P18" s="433">
        <f t="shared" ref="P18" si="91">(Z18+(($AB18*($L18/$J18))/(1+Hr_Review))*Hr_Review)/$AG18</f>
        <v>0.32401709401709405</v>
      </c>
      <c r="Q18" s="433">
        <f t="shared" ref="Q18" si="92">AA18/$AG18</f>
        <v>0.56999999999999995</v>
      </c>
      <c r="R18" s="486">
        <f t="shared" ref="R18:R19" si="93">ROUNDDOWN(W18/(Analysis_Hr_AC*NO_AC_US),0)</f>
        <v>36</v>
      </c>
      <c r="S18" s="435">
        <f t="shared" ref="S18" si="94">R18+S17</f>
        <v>318</v>
      </c>
      <c r="T18" s="436">
        <f t="shared" ref="T18" si="95">W18/Analysis_Hr_AC+T17</f>
        <v>2008.9333333333334</v>
      </c>
      <c r="U18" s="437">
        <f t="shared" si="50"/>
        <v>36.833333333333336</v>
      </c>
      <c r="V18" s="435">
        <f t="shared" ref="V18" si="96">V17+U18</f>
        <v>255.0266666666667</v>
      </c>
      <c r="W18" s="438">
        <f t="shared" ref="W18" si="97">K18*(AG18-AG18*Hr_Query-AG18*Hr_OtherAnalysis)*(1/(1+Hr_Query+Hr_OtherAnalysis))</f>
        <v>45.500000000000007</v>
      </c>
      <c r="X18" s="438">
        <f t="shared" ref="X18" si="98">(W18)*Hr_Review</f>
        <v>13.650000000000002</v>
      </c>
      <c r="Y18" s="438">
        <f t="shared" ref="Y18" si="99">L18*(AG18-AG18*Hr_Query-AG18*Hr_OtherAnalysis)*(1/(1+Hr_Query+Hr_OtherAnalysis))</f>
        <v>36.833333333333336</v>
      </c>
      <c r="Z18" s="438">
        <f t="shared" ref="Z18" si="100">(Y18)*Hr_Review</f>
        <v>11.05</v>
      </c>
      <c r="AA18" s="438">
        <f t="shared" ref="AA18" si="101">AD18*Hr_OtherAnalysis</f>
        <v>25.65</v>
      </c>
      <c r="AB18" s="438">
        <f t="shared" ref="AB18" si="102">ROUND(AD18*Hr_Query,1)</f>
        <v>34.200000000000003</v>
      </c>
      <c r="AC18" s="438">
        <f t="shared" ref="AC18" si="103">W18+Y18+X18+Z18+AB18+AA18</f>
        <v>166.88333333333335</v>
      </c>
      <c r="AD18" s="438">
        <f t="shared" ref="AD18" si="104">J18*AE18*AF18</f>
        <v>171</v>
      </c>
      <c r="AE18" s="428">
        <v>5</v>
      </c>
      <c r="AF18" s="438">
        <v>9</v>
      </c>
      <c r="AG18" s="439">
        <f t="shared" ref="AG18" si="105">AE18*AF18</f>
        <v>45</v>
      </c>
      <c r="AH18" s="428" t="s">
        <v>581</v>
      </c>
    </row>
    <row r="19" spans="2:35" s="529" customFormat="1" x14ac:dyDescent="0.45">
      <c r="B19" s="523">
        <f t="shared" si="24"/>
        <v>42657</v>
      </c>
      <c r="C19" s="524" t="s">
        <v>260</v>
      </c>
      <c r="D19" s="524" t="s">
        <v>531</v>
      </c>
      <c r="E19" s="523" t="s">
        <v>548</v>
      </c>
      <c r="F19" s="525">
        <v>4</v>
      </c>
      <c r="G19" s="433">
        <v>0</v>
      </c>
      <c r="H19" s="433">
        <v>0</v>
      </c>
      <c r="I19" s="433">
        <v>0</v>
      </c>
      <c r="J19" s="526">
        <f t="shared" ref="J19" si="106">F19-(G19+H19+I19)</f>
        <v>4</v>
      </c>
      <c r="K19" s="525">
        <v>1.9</v>
      </c>
      <c r="L19" s="525">
        <f t="shared" si="87"/>
        <v>2.1</v>
      </c>
      <c r="M19" s="433">
        <f t="shared" ref="M19" si="107">(W19+(($AB19*($K19/$J19))/(1+Hr_Review)))/$AG19</f>
        <v>1.2071225071225071</v>
      </c>
      <c r="N19" s="433">
        <f t="shared" ref="N19" si="108">(X19+(($AB19*($K19/$J19))/(1+Hr_Review))*Hr_Review)/$AG19</f>
        <v>0.36213675213675212</v>
      </c>
      <c r="O19" s="433">
        <f t="shared" ref="O19" si="109">(Y19+(($AB19*($L19/$J19))/(1+Hr_Review)))/$AG19</f>
        <v>1.3341880341880343</v>
      </c>
      <c r="P19" s="433">
        <f t="shared" ref="P19" si="110">(Z19+(($AB19*($L19/$J19))/(1+Hr_Review))*Hr_Review)/$AG19</f>
        <v>0.40025641025641029</v>
      </c>
      <c r="Q19" s="433">
        <f t="shared" ref="Q19" si="111">AA19/$AG19</f>
        <v>0.6</v>
      </c>
      <c r="R19" s="525">
        <f t="shared" si="93"/>
        <v>32</v>
      </c>
      <c r="S19" s="527">
        <f t="shared" ref="S19" si="112">R19+S18</f>
        <v>350</v>
      </c>
      <c r="T19" s="527">
        <f t="shared" ref="T19" si="113">W19/Analysis_Hr_AC+T18</f>
        <v>2173.6</v>
      </c>
      <c r="U19" s="527">
        <f t="shared" si="50"/>
        <v>45.500000000000007</v>
      </c>
      <c r="V19" s="527">
        <f t="shared" ref="V19" si="114">V18+U19</f>
        <v>300.5266666666667</v>
      </c>
      <c r="W19" s="527">
        <f t="shared" ref="W19" si="115">K19*(AG19-AG19*Hr_Query-AG19*Hr_OtherAnalysis)*(1/(1+Hr_Query+Hr_OtherAnalysis))</f>
        <v>41.166666666666664</v>
      </c>
      <c r="X19" s="527">
        <f t="shared" ref="X19" si="116">(W19)*Hr_Review</f>
        <v>12.35</v>
      </c>
      <c r="Y19" s="527">
        <f t="shared" ref="Y19" si="117">L19*(AG19-AG19*Hr_Query-AG19*Hr_OtherAnalysis)*(1/(1+Hr_Query+Hr_OtherAnalysis))</f>
        <v>45.500000000000007</v>
      </c>
      <c r="Z19" s="527">
        <f t="shared" ref="Z19" si="118">(Y19)*Hr_Review</f>
        <v>13.650000000000002</v>
      </c>
      <c r="AA19" s="527">
        <f t="shared" ref="AA19" si="119">AD19*Hr_OtherAnalysis</f>
        <v>27</v>
      </c>
      <c r="AB19" s="527">
        <f t="shared" ref="AB19" si="120">ROUND(AD19*Hr_Query,1)</f>
        <v>36</v>
      </c>
      <c r="AC19" s="527">
        <f t="shared" ref="AC19" si="121">W19+Y19+X19+Z19+AB19+AA19</f>
        <v>175.66666666666669</v>
      </c>
      <c r="AD19" s="527">
        <f t="shared" ref="AD19" si="122">J19*AE19*AF19</f>
        <v>180</v>
      </c>
      <c r="AE19" s="524">
        <v>5</v>
      </c>
      <c r="AF19" s="527">
        <v>9</v>
      </c>
      <c r="AG19" s="528">
        <f t="shared" ref="AG19" si="123">AE19*AF19</f>
        <v>45</v>
      </c>
      <c r="AH19" s="524" t="s">
        <v>581</v>
      </c>
      <c r="AI19" s="529" t="s">
        <v>600</v>
      </c>
    </row>
    <row r="20" spans="2:35" s="488" customFormat="1" ht="14.65" thickBot="1" x14ac:dyDescent="0.5">
      <c r="B20" s="382"/>
      <c r="C20" s="489"/>
      <c r="D20" s="489"/>
      <c r="E20" s="382"/>
      <c r="F20" s="487"/>
      <c r="G20" s="490"/>
      <c r="H20" s="490"/>
      <c r="I20" s="490"/>
      <c r="J20" s="385"/>
      <c r="K20" s="487"/>
      <c r="L20" s="490"/>
      <c r="M20" s="490"/>
      <c r="N20" s="490"/>
      <c r="O20" s="490"/>
      <c r="P20" s="490"/>
      <c r="Q20" s="490"/>
      <c r="R20" s="487"/>
      <c r="S20" s="391"/>
      <c r="T20" s="391"/>
      <c r="U20" s="391"/>
      <c r="V20" s="391"/>
      <c r="W20" s="391"/>
      <c r="X20" s="391"/>
      <c r="Y20" s="391"/>
      <c r="Z20" s="391"/>
      <c r="AA20" s="391"/>
      <c r="AB20" s="391"/>
      <c r="AC20" s="391"/>
      <c r="AD20" s="391"/>
      <c r="AE20" s="489"/>
      <c r="AF20" s="391"/>
      <c r="AG20" s="491"/>
      <c r="AH20" s="489"/>
    </row>
    <row r="21" spans="2:35" x14ac:dyDescent="0.45">
      <c r="B21" s="171"/>
      <c r="C21" s="174" t="s">
        <v>10</v>
      </c>
      <c r="D21" s="169"/>
      <c r="E21" s="169"/>
    </row>
    <row r="22" spans="2:35" x14ac:dyDescent="0.45">
      <c r="B22" s="172">
        <v>0.25</v>
      </c>
      <c r="C22" s="175" t="s">
        <v>242</v>
      </c>
      <c r="D22" s="169"/>
      <c r="E22" s="170"/>
    </row>
    <row r="23" spans="2:35" s="153" customFormat="1" x14ac:dyDescent="0.45">
      <c r="B23" s="172">
        <v>1</v>
      </c>
      <c r="C23" s="175" t="s">
        <v>243</v>
      </c>
      <c r="D23" s="169"/>
      <c r="E23" s="170"/>
    </row>
    <row r="24" spans="2:35" s="153" customFormat="1" x14ac:dyDescent="0.45">
      <c r="B24" s="172">
        <v>0.3</v>
      </c>
      <c r="C24" s="175" t="s">
        <v>21</v>
      </c>
      <c r="D24" s="169"/>
      <c r="E24" s="170"/>
    </row>
    <row r="25" spans="2:35" x14ac:dyDescent="0.45">
      <c r="B25" s="172">
        <v>0.2</v>
      </c>
      <c r="C25" s="175" t="s">
        <v>244</v>
      </c>
      <c r="D25" s="169"/>
      <c r="E25" s="170"/>
    </row>
    <row r="26" spans="2:35" x14ac:dyDescent="0.45">
      <c r="B26" s="172">
        <v>0.15</v>
      </c>
      <c r="C26" s="175" t="s">
        <v>245</v>
      </c>
      <c r="D26" s="169"/>
      <c r="E26" s="170"/>
    </row>
    <row r="27" spans="2:35" ht="14.65" thickBot="1" x14ac:dyDescent="0.5">
      <c r="B27" s="173">
        <v>5</v>
      </c>
      <c r="C27" s="176" t="s">
        <v>474</v>
      </c>
      <c r="D27" s="169"/>
      <c r="E27" s="169"/>
    </row>
    <row r="28" spans="2:35" x14ac:dyDescent="0.45">
      <c r="B28" s="154"/>
      <c r="D28" s="154"/>
      <c r="E28" s="154"/>
      <c r="F28" s="155"/>
    </row>
    <row r="29" spans="2:35" x14ac:dyDescent="0.45">
      <c r="E29" s="156"/>
    </row>
    <row r="30" spans="2:35" x14ac:dyDescent="0.45">
      <c r="E30" s="156"/>
    </row>
    <row r="31" spans="2:35" x14ac:dyDescent="0.45">
      <c r="E31" s="156"/>
    </row>
    <row r="32" spans="2:35"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row r="38" spans="5:5" x14ac:dyDescent="0.45">
      <c r="E38" s="156"/>
    </row>
    <row r="39" spans="5:5" x14ac:dyDescent="0.45">
      <c r="E39" s="156"/>
    </row>
  </sheetData>
  <mergeCells count="1">
    <mergeCell ref="C8:AE8"/>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4" sqref="E4"/>
    </sheetView>
  </sheetViews>
  <sheetFormatPr defaultRowHeight="12.75" x14ac:dyDescent="0.45"/>
  <cols>
    <col min="1" max="1" width="11.3984375" style="533" customWidth="1"/>
    <col min="2" max="4" width="9.06640625" style="533"/>
    <col min="5" max="5" width="21.3984375" style="533" customWidth="1"/>
    <col min="6" max="16384" width="9.06640625" style="533"/>
  </cols>
  <sheetData>
    <row r="1" spans="1:5" s="531" customFormat="1" ht="28.25" customHeight="1" x14ac:dyDescent="0.45">
      <c r="A1" s="530" t="s">
        <v>595</v>
      </c>
      <c r="B1" s="530" t="s">
        <v>596</v>
      </c>
      <c r="C1" s="530" t="s">
        <v>597</v>
      </c>
      <c r="D1" s="530" t="s">
        <v>601</v>
      </c>
      <c r="E1" s="530"/>
    </row>
    <row r="2" spans="1:5" ht="14.25" x14ac:dyDescent="0.45">
      <c r="A2" s="532">
        <v>5</v>
      </c>
      <c r="B2" s="532">
        <v>4</v>
      </c>
      <c r="C2" s="532">
        <v>9</v>
      </c>
      <c r="D2" s="532">
        <f>A2*B2*C2</f>
        <v>180</v>
      </c>
      <c r="E2" s="532" t="s">
        <v>602</v>
      </c>
    </row>
    <row r="3" spans="1:5" ht="14.25" x14ac:dyDescent="0.45">
      <c r="A3" s="532">
        <v>1</v>
      </c>
      <c r="B3" s="532">
        <v>1</v>
      </c>
      <c r="C3" s="532">
        <v>9</v>
      </c>
      <c r="D3" s="532">
        <f>A3*B3*C3</f>
        <v>9</v>
      </c>
      <c r="E3" s="532" t="s">
        <v>599</v>
      </c>
    </row>
    <row r="4" spans="1:5" ht="14.25" x14ac:dyDescent="0.45">
      <c r="A4" s="532"/>
      <c r="B4" s="532"/>
      <c r="C4" s="532"/>
      <c r="D4" s="532">
        <f>D3/D2</f>
        <v>0.05</v>
      </c>
      <c r="E4" s="532" t="s">
        <v>603</v>
      </c>
    </row>
    <row r="5" spans="1:5" ht="14.25" x14ac:dyDescent="0.45">
      <c r="A5" s="535"/>
      <c r="B5" s="535"/>
      <c r="C5" s="535"/>
      <c r="D5" s="535"/>
      <c r="E5" s="535"/>
    </row>
    <row r="6" spans="1:5" s="531" customFormat="1" ht="25.5" x14ac:dyDescent="0.45">
      <c r="A6" s="534" t="s">
        <v>595</v>
      </c>
      <c r="B6" s="534" t="s">
        <v>596</v>
      </c>
      <c r="C6" s="534" t="s">
        <v>597</v>
      </c>
      <c r="D6" s="534" t="s">
        <v>601</v>
      </c>
      <c r="E6" s="534"/>
    </row>
    <row r="7" spans="1:5" ht="14.25" x14ac:dyDescent="0.45">
      <c r="A7" s="532">
        <v>4</v>
      </c>
      <c r="B7" s="532">
        <v>4</v>
      </c>
      <c r="C7" s="532">
        <v>9</v>
      </c>
      <c r="D7" s="532">
        <f>A7*B7*C7</f>
        <v>144</v>
      </c>
      <c r="E7" s="532" t="s">
        <v>598</v>
      </c>
    </row>
    <row r="8" spans="1:5" ht="14.25" x14ac:dyDescent="0.45">
      <c r="A8" s="532">
        <v>3</v>
      </c>
      <c r="B8" s="532">
        <v>1</v>
      </c>
      <c r="C8" s="532">
        <v>9</v>
      </c>
      <c r="D8" s="532">
        <f>A8*B8*C8</f>
        <v>27</v>
      </c>
      <c r="E8" s="532" t="s">
        <v>599</v>
      </c>
    </row>
    <row r="9" spans="1:5" ht="14.25" x14ac:dyDescent="0.45">
      <c r="A9" s="532"/>
      <c r="B9" s="532"/>
      <c r="C9" s="532"/>
      <c r="D9" s="532">
        <f>D8/D7</f>
        <v>0.1875</v>
      </c>
      <c r="E9" s="532" t="s">
        <v>603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1328125" defaultRowHeight="14.25" outlineLevelCol="1" x14ac:dyDescent="0.45"/>
  <cols>
    <col min="1" max="1" width="4.86328125" style="152" customWidth="1"/>
    <col min="2" max="2" width="8.1328125" style="156" customWidth="1"/>
    <col min="3" max="3" width="8.1328125" style="152" customWidth="1"/>
    <col min="4" max="4" width="12.33203125" style="156" bestFit="1" customWidth="1"/>
    <col min="5" max="5" width="30" style="157" customWidth="1"/>
    <col min="6" max="6" width="5.1328125" style="153" customWidth="1"/>
    <col min="7" max="8" width="4.46484375" style="153" bestFit="1" customWidth="1"/>
    <col min="9" max="9" width="4.46484375" style="153" customWidth="1"/>
    <col min="10" max="10" width="3.86328125" style="153" customWidth="1"/>
    <col min="11" max="11" width="5.86328125" style="153" customWidth="1"/>
    <col min="12" max="12" width="9.53125" style="153" customWidth="1" collapsed="1"/>
    <col min="13" max="17" width="5.86328125" style="153" hidden="1" customWidth="1" outlineLevel="1"/>
    <col min="18" max="22" width="5.86328125" style="153" customWidth="1"/>
    <col min="23" max="30" width="5.86328125" style="153" customWidth="1" outlineLevel="1"/>
    <col min="31" max="31" width="5.86328125" style="153" customWidth="1"/>
    <col min="32" max="32" width="3.86328125" style="153" customWidth="1" outlineLevel="1"/>
    <col min="33" max="33" width="4.86328125" style="153" customWidth="1" outlineLevel="1"/>
    <col min="34" max="34" width="77.6640625" style="152" bestFit="1" customWidth="1"/>
    <col min="35" max="16384" width="9.1328125" style="152"/>
  </cols>
  <sheetData>
    <row r="1" spans="2:34" s="133" customFormat="1" ht="129" customHeight="1" x14ac:dyDescent="0.45">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45">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45">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45">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45">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45">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45">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45">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45">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45">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45">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45">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8.5" x14ac:dyDescent="0.45">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45">
      <c r="B14" s="156" t="s">
        <v>463</v>
      </c>
      <c r="C14" s="152" t="s">
        <v>462</v>
      </c>
    </row>
    <row r="15" spans="2:34" x14ac:dyDescent="0.45">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45">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45">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45">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45">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45">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45">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45">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45">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45">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45">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45">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45">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45">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45">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45">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45">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45">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45">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45">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45">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45">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45">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45">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45">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45">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45">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4.65" thickBot="1" x14ac:dyDescent="0.5">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45">
      <c r="B43" s="171"/>
      <c r="C43" s="174" t="s">
        <v>10</v>
      </c>
      <c r="D43" s="169"/>
      <c r="E43" s="169"/>
    </row>
    <row r="44" spans="2:33" x14ac:dyDescent="0.45">
      <c r="B44" s="172">
        <v>0.3</v>
      </c>
      <c r="C44" s="175" t="s">
        <v>242</v>
      </c>
      <c r="D44" s="169"/>
      <c r="E44" s="170"/>
    </row>
    <row r="45" spans="2:33" s="153" customFormat="1" x14ac:dyDescent="0.45">
      <c r="B45" s="172">
        <v>1.4</v>
      </c>
      <c r="C45" s="175" t="s">
        <v>243</v>
      </c>
      <c r="D45" s="169"/>
      <c r="E45" s="170"/>
    </row>
    <row r="46" spans="2:33" s="153" customFormat="1" x14ac:dyDescent="0.45">
      <c r="B46" s="172">
        <v>0.3</v>
      </c>
      <c r="C46" s="175" t="s">
        <v>21</v>
      </c>
      <c r="D46" s="169"/>
      <c r="E46" s="170"/>
    </row>
    <row r="47" spans="2:33" x14ac:dyDescent="0.45">
      <c r="B47" s="172">
        <v>0.2</v>
      </c>
      <c r="C47" s="175" t="s">
        <v>244</v>
      </c>
      <c r="D47" s="169"/>
      <c r="E47" s="170"/>
    </row>
    <row r="48" spans="2:33" x14ac:dyDescent="0.45">
      <c r="B48" s="172">
        <v>0.1</v>
      </c>
      <c r="C48" s="175" t="s">
        <v>245</v>
      </c>
      <c r="D48" s="169"/>
      <c r="E48" s="170"/>
    </row>
    <row r="49" spans="2:34" ht="14.65" thickBot="1" x14ac:dyDescent="0.5">
      <c r="B49" s="173">
        <v>5</v>
      </c>
      <c r="C49" s="176" t="s">
        <v>207</v>
      </c>
      <c r="D49" s="169"/>
      <c r="E49" s="169"/>
    </row>
    <row r="50" spans="2:34" x14ac:dyDescent="0.45">
      <c r="B50" s="154"/>
      <c r="D50" s="154"/>
      <c r="E50" s="154"/>
      <c r="F50" s="155"/>
    </row>
    <row r="51" spans="2:34" x14ac:dyDescent="0.45">
      <c r="E51" s="156"/>
    </row>
    <row r="52" spans="2:34" x14ac:dyDescent="0.45">
      <c r="E52" s="156"/>
    </row>
    <row r="53" spans="2:34" x14ac:dyDescent="0.45">
      <c r="E53" s="156"/>
    </row>
    <row r="54" spans="2:34" s="153" customFormat="1" x14ac:dyDescent="0.45">
      <c r="B54" s="156"/>
      <c r="C54" s="152"/>
      <c r="D54" s="156"/>
      <c r="E54" s="156"/>
      <c r="AH54" s="152"/>
    </row>
    <row r="55" spans="2:34" s="153" customFormat="1" x14ac:dyDescent="0.45">
      <c r="B55" s="156"/>
      <c r="C55" s="152"/>
      <c r="D55" s="156"/>
      <c r="E55" s="156"/>
      <c r="AH55" s="152"/>
    </row>
    <row r="56" spans="2:34" s="153" customFormat="1" x14ac:dyDescent="0.45">
      <c r="B56" s="156"/>
      <c r="C56" s="152"/>
      <c r="D56" s="156"/>
      <c r="E56" s="156"/>
      <c r="AH56" s="152"/>
    </row>
    <row r="57" spans="2:34" s="153" customFormat="1" x14ac:dyDescent="0.45">
      <c r="B57" s="156"/>
      <c r="C57" s="152"/>
      <c r="D57" s="156"/>
      <c r="E57" s="156"/>
      <c r="AH57" s="152"/>
    </row>
    <row r="58" spans="2:34" s="153" customFormat="1" x14ac:dyDescent="0.45">
      <c r="B58" s="156"/>
      <c r="C58" s="152"/>
      <c r="D58" s="156"/>
      <c r="E58" s="156"/>
      <c r="AH58" s="152"/>
    </row>
    <row r="59" spans="2:34" s="153" customFormat="1" x14ac:dyDescent="0.45">
      <c r="B59" s="156"/>
      <c r="C59" s="152"/>
      <c r="D59" s="156"/>
      <c r="E59" s="156"/>
      <c r="AH59" s="152"/>
    </row>
    <row r="60" spans="2:34" s="153" customFormat="1" x14ac:dyDescent="0.45">
      <c r="B60" s="156"/>
      <c r="C60" s="152"/>
      <c r="D60" s="156"/>
      <c r="E60" s="156"/>
      <c r="AH60" s="152"/>
    </row>
    <row r="61" spans="2:34" s="153" customFormat="1" x14ac:dyDescent="0.45">
      <c r="B61" s="156"/>
      <c r="C61" s="152"/>
      <c r="D61" s="156"/>
      <c r="E61" s="156"/>
      <c r="AH61" s="15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25" x14ac:dyDescent="0.45"/>
  <cols>
    <col min="1" max="1" width="16.46484375" bestFit="1" customWidth="1"/>
    <col min="2" max="2" width="19.46484375" style="27" customWidth="1"/>
    <col min="3" max="3" width="13.86328125" style="27" bestFit="1" customWidth="1"/>
    <col min="4" max="4" width="36.1328125" style="1" bestFit="1" customWidth="1"/>
    <col min="5" max="5" width="18.1328125" style="1" bestFit="1" customWidth="1"/>
    <col min="6" max="6" width="11.46484375" style="1" customWidth="1"/>
    <col min="7" max="7" width="12.33203125" style="10" customWidth="1"/>
    <col min="8" max="9" width="12.33203125" style="1" customWidth="1"/>
    <col min="10" max="12" width="12.33203125" style="1" hidden="1" customWidth="1"/>
    <col min="13" max="13" width="12.33203125" style="10" customWidth="1"/>
    <col min="14" max="14" width="12.33203125" style="1" customWidth="1"/>
    <col min="15" max="15" width="12.33203125" style="10" customWidth="1"/>
    <col min="16" max="25" width="12.33203125" style="1" customWidth="1"/>
  </cols>
  <sheetData>
    <row r="1" spans="1:26" x14ac:dyDescent="0.45">
      <c r="A1" t="s">
        <v>195</v>
      </c>
    </row>
    <row r="2" spans="1:26" s="41" customFormat="1" ht="69.400000000000006" x14ac:dyDescent="0.45">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45">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45">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45">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45">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45">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45">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45">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45">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45">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45">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45">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45">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45">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45">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45">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45">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45">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45">
      <c r="B20" s="21" t="s">
        <v>38</v>
      </c>
    </row>
    <row r="21" spans="1:26" x14ac:dyDescent="0.45">
      <c r="B21" s="26"/>
    </row>
    <row r="22" spans="1:26" x14ac:dyDescent="0.45">
      <c r="A22" s="23" t="s">
        <v>10</v>
      </c>
      <c r="B22" s="28"/>
      <c r="C22" s="28"/>
      <c r="D22" s="22"/>
      <c r="E22" s="22"/>
    </row>
    <row r="23" spans="1:26" x14ac:dyDescent="0.45">
      <c r="A23" s="25">
        <v>1</v>
      </c>
      <c r="B23" s="29" t="s">
        <v>40</v>
      </c>
      <c r="C23" s="28"/>
      <c r="D23" s="22"/>
      <c r="E23" s="22"/>
    </row>
    <row r="24" spans="1:26" x14ac:dyDescent="0.45">
      <c r="A24" s="25">
        <v>2</v>
      </c>
      <c r="B24" s="28" t="s">
        <v>43</v>
      </c>
      <c r="C24" s="28"/>
      <c r="D24" s="22"/>
      <c r="E24" s="22"/>
    </row>
    <row r="25" spans="1:26" x14ac:dyDescent="0.45">
      <c r="A25" s="25">
        <v>3</v>
      </c>
      <c r="B25" s="28" t="s">
        <v>44</v>
      </c>
      <c r="C25" s="29"/>
      <c r="D25" s="24"/>
      <c r="E25" s="24"/>
    </row>
    <row r="27" spans="1:26" ht="14.65" thickBot="1" x14ac:dyDescent="0.5">
      <c r="F27" s="16"/>
      <c r="G27" s="8"/>
      <c r="H27" s="8"/>
      <c r="I27" s="8"/>
      <c r="J27" s="8"/>
      <c r="K27" s="8"/>
      <c r="L27" s="8"/>
      <c r="N27"/>
      <c r="O27" s="11"/>
      <c r="P27"/>
      <c r="Q27"/>
      <c r="R27"/>
      <c r="S27"/>
      <c r="T27"/>
      <c r="U27"/>
      <c r="V27"/>
      <c r="W27"/>
      <c r="X27"/>
      <c r="Y27"/>
    </row>
    <row r="28" spans="1:26" x14ac:dyDescent="0.45">
      <c r="B28" s="30" t="s">
        <v>10</v>
      </c>
      <c r="C28" s="31"/>
      <c r="D28" s="17"/>
      <c r="E28" s="128"/>
      <c r="F28" s="9"/>
      <c r="G28" s="9"/>
      <c r="H28" s="9"/>
      <c r="I28" s="9"/>
      <c r="J28" s="9"/>
      <c r="K28" s="9"/>
      <c r="L28" s="9"/>
      <c r="N28"/>
      <c r="O28" s="11"/>
      <c r="P28"/>
      <c r="Q28"/>
      <c r="R28"/>
      <c r="S28"/>
      <c r="T28"/>
      <c r="U28"/>
      <c r="V28"/>
      <c r="W28"/>
      <c r="X28"/>
      <c r="Y28"/>
    </row>
    <row r="29" spans="1:26" x14ac:dyDescent="0.45">
      <c r="B29" s="32" t="s">
        <v>13</v>
      </c>
      <c r="C29" s="33"/>
      <c r="D29" s="18">
        <v>1</v>
      </c>
      <c r="E29" s="128"/>
      <c r="F29" s="9"/>
      <c r="G29" s="9"/>
      <c r="H29" s="9"/>
      <c r="I29" s="9"/>
      <c r="J29" s="9"/>
      <c r="K29" s="9"/>
      <c r="L29" s="9"/>
      <c r="N29"/>
      <c r="O29" s="11"/>
      <c r="P29"/>
      <c r="Q29"/>
      <c r="R29"/>
      <c r="S29"/>
      <c r="T29"/>
      <c r="U29"/>
      <c r="V29"/>
      <c r="W29"/>
      <c r="X29"/>
      <c r="Y29"/>
    </row>
    <row r="30" spans="1:26" x14ac:dyDescent="0.45">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45">
      <c r="B31" s="34" t="s">
        <v>20</v>
      </c>
      <c r="C31" s="35"/>
      <c r="D31" s="19">
        <v>1.5</v>
      </c>
      <c r="E31" s="129"/>
      <c r="F31" s="9"/>
      <c r="G31" s="9"/>
      <c r="H31" s="9"/>
      <c r="I31" s="9"/>
      <c r="J31" s="9"/>
      <c r="K31" s="9"/>
      <c r="L31" s="9"/>
      <c r="N31"/>
      <c r="O31" s="11"/>
      <c r="P31"/>
      <c r="Q31"/>
      <c r="R31"/>
      <c r="S31"/>
      <c r="T31"/>
      <c r="U31"/>
      <c r="V31"/>
      <c r="W31"/>
      <c r="X31"/>
      <c r="Y31"/>
    </row>
    <row r="32" spans="1:26" x14ac:dyDescent="0.45">
      <c r="B32" s="34" t="s">
        <v>26</v>
      </c>
      <c r="C32" s="35"/>
      <c r="D32" s="19">
        <v>2</v>
      </c>
      <c r="E32" s="129"/>
      <c r="F32" s="9"/>
      <c r="G32" s="9"/>
      <c r="H32" s="9"/>
      <c r="I32" s="9"/>
      <c r="J32" s="9"/>
      <c r="K32" s="9"/>
      <c r="L32" s="9"/>
      <c r="N32"/>
      <c r="O32" s="11"/>
      <c r="P32"/>
      <c r="Q32"/>
      <c r="R32"/>
      <c r="S32"/>
      <c r="T32"/>
      <c r="U32"/>
      <c r="V32"/>
      <c r="W32"/>
      <c r="X32"/>
      <c r="Y32"/>
    </row>
    <row r="33" spans="2:25" x14ac:dyDescent="0.45">
      <c r="B33" s="34" t="s">
        <v>21</v>
      </c>
      <c r="C33" s="35"/>
      <c r="D33" s="19">
        <v>0.3</v>
      </c>
      <c r="E33" s="129"/>
      <c r="F33" s="9"/>
      <c r="G33" s="9"/>
      <c r="H33" s="9"/>
      <c r="I33" s="9"/>
      <c r="J33" s="9"/>
      <c r="K33" s="9"/>
      <c r="L33" s="9"/>
      <c r="N33"/>
      <c r="O33" s="11"/>
      <c r="P33"/>
      <c r="Q33"/>
      <c r="R33"/>
      <c r="S33"/>
      <c r="T33"/>
      <c r="U33"/>
      <c r="V33"/>
      <c r="W33"/>
      <c r="X33"/>
      <c r="Y33"/>
    </row>
    <row r="34" spans="2:25" x14ac:dyDescent="0.45">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45">
      <c r="B35" s="34" t="s">
        <v>29</v>
      </c>
      <c r="C35" s="35"/>
      <c r="D35" s="19">
        <v>0.1</v>
      </c>
      <c r="E35" s="129"/>
      <c r="F35" s="9"/>
      <c r="G35" s="9"/>
      <c r="H35" s="9"/>
      <c r="I35" s="9"/>
      <c r="J35" s="9"/>
      <c r="K35" s="9"/>
      <c r="L35" s="9"/>
      <c r="M35" s="10"/>
      <c r="O35" s="10"/>
    </row>
    <row r="36" spans="2:25" s="1" customFormat="1" x14ac:dyDescent="0.45">
      <c r="B36" s="32" t="s">
        <v>27</v>
      </c>
      <c r="C36" s="33"/>
      <c r="D36" s="18">
        <v>5</v>
      </c>
      <c r="E36" s="128"/>
      <c r="F36" s="9"/>
      <c r="G36" s="9"/>
      <c r="H36" s="9"/>
      <c r="I36" s="9"/>
      <c r="J36" s="9"/>
      <c r="K36" s="9"/>
      <c r="L36" s="9"/>
      <c r="M36" s="10"/>
      <c r="O36" s="10"/>
    </row>
    <row r="37" spans="2:25" s="10" customFormat="1" ht="14.65" thickBot="1" x14ac:dyDescent="0.5">
      <c r="B37" s="36" t="s">
        <v>12</v>
      </c>
      <c r="C37" s="37"/>
      <c r="D37" s="20">
        <v>45</v>
      </c>
      <c r="E37" s="129"/>
      <c r="F37" s="9"/>
      <c r="G37" s="9"/>
      <c r="H37" s="9"/>
      <c r="I37" s="9"/>
      <c r="J37" s="9"/>
      <c r="K37" s="9"/>
      <c r="L37" s="9"/>
      <c r="M37" s="8"/>
    </row>
    <row r="38" spans="2:25" s="10" customFormat="1" x14ac:dyDescent="0.45">
      <c r="B38" s="38"/>
      <c r="C38" s="38"/>
      <c r="D38" s="8"/>
      <c r="E38" s="8"/>
      <c r="F38" s="9"/>
      <c r="G38" s="9"/>
      <c r="H38" s="9"/>
      <c r="I38" s="9"/>
      <c r="J38" s="9"/>
      <c r="K38" s="9"/>
      <c r="L38" s="9"/>
      <c r="M38" s="8"/>
    </row>
    <row r="39" spans="2:25" s="11" customFormat="1" x14ac:dyDescent="0.45">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45">
      <c r="B40" s="40"/>
      <c r="C40" s="40"/>
      <c r="D40" s="10"/>
      <c r="E40" s="10"/>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1328125" defaultRowHeight="12.75" x14ac:dyDescent="0.35"/>
  <cols>
    <col min="1" max="2" width="14.6640625" style="7" customWidth="1"/>
    <col min="3" max="3" width="16.46484375" style="7" customWidth="1"/>
    <col min="4" max="4" width="19.46484375" style="7" customWidth="1"/>
    <col min="5" max="5" width="18.1328125" style="7" customWidth="1"/>
    <col min="6" max="6" width="15.86328125" style="7" customWidth="1"/>
    <col min="7" max="7" width="23" style="7" customWidth="1"/>
    <col min="8" max="8" width="53.46484375" style="7" customWidth="1"/>
    <col min="9" max="9" width="29.1328125" style="7" customWidth="1"/>
    <col min="10" max="16" width="14.6640625" style="7" customWidth="1"/>
    <col min="17" max="17" width="46.86328125" style="7" customWidth="1"/>
    <col min="18" max="16384" width="9.1328125" style="7"/>
  </cols>
  <sheetData>
    <row r="1" spans="1:18" x14ac:dyDescent="0.35">
      <c r="Q1" s="7" t="s">
        <v>18</v>
      </c>
    </row>
    <row r="3" spans="1:18" ht="13.15" x14ac:dyDescent="0.4">
      <c r="A3" s="66" t="s">
        <v>59</v>
      </c>
      <c r="B3" s="66"/>
    </row>
    <row r="4" spans="1:18" ht="14.25" x14ac:dyDescent="0.4">
      <c r="A4" s="67"/>
      <c r="B4" s="67"/>
      <c r="C4" s="67"/>
      <c r="D4" s="67"/>
      <c r="E4" s="67"/>
      <c r="F4" s="579" t="s">
        <v>60</v>
      </c>
      <c r="G4" s="579"/>
      <c r="H4" s="579"/>
      <c r="I4" s="579"/>
      <c r="J4" s="579"/>
      <c r="K4" s="579"/>
      <c r="L4" s="580" t="s">
        <v>61</v>
      </c>
      <c r="M4" s="580"/>
      <c r="N4" s="580"/>
      <c r="O4" s="580"/>
      <c r="P4" s="580"/>
    </row>
    <row r="5" spans="1:18" ht="28.5" x14ac:dyDescent="0.4">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8.5" x14ac:dyDescent="0.3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25" x14ac:dyDescent="0.35">
      <c r="A7" s="71" t="s">
        <v>69</v>
      </c>
      <c r="B7" s="71"/>
      <c r="C7" s="68">
        <v>259</v>
      </c>
      <c r="D7" s="68"/>
      <c r="E7" s="68"/>
      <c r="F7" s="68">
        <v>122</v>
      </c>
      <c r="G7" s="68"/>
      <c r="H7" s="72">
        <v>3</v>
      </c>
      <c r="I7" s="68">
        <v>19</v>
      </c>
      <c r="J7" s="68">
        <v>94</v>
      </c>
      <c r="K7" s="68">
        <v>6</v>
      </c>
      <c r="L7" s="68">
        <v>137</v>
      </c>
      <c r="M7" s="68">
        <v>1</v>
      </c>
      <c r="N7" s="73">
        <v>49</v>
      </c>
      <c r="O7" s="73">
        <v>50</v>
      </c>
      <c r="P7" s="68">
        <v>37</v>
      </c>
    </row>
    <row r="8" spans="1:18" ht="28.5" x14ac:dyDescent="0.35">
      <c r="A8" s="71" t="s">
        <v>70</v>
      </c>
      <c r="B8" s="71"/>
      <c r="C8" s="68">
        <v>691</v>
      </c>
      <c r="D8" s="68"/>
      <c r="E8" s="68"/>
      <c r="F8" s="68">
        <v>413</v>
      </c>
      <c r="G8" s="68"/>
      <c r="H8" s="72">
        <v>72</v>
      </c>
      <c r="I8" s="68">
        <v>82</v>
      </c>
      <c r="J8" s="68">
        <v>243</v>
      </c>
      <c r="K8" s="68">
        <v>16</v>
      </c>
      <c r="L8" s="68">
        <v>278</v>
      </c>
      <c r="M8" s="68">
        <v>1</v>
      </c>
      <c r="N8" s="68">
        <v>103</v>
      </c>
      <c r="O8" s="68">
        <v>95</v>
      </c>
      <c r="P8" s="68">
        <v>79</v>
      </c>
    </row>
    <row r="9" spans="1:18" ht="14.25" x14ac:dyDescent="0.45">
      <c r="A9" s="74"/>
      <c r="B9" s="74"/>
      <c r="C9" s="75"/>
      <c r="D9" s="75"/>
      <c r="E9" s="75"/>
      <c r="F9" s="75"/>
      <c r="G9" s="75"/>
      <c r="H9" s="75"/>
      <c r="I9" s="75"/>
      <c r="J9" s="75"/>
      <c r="K9" s="75"/>
      <c r="L9" s="75"/>
      <c r="M9" s="75"/>
      <c r="N9" s="75"/>
      <c r="O9" s="75"/>
      <c r="P9" s="75"/>
    </row>
    <row r="11" spans="1:18" ht="13.15" hidden="1" x14ac:dyDescent="0.4">
      <c r="A11" s="66" t="s">
        <v>71</v>
      </c>
      <c r="B11" s="66"/>
    </row>
    <row r="12" spans="1:18" hidden="1" x14ac:dyDescent="0.35"/>
    <row r="13" spans="1:18" ht="14.25" hidden="1" x14ac:dyDescent="0.4">
      <c r="A13" s="67"/>
      <c r="B13" s="67"/>
      <c r="C13" s="67"/>
      <c r="D13" s="67"/>
      <c r="E13" s="67"/>
      <c r="F13" s="579" t="s">
        <v>60</v>
      </c>
      <c r="G13" s="579"/>
      <c r="H13" s="579"/>
      <c r="I13" s="579"/>
      <c r="J13" s="579"/>
      <c r="K13" s="579"/>
      <c r="L13" s="580" t="s">
        <v>61</v>
      </c>
      <c r="M13" s="580"/>
      <c r="N13" s="580"/>
      <c r="O13" s="580"/>
      <c r="P13" s="580"/>
    </row>
    <row r="14" spans="1:18" ht="28.5" hidden="1" x14ac:dyDescent="0.4">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8.5" hidden="1" x14ac:dyDescent="0.3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25" hidden="1" x14ac:dyDescent="0.3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8.5" hidden="1" x14ac:dyDescent="0.3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ht="13.15" x14ac:dyDescent="0.4">
      <c r="A25" s="76" t="s">
        <v>73</v>
      </c>
      <c r="B25" s="76"/>
    </row>
    <row r="26" spans="1:16" ht="13.15" x14ac:dyDescent="0.4">
      <c r="A26" s="77" t="s">
        <v>39</v>
      </c>
      <c r="B26" s="77" t="s">
        <v>74</v>
      </c>
      <c r="C26" s="77" t="s">
        <v>75</v>
      </c>
      <c r="D26" s="77" t="s">
        <v>76</v>
      </c>
      <c r="E26" s="77" t="s">
        <v>9</v>
      </c>
      <c r="F26" s="77" t="s">
        <v>77</v>
      </c>
      <c r="G26" s="77" t="s">
        <v>78</v>
      </c>
      <c r="H26" s="77" t="s">
        <v>79</v>
      </c>
      <c r="I26" s="78" t="s">
        <v>80</v>
      </c>
    </row>
    <row r="27" spans="1:16" ht="25.5" x14ac:dyDescent="0.35">
      <c r="A27" s="7" t="s">
        <v>81</v>
      </c>
      <c r="B27" s="7">
        <v>1</v>
      </c>
      <c r="C27" s="7">
        <v>2.5</v>
      </c>
      <c r="D27" s="7">
        <v>2</v>
      </c>
      <c r="E27" s="7">
        <f>B27*D27*9</f>
        <v>18</v>
      </c>
      <c r="F27" s="7">
        <f>E27/C27</f>
        <v>7.2</v>
      </c>
      <c r="G27" s="7">
        <f>F27</f>
        <v>7.2</v>
      </c>
      <c r="H27" s="79" t="s">
        <v>82</v>
      </c>
      <c r="I27" s="7">
        <f xml:space="preserve"> F27/4</f>
        <v>1.8</v>
      </c>
    </row>
    <row r="28" spans="1:16" ht="25.5" x14ac:dyDescent="0.35">
      <c r="A28" s="7" t="s">
        <v>83</v>
      </c>
      <c r="B28" s="7">
        <v>2</v>
      </c>
      <c r="C28" s="7">
        <v>2.5</v>
      </c>
      <c r="D28" s="7">
        <v>5</v>
      </c>
      <c r="E28" s="7">
        <f>B28*D28*9</f>
        <v>90</v>
      </c>
      <c r="F28" s="7">
        <f>E28/C28</f>
        <v>36</v>
      </c>
      <c r="G28" s="7">
        <f>G27+F28</f>
        <v>43.2</v>
      </c>
      <c r="H28" s="79" t="s">
        <v>84</v>
      </c>
      <c r="I28" s="7">
        <f t="shared" ref="I28:I44" si="0" xml:space="preserve"> F28/4</f>
        <v>9</v>
      </c>
    </row>
    <row r="29" spans="1:16" x14ac:dyDescent="0.3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35">
      <c r="A30" s="7" t="s">
        <v>87</v>
      </c>
      <c r="B30" s="7">
        <v>2</v>
      </c>
      <c r="C30" s="7">
        <v>2</v>
      </c>
      <c r="D30" s="7">
        <v>5</v>
      </c>
      <c r="E30" s="7">
        <f t="shared" si="1"/>
        <v>90</v>
      </c>
      <c r="F30" s="7">
        <f t="shared" ref="F30:F44" si="3">E30/C30</f>
        <v>45</v>
      </c>
      <c r="G30" s="7">
        <f t="shared" si="2"/>
        <v>117</v>
      </c>
      <c r="H30" s="7" t="s">
        <v>86</v>
      </c>
      <c r="I30" s="7">
        <f t="shared" si="0"/>
        <v>11.25</v>
      </c>
    </row>
    <row r="31" spans="1:16" ht="25.5" x14ac:dyDescent="0.35">
      <c r="A31" s="7" t="s">
        <v>88</v>
      </c>
      <c r="B31" s="7">
        <v>2</v>
      </c>
      <c r="C31" s="7">
        <v>2</v>
      </c>
      <c r="D31" s="7">
        <v>4</v>
      </c>
      <c r="E31" s="7">
        <f t="shared" si="1"/>
        <v>72</v>
      </c>
      <c r="F31" s="7">
        <f t="shared" si="3"/>
        <v>36</v>
      </c>
      <c r="G31" s="7">
        <f t="shared" si="2"/>
        <v>153</v>
      </c>
      <c r="H31" s="79" t="s">
        <v>89</v>
      </c>
      <c r="I31" s="7">
        <f t="shared" si="0"/>
        <v>9</v>
      </c>
    </row>
    <row r="32" spans="1:16" x14ac:dyDescent="0.35">
      <c r="A32" s="7" t="s">
        <v>90</v>
      </c>
      <c r="B32" s="7">
        <v>2</v>
      </c>
      <c r="C32" s="7">
        <v>2</v>
      </c>
      <c r="D32" s="7">
        <v>5</v>
      </c>
      <c r="E32" s="7">
        <f t="shared" si="1"/>
        <v>90</v>
      </c>
      <c r="F32" s="7">
        <f t="shared" si="3"/>
        <v>45</v>
      </c>
      <c r="G32" s="7">
        <f t="shared" si="2"/>
        <v>198</v>
      </c>
      <c r="H32" s="80" t="s">
        <v>91</v>
      </c>
      <c r="I32" s="7">
        <f t="shared" si="0"/>
        <v>11.25</v>
      </c>
    </row>
    <row r="33" spans="1:9" x14ac:dyDescent="0.35">
      <c r="A33" s="7" t="s">
        <v>92</v>
      </c>
      <c r="B33" s="7">
        <v>2</v>
      </c>
      <c r="C33" s="7">
        <v>2</v>
      </c>
      <c r="D33" s="7">
        <v>5</v>
      </c>
      <c r="E33" s="7">
        <f t="shared" si="1"/>
        <v>90</v>
      </c>
      <c r="F33" s="7">
        <f t="shared" si="3"/>
        <v>45</v>
      </c>
      <c r="G33" s="81">
        <f t="shared" si="2"/>
        <v>243</v>
      </c>
      <c r="H33" s="80" t="s">
        <v>91</v>
      </c>
      <c r="I33" s="7">
        <f t="shared" si="0"/>
        <v>11.25</v>
      </c>
    </row>
    <row r="34" spans="1:9" x14ac:dyDescent="0.35">
      <c r="A34" s="7" t="s">
        <v>93</v>
      </c>
      <c r="B34" s="7">
        <v>2</v>
      </c>
      <c r="C34" s="7">
        <v>2</v>
      </c>
      <c r="D34" s="7">
        <v>4</v>
      </c>
      <c r="E34" s="7">
        <f t="shared" si="1"/>
        <v>72</v>
      </c>
      <c r="F34" s="7">
        <f t="shared" si="3"/>
        <v>36</v>
      </c>
      <c r="G34" s="7">
        <f t="shared" si="2"/>
        <v>279</v>
      </c>
      <c r="H34" s="80" t="s">
        <v>91</v>
      </c>
      <c r="I34" s="7">
        <f t="shared" si="0"/>
        <v>9</v>
      </c>
    </row>
    <row r="35" spans="1:9" x14ac:dyDescent="0.35">
      <c r="A35" s="7" t="s">
        <v>94</v>
      </c>
      <c r="B35" s="7">
        <v>2</v>
      </c>
      <c r="C35" s="7">
        <v>2</v>
      </c>
      <c r="D35" s="7">
        <v>5</v>
      </c>
      <c r="E35" s="7">
        <f t="shared" si="1"/>
        <v>90</v>
      </c>
      <c r="F35" s="7">
        <f t="shared" si="3"/>
        <v>45</v>
      </c>
      <c r="G35" s="7">
        <f t="shared" si="2"/>
        <v>324</v>
      </c>
      <c r="H35" s="80" t="s">
        <v>91</v>
      </c>
      <c r="I35" s="7">
        <f t="shared" si="0"/>
        <v>11.25</v>
      </c>
    </row>
    <row r="36" spans="1:9" ht="25.5" x14ac:dyDescent="0.35">
      <c r="A36" s="7" t="s">
        <v>95</v>
      </c>
      <c r="B36" s="7">
        <v>2</v>
      </c>
      <c r="C36" s="7">
        <v>2</v>
      </c>
      <c r="D36" s="7">
        <v>5</v>
      </c>
      <c r="E36" s="7">
        <f t="shared" si="1"/>
        <v>90</v>
      </c>
      <c r="F36" s="7">
        <f t="shared" si="3"/>
        <v>45</v>
      </c>
      <c r="G36" s="7">
        <f t="shared" si="2"/>
        <v>369</v>
      </c>
      <c r="H36" s="79" t="s">
        <v>96</v>
      </c>
      <c r="I36" s="7">
        <f t="shared" si="0"/>
        <v>11.25</v>
      </c>
    </row>
    <row r="37" spans="1:9" x14ac:dyDescent="0.35">
      <c r="A37" s="7" t="s">
        <v>97</v>
      </c>
      <c r="B37" s="7">
        <v>2</v>
      </c>
      <c r="C37" s="7">
        <v>2</v>
      </c>
      <c r="D37" s="7">
        <v>4</v>
      </c>
      <c r="E37" s="7">
        <f>B37*D37*9</f>
        <v>72</v>
      </c>
      <c r="F37" s="7">
        <f t="shared" si="3"/>
        <v>36</v>
      </c>
      <c r="G37" s="7">
        <f t="shared" si="2"/>
        <v>405</v>
      </c>
      <c r="H37" s="7" t="s">
        <v>98</v>
      </c>
      <c r="I37" s="7">
        <f t="shared" si="0"/>
        <v>9</v>
      </c>
    </row>
    <row r="38" spans="1:9" ht="25.5" x14ac:dyDescent="0.35">
      <c r="A38" s="7" t="s">
        <v>99</v>
      </c>
      <c r="B38" s="7">
        <v>2</v>
      </c>
      <c r="C38" s="7">
        <v>2</v>
      </c>
      <c r="D38" s="7">
        <v>5</v>
      </c>
      <c r="E38" s="7">
        <f>B38*D38*9</f>
        <v>90</v>
      </c>
      <c r="F38" s="7">
        <f t="shared" si="3"/>
        <v>45</v>
      </c>
      <c r="G38" s="7">
        <f t="shared" si="2"/>
        <v>450</v>
      </c>
      <c r="H38" s="79" t="s">
        <v>100</v>
      </c>
      <c r="I38" s="7">
        <f t="shared" si="0"/>
        <v>11.25</v>
      </c>
    </row>
    <row r="39" spans="1:9" x14ac:dyDescent="0.35">
      <c r="A39" s="7" t="s">
        <v>101</v>
      </c>
      <c r="B39" s="7">
        <v>2</v>
      </c>
      <c r="C39" s="7">
        <v>2</v>
      </c>
      <c r="D39" s="7">
        <v>5</v>
      </c>
      <c r="E39" s="7">
        <f>B39*D39*9</f>
        <v>90</v>
      </c>
      <c r="F39" s="7">
        <f t="shared" si="3"/>
        <v>45</v>
      </c>
      <c r="G39" s="7">
        <f t="shared" si="2"/>
        <v>495</v>
      </c>
      <c r="H39" s="7" t="s">
        <v>102</v>
      </c>
      <c r="I39" s="7">
        <f t="shared" si="0"/>
        <v>11.25</v>
      </c>
    </row>
    <row r="40" spans="1:9" x14ac:dyDescent="0.35">
      <c r="A40" s="7" t="s">
        <v>103</v>
      </c>
      <c r="B40" s="7">
        <v>2</v>
      </c>
      <c r="C40" s="7">
        <v>2</v>
      </c>
      <c r="D40" s="7">
        <v>4</v>
      </c>
      <c r="E40" s="7">
        <f t="shared" si="1"/>
        <v>72</v>
      </c>
      <c r="F40" s="7">
        <f t="shared" si="3"/>
        <v>36</v>
      </c>
      <c r="G40" s="7">
        <f t="shared" si="2"/>
        <v>531</v>
      </c>
      <c r="H40" s="7" t="s">
        <v>102</v>
      </c>
      <c r="I40" s="7">
        <f t="shared" si="0"/>
        <v>9</v>
      </c>
    </row>
    <row r="41" spans="1:9" ht="25.5" x14ac:dyDescent="0.35">
      <c r="A41" s="7" t="s">
        <v>104</v>
      </c>
      <c r="B41" s="7">
        <v>2</v>
      </c>
      <c r="C41" s="7">
        <v>2</v>
      </c>
      <c r="D41" s="7">
        <v>5</v>
      </c>
      <c r="E41" s="7">
        <f t="shared" si="1"/>
        <v>90</v>
      </c>
      <c r="F41" s="7">
        <f t="shared" si="3"/>
        <v>45</v>
      </c>
      <c r="G41" s="7">
        <f t="shared" si="2"/>
        <v>576</v>
      </c>
      <c r="H41" s="79" t="s">
        <v>105</v>
      </c>
      <c r="I41" s="7">
        <f t="shared" si="0"/>
        <v>11.25</v>
      </c>
    </row>
    <row r="42" spans="1:9" ht="25.5" x14ac:dyDescent="0.35">
      <c r="A42" s="7" t="s">
        <v>106</v>
      </c>
      <c r="B42" s="7">
        <v>2</v>
      </c>
      <c r="C42" s="7">
        <v>2</v>
      </c>
      <c r="D42" s="7">
        <v>5</v>
      </c>
      <c r="E42" s="7">
        <f t="shared" si="1"/>
        <v>90</v>
      </c>
      <c r="F42" s="7">
        <f t="shared" si="3"/>
        <v>45</v>
      </c>
      <c r="G42" s="7">
        <f t="shared" si="2"/>
        <v>621</v>
      </c>
      <c r="H42" s="79" t="s">
        <v>107</v>
      </c>
      <c r="I42" s="7">
        <f t="shared" si="0"/>
        <v>11.25</v>
      </c>
    </row>
    <row r="43" spans="1:9" x14ac:dyDescent="0.35">
      <c r="A43" s="7" t="s">
        <v>108</v>
      </c>
      <c r="B43" s="7">
        <v>2</v>
      </c>
      <c r="C43" s="7">
        <v>2</v>
      </c>
      <c r="D43" s="7">
        <v>4</v>
      </c>
      <c r="E43" s="7">
        <f t="shared" si="1"/>
        <v>72</v>
      </c>
      <c r="F43" s="7">
        <f t="shared" si="3"/>
        <v>36</v>
      </c>
      <c r="G43" s="7">
        <f t="shared" si="2"/>
        <v>657</v>
      </c>
      <c r="H43" s="7" t="s">
        <v>109</v>
      </c>
      <c r="I43" s="7">
        <f t="shared" si="0"/>
        <v>9</v>
      </c>
    </row>
    <row r="44" spans="1:9" x14ac:dyDescent="0.35">
      <c r="A44" s="7" t="s">
        <v>110</v>
      </c>
      <c r="B44" s="7">
        <v>2</v>
      </c>
      <c r="C44" s="7">
        <v>2</v>
      </c>
      <c r="D44" s="7">
        <v>4</v>
      </c>
      <c r="E44" s="7">
        <f t="shared" si="1"/>
        <v>72</v>
      </c>
      <c r="F44" s="7">
        <f t="shared" si="3"/>
        <v>36</v>
      </c>
      <c r="G44" s="7">
        <f t="shared" si="2"/>
        <v>693</v>
      </c>
      <c r="I44" s="7">
        <f t="shared" si="0"/>
        <v>9</v>
      </c>
    </row>
    <row r="49" spans="1:1" ht="13.15" x14ac:dyDescent="0.4">
      <c r="A49" s="76" t="s">
        <v>111</v>
      </c>
    </row>
    <row r="50" spans="1:1" x14ac:dyDescent="0.35">
      <c r="A50" s="7" t="s">
        <v>112</v>
      </c>
    </row>
    <row r="51" spans="1:1" x14ac:dyDescent="0.35">
      <c r="A51" s="7" t="s">
        <v>113</v>
      </c>
    </row>
    <row r="52" spans="1:1" x14ac:dyDescent="0.35">
      <c r="A52" s="7" t="s">
        <v>114</v>
      </c>
    </row>
    <row r="53" spans="1:1" x14ac:dyDescent="0.3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3.9" x14ac:dyDescent="0.45"/>
  <cols>
    <col min="1" max="1" width="11.1328125" style="82" bestFit="1" customWidth="1"/>
    <col min="2" max="2" width="28.1328125" style="82" bestFit="1" customWidth="1"/>
    <col min="3" max="3" width="18.86328125" style="82" bestFit="1" customWidth="1"/>
    <col min="4" max="4" width="6" style="82" bestFit="1" customWidth="1"/>
    <col min="5" max="5" width="20.1328125" style="82" bestFit="1" customWidth="1"/>
    <col min="6" max="6" width="13.46484375" style="82" bestFit="1" customWidth="1"/>
    <col min="7" max="7" width="14.33203125" style="82" bestFit="1" customWidth="1"/>
    <col min="8" max="8" width="14" style="82" bestFit="1" customWidth="1"/>
    <col min="9" max="9" width="47.6640625" style="82" customWidth="1"/>
    <col min="10" max="16384" width="35" style="82"/>
  </cols>
  <sheetData>
    <row r="2" spans="1:9" x14ac:dyDescent="0.45">
      <c r="C2" s="82" t="s">
        <v>116</v>
      </c>
      <c r="D2" s="82" t="s">
        <v>117</v>
      </c>
    </row>
    <row r="3" spans="1:9" x14ac:dyDescent="0.45">
      <c r="A3" s="581" t="s">
        <v>118</v>
      </c>
      <c r="B3" s="581" t="s">
        <v>119</v>
      </c>
      <c r="C3" s="581">
        <v>5</v>
      </c>
      <c r="D3" s="83"/>
      <c r="E3" s="83" t="s">
        <v>120</v>
      </c>
      <c r="F3" s="83"/>
    </row>
    <row r="4" spans="1:9" x14ac:dyDescent="0.45">
      <c r="A4" s="581"/>
      <c r="B4" s="581"/>
      <c r="C4" s="581"/>
      <c r="D4" s="83">
        <f>C3*2</f>
        <v>10</v>
      </c>
      <c r="E4" s="83" t="s">
        <v>121</v>
      </c>
      <c r="F4" s="83"/>
    </row>
    <row r="5" spans="1:9" x14ac:dyDescent="0.45">
      <c r="A5" s="581"/>
      <c r="B5" s="581"/>
      <c r="C5" s="581"/>
      <c r="D5" s="83"/>
      <c r="E5" s="83" t="s">
        <v>122</v>
      </c>
      <c r="F5" s="83"/>
    </row>
    <row r="6" spans="1:9" x14ac:dyDescent="0.45">
      <c r="A6" s="581"/>
      <c r="B6" s="83" t="s">
        <v>123</v>
      </c>
      <c r="C6" s="83">
        <v>75</v>
      </c>
      <c r="D6" s="83">
        <f>C6*6</f>
        <v>450</v>
      </c>
      <c r="E6" s="83"/>
      <c r="F6" s="83"/>
    </row>
    <row r="7" spans="1:9" x14ac:dyDescent="0.45">
      <c r="A7" s="581"/>
      <c r="B7" s="83" t="s">
        <v>124</v>
      </c>
      <c r="C7" s="83">
        <v>1</v>
      </c>
      <c r="D7" s="83">
        <v>2</v>
      </c>
      <c r="E7" s="83"/>
      <c r="F7" s="83"/>
    </row>
    <row r="8" spans="1:9" x14ac:dyDescent="0.45">
      <c r="A8" s="581" t="s">
        <v>125</v>
      </c>
      <c r="B8" s="581" t="s">
        <v>126</v>
      </c>
      <c r="C8" s="581">
        <v>7</v>
      </c>
      <c r="D8" s="83">
        <v>1</v>
      </c>
      <c r="E8" s="83" t="s">
        <v>127</v>
      </c>
      <c r="F8" s="83"/>
    </row>
    <row r="9" spans="1:9" x14ac:dyDescent="0.45">
      <c r="A9" s="581"/>
      <c r="B9" s="581"/>
      <c r="C9" s="581"/>
      <c r="D9" s="83">
        <f>31*0.42+31*1.95</f>
        <v>73.47</v>
      </c>
      <c r="E9" s="83" t="s">
        <v>128</v>
      </c>
      <c r="F9" s="83"/>
    </row>
    <row r="10" spans="1:9" x14ac:dyDescent="0.45">
      <c r="A10" s="581"/>
      <c r="B10" s="83" t="s">
        <v>119</v>
      </c>
      <c r="C10" s="83">
        <v>10</v>
      </c>
      <c r="D10" s="83">
        <f>C10*2</f>
        <v>20</v>
      </c>
      <c r="E10" s="83"/>
      <c r="F10" s="83"/>
    </row>
    <row r="11" spans="1:9" x14ac:dyDescent="0.45">
      <c r="A11" s="581"/>
      <c r="B11" s="83" t="s">
        <v>123</v>
      </c>
      <c r="C11" s="83">
        <v>10</v>
      </c>
      <c r="D11" s="83">
        <f>C11*5</f>
        <v>50</v>
      </c>
      <c r="E11" s="83"/>
      <c r="F11" s="83"/>
    </row>
    <row r="12" spans="1:9" x14ac:dyDescent="0.45">
      <c r="A12" s="581"/>
      <c r="B12" s="83" t="s">
        <v>124</v>
      </c>
      <c r="C12" s="83">
        <v>1</v>
      </c>
      <c r="D12" s="83">
        <v>2</v>
      </c>
      <c r="E12" s="83"/>
      <c r="F12" s="83"/>
    </row>
    <row r="13" spans="1:9" x14ac:dyDescent="0.45">
      <c r="A13" s="83" t="s">
        <v>129</v>
      </c>
      <c r="B13" s="83"/>
      <c r="C13" s="83"/>
      <c r="D13" s="83"/>
      <c r="E13" s="84" t="s">
        <v>130</v>
      </c>
      <c r="F13" s="85" t="s">
        <v>131</v>
      </c>
      <c r="G13" s="84" t="s">
        <v>132</v>
      </c>
      <c r="H13" s="85" t="s">
        <v>133</v>
      </c>
    </row>
    <row r="14" spans="1:9" ht="94.5" x14ac:dyDescent="0.45">
      <c r="A14" s="82" t="s">
        <v>134</v>
      </c>
      <c r="B14" s="82" t="s">
        <v>135</v>
      </c>
      <c r="C14" s="82" t="s">
        <v>125</v>
      </c>
      <c r="D14" s="82">
        <v>3</v>
      </c>
      <c r="E14" s="82" t="s">
        <v>136</v>
      </c>
      <c r="F14" s="86" t="s">
        <v>137</v>
      </c>
      <c r="G14" s="82" t="s">
        <v>138</v>
      </c>
      <c r="H14" s="86" t="s">
        <v>139</v>
      </c>
      <c r="I14" s="87" t="s">
        <v>140</v>
      </c>
    </row>
    <row r="15" spans="1:9" x14ac:dyDescent="0.45">
      <c r="B15" s="82" t="s">
        <v>135</v>
      </c>
      <c r="C15" s="82" t="s">
        <v>129</v>
      </c>
      <c r="D15" s="82">
        <v>1</v>
      </c>
      <c r="F15" s="86"/>
      <c r="H15" s="86"/>
    </row>
    <row r="16" spans="1:9" x14ac:dyDescent="0.45">
      <c r="B16" s="82" t="s">
        <v>135</v>
      </c>
      <c r="C16" s="82" t="s">
        <v>41</v>
      </c>
      <c r="D16" s="82">
        <v>1</v>
      </c>
      <c r="F16" s="86"/>
      <c r="H16" s="86"/>
    </row>
    <row r="17" spans="1:9" x14ac:dyDescent="0.45">
      <c r="B17" s="82" t="s">
        <v>135</v>
      </c>
      <c r="C17" s="82" t="s">
        <v>141</v>
      </c>
      <c r="D17" s="82">
        <v>2</v>
      </c>
      <c r="F17" s="86"/>
      <c r="H17" s="86"/>
    </row>
    <row r="18" spans="1:9" x14ac:dyDescent="0.45">
      <c r="B18" s="82" t="s">
        <v>142</v>
      </c>
      <c r="D18" s="82">
        <v>3</v>
      </c>
      <c r="F18" s="86"/>
      <c r="H18" s="86"/>
      <c r="I18" s="82" t="s">
        <v>143</v>
      </c>
    </row>
    <row r="19" spans="1:9" x14ac:dyDescent="0.45">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25" x14ac:dyDescent="0.45"/>
  <cols>
    <col min="1" max="1" width="16.46484375" bestFit="1" customWidth="1"/>
    <col min="2" max="2" width="55.53125" style="1" bestFit="1" customWidth="1"/>
    <col min="3" max="3" width="32.86328125" style="1" bestFit="1" customWidth="1"/>
    <col min="4" max="4" width="30.6640625" style="1" customWidth="1"/>
    <col min="5" max="5" width="61.1328125" style="1" bestFit="1" customWidth="1"/>
    <col min="6" max="6" width="22.46484375" style="10" bestFit="1" customWidth="1"/>
    <col min="7" max="7" width="12.33203125" style="1" customWidth="1"/>
    <col min="8" max="8" width="36" style="1" bestFit="1" customWidth="1"/>
    <col min="9" max="9" width="22.46484375" style="1" bestFit="1" customWidth="1"/>
    <col min="10" max="10" width="3.86328125" style="1" bestFit="1" customWidth="1"/>
    <col min="11" max="11" width="9.53125" style="1" bestFit="1" customWidth="1"/>
    <col min="12" max="12" width="12.33203125" style="10" customWidth="1"/>
    <col min="13" max="13" width="12.33203125" style="1" customWidth="1"/>
    <col min="14" max="14" width="12.33203125" style="10" customWidth="1"/>
    <col min="15" max="24" width="12.33203125" style="1" customWidth="1"/>
  </cols>
  <sheetData>
    <row r="2" spans="2:7" ht="14.65" thickBot="1" x14ac:dyDescent="0.5"/>
    <row r="3" spans="2:7" x14ac:dyDescent="0.45">
      <c r="B3" s="94" t="s">
        <v>79</v>
      </c>
      <c r="C3" s="95" t="s">
        <v>154</v>
      </c>
      <c r="E3" s="2" t="s">
        <v>10</v>
      </c>
      <c r="F3" s="14"/>
      <c r="G3" s="17"/>
    </row>
    <row r="4" spans="2:7" x14ac:dyDescent="0.45">
      <c r="B4" s="90" t="s">
        <v>144</v>
      </c>
      <c r="C4" s="91">
        <v>598</v>
      </c>
      <c r="E4" s="4" t="s">
        <v>13</v>
      </c>
      <c r="F4" s="13"/>
      <c r="G4" s="18">
        <v>1</v>
      </c>
    </row>
    <row r="5" spans="2:7" x14ac:dyDescent="0.45">
      <c r="B5" s="90" t="s">
        <v>145</v>
      </c>
      <c r="C5" s="91">
        <v>268</v>
      </c>
      <c r="E5" s="5" t="s">
        <v>19</v>
      </c>
      <c r="F5" s="3"/>
      <c r="G5" s="19">
        <f>20/60</f>
        <v>0.33333333333333331</v>
      </c>
    </row>
    <row r="6" spans="2:7" x14ac:dyDescent="0.45">
      <c r="B6" s="90" t="s">
        <v>146</v>
      </c>
      <c r="C6" s="91">
        <v>211</v>
      </c>
      <c r="E6" s="5" t="s">
        <v>20</v>
      </c>
      <c r="F6" s="3"/>
      <c r="G6" s="19">
        <v>1.5</v>
      </c>
    </row>
    <row r="7" spans="2:7" x14ac:dyDescent="0.45">
      <c r="B7" s="90" t="s">
        <v>147</v>
      </c>
      <c r="C7" s="91">
        <v>18</v>
      </c>
      <c r="E7" s="5" t="s">
        <v>26</v>
      </c>
      <c r="F7" s="3"/>
      <c r="G7" s="19">
        <v>2</v>
      </c>
    </row>
    <row r="8" spans="2:7" ht="14.65" thickBot="1" x14ac:dyDescent="0.5">
      <c r="B8" s="92" t="s">
        <v>148</v>
      </c>
      <c r="C8" s="93">
        <v>25</v>
      </c>
      <c r="E8" s="5" t="s">
        <v>21</v>
      </c>
      <c r="F8" s="3"/>
      <c r="G8" s="19">
        <v>0.3</v>
      </c>
    </row>
    <row r="9" spans="2:7" ht="14.65" thickBot="1" x14ac:dyDescent="0.5">
      <c r="B9" s="88"/>
      <c r="C9" s="88"/>
      <c r="E9" s="5" t="s">
        <v>28</v>
      </c>
      <c r="F9" s="3"/>
      <c r="G9" s="19">
        <v>0.25</v>
      </c>
    </row>
    <row r="10" spans="2:7" x14ac:dyDescent="0.45">
      <c r="B10" s="94" t="s">
        <v>149</v>
      </c>
      <c r="C10" s="95"/>
      <c r="E10" s="5" t="s">
        <v>29</v>
      </c>
      <c r="F10" s="3"/>
      <c r="G10" s="19">
        <v>0.1</v>
      </c>
    </row>
    <row r="11" spans="2:7" x14ac:dyDescent="0.45">
      <c r="B11" s="90" t="s">
        <v>150</v>
      </c>
      <c r="C11" s="91">
        <v>46</v>
      </c>
      <c r="E11" s="4" t="s">
        <v>27</v>
      </c>
      <c r="F11" s="13"/>
      <c r="G11" s="18">
        <v>5</v>
      </c>
    </row>
    <row r="12" spans="2:7" ht="14.65" thickBot="1" x14ac:dyDescent="0.5">
      <c r="B12" s="96" t="s">
        <v>151</v>
      </c>
      <c r="C12" s="97">
        <v>8</v>
      </c>
      <c r="E12" s="6" t="s">
        <v>12</v>
      </c>
      <c r="F12" s="15"/>
      <c r="G12" s="20">
        <v>45</v>
      </c>
    </row>
    <row r="13" spans="2:7" ht="14.65" thickBot="1" x14ac:dyDescent="0.5">
      <c r="B13" s="98" t="s">
        <v>168</v>
      </c>
      <c r="C13" s="99">
        <f>SUM(C11:C12)</f>
        <v>54</v>
      </c>
      <c r="E13" s="6" t="s">
        <v>181</v>
      </c>
      <c r="F13" s="15"/>
      <c r="G13" s="20">
        <v>3.5</v>
      </c>
    </row>
    <row r="14" spans="2:7" ht="14.65" thickBot="1" x14ac:dyDescent="0.5">
      <c r="B14" s="88"/>
      <c r="C14" s="88"/>
      <c r="E14" s="6" t="s">
        <v>182</v>
      </c>
      <c r="F14" s="15"/>
      <c r="G14" s="20">
        <v>2</v>
      </c>
    </row>
    <row r="15" spans="2:7" x14ac:dyDescent="0.45">
      <c r="B15" s="94" t="s">
        <v>152</v>
      </c>
      <c r="C15" s="95"/>
    </row>
    <row r="16" spans="2:7" x14ac:dyDescent="0.45">
      <c r="B16" s="90" t="s">
        <v>153</v>
      </c>
      <c r="C16" s="91">
        <f>C6+C7-C11</f>
        <v>183</v>
      </c>
    </row>
    <row r="17" spans="2:6" ht="14.65" thickBot="1" x14ac:dyDescent="0.5">
      <c r="B17" s="96" t="s">
        <v>151</v>
      </c>
      <c r="C17" s="97">
        <f>C8-C12</f>
        <v>17</v>
      </c>
    </row>
    <row r="18" spans="2:6" ht="14.65" thickBot="1" x14ac:dyDescent="0.5">
      <c r="B18" s="98" t="s">
        <v>168</v>
      </c>
      <c r="C18" s="99">
        <f>SUM(C16:C17)</f>
        <v>200</v>
      </c>
    </row>
    <row r="19" spans="2:6" ht="14.65" thickBot="1" x14ac:dyDescent="0.5">
      <c r="B19" s="98" t="s">
        <v>193</v>
      </c>
      <c r="C19" s="1">
        <v>45</v>
      </c>
    </row>
    <row r="21" spans="2:6" ht="14.65" thickBot="1" x14ac:dyDescent="0.5">
      <c r="B21" s="89" t="s">
        <v>156</v>
      </c>
      <c r="E21" s="89" t="s">
        <v>174</v>
      </c>
      <c r="F21" s="1"/>
    </row>
    <row r="22" spans="2:6" ht="14.65" thickBot="1" x14ac:dyDescent="0.5">
      <c r="B22" s="100"/>
      <c r="C22" s="101"/>
      <c r="F22" s="1"/>
    </row>
    <row r="23" spans="2:6" x14ac:dyDescent="0.45">
      <c r="B23" s="102" t="s">
        <v>155</v>
      </c>
      <c r="C23" s="103"/>
      <c r="E23" s="110" t="s">
        <v>155</v>
      </c>
      <c r="F23" s="111"/>
    </row>
    <row r="24" spans="2:6" x14ac:dyDescent="0.45">
      <c r="B24" s="104" t="s">
        <v>157</v>
      </c>
      <c r="C24" s="105" t="s">
        <v>158</v>
      </c>
      <c r="E24" s="104" t="s">
        <v>175</v>
      </c>
      <c r="F24" s="105"/>
    </row>
    <row r="25" spans="2:6" x14ac:dyDescent="0.45">
      <c r="B25" s="106" t="s">
        <v>159</v>
      </c>
      <c r="C25" s="103">
        <v>18</v>
      </c>
      <c r="E25" s="106" t="s">
        <v>176</v>
      </c>
      <c r="F25" s="103">
        <v>208</v>
      </c>
    </row>
    <row r="26" spans="2:6" x14ac:dyDescent="0.45">
      <c r="B26" s="106" t="s">
        <v>160</v>
      </c>
      <c r="C26" s="103">
        <f>$C$13*60%*$G$5*$G$11</f>
        <v>53.999999999999993</v>
      </c>
      <c r="E26" s="106" t="s">
        <v>177</v>
      </c>
      <c r="F26" s="103">
        <v>1.5</v>
      </c>
    </row>
    <row r="27" spans="2:6" x14ac:dyDescent="0.45">
      <c r="B27" s="106" t="s">
        <v>172</v>
      </c>
      <c r="C27" s="103">
        <f>SUM(C25:C26)</f>
        <v>72</v>
      </c>
      <c r="E27" s="106" t="s">
        <v>178</v>
      </c>
      <c r="F27" s="103">
        <f>F26*F25</f>
        <v>312</v>
      </c>
    </row>
    <row r="28" spans="2:6" x14ac:dyDescent="0.45">
      <c r="B28" s="106" t="s">
        <v>171</v>
      </c>
      <c r="C28" s="107">
        <v>0.2</v>
      </c>
      <c r="E28" s="106" t="s">
        <v>183</v>
      </c>
      <c r="F28" s="107">
        <v>0.1</v>
      </c>
    </row>
    <row r="29" spans="2:6" x14ac:dyDescent="0.45">
      <c r="B29" s="106" t="s">
        <v>161</v>
      </c>
      <c r="C29" s="103">
        <f>$C$13*(1-C28)*$G$13*$G$6</f>
        <v>226.8</v>
      </c>
      <c r="E29" s="106" t="s">
        <v>180</v>
      </c>
      <c r="F29" s="103">
        <f>$G$5*$G$11</f>
        <v>1.6666666666666665</v>
      </c>
    </row>
    <row r="30" spans="2:6" x14ac:dyDescent="0.45">
      <c r="B30" s="106" t="s">
        <v>162</v>
      </c>
      <c r="C30" s="103">
        <f>C29*$G$8</f>
        <v>68.040000000000006</v>
      </c>
      <c r="E30" s="106" t="s">
        <v>179</v>
      </c>
      <c r="F30" s="103">
        <f>$C$18*F29*(1-F28)</f>
        <v>300</v>
      </c>
    </row>
    <row r="31" spans="2:6" ht="14.65" thickBot="1" x14ac:dyDescent="0.5">
      <c r="B31" s="106" t="s">
        <v>173</v>
      </c>
      <c r="C31" s="103">
        <f>SUM(C29:C30)</f>
        <v>294.84000000000003</v>
      </c>
      <c r="E31" s="106" t="s">
        <v>172</v>
      </c>
      <c r="F31" s="103">
        <f>SUM(F27+F30)</f>
        <v>612</v>
      </c>
    </row>
    <row r="32" spans="2:6" ht="14.65" thickBot="1" x14ac:dyDescent="0.5">
      <c r="B32" s="113" t="s">
        <v>163</v>
      </c>
      <c r="C32" s="114">
        <f>ROUND(C27+C31,0)</f>
        <v>367</v>
      </c>
      <c r="E32" s="106" t="s">
        <v>171</v>
      </c>
      <c r="F32" s="107">
        <v>0.05</v>
      </c>
    </row>
    <row r="33" spans="2:6" x14ac:dyDescent="0.45">
      <c r="B33" s="106"/>
      <c r="C33" s="103"/>
      <c r="E33" s="106" t="s">
        <v>161</v>
      </c>
      <c r="F33" s="103">
        <f>C18*(1-F32)*$G$14*$G$6</f>
        <v>570</v>
      </c>
    </row>
    <row r="34" spans="2:6" x14ac:dyDescent="0.45">
      <c r="B34" s="102" t="s">
        <v>164</v>
      </c>
      <c r="C34" s="103"/>
      <c r="E34" s="106" t="s">
        <v>162</v>
      </c>
      <c r="F34" s="103">
        <f>F33*$G$8</f>
        <v>171</v>
      </c>
    </row>
    <row r="35" spans="2:6" ht="14.65" thickBot="1" x14ac:dyDescent="0.5">
      <c r="B35" s="104" t="s">
        <v>165</v>
      </c>
      <c r="C35" s="105" t="s">
        <v>166</v>
      </c>
      <c r="E35" s="106" t="s">
        <v>173</v>
      </c>
      <c r="F35" s="103">
        <f>SUM(F33:F34)</f>
        <v>741</v>
      </c>
    </row>
    <row r="36" spans="2:6" ht="14.65" thickBot="1" x14ac:dyDescent="0.5">
      <c r="B36" s="106" t="s">
        <v>159</v>
      </c>
      <c r="C36" s="103">
        <v>36</v>
      </c>
      <c r="E36" s="113" t="s">
        <v>184</v>
      </c>
      <c r="F36" s="114">
        <f>ROUND(F31+F35,0)</f>
        <v>1353</v>
      </c>
    </row>
    <row r="37" spans="2:6" x14ac:dyDescent="0.45">
      <c r="B37" s="106" t="s">
        <v>160</v>
      </c>
      <c r="C37" s="103">
        <f>$C$13*60%*$G$5*$G$11</f>
        <v>53.999999999999993</v>
      </c>
      <c r="E37" s="106"/>
      <c r="F37" s="112"/>
    </row>
    <row r="38" spans="2:6" x14ac:dyDescent="0.45">
      <c r="B38" s="106" t="s">
        <v>172</v>
      </c>
      <c r="C38" s="103">
        <f>SUM(C36:C37)</f>
        <v>90</v>
      </c>
      <c r="E38" s="102" t="s">
        <v>164</v>
      </c>
      <c r="F38" s="103"/>
    </row>
    <row r="39" spans="2:6" x14ac:dyDescent="0.45">
      <c r="B39" s="106" t="s">
        <v>171</v>
      </c>
      <c r="C39" s="107">
        <v>0.45</v>
      </c>
      <c r="E39" s="104" t="s">
        <v>169</v>
      </c>
      <c r="F39" s="103"/>
    </row>
    <row r="40" spans="2:6" x14ac:dyDescent="0.45">
      <c r="B40" s="106" t="s">
        <v>161</v>
      </c>
      <c r="C40" s="103">
        <f>$C$13*(1-C39)*$G$13*$G$6</f>
        <v>155.92500000000001</v>
      </c>
      <c r="E40" s="106" t="s">
        <v>170</v>
      </c>
      <c r="F40" s="103">
        <f>C18*$G$11*$G$5</f>
        <v>333.33333333333331</v>
      </c>
    </row>
    <row r="41" spans="2:6" x14ac:dyDescent="0.45">
      <c r="B41" s="106" t="s">
        <v>162</v>
      </c>
      <c r="C41" s="103">
        <f>C40*$G$8</f>
        <v>46.777500000000003</v>
      </c>
      <c r="E41" s="106" t="s">
        <v>161</v>
      </c>
      <c r="F41" s="103">
        <f>($C$18-$C$19)*$G$14*$G$6</f>
        <v>465</v>
      </c>
    </row>
    <row r="42" spans="2:6" ht="14.65" thickBot="1" x14ac:dyDescent="0.5">
      <c r="B42" s="106" t="s">
        <v>173</v>
      </c>
      <c r="C42" s="103">
        <f>SUM(C40:C41)</f>
        <v>202.70250000000001</v>
      </c>
      <c r="E42" s="106" t="s">
        <v>162</v>
      </c>
      <c r="F42" s="103">
        <f>F41*$G$8</f>
        <v>139.5</v>
      </c>
    </row>
    <row r="43" spans="2:6" ht="14.65" thickBot="1" x14ac:dyDescent="0.5">
      <c r="B43" s="113" t="s">
        <v>163</v>
      </c>
      <c r="C43" s="114">
        <f>ROUND(C38+C42,0)</f>
        <v>293</v>
      </c>
      <c r="E43" s="106" t="s">
        <v>173</v>
      </c>
      <c r="F43" s="103">
        <f>SUM(F41:F42)</f>
        <v>604.5</v>
      </c>
    </row>
    <row r="44" spans="2:6" ht="14.65" thickBot="1" x14ac:dyDescent="0.5">
      <c r="B44" s="106"/>
      <c r="C44" s="103"/>
      <c r="E44" s="113" t="s">
        <v>184</v>
      </c>
      <c r="F44" s="114">
        <f>ROUND(F40+F43,0)</f>
        <v>938</v>
      </c>
    </row>
    <row r="45" spans="2:6" x14ac:dyDescent="0.45">
      <c r="B45" s="102" t="s">
        <v>167</v>
      </c>
      <c r="C45" s="103"/>
    </row>
    <row r="46" spans="2:6" x14ac:dyDescent="0.45">
      <c r="B46" s="104" t="s">
        <v>169</v>
      </c>
      <c r="C46" s="103"/>
    </row>
    <row r="47" spans="2:6" x14ac:dyDescent="0.45">
      <c r="B47" s="106" t="s">
        <v>170</v>
      </c>
      <c r="C47" s="103">
        <f>$C$13*$G$11*$G$5</f>
        <v>90</v>
      </c>
    </row>
    <row r="48" spans="2:6" x14ac:dyDescent="0.45">
      <c r="B48" s="106" t="s">
        <v>161</v>
      </c>
      <c r="C48" s="103">
        <f>$C$11*G6*G13</f>
        <v>241.5</v>
      </c>
    </row>
    <row r="49" spans="2:3" x14ac:dyDescent="0.45">
      <c r="B49" s="106" t="s">
        <v>162</v>
      </c>
      <c r="C49" s="103">
        <f>C48*$G$8</f>
        <v>72.45</v>
      </c>
    </row>
    <row r="50" spans="2:3" ht="14.65" thickBot="1" x14ac:dyDescent="0.5">
      <c r="B50" s="106" t="s">
        <v>173</v>
      </c>
      <c r="C50" s="103">
        <f>SUM(C48:C49)</f>
        <v>313.95</v>
      </c>
    </row>
    <row r="51" spans="2:3" ht="14.65" thickBot="1" x14ac:dyDescent="0.5">
      <c r="B51" s="113" t="s">
        <v>163</v>
      </c>
      <c r="C51" s="114">
        <f>ROUND(C47+C50,0)</f>
        <v>404</v>
      </c>
    </row>
    <row r="52" spans="2:3" x14ac:dyDescent="0.45">
      <c r="B52" s="106"/>
      <c r="C52" s="103"/>
    </row>
    <row r="53" spans="2:3" ht="14.65" thickBot="1" x14ac:dyDescent="0.5">
      <c r="B53" s="108"/>
      <c r="C53" s="109"/>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25" x14ac:dyDescent="0.45"/>
  <cols>
    <col min="1" max="1" width="16.46484375" bestFit="1" customWidth="1"/>
    <col min="2" max="2" width="39.6640625" style="27" bestFit="1" customWidth="1"/>
    <col min="3" max="3" width="13.86328125" style="27" bestFit="1" customWidth="1"/>
    <col min="4" max="4" width="30.6640625" style="1" customWidth="1"/>
    <col min="5" max="5" width="11.46484375" style="1" customWidth="1"/>
    <col min="6" max="6" width="23.86328125" style="10" customWidth="1"/>
    <col min="7" max="11" width="12.33203125" style="1" hidden="1" customWidth="1"/>
    <col min="12" max="12" width="12.33203125" style="10" customWidth="1"/>
    <col min="13" max="13" width="12.33203125" style="1" hidden="1" customWidth="1"/>
    <col min="14" max="14" width="12.33203125" style="10" hidden="1" customWidth="1"/>
    <col min="15" max="26" width="12.33203125" style="1" customWidth="1"/>
  </cols>
  <sheetData>
    <row r="2" spans="1:27" s="41" customFormat="1" ht="69.400000000000006" x14ac:dyDescent="0.45">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45">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45">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45">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45">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45">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45">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45">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45">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45">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45">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45">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45">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45">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45">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45">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45">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45">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45">
      <c r="B20" s="21" t="s">
        <v>38</v>
      </c>
      <c r="Q20" s="60"/>
      <c r="T20" s="60"/>
    </row>
    <row r="21" spans="1:27" x14ac:dyDescent="0.45">
      <c r="B21" s="26"/>
    </row>
    <row r="22" spans="1:27" x14ac:dyDescent="0.45">
      <c r="A22" s="23" t="s">
        <v>10</v>
      </c>
      <c r="B22" s="28"/>
      <c r="C22" s="28"/>
      <c r="D22" s="22"/>
      <c r="F22" s="10" t="s">
        <v>189</v>
      </c>
      <c r="L22" s="10">
        <v>90</v>
      </c>
    </row>
    <row r="23" spans="1:27" x14ac:dyDescent="0.45">
      <c r="A23" s="25"/>
      <c r="B23" s="115" t="s">
        <v>185</v>
      </c>
      <c r="C23" s="28"/>
      <c r="D23" s="22"/>
      <c r="F23" s="10" t="s">
        <v>190</v>
      </c>
      <c r="L23" s="10">
        <v>203</v>
      </c>
    </row>
    <row r="24" spans="1:27" x14ac:dyDescent="0.45">
      <c r="A24" s="25"/>
      <c r="B24" s="22" t="s">
        <v>186</v>
      </c>
      <c r="C24" s="28"/>
      <c r="D24" s="22"/>
    </row>
    <row r="25" spans="1:27" x14ac:dyDescent="0.45">
      <c r="A25" s="25"/>
      <c r="B25" s="28"/>
      <c r="C25" s="29"/>
      <c r="D25" s="24"/>
      <c r="F25" s="10" t="s">
        <v>191</v>
      </c>
      <c r="L25" s="10">
        <v>334</v>
      </c>
    </row>
    <row r="26" spans="1:27" x14ac:dyDescent="0.45">
      <c r="F26" s="10" t="s">
        <v>192</v>
      </c>
      <c r="L26" s="10">
        <v>605</v>
      </c>
    </row>
    <row r="27" spans="1:27" ht="14.65" thickBot="1" x14ac:dyDescent="0.5">
      <c r="E27" s="16"/>
      <c r="F27" s="8"/>
      <c r="G27" s="8"/>
      <c r="H27" s="8"/>
      <c r="I27" s="8"/>
      <c r="J27" s="8"/>
      <c r="K27" s="8"/>
      <c r="M27"/>
      <c r="N27" s="11"/>
      <c r="O27"/>
      <c r="P27"/>
      <c r="Q27"/>
      <c r="R27"/>
      <c r="S27"/>
      <c r="T27"/>
      <c r="U27"/>
      <c r="V27"/>
      <c r="W27"/>
      <c r="X27"/>
      <c r="Y27"/>
      <c r="Z27"/>
    </row>
    <row r="28" spans="1:27" x14ac:dyDescent="0.45">
      <c r="B28" s="30" t="s">
        <v>10</v>
      </c>
      <c r="C28" s="31"/>
      <c r="D28" s="17"/>
      <c r="E28" s="9"/>
      <c r="F28" s="9"/>
      <c r="G28" s="9"/>
      <c r="H28" s="9"/>
      <c r="I28" s="9"/>
      <c r="J28" s="9"/>
      <c r="K28" s="9"/>
      <c r="M28"/>
      <c r="N28" s="11"/>
      <c r="O28"/>
      <c r="P28"/>
      <c r="Q28"/>
      <c r="R28"/>
      <c r="S28"/>
      <c r="T28"/>
      <c r="U28"/>
      <c r="V28"/>
      <c r="W28"/>
      <c r="X28"/>
      <c r="Y28"/>
      <c r="Z28"/>
    </row>
    <row r="29" spans="1:27" x14ac:dyDescent="0.45">
      <c r="B29" s="32" t="s">
        <v>13</v>
      </c>
      <c r="C29" s="33"/>
      <c r="D29" s="18">
        <v>1</v>
      </c>
      <c r="E29" s="9"/>
      <c r="F29" s="9"/>
      <c r="G29" s="9"/>
      <c r="H29" s="9"/>
      <c r="I29" s="9"/>
      <c r="J29" s="9"/>
      <c r="K29" s="9"/>
      <c r="M29"/>
      <c r="N29" s="11"/>
      <c r="O29"/>
      <c r="P29"/>
      <c r="Q29"/>
      <c r="R29"/>
      <c r="S29"/>
      <c r="T29"/>
      <c r="U29"/>
      <c r="V29"/>
      <c r="W29"/>
      <c r="X29"/>
      <c r="Y29"/>
      <c r="Z29"/>
    </row>
    <row r="30" spans="1:27" x14ac:dyDescent="0.45">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45">
      <c r="B31" s="34" t="s">
        <v>20</v>
      </c>
      <c r="C31" s="35"/>
      <c r="D31" s="19">
        <v>1.5</v>
      </c>
      <c r="E31" s="9"/>
      <c r="F31" s="9"/>
      <c r="G31" s="9"/>
      <c r="H31" s="9"/>
      <c r="I31" s="9"/>
      <c r="J31" s="9"/>
      <c r="K31" s="9"/>
      <c r="M31"/>
      <c r="N31" s="11"/>
      <c r="O31"/>
      <c r="P31"/>
      <c r="Q31"/>
      <c r="R31"/>
      <c r="S31"/>
      <c r="T31"/>
      <c r="U31"/>
      <c r="V31"/>
      <c r="W31"/>
      <c r="X31"/>
      <c r="Y31"/>
      <c r="Z31"/>
    </row>
    <row r="32" spans="1:27" x14ac:dyDescent="0.45">
      <c r="B32" s="34" t="s">
        <v>26</v>
      </c>
      <c r="C32" s="35"/>
      <c r="D32" s="19">
        <v>2</v>
      </c>
      <c r="E32" s="9"/>
      <c r="F32" s="9"/>
      <c r="G32" s="9"/>
      <c r="H32" s="9"/>
      <c r="I32" s="9"/>
      <c r="J32" s="9"/>
      <c r="K32" s="9"/>
      <c r="M32"/>
      <c r="N32" s="11"/>
      <c r="O32"/>
      <c r="P32"/>
      <c r="Q32"/>
      <c r="R32"/>
      <c r="S32"/>
      <c r="T32"/>
      <c r="U32"/>
      <c r="V32"/>
      <c r="W32"/>
      <c r="X32"/>
      <c r="Y32"/>
      <c r="Z32"/>
    </row>
    <row r="33" spans="2:26" x14ac:dyDescent="0.45">
      <c r="B33" s="34" t="s">
        <v>21</v>
      </c>
      <c r="C33" s="35"/>
      <c r="D33" s="19">
        <v>0.3</v>
      </c>
      <c r="E33" s="9"/>
      <c r="F33" s="9"/>
      <c r="G33" s="9"/>
      <c r="H33" s="9"/>
      <c r="I33" s="9"/>
      <c r="J33" s="9"/>
      <c r="K33" s="9"/>
      <c r="M33"/>
      <c r="N33" s="11"/>
      <c r="O33"/>
      <c r="P33"/>
      <c r="Q33"/>
      <c r="R33"/>
      <c r="S33"/>
      <c r="T33"/>
      <c r="U33"/>
      <c r="V33"/>
      <c r="W33"/>
      <c r="X33"/>
      <c r="Y33"/>
      <c r="Z33"/>
    </row>
    <row r="34" spans="2:26" x14ac:dyDescent="0.45">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45">
      <c r="B35" s="34" t="s">
        <v>29</v>
      </c>
      <c r="C35" s="35"/>
      <c r="D35" s="19">
        <v>0.1</v>
      </c>
      <c r="E35" s="9"/>
      <c r="F35" s="9"/>
      <c r="G35" s="9"/>
      <c r="H35" s="9"/>
      <c r="I35" s="9"/>
      <c r="J35" s="9"/>
      <c r="K35" s="9"/>
      <c r="L35" s="10"/>
      <c r="N35" s="10"/>
    </row>
    <row r="36" spans="2:26" s="1" customFormat="1" x14ac:dyDescent="0.45">
      <c r="B36" s="32" t="s">
        <v>27</v>
      </c>
      <c r="C36" s="33"/>
      <c r="D36" s="18">
        <v>5</v>
      </c>
      <c r="E36" s="9"/>
      <c r="F36" s="9"/>
      <c r="G36" s="9"/>
      <c r="H36" s="9"/>
      <c r="I36" s="9"/>
      <c r="J36" s="9"/>
      <c r="K36" s="9"/>
      <c r="L36" s="10"/>
      <c r="N36" s="10"/>
    </row>
    <row r="37" spans="2:26" s="10" customFormat="1" ht="14.65" thickBot="1" x14ac:dyDescent="0.5">
      <c r="B37" s="36" t="s">
        <v>12</v>
      </c>
      <c r="C37" s="37"/>
      <c r="D37" s="20">
        <v>45</v>
      </c>
      <c r="E37" s="9"/>
      <c r="F37" s="9"/>
      <c r="G37" s="9"/>
      <c r="H37" s="9"/>
      <c r="I37" s="9"/>
      <c r="J37" s="9"/>
      <c r="K37" s="9"/>
      <c r="L37" s="8"/>
    </row>
    <row r="38" spans="2:26" s="10" customFormat="1" x14ac:dyDescent="0.45">
      <c r="B38" s="38"/>
      <c r="C38" s="38"/>
      <c r="D38" s="8"/>
      <c r="E38" s="9"/>
      <c r="F38" s="9"/>
      <c r="G38" s="9"/>
      <c r="H38" s="9"/>
      <c r="I38" s="9"/>
      <c r="J38" s="9"/>
      <c r="K38" s="9"/>
      <c r="L38" s="8"/>
    </row>
    <row r="39" spans="2:26" s="11" customFormat="1" x14ac:dyDescent="0.45">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45">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53</vt:i4>
      </vt:variant>
    </vt:vector>
  </HeadingPairs>
  <TitlesOfParts>
    <vt:vector size="68" baseType="lpstr">
      <vt:lpstr>Summary</vt:lpstr>
      <vt:lpstr>PAS10_Sp19 &amp; BP Comparison</vt:lpstr>
      <vt:lpstr>PAS10_Sprint19 PreliminaryScope</vt:lpstr>
      <vt:lpstr>PAS10_Business Priority</vt:lpstr>
      <vt:lpstr>Scope Sheets</vt:lpstr>
      <vt:lpstr>Revised Scope Sheet Jen</vt:lpstr>
      <vt:lpstr>Burndown 4FTE-12Wk</vt:lpstr>
      <vt:lpstr>Burndown 4FTE-13Wk (Auto)</vt:lpstr>
      <vt:lpstr>PTO calc</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4FTE-13Wk (Auto)'!Analysis_Hr_AC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4FTE-13Wk (Auto)'!Hr_OtherAnalysis</vt:lpstr>
      <vt:lpstr>'CA Select Estimates ALT 1'!Hr_OtherAnalysis</vt:lpstr>
      <vt:lpstr>'PAS 7 Burndown'!Hr_OtherAnalysis</vt:lpstr>
      <vt:lpstr>'Burndown 12 Weeks'!Hr_Query</vt:lpstr>
      <vt:lpstr>'Burndown 4FTE-12Wk'!Hr_Query</vt:lpstr>
      <vt:lpstr>'Burndown 4FTE-13Wk (Auto)'!Hr_Query</vt:lpstr>
      <vt:lpstr>'CA Select Estimates ALT 1'!Hr_Query</vt:lpstr>
      <vt:lpstr>'PAS 7 Burndown'!Hr_Query</vt:lpstr>
      <vt:lpstr>'Burndown 12 Weeks'!Hr_Review</vt:lpstr>
      <vt:lpstr>'Burndown 4FTE-12Wk'!Hr_Review</vt:lpstr>
      <vt:lpstr>'Burndown 4FTE-13Wk (Auto)'!Hr_Review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4FTE-13Wk (Auto)'!NO_AC_US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Chavan, Siddhi</cp:lastModifiedBy>
  <dcterms:created xsi:type="dcterms:W3CDTF">2015-03-19T15:17:31Z</dcterms:created>
  <dcterms:modified xsi:type="dcterms:W3CDTF">2016-08-31T10:41:39Z</dcterms:modified>
</cp:coreProperties>
</file>