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dixit\Desktop\SVN Functional\PAS10\Release Burndown\"/>
    </mc:Choice>
  </mc:AlternateContent>
  <bookViews>
    <workbookView xWindow="0" yWindow="0" windowWidth="24000" windowHeight="9740" tabRatio="758" firstSheet="2" activeTab="7"/>
  </bookViews>
  <sheets>
    <sheet name="Summary" sheetId="34" state="hidden" r:id="rId1"/>
    <sheet name="PAS10_Sp19 &amp; BP Comparison" sheetId="41" r:id="rId2"/>
    <sheet name="PAS10_Sprint19 PreliminaryScope" sheetId="40" r:id="rId3"/>
    <sheet name="PAS10_Business Priority" sheetId="37" r:id="rId4"/>
    <sheet name="Scope Sheets" sheetId="33" state="hidden" r:id="rId5"/>
    <sheet name="Revised Scope Sheet Jen" sheetId="35" state="hidden" r:id="rId6"/>
    <sheet name="Burndown 4FTE-12Wk" sheetId="29" state="hidden" r:id="rId7"/>
    <sheet name="Burndown 4FTE-13Wk (Auto)" sheetId="42" r:id="rId8"/>
    <sheet name="PTO calc" sheetId="43" r:id="rId9"/>
    <sheet name="Burndown 12 Weeks" sheetId="36" state="hidden" r:id="rId10"/>
    <sheet name="PAS 7 Burndown" sheetId="9" state="hidden" r:id="rId11"/>
    <sheet name="PAS2,3,4 estimates" sheetId="15" state="hidden" r:id="rId12"/>
    <sheet name="PAS5,6 estimates" sheetId="19" state="hidden" r:id="rId13"/>
    <sheet name="CA Select Approaches" sheetId="12" state="hidden" r:id="rId14"/>
    <sheet name="CA Select Estimates ALT 1" sheetId="20" state="hidden" r:id="rId15"/>
  </sheets>
  <externalReferences>
    <externalReference r:id="rId16"/>
    <externalReference r:id="rId17"/>
  </externalReferences>
  <definedNames>
    <definedName name="_xlnm._FilterDatabase" localSheetId="3" hidden="1">'PAS10_Business Priority'!$B$1:$S$27</definedName>
    <definedName name="_xlnm._FilterDatabase" localSheetId="1" hidden="1">'PAS10_Sp19 &amp; BP Comparison'!#REF!</definedName>
    <definedName name="_xlnm._FilterDatabase" localSheetId="2" hidden="1">'PAS10_Sprint19 PreliminaryScope'!$D$1:$S$29</definedName>
    <definedName name="Analysis_Hr_AC" localSheetId="9">'Burndown 12 Weeks'!$B$44</definedName>
    <definedName name="Analysis_Hr_AC" localSheetId="6">'Burndown 4FTE-12Wk'!$B$20</definedName>
    <definedName name="Analysis_Hr_AC" localSheetId="7">'Burndown 4FTE-13Wk (Auto)'!$B$22</definedName>
    <definedName name="Analysis_Hr_AC" localSheetId="13">'CA Select Approaches'!#REF!</definedName>
    <definedName name="Analysis_Hr_AC" localSheetId="14">'CA Select Estimates ALT 1'!$D$30</definedName>
    <definedName name="Analysis_Hr_AC" localSheetId="10">'PAS 7 Burndown'!$D$30</definedName>
    <definedName name="Analysis_Hr_AC" localSheetId="1">#REF!</definedName>
    <definedName name="Analysis_Hr_AC" localSheetId="2">#REF!</definedName>
    <definedName name="Analysis_Hr_AC" localSheetId="12">'[1]New Scenario Plan (ACs)'!$D$15</definedName>
    <definedName name="Analysis_Hr_AC">#REF!</definedName>
    <definedName name="Design_Hr_AC" localSheetId="13">'CA Select Approaches'!#REF!</definedName>
    <definedName name="Design_Hr_AC" localSheetId="14">'CA Select Estimates ALT 1'!$D$31</definedName>
    <definedName name="Design_Hr_AC" localSheetId="10">'PAS 7 Burndown'!$D$31</definedName>
    <definedName name="Hr_OtherAnalysis" localSheetId="9">'Burndown 12 Weeks'!$B$48</definedName>
    <definedName name="Hr_OtherAnalysis" localSheetId="6">'Burndown 4FTE-12Wk'!$B$24</definedName>
    <definedName name="Hr_OtherAnalysis" localSheetId="7">'Burndown 4FTE-13Wk (Auto)'!$B$26</definedName>
    <definedName name="Hr_OtherAnalysis" localSheetId="13">'CA Select Approaches'!#REF!</definedName>
    <definedName name="Hr_OtherAnalysis" localSheetId="14">'CA Select Estimates ALT 1'!$D$35</definedName>
    <definedName name="Hr_OtherAnalysis" localSheetId="10">'PAS 7 Burndown'!$D$35</definedName>
    <definedName name="Hr_OtherAnalysis" localSheetId="1">#REF!</definedName>
    <definedName name="Hr_OtherAnalysis" localSheetId="2">#REF!</definedName>
    <definedName name="Hr_OtherAnalysis" localSheetId="12">'[1]New Scenario Plan (ACs)'!$D$20</definedName>
    <definedName name="Hr_OtherAnalysis">#REF!</definedName>
    <definedName name="Hr_Query" localSheetId="9">'Burndown 12 Weeks'!$B$47</definedName>
    <definedName name="Hr_Query" localSheetId="6">'Burndown 4FTE-12Wk'!$B$23</definedName>
    <definedName name="Hr_Query" localSheetId="7">'Burndown 4FTE-13Wk (Auto)'!$B$25</definedName>
    <definedName name="Hr_Query" localSheetId="13">'CA Select Approaches'!#REF!</definedName>
    <definedName name="Hr_Query" localSheetId="14">'CA Select Estimates ALT 1'!$D$34</definedName>
    <definedName name="Hr_Query" localSheetId="10">'PAS 7 Burndown'!$D$34</definedName>
    <definedName name="Hr_Query" localSheetId="1">#REF!</definedName>
    <definedName name="Hr_Query" localSheetId="2">#REF!</definedName>
    <definedName name="Hr_Query" localSheetId="12">'[1]New Scenario Plan (ACs)'!$D$19</definedName>
    <definedName name="Hr_Query">#REF!</definedName>
    <definedName name="Hr_Review" localSheetId="9">'Burndown 12 Weeks'!$B$46</definedName>
    <definedName name="Hr_Review" localSheetId="6">'Burndown 4FTE-12Wk'!$B$22</definedName>
    <definedName name="Hr_Review" localSheetId="7">'Burndown 4FTE-13Wk (Auto)'!$B$24</definedName>
    <definedName name="Hr_Review" localSheetId="13">'CA Select Approaches'!#REF!</definedName>
    <definedName name="Hr_Review" localSheetId="14">'CA Select Estimates ALT 1'!$D$33</definedName>
    <definedName name="Hr_Review" localSheetId="10">'PAS 7 Burndown'!$D$33</definedName>
    <definedName name="Hr_Review" localSheetId="1">#REF!</definedName>
    <definedName name="Hr_Review" localSheetId="2">#REF!</definedName>
    <definedName name="Hr_Review" localSheetId="12">'[1]New Scenario Plan (ACs)'!$D$18</definedName>
    <definedName name="Hr_Review">#REF!</definedName>
    <definedName name="Hr_ST" localSheetId="13">'CA Select Approaches'!#REF!</definedName>
    <definedName name="Hr_ST" localSheetId="14">'CA Select Estimates ALT 1'!#REF!</definedName>
    <definedName name="Hr_ST" localSheetId="10">'PAS 7 Burndown'!#REF!</definedName>
    <definedName name="Hr_ST" localSheetId="12">'[1]New Scenario Plan (ACs)'!#REF!</definedName>
    <definedName name="Hr_Week" localSheetId="9">'Burndown 12 Weeks'!#REF!</definedName>
    <definedName name="Hr_Week" localSheetId="6">'Burndown 4FTE-12Wk'!#REF!</definedName>
    <definedName name="Hr_Week" localSheetId="7">'Burndown 4FTE-13Wk (Auto)'!#REF!</definedName>
    <definedName name="Hr_Week" localSheetId="13">'CA Select Approaches'!#REF!</definedName>
    <definedName name="Hr_Week" localSheetId="14">'CA Select Estimates ALT 1'!$D$37</definedName>
    <definedName name="Hr_Week" localSheetId="10">'PAS 7 Burndown'!$D$37</definedName>
    <definedName name="Hr_Week" localSheetId="12">'[1]New Scenario Plan (ACs)'!$D$22</definedName>
    <definedName name="MaxPtsPerSprint1">'Revised Scope Sheet Jen'!$E$121</definedName>
    <definedName name="MaxPtsPerSprint10">'Revised Scope Sheet Jen'!$N$121</definedName>
    <definedName name="MaxPtsPerSprint11">'Revised Scope Sheet Jen'!$O$121</definedName>
    <definedName name="MaxPtsPerSprint12">'Revised Scope Sheet Jen'!$P$121</definedName>
    <definedName name="MaxPtsPerSprint13">'Revised Scope Sheet Jen'!$Q$121</definedName>
    <definedName name="MaxPtsPerSprint14">'Revised Scope Sheet Jen'!$R$121</definedName>
    <definedName name="MaxPtsPerSprint15">'Revised Scope Sheet Jen'!$S$121</definedName>
    <definedName name="MaxPtsPerSprint16">'Revised Scope Sheet Jen'!$T$121</definedName>
    <definedName name="MaxPtsPerSprint17">'Revised Scope Sheet Jen'!$U$121</definedName>
    <definedName name="MaxPtsPerSprint18">'Revised Scope Sheet Jen'!$V$121</definedName>
    <definedName name="MaxPtsPerSprint19">'Revised Scope Sheet Jen'!$W$121</definedName>
    <definedName name="MaxPtsPerSprint2">'Revised Scope Sheet Jen'!$F$121</definedName>
    <definedName name="MaxPtsPerSprint20">'Revised Scope Sheet Jen'!$X$121</definedName>
    <definedName name="MaxPtsPerSprint21">'Revised Scope Sheet Jen'!$Y$121</definedName>
    <definedName name="MaxPtsPerSprint22">'Revised Scope Sheet Jen'!$Z$121</definedName>
    <definedName name="MaxPtsPerSprint23">'Revised Scope Sheet Jen'!$AA$121</definedName>
    <definedName name="MaxPtsPerSprint24">'Revised Scope Sheet Jen'!$AB$121</definedName>
    <definedName name="MaxPtsPerSprint3">'Revised Scope Sheet Jen'!$G$121</definedName>
    <definedName name="MaxPtsPerSprint4">'Revised Scope Sheet Jen'!$H$121</definedName>
    <definedName name="MaxPtsPerSprint5">'Revised Scope Sheet Jen'!$I$121</definedName>
    <definedName name="MaxPtsPerSprint6">'Revised Scope Sheet Jen'!$J$121</definedName>
    <definedName name="MaxPtsPerSprint7">'Revised Scope Sheet Jen'!$K$121</definedName>
    <definedName name="MaxPtsPerSprint8">'Revised Scope Sheet Jen'!$L$121</definedName>
    <definedName name="MaxPtsPerSprint9">'Revised Scope Sheet Jen'!$M$121</definedName>
    <definedName name="NBAC_Pattern" localSheetId="13">'CA Select Approaches'!#REF!</definedName>
    <definedName name="NBAC_Pattern" localSheetId="14">'CA Select Estimates ALT 1'!$D$36</definedName>
    <definedName name="NBAC_Pattern" localSheetId="10">'PAS 7 Burndown'!$D$36</definedName>
    <definedName name="NBAC_Pattern" localSheetId="12">'[1]New Scenario Plan (ACs)'!$D$21</definedName>
    <definedName name="NO_AC_Pattern" localSheetId="9">'Burndown 12 Weeks'!#REF!</definedName>
    <definedName name="NO_AC_Pattern" localSheetId="6">'Burndown 4FTE-12Wk'!#REF!</definedName>
    <definedName name="NO_AC_Pattern" localSheetId="7">'Burndown 4FTE-13Wk (Auto)'!#REF!</definedName>
    <definedName name="NO_AC_US" localSheetId="9">'Burndown 12 Weeks'!$B$49</definedName>
    <definedName name="NO_AC_US" localSheetId="6">'Burndown 4FTE-12Wk'!$B$25</definedName>
    <definedName name="NO_AC_US" localSheetId="7">'Burndown 4FTE-13Wk (Auto)'!$B$27</definedName>
    <definedName name="NO_AC_US" localSheetId="1">#REF!</definedName>
    <definedName name="NO_AC_US" localSheetId="2">#REF!</definedName>
    <definedName name="NO_AC_US">#REF!</definedName>
  </definedNames>
  <calcPr calcId="152511"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8" i="42" l="1"/>
  <c r="H14" i="42"/>
  <c r="L19" i="42" l="1"/>
  <c r="D8" i="43" l="1"/>
  <c r="D9" i="43" s="1"/>
  <c r="D7" i="43"/>
  <c r="D4" i="43"/>
  <c r="D3" i="43"/>
  <c r="D2" i="43"/>
  <c r="H13" i="42" l="1"/>
  <c r="H12" i="42"/>
  <c r="G17" i="42" l="1"/>
  <c r="H15" i="42"/>
  <c r="J19" i="42"/>
  <c r="AD19" i="42" s="1"/>
  <c r="AG19" i="42"/>
  <c r="W19" i="42"/>
  <c r="R19" i="42" s="1"/>
  <c r="B19" i="42"/>
  <c r="AA19" i="42" l="1"/>
  <c r="Q19" i="42" s="1"/>
  <c r="AB19" i="42"/>
  <c r="M19" i="42" s="1"/>
  <c r="Y19" i="42"/>
  <c r="X19" i="42"/>
  <c r="N19" i="42" l="1"/>
  <c r="Z19" i="42"/>
  <c r="P19" i="42" s="1"/>
  <c r="U19" i="42"/>
  <c r="O19" i="42"/>
  <c r="AC19" i="42" l="1"/>
  <c r="AG12" i="42" l="1"/>
  <c r="W12" i="42" s="1"/>
  <c r="J12" i="42"/>
  <c r="AG18" i="42"/>
  <c r="W18" i="42"/>
  <c r="R18" i="42" s="1"/>
  <c r="J18" i="42"/>
  <c r="AD18" i="42" s="1"/>
  <c r="X12" i="42" l="1"/>
  <c r="AD12" i="42"/>
  <c r="Y12" i="42"/>
  <c r="AA18" i="42"/>
  <c r="Q18" i="42" s="1"/>
  <c r="AB18" i="42"/>
  <c r="M18" i="42" s="1"/>
  <c r="L18" i="42"/>
  <c r="Y18" i="42" s="1"/>
  <c r="U18" i="42" s="1"/>
  <c r="X18" i="42"/>
  <c r="Z12" i="42" l="1"/>
  <c r="AA12" i="42"/>
  <c r="Q12" i="42" s="1"/>
  <c r="AB12" i="42"/>
  <c r="Z18" i="42"/>
  <c r="O18" i="42"/>
  <c r="N18" i="42"/>
  <c r="M12" i="42" l="1"/>
  <c r="N12" i="42"/>
  <c r="O12" i="42"/>
  <c r="P12" i="42"/>
  <c r="AC12" i="42"/>
  <c r="P18" i="42"/>
  <c r="AC18" i="42"/>
  <c r="I13" i="37" l="1"/>
  <c r="I9" i="37"/>
  <c r="G12" i="37" l="1"/>
  <c r="G14" i="37"/>
  <c r="G13" i="37"/>
  <c r="D18" i="37"/>
  <c r="E18" i="37"/>
  <c r="F18" i="37"/>
  <c r="T20" i="37" l="1"/>
  <c r="AA18" i="37"/>
  <c r="X30" i="37" s="1"/>
  <c r="Z18" i="37"/>
  <c r="X29" i="37" s="1"/>
  <c r="Y18" i="37"/>
  <c r="H18" i="37"/>
  <c r="G18" i="37"/>
  <c r="AB17" i="37"/>
  <c r="T17" i="37"/>
  <c r="U17" i="37" s="1"/>
  <c r="S17" i="37"/>
  <c r="R17" i="37"/>
  <c r="Q17" i="37"/>
  <c r="AB16" i="37"/>
  <c r="T16" i="37"/>
  <c r="U16" i="37" s="1"/>
  <c r="S16" i="37"/>
  <c r="R16" i="37"/>
  <c r="Q16" i="37"/>
  <c r="S15" i="37"/>
  <c r="R15" i="37"/>
  <c r="Q15" i="37"/>
  <c r="I15" i="37"/>
  <c r="M15" i="37" s="1"/>
  <c r="S14" i="37"/>
  <c r="R14" i="37"/>
  <c r="Q14" i="37"/>
  <c r="I14" i="37"/>
  <c r="M14" i="37" s="1"/>
  <c r="S13" i="37"/>
  <c r="R13" i="37"/>
  <c r="Q13" i="37"/>
  <c r="M13" i="37"/>
  <c r="S12" i="37"/>
  <c r="R12" i="37"/>
  <c r="Q12" i="37"/>
  <c r="I12" i="37"/>
  <c r="M12" i="37" s="1"/>
  <c r="AB11" i="37"/>
  <c r="T11" i="37"/>
  <c r="U11" i="37" s="1"/>
  <c r="S11" i="37"/>
  <c r="R11" i="37"/>
  <c r="Q11" i="37"/>
  <c r="AB10" i="37"/>
  <c r="S10" i="37"/>
  <c r="R10" i="37"/>
  <c r="Q10" i="37"/>
  <c r="I10" i="37"/>
  <c r="M10" i="37" s="1"/>
  <c r="AB9" i="37"/>
  <c r="S9" i="37"/>
  <c r="R9" i="37"/>
  <c r="Q9" i="37"/>
  <c r="M9" i="37"/>
  <c r="AB8" i="37"/>
  <c r="S8" i="37"/>
  <c r="R8" i="37"/>
  <c r="Q8" i="37"/>
  <c r="I8" i="37"/>
  <c r="M8" i="37" s="1"/>
  <c r="AB7" i="37"/>
  <c r="S7" i="37"/>
  <c r="R7" i="37"/>
  <c r="Q7" i="37"/>
  <c r="I7" i="37"/>
  <c r="M7" i="37" s="1"/>
  <c r="AB6" i="37"/>
  <c r="S6" i="37"/>
  <c r="R6" i="37"/>
  <c r="Q6" i="37"/>
  <c r="I6" i="37"/>
  <c r="N6" i="37" s="1"/>
  <c r="AB5" i="37"/>
  <c r="S5" i="37"/>
  <c r="R5" i="37"/>
  <c r="Q5" i="37"/>
  <c r="I5" i="37"/>
  <c r="M5" i="37" s="1"/>
  <c r="AB4" i="37"/>
  <c r="S4" i="37"/>
  <c r="R4" i="37"/>
  <c r="Q4" i="37"/>
  <c r="I4" i="37"/>
  <c r="J4" i="37" s="1"/>
  <c r="T4" i="37" s="1"/>
  <c r="U4" i="37" s="1"/>
  <c r="AC4" i="37" s="1"/>
  <c r="S3" i="37"/>
  <c r="R3" i="37"/>
  <c r="Q3" i="37"/>
  <c r="I3" i="37"/>
  <c r="L10" i="37" l="1"/>
  <c r="R18" i="37"/>
  <c r="R20" i="37" s="1"/>
  <c r="AC17" i="37"/>
  <c r="AC11" i="37"/>
  <c r="AC16" i="37"/>
  <c r="M21" i="37"/>
  <c r="J15" i="37"/>
  <c r="N15" i="37"/>
  <c r="K15" i="37"/>
  <c r="L15" i="37"/>
  <c r="J14" i="37"/>
  <c r="K14" i="37"/>
  <c r="N14" i="37"/>
  <c r="L14" i="37"/>
  <c r="N13" i="37"/>
  <c r="J13" i="37"/>
  <c r="K13" i="37"/>
  <c r="L13" i="37"/>
  <c r="N12" i="37"/>
  <c r="J12" i="37"/>
  <c r="K12" i="37"/>
  <c r="L12" i="37"/>
  <c r="N10" i="37"/>
  <c r="J10" i="37"/>
  <c r="K10" i="37"/>
  <c r="J9" i="37"/>
  <c r="S18" i="37"/>
  <c r="S20" i="37" s="1"/>
  <c r="J6" i="37"/>
  <c r="T6" i="37" s="1"/>
  <c r="U6" i="37" s="1"/>
  <c r="AC6" i="37" s="1"/>
  <c r="I18" i="37"/>
  <c r="Q18" i="37"/>
  <c r="Q20" i="37" s="1"/>
  <c r="L4" i="37"/>
  <c r="N4" i="37"/>
  <c r="K3" i="37"/>
  <c r="L3" i="37"/>
  <c r="M20" i="37"/>
  <c r="J3" i="37"/>
  <c r="N7" i="37"/>
  <c r="J5" i="37"/>
  <c r="T5" i="37" s="1"/>
  <c r="U5" i="37" s="1"/>
  <c r="AC5" i="37" s="1"/>
  <c r="J8" i="37"/>
  <c r="AF28" i="37"/>
  <c r="J7" i="37"/>
  <c r="T7" i="37" s="1"/>
  <c r="U7" i="37" s="1"/>
  <c r="AC7" i="37" s="1"/>
  <c r="K9" i="37"/>
  <c r="M3" i="37"/>
  <c r="M18" i="37" s="1"/>
  <c r="AJ26" i="37" s="1"/>
  <c r="AK26" i="37" s="1"/>
  <c r="L7" i="37"/>
  <c r="K8" i="37"/>
  <c r="X28" i="37"/>
  <c r="M20" i="40"/>
  <c r="L20" i="40"/>
  <c r="K20" i="40"/>
  <c r="J20" i="40"/>
  <c r="I20" i="40"/>
  <c r="H20" i="40"/>
  <c r="G20" i="40"/>
  <c r="T15" i="37" l="1"/>
  <c r="U15" i="37" s="1"/>
  <c r="V15" i="37" s="1"/>
  <c r="T3" i="37"/>
  <c r="U3" i="37" s="1"/>
  <c r="X3" i="37" s="1"/>
  <c r="T10" i="37"/>
  <c r="U10" i="37" s="1"/>
  <c r="AC10" i="37" s="1"/>
  <c r="T12" i="37"/>
  <c r="U12" i="37" s="1"/>
  <c r="X12" i="37" s="1"/>
  <c r="T13" i="37"/>
  <c r="U13" i="37" s="1"/>
  <c r="X13" i="37" s="1"/>
  <c r="T9" i="37"/>
  <c r="U9" i="37" s="1"/>
  <c r="AC9" i="37" s="1"/>
  <c r="T14" i="37"/>
  <c r="U14" i="37" s="1"/>
  <c r="X14" i="37" s="1"/>
  <c r="K18" i="37"/>
  <c r="AF27" i="37" s="1"/>
  <c r="T8" i="37"/>
  <c r="U8" i="37" s="1"/>
  <c r="AC8" i="37" s="1"/>
  <c r="N18" i="37"/>
  <c r="L18" i="37"/>
  <c r="J18" i="37"/>
  <c r="V3" i="37"/>
  <c r="X15" i="37"/>
  <c r="W15" i="37"/>
  <c r="H10" i="42"/>
  <c r="W3" i="37" l="1"/>
  <c r="AB3" i="37" s="1"/>
  <c r="AC3" i="37" s="1"/>
  <c r="V12" i="37"/>
  <c r="V13" i="37"/>
  <c r="W13" i="37"/>
  <c r="W12" i="37"/>
  <c r="W18" i="37" s="1"/>
  <c r="V14" i="37"/>
  <c r="W14" i="37"/>
  <c r="AB15" i="37"/>
  <c r="AC15" i="37" s="1"/>
  <c r="AB13" i="37"/>
  <c r="AC13" i="37" s="1"/>
  <c r="U18" i="37"/>
  <c r="W28" i="37" s="1"/>
  <c r="X18" i="37"/>
  <c r="AJ27" i="37"/>
  <c r="AK27" i="37" s="1"/>
  <c r="N21" i="37"/>
  <c r="T18" i="37"/>
  <c r="AF26" i="37"/>
  <c r="AG26" i="37" s="1"/>
  <c r="AG17" i="42"/>
  <c r="W17" i="42" s="1"/>
  <c r="R17" i="42" s="1"/>
  <c r="J17" i="42"/>
  <c r="AD17" i="42" s="1"/>
  <c r="W26" i="37" l="1"/>
  <c r="W27" i="37"/>
  <c r="AB12" i="37"/>
  <c r="AC12" i="37" s="1"/>
  <c r="AB14" i="37"/>
  <c r="AC14" i="37" s="1"/>
  <c r="V18" i="37"/>
  <c r="Y29" i="37"/>
  <c r="Z29" i="37" s="1"/>
  <c r="W30" i="37"/>
  <c r="W29" i="37"/>
  <c r="AA20" i="37"/>
  <c r="Y20" i="37"/>
  <c r="Z20" i="37"/>
  <c r="Y28" i="37"/>
  <c r="Z28" i="37" s="1"/>
  <c r="Y30" i="37"/>
  <c r="Z30" i="37" s="1"/>
  <c r="X27" i="37"/>
  <c r="Y27" i="37" s="1"/>
  <c r="Z27" i="37" s="1"/>
  <c r="X20" i="37"/>
  <c r="AI27" i="37"/>
  <c r="AI26" i="37"/>
  <c r="X26" i="37"/>
  <c r="Y26" i="37" s="1"/>
  <c r="Z26" i="37" s="1"/>
  <c r="W20" i="37"/>
  <c r="AA17" i="42"/>
  <c r="Q17" i="42" s="1"/>
  <c r="AB17" i="42"/>
  <c r="M17" i="42" s="1"/>
  <c r="L17" i="42"/>
  <c r="Y17" i="42" s="1"/>
  <c r="U17" i="42" s="1"/>
  <c r="X17" i="42"/>
  <c r="X25" i="37" l="1"/>
  <c r="Y25" i="37" s="1"/>
  <c r="W25" i="37"/>
  <c r="W31" i="37" s="1"/>
  <c r="V20" i="37"/>
  <c r="Y31" i="37"/>
  <c r="Z25" i="37"/>
  <c r="N17" i="42"/>
  <c r="Z17" i="42"/>
  <c r="O17" i="42"/>
  <c r="P17" i="42" l="1"/>
  <c r="AC17" i="42"/>
  <c r="H11" i="42" l="1"/>
  <c r="G4" i="42" l="1"/>
  <c r="G5" i="42"/>
  <c r="G6" i="42"/>
  <c r="G7" i="42"/>
  <c r="G9" i="42"/>
  <c r="J9" i="42" s="1"/>
  <c r="G10" i="42"/>
  <c r="J10" i="42" s="1"/>
  <c r="G11" i="42"/>
  <c r="J11" i="42" s="1"/>
  <c r="J13" i="42"/>
  <c r="J14" i="42"/>
  <c r="L14" i="42" s="1"/>
  <c r="G15" i="42"/>
  <c r="J15" i="42" s="1"/>
  <c r="G16" i="42"/>
  <c r="J16" i="42" s="1"/>
  <c r="AG16" i="42" l="1"/>
  <c r="W16" i="42" s="1"/>
  <c r="R16" i="42" s="1"/>
  <c r="AK16" i="42" s="1"/>
  <c r="AD16" i="42"/>
  <c r="AG15" i="42"/>
  <c r="W15" i="42" s="1"/>
  <c r="R15" i="42" s="1"/>
  <c r="AK15" i="42" s="1"/>
  <c r="AD15" i="42"/>
  <c r="AG14" i="42"/>
  <c r="W14" i="42" s="1"/>
  <c r="R14" i="42" s="1"/>
  <c r="AD14" i="42"/>
  <c r="AG13" i="42"/>
  <c r="AD13" i="42"/>
  <c r="AK12" i="42"/>
  <c r="AG11" i="42"/>
  <c r="W11" i="42" s="1"/>
  <c r="AK11" i="42" s="1"/>
  <c r="AG10" i="42"/>
  <c r="W10" i="42" s="1"/>
  <c r="AK10" i="42" s="1"/>
  <c r="AG9" i="42"/>
  <c r="W9" i="42" s="1"/>
  <c r="AK9" i="42" s="1"/>
  <c r="AD9" i="42"/>
  <c r="AG7" i="42"/>
  <c r="J7" i="42"/>
  <c r="AD7" i="42" s="1"/>
  <c r="AG6" i="42"/>
  <c r="J6" i="42"/>
  <c r="AG5" i="42"/>
  <c r="J5" i="42"/>
  <c r="AD5" i="42" s="1"/>
  <c r="B5" i="42"/>
  <c r="B6" i="42" s="1"/>
  <c r="B7" i="42" s="1"/>
  <c r="B8" i="42" s="1"/>
  <c r="B9" i="42" s="1"/>
  <c r="B10" i="42" s="1"/>
  <c r="B11" i="42" s="1"/>
  <c r="AG4" i="42"/>
  <c r="Y4" i="42" s="1"/>
  <c r="Z4" i="42" s="1"/>
  <c r="J4" i="42"/>
  <c r="AD4" i="42" s="1"/>
  <c r="AK14" i="42" l="1"/>
  <c r="S14" i="42"/>
  <c r="B12" i="42"/>
  <c r="B13" i="42" s="1"/>
  <c r="B14" i="42" s="1"/>
  <c r="B15" i="42" s="1"/>
  <c r="B16" i="42" s="1"/>
  <c r="B17" i="42" s="1"/>
  <c r="B18" i="42" s="1"/>
  <c r="W4" i="42"/>
  <c r="L7" i="42"/>
  <c r="Y7" i="42" s="1"/>
  <c r="U7" i="42" s="1"/>
  <c r="AD6" i="42"/>
  <c r="AB6" i="42" s="1"/>
  <c r="K6" i="42"/>
  <c r="K5" i="42"/>
  <c r="W5" i="42" s="1"/>
  <c r="R5" i="42" s="1"/>
  <c r="AK5" i="42" s="1"/>
  <c r="L9" i="42"/>
  <c r="Y9" i="42" s="1"/>
  <c r="Y14" i="42"/>
  <c r="U14" i="42" s="1"/>
  <c r="L15" i="42"/>
  <c r="Y15" i="42" s="1"/>
  <c r="U15" i="42" s="1"/>
  <c r="L13" i="42"/>
  <c r="Y13" i="42" s="1"/>
  <c r="U13" i="42" s="1"/>
  <c r="AD11" i="42"/>
  <c r="AB11" i="42" s="1"/>
  <c r="M11" i="42" s="1"/>
  <c r="L11" i="42"/>
  <c r="Y11" i="42" s="1"/>
  <c r="AD10" i="42"/>
  <c r="AB10" i="42" s="1"/>
  <c r="M10" i="42" s="1"/>
  <c r="L10" i="42"/>
  <c r="Y10" i="42" s="1"/>
  <c r="L16" i="42"/>
  <c r="Y16" i="42" s="1"/>
  <c r="U16" i="42" s="1"/>
  <c r="X16" i="42"/>
  <c r="X14" i="42"/>
  <c r="X11" i="42"/>
  <c r="W7" i="42"/>
  <c r="AA4" i="42"/>
  <c r="Q4" i="42" s="1"/>
  <c r="AB4" i="42"/>
  <c r="P4" i="42" s="1"/>
  <c r="AA5" i="42"/>
  <c r="Q5" i="42" s="1"/>
  <c r="AB5" i="42"/>
  <c r="AA7" i="42"/>
  <c r="Q7" i="42" s="1"/>
  <c r="AB7" i="42"/>
  <c r="AB15" i="42"/>
  <c r="M15" i="42" s="1"/>
  <c r="AA15" i="42"/>
  <c r="Q15" i="42" s="1"/>
  <c r="U4" i="42"/>
  <c r="V4" i="42" s="1"/>
  <c r="AA16" i="42"/>
  <c r="Q16" i="42" s="1"/>
  <c r="AB16" i="42"/>
  <c r="M16" i="42" s="1"/>
  <c r="AA9" i="42"/>
  <c r="Q9" i="42" s="1"/>
  <c r="AB9" i="42"/>
  <c r="M9" i="42" s="1"/>
  <c r="AB13" i="42"/>
  <c r="AA13" i="42"/>
  <c r="Q13" i="42" s="1"/>
  <c r="AA14" i="42"/>
  <c r="Q14" i="42" s="1"/>
  <c r="AB14" i="42"/>
  <c r="M14" i="42" s="1"/>
  <c r="W13" i="42"/>
  <c r="T4" i="42"/>
  <c r="X4" i="42"/>
  <c r="X9" i="42"/>
  <c r="X15" i="42"/>
  <c r="X10" i="42"/>
  <c r="K17" i="41"/>
  <c r="L17" i="41"/>
  <c r="L16" i="41"/>
  <c r="L15" i="41"/>
  <c r="L14" i="41"/>
  <c r="L13" i="41"/>
  <c r="L12" i="41"/>
  <c r="L11" i="41"/>
  <c r="L10" i="41"/>
  <c r="L9" i="41"/>
  <c r="L8" i="41"/>
  <c r="L7" i="41"/>
  <c r="L6" i="41"/>
  <c r="L5" i="41"/>
  <c r="L4" i="41"/>
  <c r="L3" i="41"/>
  <c r="L2" i="41"/>
  <c r="K3" i="41"/>
  <c r="K4" i="41"/>
  <c r="K5" i="41"/>
  <c r="K6" i="41"/>
  <c r="K7" i="41"/>
  <c r="K8" i="41"/>
  <c r="K9" i="41"/>
  <c r="K10" i="41"/>
  <c r="K11" i="41"/>
  <c r="K12" i="41"/>
  <c r="K13" i="41"/>
  <c r="K14" i="41"/>
  <c r="K15" i="41"/>
  <c r="K16" i="41"/>
  <c r="K2" i="41"/>
  <c r="J3" i="41"/>
  <c r="J4" i="41"/>
  <c r="J5" i="41"/>
  <c r="J6" i="41"/>
  <c r="J7" i="41"/>
  <c r="J8" i="41"/>
  <c r="J9" i="41"/>
  <c r="J10" i="41"/>
  <c r="J11" i="41"/>
  <c r="J12" i="41"/>
  <c r="J13" i="41"/>
  <c r="J14" i="41"/>
  <c r="J15" i="41"/>
  <c r="J16" i="41"/>
  <c r="J2" i="41"/>
  <c r="J17" i="41" s="1"/>
  <c r="I17" i="41"/>
  <c r="F17" i="41"/>
  <c r="H17" i="41"/>
  <c r="G17" i="41"/>
  <c r="D17" i="41"/>
  <c r="E14" i="41"/>
  <c r="E13" i="41"/>
  <c r="E12" i="41"/>
  <c r="E11" i="41"/>
  <c r="E9" i="41"/>
  <c r="E8" i="41"/>
  <c r="E7" i="41"/>
  <c r="E6" i="41"/>
  <c r="E5" i="41"/>
  <c r="E4" i="41"/>
  <c r="E3" i="41"/>
  <c r="E2" i="41"/>
  <c r="O7" i="42" l="1"/>
  <c r="Z7" i="42"/>
  <c r="R4" i="42"/>
  <c r="AK4" i="42" s="1"/>
  <c r="AL4" i="42" s="1"/>
  <c r="P7" i="42"/>
  <c r="AA6" i="42"/>
  <c r="Q6" i="42" s="1"/>
  <c r="AA10" i="42"/>
  <c r="Q10" i="42" s="1"/>
  <c r="AA11" i="42"/>
  <c r="Q11" i="42" s="1"/>
  <c r="Z11" i="42"/>
  <c r="M7" i="42"/>
  <c r="Z16" i="42"/>
  <c r="P16" i="42" s="1"/>
  <c r="Z10" i="42"/>
  <c r="T5" i="42"/>
  <c r="M5" i="42"/>
  <c r="W6" i="42"/>
  <c r="L6" i="42"/>
  <c r="Y6" i="42" s="1"/>
  <c r="U6" i="42" s="1"/>
  <c r="Z14" i="42"/>
  <c r="P14" i="42" s="1"/>
  <c r="L5" i="42"/>
  <c r="Y5" i="42" s="1"/>
  <c r="X5" i="42"/>
  <c r="N5" i="42" s="1"/>
  <c r="N15" i="42"/>
  <c r="N10" i="42"/>
  <c r="N16" i="42"/>
  <c r="O15" i="42"/>
  <c r="O13" i="42"/>
  <c r="O10" i="42"/>
  <c r="Z9" i="42"/>
  <c r="P9" i="42" s="1"/>
  <c r="O9" i="42"/>
  <c r="Z15" i="42"/>
  <c r="P15" i="42" s="1"/>
  <c r="Z13" i="42"/>
  <c r="P13" i="42" s="1"/>
  <c r="AK7" i="42"/>
  <c r="X7" i="42"/>
  <c r="AC7" i="42" s="1"/>
  <c r="O4" i="42"/>
  <c r="N4" i="42"/>
  <c r="M4" i="42"/>
  <c r="N9" i="42"/>
  <c r="O16" i="42"/>
  <c r="N14" i="42"/>
  <c r="O11" i="42"/>
  <c r="N11" i="42"/>
  <c r="M13" i="42"/>
  <c r="X13" i="42"/>
  <c r="N13" i="42" s="1"/>
  <c r="R13" i="42"/>
  <c r="AK13" i="42" s="1"/>
  <c r="O14" i="42"/>
  <c r="AC4" i="42"/>
  <c r="E17" i="41"/>
  <c r="J14" i="29"/>
  <c r="H10" i="29"/>
  <c r="H9" i="29"/>
  <c r="G10" i="29"/>
  <c r="H12" i="29"/>
  <c r="G12" i="29"/>
  <c r="H11" i="29"/>
  <c r="G11" i="29"/>
  <c r="J15" i="29"/>
  <c r="H15" i="40"/>
  <c r="I15" i="40" s="1"/>
  <c r="F18" i="40"/>
  <c r="G18" i="40" s="1"/>
  <c r="H18" i="40" s="1"/>
  <c r="M18" i="40" s="1"/>
  <c r="F17" i="40"/>
  <c r="F16" i="40"/>
  <c r="F15" i="40"/>
  <c r="F20" i="40" s="1"/>
  <c r="G12" i="40"/>
  <c r="G11" i="40"/>
  <c r="AC11" i="42" l="1"/>
  <c r="S4" i="42"/>
  <c r="S5" i="42" s="1"/>
  <c r="G16" i="40"/>
  <c r="P11" i="42"/>
  <c r="AC10" i="42"/>
  <c r="AC16" i="42"/>
  <c r="O6" i="42"/>
  <c r="AC14" i="42"/>
  <c r="P10" i="42"/>
  <c r="N7" i="42"/>
  <c r="Z6" i="42"/>
  <c r="P6" i="42" s="1"/>
  <c r="T6" i="42"/>
  <c r="T7" i="42" s="1"/>
  <c r="T9" i="42" s="1"/>
  <c r="T10" i="42" s="1"/>
  <c r="T11" i="42" s="1"/>
  <c r="R6" i="42"/>
  <c r="X6" i="42"/>
  <c r="N6" i="42" s="1"/>
  <c r="M6" i="42"/>
  <c r="U5" i="42"/>
  <c r="V5" i="42" s="1"/>
  <c r="Z5" i="42"/>
  <c r="P5" i="42" s="1"/>
  <c r="O5" i="42"/>
  <c r="AC9" i="42"/>
  <c r="AC15" i="42"/>
  <c r="AC13" i="42"/>
  <c r="J15" i="40"/>
  <c r="L15" i="40"/>
  <c r="K15" i="40"/>
  <c r="M15" i="40"/>
  <c r="Q16" i="40"/>
  <c r="G17" i="40"/>
  <c r="H17" i="40" s="1"/>
  <c r="M17" i="40" s="1"/>
  <c r="J18" i="40"/>
  <c r="K18" i="40"/>
  <c r="L18" i="40"/>
  <c r="I18" i="40"/>
  <c r="T12" i="42" l="1"/>
  <c r="T13" i="42" s="1"/>
  <c r="T14" i="42" s="1"/>
  <c r="T15" i="42" s="1"/>
  <c r="T16" i="42" s="1"/>
  <c r="T17" i="42" s="1"/>
  <c r="T18" i="42" s="1"/>
  <c r="T19" i="42" s="1"/>
  <c r="H16" i="40"/>
  <c r="AC6" i="42"/>
  <c r="AC5" i="42"/>
  <c r="V6" i="42"/>
  <c r="V7" i="42" s="1"/>
  <c r="V9" i="42" s="1"/>
  <c r="AL5" i="42"/>
  <c r="AK6" i="42"/>
  <c r="S6" i="42"/>
  <c r="S7" i="42" s="1"/>
  <c r="S9" i="42" s="1"/>
  <c r="S10" i="42" s="1"/>
  <c r="S11" i="42" s="1"/>
  <c r="L17" i="40"/>
  <c r="K17" i="40"/>
  <c r="I17" i="40"/>
  <c r="S12" i="42" l="1"/>
  <c r="S13" i="42" s="1"/>
  <c r="S15" i="42" s="1"/>
  <c r="S16" i="42" s="1"/>
  <c r="S17" i="42" s="1"/>
  <c r="M16" i="40"/>
  <c r="I16" i="40"/>
  <c r="K16" i="40"/>
  <c r="AL6" i="42"/>
  <c r="AL7" i="42"/>
  <c r="AL9" i="42"/>
  <c r="V10" i="42"/>
  <c r="F26" i="40"/>
  <c r="Z20" i="40"/>
  <c r="W32" i="40" s="1"/>
  <c r="Y20" i="40"/>
  <c r="W31" i="40" s="1"/>
  <c r="X20" i="40"/>
  <c r="W30" i="40" s="1"/>
  <c r="R15" i="40"/>
  <c r="R10" i="40"/>
  <c r="H8" i="40"/>
  <c r="Q8" i="40"/>
  <c r="AA14" i="40"/>
  <c r="S14" i="40"/>
  <c r="T14" i="40" s="1"/>
  <c r="R14" i="40"/>
  <c r="Q14" i="40"/>
  <c r="P14" i="40"/>
  <c r="AA7" i="40"/>
  <c r="R7" i="40"/>
  <c r="AA6" i="40"/>
  <c r="R6" i="40"/>
  <c r="P6" i="40"/>
  <c r="AA12" i="40"/>
  <c r="P12" i="40"/>
  <c r="AA5" i="40"/>
  <c r="P5" i="40"/>
  <c r="AA4" i="40"/>
  <c r="P4" i="40"/>
  <c r="AA11" i="40"/>
  <c r="P11" i="40"/>
  <c r="AA3" i="40"/>
  <c r="R3" i="40"/>
  <c r="R13" i="40"/>
  <c r="S18" i="42" l="1"/>
  <c r="S19" i="42" s="1"/>
  <c r="V11" i="42"/>
  <c r="V12" i="42" s="1"/>
  <c r="AL10" i="42"/>
  <c r="P13" i="40"/>
  <c r="Q11" i="40"/>
  <c r="R11" i="40"/>
  <c r="R12" i="40"/>
  <c r="P7" i="40"/>
  <c r="H4" i="40"/>
  <c r="M4" i="40" s="1"/>
  <c r="R8" i="40"/>
  <c r="P15" i="40"/>
  <c r="R4" i="40"/>
  <c r="Q5" i="40"/>
  <c r="Q6" i="40"/>
  <c r="H3" i="40"/>
  <c r="K3" i="40" s="1"/>
  <c r="H13" i="40"/>
  <c r="K13" i="40" s="1"/>
  <c r="P3" i="40"/>
  <c r="H11" i="40"/>
  <c r="Q4" i="40"/>
  <c r="Q12" i="40"/>
  <c r="P10" i="40"/>
  <c r="Q3" i="40"/>
  <c r="K8" i="40"/>
  <c r="J8" i="40"/>
  <c r="M8" i="40"/>
  <c r="I8" i="40"/>
  <c r="P9" i="40"/>
  <c r="R9" i="40"/>
  <c r="H9" i="40"/>
  <c r="L8" i="40"/>
  <c r="AB14" i="40"/>
  <c r="Q9" i="40"/>
  <c r="Q10" i="40"/>
  <c r="Q13" i="40"/>
  <c r="H5" i="40"/>
  <c r="Q7" i="40"/>
  <c r="P8" i="40"/>
  <c r="H10" i="40"/>
  <c r="Q15" i="40"/>
  <c r="R5" i="40"/>
  <c r="H12" i="40"/>
  <c r="H6" i="40"/>
  <c r="H7" i="40"/>
  <c r="H14" i="40"/>
  <c r="H21" i="40" l="1"/>
  <c r="AL11" i="42"/>
  <c r="J13" i="40"/>
  <c r="I11" i="40"/>
  <c r="R20" i="40"/>
  <c r="I4" i="40"/>
  <c r="S4" i="40" s="1"/>
  <c r="T4" i="40" s="1"/>
  <c r="AB4" i="40" s="1"/>
  <c r="L11" i="40"/>
  <c r="L13" i="40"/>
  <c r="I13" i="40"/>
  <c r="I3" i="40"/>
  <c r="S3" i="40" s="1"/>
  <c r="T3" i="40" s="1"/>
  <c r="AB3" i="40" s="1"/>
  <c r="M3" i="40"/>
  <c r="P20" i="40"/>
  <c r="Q20" i="40"/>
  <c r="J12" i="40"/>
  <c r="L12" i="40"/>
  <c r="I12" i="40"/>
  <c r="L14" i="40"/>
  <c r="K14" i="40"/>
  <c r="J14" i="40"/>
  <c r="I14" i="40"/>
  <c r="M14" i="40"/>
  <c r="J9" i="40"/>
  <c r="M9" i="40"/>
  <c r="I9" i="40"/>
  <c r="L9" i="40"/>
  <c r="K9" i="40"/>
  <c r="L7" i="40"/>
  <c r="K7" i="40"/>
  <c r="J7" i="40"/>
  <c r="M7" i="40"/>
  <c r="I7" i="40"/>
  <c r="M10" i="40"/>
  <c r="I10" i="40"/>
  <c r="L10" i="40"/>
  <c r="K10" i="40"/>
  <c r="J10" i="40"/>
  <c r="S8" i="40"/>
  <c r="T8" i="40" s="1"/>
  <c r="J6" i="40"/>
  <c r="L6" i="40"/>
  <c r="I6" i="40"/>
  <c r="I5" i="40"/>
  <c r="L5" i="40"/>
  <c r="M5" i="40"/>
  <c r="K5" i="40"/>
  <c r="AG15" i="29"/>
  <c r="Y15" i="29" s="1"/>
  <c r="G15" i="29"/>
  <c r="V13" i="42" l="1"/>
  <c r="AL12" i="42"/>
  <c r="W15" i="29"/>
  <c r="R15" i="29" s="1"/>
  <c r="S11" i="40"/>
  <c r="T11" i="40" s="1"/>
  <c r="AB11" i="40" s="1"/>
  <c r="S13" i="40"/>
  <c r="T13" i="40" s="1"/>
  <c r="W13" i="40" s="1"/>
  <c r="S15" i="40"/>
  <c r="T15" i="40" s="1"/>
  <c r="W15" i="40" s="1"/>
  <c r="S12" i="40"/>
  <c r="T12" i="40" s="1"/>
  <c r="AB12" i="40" s="1"/>
  <c r="S6" i="40"/>
  <c r="T6" i="40" s="1"/>
  <c r="AB6" i="40" s="1"/>
  <c r="S7" i="40"/>
  <c r="T7" i="40" s="1"/>
  <c r="AB7" i="40" s="1"/>
  <c r="S5" i="40"/>
  <c r="T5" i="40" s="1"/>
  <c r="AB5" i="40" s="1"/>
  <c r="U8" i="40"/>
  <c r="W8" i="40"/>
  <c r="V8" i="40"/>
  <c r="S10" i="40"/>
  <c r="T10" i="40" s="1"/>
  <c r="S9" i="40"/>
  <c r="T9" i="40" s="1"/>
  <c r="AD15" i="29"/>
  <c r="AB15" i="29" s="1"/>
  <c r="O15" i="29" s="1"/>
  <c r="Z15" i="29"/>
  <c r="U15" i="29"/>
  <c r="X15" i="29" l="1"/>
  <c r="V14" i="42"/>
  <c r="AL13" i="42"/>
  <c r="U15" i="40"/>
  <c r="V15" i="40"/>
  <c r="U13" i="40"/>
  <c r="V13" i="40"/>
  <c r="AA13" i="40" s="1"/>
  <c r="AB13" i="40" s="1"/>
  <c r="AA8" i="40"/>
  <c r="AB8" i="40" s="1"/>
  <c r="T20" i="40"/>
  <c r="W10" i="40"/>
  <c r="U10" i="40"/>
  <c r="V10" i="40"/>
  <c r="AA15" i="40"/>
  <c r="AB15" i="40" s="1"/>
  <c r="V9" i="40"/>
  <c r="W9" i="40"/>
  <c r="U9" i="40"/>
  <c r="AA15" i="29"/>
  <c r="Q15" i="29" s="1"/>
  <c r="M15" i="29"/>
  <c r="N15" i="29"/>
  <c r="P15" i="29"/>
  <c r="V15" i="42" l="1"/>
  <c r="AL14" i="42"/>
  <c r="V20" i="40"/>
  <c r="V28" i="40" s="1"/>
  <c r="W20" i="40"/>
  <c r="W29" i="40" s="1"/>
  <c r="AA9" i="40"/>
  <c r="AB9" i="40" s="1"/>
  <c r="Y21" i="40"/>
  <c r="X21" i="40"/>
  <c r="V31" i="40"/>
  <c r="V32" i="40"/>
  <c r="Z21" i="40"/>
  <c r="V30" i="40"/>
  <c r="U20" i="40"/>
  <c r="AA10" i="40"/>
  <c r="AB10" i="40" s="1"/>
  <c r="AC15" i="29"/>
  <c r="G5" i="29"/>
  <c r="J5" i="29" s="1"/>
  <c r="G6" i="29"/>
  <c r="J6" i="29" s="1"/>
  <c r="G7" i="29"/>
  <c r="J7" i="29" s="1"/>
  <c r="G8" i="29"/>
  <c r="J8" i="29" s="1"/>
  <c r="G9" i="29"/>
  <c r="J9" i="29" s="1"/>
  <c r="J10" i="29"/>
  <c r="J11" i="29"/>
  <c r="J12" i="29"/>
  <c r="G13" i="29"/>
  <c r="J13" i="29" s="1"/>
  <c r="G14" i="29"/>
  <c r="G4" i="29"/>
  <c r="W28" i="40" l="1"/>
  <c r="V16" i="42"/>
  <c r="V17" i="42" s="1"/>
  <c r="V18" i="42" s="1"/>
  <c r="V19" i="42" s="1"/>
  <c r="AL15" i="42"/>
  <c r="V21" i="40"/>
  <c r="V29" i="40"/>
  <c r="W21" i="40"/>
  <c r="W27" i="40"/>
  <c r="V27" i="40"/>
  <c r="U21" i="40"/>
  <c r="AL16" i="42" l="1"/>
  <c r="V33" i="40"/>
  <c r="B5" i="29" l="1"/>
  <c r="B6" i="29" s="1"/>
  <c r="B7" i="29" s="1"/>
  <c r="B8" i="29" s="1"/>
  <c r="B9" i="29" s="1"/>
  <c r="B10" i="29" s="1"/>
  <c r="B11" i="29" s="1"/>
  <c r="B12" i="29" s="1"/>
  <c r="B13" i="29" s="1"/>
  <c r="B14" i="29" s="1"/>
  <c r="B15" i="29" s="1"/>
  <c r="L54" i="33" l="1"/>
  <c r="M54" i="33"/>
  <c r="M55" i="33" s="1"/>
  <c r="N54" i="33"/>
  <c r="K54" i="33"/>
  <c r="K66" i="33"/>
  <c r="K65" i="33"/>
  <c r="I54" i="33"/>
  <c r="J54" i="33"/>
  <c r="H54" i="33"/>
  <c r="J51" i="33" l="1"/>
  <c r="I51" i="33"/>
  <c r="M51" i="33"/>
  <c r="L51" i="33"/>
  <c r="M37" i="33"/>
  <c r="M36" i="33"/>
  <c r="M35" i="33"/>
  <c r="L35" i="33"/>
  <c r="F61" i="33"/>
  <c r="E61" i="33"/>
  <c r="J35" i="33" l="1"/>
  <c r="F35" i="33"/>
  <c r="J4" i="29" l="1"/>
  <c r="AD4" i="29" s="1"/>
  <c r="AA4" i="29" s="1"/>
  <c r="AG4" i="29"/>
  <c r="W4" i="29" s="1"/>
  <c r="Q4" i="29" l="1"/>
  <c r="T4" i="29"/>
  <c r="X4" i="29"/>
  <c r="R4" i="29"/>
  <c r="S4" i="29" s="1"/>
  <c r="Y4" i="29"/>
  <c r="AB4" i="29"/>
  <c r="M4" i="29" s="1"/>
  <c r="O4" i="29" l="1"/>
  <c r="U4" i="29"/>
  <c r="V4" i="29" s="1"/>
  <c r="Z4" i="29"/>
  <c r="P4" i="29" s="1"/>
  <c r="N4" i="29"/>
  <c r="AC4" i="29" l="1"/>
  <c r="J26" i="36" l="1"/>
  <c r="J25" i="36"/>
  <c r="M52" i="33" l="1"/>
  <c r="AD25" i="36" l="1"/>
  <c r="J24" i="36"/>
  <c r="J23" i="36"/>
  <c r="AD23" i="36" s="1"/>
  <c r="J22" i="36"/>
  <c r="AD22" i="36" s="1"/>
  <c r="AB22" i="36" s="1"/>
  <c r="B29" i="36"/>
  <c r="AG26" i="36"/>
  <c r="AD26" i="36"/>
  <c r="AA26" i="36" s="1"/>
  <c r="Q26" i="36" s="1"/>
  <c r="Y26" i="36"/>
  <c r="U26" i="36" s="1"/>
  <c r="W26" i="36"/>
  <c r="X26" i="36" s="1"/>
  <c r="AG25" i="36"/>
  <c r="Y25" i="36"/>
  <c r="Z25" i="36" s="1"/>
  <c r="W25" i="36"/>
  <c r="R25" i="36" s="1"/>
  <c r="AG24" i="36"/>
  <c r="Y24" i="36" s="1"/>
  <c r="AD24" i="36"/>
  <c r="AA24" i="36" s="1"/>
  <c r="Q24" i="36" s="1"/>
  <c r="AB24" i="36"/>
  <c r="W24" i="36"/>
  <c r="R24" i="36" s="1"/>
  <c r="AG23" i="36"/>
  <c r="Y23" i="36"/>
  <c r="W23" i="36"/>
  <c r="X23" i="36" s="1"/>
  <c r="AG40" i="36"/>
  <c r="Y40" i="36" s="1"/>
  <c r="AD40" i="36"/>
  <c r="AB40" i="36" s="1"/>
  <c r="AA40" i="36"/>
  <c r="Q40" i="36" s="1"/>
  <c r="W40" i="36"/>
  <c r="R40" i="36" s="1"/>
  <c r="AG39" i="36"/>
  <c r="Y39" i="36" s="1"/>
  <c r="W39" i="36"/>
  <c r="R39" i="36" s="1"/>
  <c r="AD39" i="36"/>
  <c r="AG38" i="36"/>
  <c r="Y38" i="36"/>
  <c r="U38" i="36" s="1"/>
  <c r="W38" i="36"/>
  <c r="R38" i="36" s="1"/>
  <c r="J38" i="36"/>
  <c r="AD38" i="36" s="1"/>
  <c r="AG37" i="36"/>
  <c r="Y37" i="36"/>
  <c r="U37" i="36" s="1"/>
  <c r="W37" i="36"/>
  <c r="R37" i="36" s="1"/>
  <c r="J37" i="36"/>
  <c r="AD37" i="36" s="1"/>
  <c r="AG36" i="36"/>
  <c r="Y36" i="36" s="1"/>
  <c r="J36" i="36"/>
  <c r="AD36" i="36" s="1"/>
  <c r="AB36" i="36" s="1"/>
  <c r="AG35" i="36"/>
  <c r="Y35" i="36"/>
  <c r="U35" i="36" s="1"/>
  <c r="W35" i="36"/>
  <c r="R35" i="36" s="1"/>
  <c r="J35" i="36"/>
  <c r="AD35" i="36" s="1"/>
  <c r="AG34" i="36"/>
  <c r="Y34" i="36"/>
  <c r="W34" i="36"/>
  <c r="T34" i="36" s="1"/>
  <c r="J34" i="36"/>
  <c r="AD34" i="36" s="1"/>
  <c r="AB34" i="36" s="1"/>
  <c r="AG33" i="36"/>
  <c r="Y33" i="36" s="1"/>
  <c r="Z33" i="36" s="1"/>
  <c r="W33" i="36"/>
  <c r="R33" i="36" s="1"/>
  <c r="J33" i="36"/>
  <c r="AD33" i="36" s="1"/>
  <c r="AG32" i="36"/>
  <c r="Y32" i="36" s="1"/>
  <c r="J32" i="36"/>
  <c r="AD32" i="36" s="1"/>
  <c r="AB32" i="36" s="1"/>
  <c r="AG31" i="36"/>
  <c r="Y31" i="36"/>
  <c r="U31" i="36" s="1"/>
  <c r="W31" i="36"/>
  <c r="R31" i="36" s="1"/>
  <c r="J31" i="36"/>
  <c r="AD31" i="36" s="1"/>
  <c r="AG30" i="36"/>
  <c r="Y30" i="36"/>
  <c r="U30" i="36" s="1"/>
  <c r="W30" i="36"/>
  <c r="X30" i="36" s="1"/>
  <c r="J30" i="36"/>
  <c r="AD30" i="36" s="1"/>
  <c r="AG29" i="36"/>
  <c r="Y29" i="36" s="1"/>
  <c r="W29" i="36"/>
  <c r="J29" i="36"/>
  <c r="AD29" i="36" s="1"/>
  <c r="AG22" i="36"/>
  <c r="AG21" i="36"/>
  <c r="Y21" i="36" s="1"/>
  <c r="J21" i="36"/>
  <c r="AD21" i="36" s="1"/>
  <c r="AA21" i="36" s="1"/>
  <c r="AG20" i="36"/>
  <c r="Y20" i="36" s="1"/>
  <c r="U20" i="36" s="1"/>
  <c r="J20" i="36"/>
  <c r="AD20" i="36" s="1"/>
  <c r="AA20" i="36" s="1"/>
  <c r="AG19" i="36"/>
  <c r="Y19" i="36" s="1"/>
  <c r="U19" i="36" s="1"/>
  <c r="J19" i="36"/>
  <c r="AD19" i="36" s="1"/>
  <c r="AG18" i="36"/>
  <c r="Y18" i="36" s="1"/>
  <c r="U18" i="36" s="1"/>
  <c r="J18" i="36"/>
  <c r="AD18" i="36" s="1"/>
  <c r="AB18" i="36" s="1"/>
  <c r="AG17" i="36"/>
  <c r="Y17" i="36" s="1"/>
  <c r="J17" i="36"/>
  <c r="AD17" i="36" s="1"/>
  <c r="AB17" i="36" s="1"/>
  <c r="AG16" i="36"/>
  <c r="W16" i="36" s="1"/>
  <c r="R16" i="36" s="1"/>
  <c r="Y16" i="36"/>
  <c r="J16" i="36"/>
  <c r="AD16" i="36" s="1"/>
  <c r="AA16" i="36" s="1"/>
  <c r="AG15" i="36"/>
  <c r="Y15" i="36" s="1"/>
  <c r="J15" i="36"/>
  <c r="AD15" i="36" s="1"/>
  <c r="AA15" i="36" s="1"/>
  <c r="Q15" i="36" s="1"/>
  <c r="AG13" i="36"/>
  <c r="Y13" i="36" s="1"/>
  <c r="J13" i="36"/>
  <c r="AD13" i="36" s="1"/>
  <c r="AG12" i="36"/>
  <c r="Y12" i="36" s="1"/>
  <c r="J12" i="36"/>
  <c r="AD12" i="36" s="1"/>
  <c r="AG11" i="36"/>
  <c r="W11" i="36" s="1"/>
  <c r="J11" i="36"/>
  <c r="AG10" i="36"/>
  <c r="Y10" i="36" s="1"/>
  <c r="U10" i="36" s="1"/>
  <c r="J10" i="36"/>
  <c r="AD10" i="36" s="1"/>
  <c r="AG9" i="36"/>
  <c r="Y9" i="36" s="1"/>
  <c r="J9" i="36"/>
  <c r="AD9" i="36" s="1"/>
  <c r="AG8" i="36"/>
  <c r="Y8" i="36" s="1"/>
  <c r="U8" i="36" s="1"/>
  <c r="J8" i="36"/>
  <c r="AD8" i="36" s="1"/>
  <c r="AB8" i="36" s="1"/>
  <c r="AG7" i="36"/>
  <c r="Y7" i="36" s="1"/>
  <c r="U7" i="36" s="1"/>
  <c r="J7" i="36"/>
  <c r="AD7" i="36" s="1"/>
  <c r="AG6" i="36"/>
  <c r="Y6" i="36" s="1"/>
  <c r="J6" i="36"/>
  <c r="AD6" i="36" s="1"/>
  <c r="AA6" i="36" s="1"/>
  <c r="Q6" i="36" s="1"/>
  <c r="AG5" i="36"/>
  <c r="Y5" i="36" s="1"/>
  <c r="U5" i="36" s="1"/>
  <c r="J5" i="36"/>
  <c r="AD5" i="36" s="1"/>
  <c r="AG4" i="36"/>
  <c r="Y4" i="36" s="1"/>
  <c r="J4" i="36"/>
  <c r="AD4" i="36" s="1"/>
  <c r="B4" i="36"/>
  <c r="B5" i="36" s="1"/>
  <c r="B6" i="36" s="1"/>
  <c r="B7" i="36" s="1"/>
  <c r="B8" i="36" s="1"/>
  <c r="B9" i="36" s="1"/>
  <c r="B10" i="36" s="1"/>
  <c r="B11" i="36" s="1"/>
  <c r="B12" i="36" s="1"/>
  <c r="B13" i="36" s="1"/>
  <c r="B15" i="36" s="1"/>
  <c r="B16" i="36" s="1"/>
  <c r="B17" i="36" s="1"/>
  <c r="B18" i="36" s="1"/>
  <c r="B19" i="36" s="1"/>
  <c r="B20" i="36" s="1"/>
  <c r="B21" i="36" s="1"/>
  <c r="B22" i="36" s="1"/>
  <c r="B30" i="36" s="1"/>
  <c r="B31" i="36" s="1"/>
  <c r="B32" i="36" s="1"/>
  <c r="B33" i="36" s="1"/>
  <c r="B34" i="36" s="1"/>
  <c r="B35" i="36" s="1"/>
  <c r="B36" i="36" s="1"/>
  <c r="B37" i="36" s="1"/>
  <c r="B38" i="36" s="1"/>
  <c r="B39" i="36" s="1"/>
  <c r="B40" i="36" s="1"/>
  <c r="AG3" i="36"/>
  <c r="W3" i="36" s="1"/>
  <c r="J3" i="36"/>
  <c r="AD3" i="36" s="1"/>
  <c r="B3" i="36"/>
  <c r="AG2" i="36"/>
  <c r="Y2" i="36"/>
  <c r="Z2" i="36" s="1"/>
  <c r="W2" i="36"/>
  <c r="X2" i="36" s="1"/>
  <c r="J2" i="36"/>
  <c r="AD2" i="36" s="1"/>
  <c r="AB2" i="36" s="1"/>
  <c r="J50" i="33"/>
  <c r="I50" i="33"/>
  <c r="H50" i="33"/>
  <c r="H46" i="33"/>
  <c r="T26" i="36" l="1"/>
  <c r="X34" i="36"/>
  <c r="AB29" i="36"/>
  <c r="O29" i="36" s="1"/>
  <c r="AA29" i="36"/>
  <c r="Q29" i="36" s="1"/>
  <c r="AA23" i="36"/>
  <c r="Q23" i="36" s="1"/>
  <c r="AB23" i="36"/>
  <c r="O23" i="36" s="1"/>
  <c r="AA25" i="36"/>
  <c r="Q25" i="36" s="1"/>
  <c r="AB25" i="36"/>
  <c r="AB26" i="36"/>
  <c r="M26" i="36" s="1"/>
  <c r="U25" i="36"/>
  <c r="R26" i="36"/>
  <c r="X24" i="36"/>
  <c r="N24" i="36" s="1"/>
  <c r="N23" i="36"/>
  <c r="X25" i="36"/>
  <c r="Z26" i="36"/>
  <c r="T24" i="36"/>
  <c r="T25" i="36"/>
  <c r="W5" i="36"/>
  <c r="R5" i="36" s="1"/>
  <c r="Q16" i="36"/>
  <c r="R23" i="36"/>
  <c r="O24" i="36"/>
  <c r="Z24" i="36"/>
  <c r="P24" i="36" s="1"/>
  <c r="U24" i="36"/>
  <c r="M2" i="36"/>
  <c r="Q20" i="36"/>
  <c r="R30" i="36"/>
  <c r="T40" i="36"/>
  <c r="T23" i="36"/>
  <c r="M23" i="36"/>
  <c r="M24" i="36"/>
  <c r="W4" i="36"/>
  <c r="X4" i="36" s="1"/>
  <c r="W13" i="36"/>
  <c r="R13" i="36" s="1"/>
  <c r="O17" i="36"/>
  <c r="O18" i="36"/>
  <c r="W19" i="36"/>
  <c r="X19" i="36" s="1"/>
  <c r="T30" i="36"/>
  <c r="W17" i="36"/>
  <c r="T17" i="36" s="1"/>
  <c r="Q21" i="36"/>
  <c r="B23" i="36"/>
  <c r="B24" i="36" s="1"/>
  <c r="B25" i="36" s="1"/>
  <c r="B26" i="36" s="1"/>
  <c r="X16" i="36"/>
  <c r="U23" i="36"/>
  <c r="W20" i="36"/>
  <c r="Z23" i="36"/>
  <c r="P23" i="36" s="1"/>
  <c r="Y3" i="36"/>
  <c r="U3" i="36" s="1"/>
  <c r="W9" i="36"/>
  <c r="T9" i="36" s="1"/>
  <c r="W12" i="36"/>
  <c r="T12" i="36" s="1"/>
  <c r="T16" i="36"/>
  <c r="AA22" i="36"/>
  <c r="Q22" i="36" s="1"/>
  <c r="O32" i="36"/>
  <c r="X35" i="36"/>
  <c r="Z37" i="36"/>
  <c r="X40" i="36"/>
  <c r="N40" i="36" s="1"/>
  <c r="Z12" i="36"/>
  <c r="U12" i="36"/>
  <c r="X3" i="36"/>
  <c r="T3" i="36"/>
  <c r="R3" i="36"/>
  <c r="Z9" i="36"/>
  <c r="U9" i="36"/>
  <c r="Z6" i="36"/>
  <c r="U6" i="36"/>
  <c r="AA5" i="36"/>
  <c r="Q5" i="36" s="1"/>
  <c r="AB5" i="36"/>
  <c r="X13" i="36"/>
  <c r="AB16" i="36"/>
  <c r="O16" i="36" s="1"/>
  <c r="R34" i="36"/>
  <c r="T35" i="36"/>
  <c r="X38" i="36"/>
  <c r="T39" i="36"/>
  <c r="W6" i="36"/>
  <c r="R6" i="36" s="1"/>
  <c r="W7" i="36"/>
  <c r="T7" i="36" s="1"/>
  <c r="W8" i="36"/>
  <c r="R8" i="36" s="1"/>
  <c r="W10" i="36"/>
  <c r="R10" i="36" s="1"/>
  <c r="W15" i="36"/>
  <c r="W18" i="36"/>
  <c r="R18" i="36" s="1"/>
  <c r="AB20" i="36"/>
  <c r="W21" i="36"/>
  <c r="R21" i="36" s="1"/>
  <c r="X31" i="36"/>
  <c r="N34" i="36"/>
  <c r="T38" i="36"/>
  <c r="R2" i="36"/>
  <c r="S2" i="36" s="1"/>
  <c r="U2" i="36"/>
  <c r="V2" i="36" s="1"/>
  <c r="Z7" i="36"/>
  <c r="Z18" i="36"/>
  <c r="P18" i="36" s="1"/>
  <c r="T31" i="36"/>
  <c r="O36" i="36"/>
  <c r="X39" i="36"/>
  <c r="N2" i="36"/>
  <c r="AA7" i="36"/>
  <c r="Q7" i="36" s="1"/>
  <c r="AB7" i="36"/>
  <c r="AC2" i="36"/>
  <c r="P2" i="36"/>
  <c r="AB3" i="36"/>
  <c r="M3" i="36" s="1"/>
  <c r="AA3" i="36"/>
  <c r="Q3" i="36" s="1"/>
  <c r="AB4" i="36"/>
  <c r="N4" i="36" s="1"/>
  <c r="AA4" i="36"/>
  <c r="Q4" i="36" s="1"/>
  <c r="AB12" i="36"/>
  <c r="AA12" i="36"/>
  <c r="Q12" i="36" s="1"/>
  <c r="AA35" i="36"/>
  <c r="Q35" i="36" s="1"/>
  <c r="AB35" i="36"/>
  <c r="M35" i="36" s="1"/>
  <c r="O2" i="36"/>
  <c r="AA2" i="36"/>
  <c r="Q2" i="36" s="1"/>
  <c r="U4" i="36"/>
  <c r="Z4" i="36"/>
  <c r="Z8" i="36"/>
  <c r="P8" i="36" s="1"/>
  <c r="AB9" i="36"/>
  <c r="O9" i="36" s="1"/>
  <c r="AA9" i="36"/>
  <c r="Q9" i="36" s="1"/>
  <c r="Z10" i="36"/>
  <c r="Z13" i="36"/>
  <c r="AB15" i="36"/>
  <c r="O15" i="36" s="1"/>
  <c r="M29" i="36"/>
  <c r="X29" i="36"/>
  <c r="T29" i="36"/>
  <c r="R29" i="36"/>
  <c r="S29" i="36" s="1"/>
  <c r="AA31" i="36"/>
  <c r="Q31" i="36" s="1"/>
  <c r="AB31" i="36"/>
  <c r="M31" i="36" s="1"/>
  <c r="O34" i="36"/>
  <c r="Z34" i="36"/>
  <c r="P34" i="36" s="1"/>
  <c r="U34" i="36"/>
  <c r="AB37" i="36"/>
  <c r="AA37" i="36"/>
  <c r="Q37" i="36" s="1"/>
  <c r="AB6" i="36"/>
  <c r="AD11" i="36"/>
  <c r="L11" i="36"/>
  <c r="Y11" i="36" s="1"/>
  <c r="T2" i="36"/>
  <c r="Z5" i="36"/>
  <c r="AA8" i="36"/>
  <c r="Q8" i="36" s="1"/>
  <c r="AB13" i="36"/>
  <c r="AA13" i="36"/>
  <c r="Q13" i="36" s="1"/>
  <c r="U13" i="36"/>
  <c r="Z15" i="36"/>
  <c r="U15" i="36"/>
  <c r="V15" i="36" s="1"/>
  <c r="Y22" i="36"/>
  <c r="W22" i="36"/>
  <c r="U29" i="36"/>
  <c r="V29" i="36" s="1"/>
  <c r="V30" i="36" s="1"/>
  <c r="V31" i="36" s="1"/>
  <c r="Z29" i="36"/>
  <c r="O8" i="36"/>
  <c r="AB10" i="36"/>
  <c r="AA10" i="36"/>
  <c r="Q10" i="36" s="1"/>
  <c r="R11" i="36"/>
  <c r="X11" i="36"/>
  <c r="T11" i="36"/>
  <c r="Z16" i="36"/>
  <c r="U16" i="36"/>
  <c r="AB21" i="36"/>
  <c r="O21" i="36" s="1"/>
  <c r="AA39" i="36"/>
  <c r="Q39" i="36" s="1"/>
  <c r="AB39" i="36"/>
  <c r="AA17" i="36"/>
  <c r="Q17" i="36" s="1"/>
  <c r="AA18" i="36"/>
  <c r="Q18" i="36" s="1"/>
  <c r="AB19" i="36"/>
  <c r="O19" i="36" s="1"/>
  <c r="AA19" i="36"/>
  <c r="Q19" i="36" s="1"/>
  <c r="Z21" i="36"/>
  <c r="U21" i="36"/>
  <c r="AB30" i="36"/>
  <c r="O30" i="36" s="1"/>
  <c r="AA30" i="36"/>
  <c r="Q30" i="36" s="1"/>
  <c r="Z30" i="36"/>
  <c r="W32" i="36"/>
  <c r="M34" i="36"/>
  <c r="W36" i="36"/>
  <c r="Z38" i="36"/>
  <c r="AA32" i="36"/>
  <c r="Q32" i="36" s="1"/>
  <c r="AB33" i="36"/>
  <c r="M33" i="36" s="1"/>
  <c r="AA33" i="36"/>
  <c r="Q33" i="36" s="1"/>
  <c r="AA36" i="36"/>
  <c r="Q36" i="36" s="1"/>
  <c r="AB38" i="36"/>
  <c r="M38" i="36" s="1"/>
  <c r="AA38" i="36"/>
  <c r="Q38" i="36" s="1"/>
  <c r="Z39" i="36"/>
  <c r="U39" i="36"/>
  <c r="Z17" i="36"/>
  <c r="P17" i="36" s="1"/>
  <c r="U17" i="36"/>
  <c r="Z19" i="36"/>
  <c r="Z20" i="36"/>
  <c r="Z32" i="36"/>
  <c r="P32" i="36" s="1"/>
  <c r="U32" i="36"/>
  <c r="U33" i="36"/>
  <c r="Z36" i="36"/>
  <c r="P36" i="36" s="1"/>
  <c r="U36" i="36"/>
  <c r="O40" i="36"/>
  <c r="Z40" i="36"/>
  <c r="P40" i="36" s="1"/>
  <c r="U40" i="36"/>
  <c r="M40" i="36"/>
  <c r="Z31" i="36"/>
  <c r="T33" i="36"/>
  <c r="X33" i="36"/>
  <c r="AA34" i="36"/>
  <c r="Q34" i="36" s="1"/>
  <c r="Z35" i="36"/>
  <c r="T37" i="36"/>
  <c r="X37" i="36"/>
  <c r="R4" i="36" l="1"/>
  <c r="P29" i="36"/>
  <c r="N29" i="36"/>
  <c r="M13" i="36"/>
  <c r="X7" i="36"/>
  <c r="AC7" i="36" s="1"/>
  <c r="R7" i="36"/>
  <c r="P26" i="36"/>
  <c r="O26" i="36"/>
  <c r="AC25" i="36"/>
  <c r="O25" i="36"/>
  <c r="P39" i="36"/>
  <c r="O35" i="36"/>
  <c r="N31" i="36"/>
  <c r="M5" i="36"/>
  <c r="M7" i="36"/>
  <c r="T13" i="36"/>
  <c r="M25" i="36"/>
  <c r="P25" i="36"/>
  <c r="N25" i="36"/>
  <c r="N26" i="36"/>
  <c r="M15" i="36"/>
  <c r="P35" i="36"/>
  <c r="N33" i="36"/>
  <c r="P16" i="36"/>
  <c r="T8" i="36"/>
  <c r="P12" i="36"/>
  <c r="R9" i="36"/>
  <c r="O5" i="36"/>
  <c r="N35" i="36"/>
  <c r="T4" i="36"/>
  <c r="AC26" i="36"/>
  <c r="P20" i="36"/>
  <c r="M17" i="36"/>
  <c r="O12" i="36"/>
  <c r="S30" i="36"/>
  <c r="S31" i="36" s="1"/>
  <c r="P4" i="36"/>
  <c r="X17" i="36"/>
  <c r="N17" i="36" s="1"/>
  <c r="R12" i="36"/>
  <c r="X12" i="36"/>
  <c r="AC12" i="36" s="1"/>
  <c r="X5" i="36"/>
  <c r="N5" i="36" s="1"/>
  <c r="T5" i="36"/>
  <c r="R17" i="36"/>
  <c r="V3" i="36"/>
  <c r="V4" i="36" s="1"/>
  <c r="V5" i="36" s="1"/>
  <c r="V6" i="36" s="1"/>
  <c r="V7" i="36" s="1"/>
  <c r="V8" i="36" s="1"/>
  <c r="V9" i="36" s="1"/>
  <c r="V10" i="36" s="1"/>
  <c r="AC23" i="36"/>
  <c r="AC24" i="36"/>
  <c r="T6" i="36"/>
  <c r="S3" i="36"/>
  <c r="S4" i="36" s="1"/>
  <c r="S5" i="36" s="1"/>
  <c r="S6" i="36" s="1"/>
  <c r="M10" i="36"/>
  <c r="P21" i="36"/>
  <c r="N39" i="36"/>
  <c r="AC16" i="36"/>
  <c r="Z3" i="36"/>
  <c r="AC3" i="36" s="1"/>
  <c r="R19" i="36"/>
  <c r="T19" i="36"/>
  <c r="O39" i="36"/>
  <c r="M18" i="36"/>
  <c r="X8" i="36"/>
  <c r="N8" i="36" s="1"/>
  <c r="P37" i="36"/>
  <c r="M8" i="36"/>
  <c r="R20" i="36"/>
  <c r="X20" i="36"/>
  <c r="N20" i="36" s="1"/>
  <c r="T20" i="36"/>
  <c r="X18" i="36"/>
  <c r="N18" i="36" s="1"/>
  <c r="O38" i="36"/>
  <c r="M21" i="36"/>
  <c r="P15" i="36"/>
  <c r="M4" i="36"/>
  <c r="M20" i="36"/>
  <c r="X9" i="36"/>
  <c r="N9" i="36" s="1"/>
  <c r="O20" i="36"/>
  <c r="O31" i="36"/>
  <c r="X6" i="36"/>
  <c r="AC6" i="36" s="1"/>
  <c r="R15" i="36"/>
  <c r="S15" i="36" s="1"/>
  <c r="S16" i="36" s="1"/>
  <c r="X15" i="36"/>
  <c r="N15" i="36" s="1"/>
  <c r="T15" i="36"/>
  <c r="N37" i="36"/>
  <c r="AC39" i="36"/>
  <c r="M39" i="36"/>
  <c r="P31" i="36"/>
  <c r="T18" i="36"/>
  <c r="AC37" i="36"/>
  <c r="V32" i="36"/>
  <c r="V33" i="36" s="1"/>
  <c r="V34" i="36" s="1"/>
  <c r="V35" i="36" s="1"/>
  <c r="V36" i="36" s="1"/>
  <c r="V37" i="36" s="1"/>
  <c r="V38" i="36" s="1"/>
  <c r="V39" i="36" s="1"/>
  <c r="V40" i="36" s="1"/>
  <c r="O3" i="36"/>
  <c r="AC13" i="36"/>
  <c r="X21" i="36"/>
  <c r="N21" i="36" s="1"/>
  <c r="T21" i="36"/>
  <c r="X10" i="36"/>
  <c r="N10" i="36" s="1"/>
  <c r="T10" i="36"/>
  <c r="N16" i="36"/>
  <c r="M16" i="36"/>
  <c r="R32" i="36"/>
  <c r="M32" i="36"/>
  <c r="X32" i="36"/>
  <c r="N32" i="36" s="1"/>
  <c r="T32" i="36"/>
  <c r="Z22" i="36"/>
  <c r="P22" i="36" s="1"/>
  <c r="U22" i="36"/>
  <c r="O22" i="36"/>
  <c r="Z11" i="36"/>
  <c r="U11" i="36"/>
  <c r="O13" i="36"/>
  <c r="O33" i="36"/>
  <c r="R36" i="36"/>
  <c r="M36" i="36"/>
  <c r="X36" i="36"/>
  <c r="N36" i="36" s="1"/>
  <c r="T36" i="36"/>
  <c r="N30" i="36"/>
  <c r="M30" i="36"/>
  <c r="P33" i="36"/>
  <c r="AB11" i="36"/>
  <c r="M11" i="36" s="1"/>
  <c r="AA11" i="36"/>
  <c r="Q11" i="36" s="1"/>
  <c r="M37" i="36"/>
  <c r="O37" i="36"/>
  <c r="AC29" i="36"/>
  <c r="P10" i="36"/>
  <c r="M9" i="36"/>
  <c r="N13" i="36"/>
  <c r="P7" i="36"/>
  <c r="O7" i="36"/>
  <c r="AC40" i="36"/>
  <c r="AC35" i="36"/>
  <c r="P38" i="36"/>
  <c r="AC38" i="36"/>
  <c r="P30" i="36"/>
  <c r="AC30" i="36"/>
  <c r="N19" i="36"/>
  <c r="M19" i="36"/>
  <c r="AC4" i="36"/>
  <c r="V16" i="36"/>
  <c r="V17" i="36" s="1"/>
  <c r="V18" i="36" s="1"/>
  <c r="V19" i="36" s="1"/>
  <c r="V20" i="36" s="1"/>
  <c r="V21" i="36" s="1"/>
  <c r="P5" i="36"/>
  <c r="N38" i="36"/>
  <c r="P9" i="36"/>
  <c r="AC33" i="36"/>
  <c r="O10" i="36"/>
  <c r="M12" i="36"/>
  <c r="N3" i="36"/>
  <c r="O4" i="36"/>
  <c r="AC31" i="36"/>
  <c r="P19" i="36"/>
  <c r="AC19" i="36"/>
  <c r="R22" i="36"/>
  <c r="M22" i="36"/>
  <c r="T22" i="36"/>
  <c r="X22" i="36"/>
  <c r="N22" i="36" s="1"/>
  <c r="P6" i="36"/>
  <c r="O6" i="36"/>
  <c r="AC34" i="36"/>
  <c r="P13" i="36"/>
  <c r="M6" i="36"/>
  <c r="N7" i="36" l="1"/>
  <c r="S7" i="36"/>
  <c r="S8" i="36" s="1"/>
  <c r="S9" i="36" s="1"/>
  <c r="S10" i="36" s="1"/>
  <c r="S11" i="36" s="1"/>
  <c r="S12" i="36" s="1"/>
  <c r="S13" i="36" s="1"/>
  <c r="AC5" i="36"/>
  <c r="AC15" i="36"/>
  <c r="N6" i="36"/>
  <c r="V22" i="36"/>
  <c r="V23" i="36" s="1"/>
  <c r="V24" i="36" s="1"/>
  <c r="V25" i="36" s="1"/>
  <c r="V26" i="36" s="1"/>
  <c r="AC21" i="36"/>
  <c r="AC17" i="36"/>
  <c r="AC20" i="36"/>
  <c r="AC8" i="36"/>
  <c r="P3" i="36"/>
  <c r="AC18" i="36"/>
  <c r="S17" i="36"/>
  <c r="S18" i="36" s="1"/>
  <c r="S19" i="36" s="1"/>
  <c r="S20" i="36" s="1"/>
  <c r="S21" i="36" s="1"/>
  <c r="S22" i="36" s="1"/>
  <c r="S23" i="36" s="1"/>
  <c r="S24" i="36" s="1"/>
  <c r="S25" i="36" s="1"/>
  <c r="S26" i="36" s="1"/>
  <c r="N12" i="36"/>
  <c r="V11" i="36"/>
  <c r="V12" i="36" s="1"/>
  <c r="V13" i="36" s="1"/>
  <c r="S32" i="36"/>
  <c r="S33" i="36" s="1"/>
  <c r="S34" i="36" s="1"/>
  <c r="S35" i="36" s="1"/>
  <c r="S36" i="36" s="1"/>
  <c r="S37" i="36" s="1"/>
  <c r="S38" i="36" s="1"/>
  <c r="S39" i="36" s="1"/>
  <c r="S40" i="36" s="1"/>
  <c r="AC9" i="36"/>
  <c r="AC10" i="36"/>
  <c r="P11" i="36"/>
  <c r="AC32" i="36"/>
  <c r="AC11" i="36"/>
  <c r="N11" i="36"/>
  <c r="AC36" i="36"/>
  <c r="O11" i="36"/>
  <c r="AC22" i="36"/>
  <c r="H33" i="33" l="1"/>
  <c r="H34" i="33"/>
  <c r="AC131" i="35" l="1"/>
  <c r="AB131" i="35"/>
  <c r="AE130" i="35"/>
  <c r="AE129" i="35"/>
  <c r="AE128" i="35"/>
  <c r="AD127" i="35"/>
  <c r="AD131" i="35" s="1"/>
  <c r="AC127" i="35"/>
  <c r="AB127" i="35"/>
  <c r="Z127" i="35"/>
  <c r="Z131" i="35" s="1"/>
  <c r="V127" i="35"/>
  <c r="V131" i="35" s="1"/>
  <c r="R127" i="35"/>
  <c r="R131" i="35" s="1"/>
  <c r="N127" i="35"/>
  <c r="N131" i="35" s="1"/>
  <c r="J127" i="35"/>
  <c r="J131" i="35" s="1"/>
  <c r="F127" i="35"/>
  <c r="F131" i="35" s="1"/>
  <c r="N124" i="35"/>
  <c r="M124" i="35"/>
  <c r="L124" i="35"/>
  <c r="K124" i="35"/>
  <c r="U123" i="35"/>
  <c r="T123" i="35"/>
  <c r="R123" i="35"/>
  <c r="Q123" i="35"/>
  <c r="P123" i="35"/>
  <c r="O123" i="35"/>
  <c r="O121" i="35" s="1"/>
  <c r="N123" i="35"/>
  <c r="M123" i="35"/>
  <c r="L123" i="35"/>
  <c r="K123" i="35"/>
  <c r="K121" i="35" s="1"/>
  <c r="P122" i="35"/>
  <c r="O122" i="35"/>
  <c r="N122" i="35"/>
  <c r="M122" i="35"/>
  <c r="L122" i="35"/>
  <c r="K122" i="35"/>
  <c r="AD121" i="35"/>
  <c r="AC121" i="35"/>
  <c r="AB121" i="35"/>
  <c r="X121" i="35"/>
  <c r="W121" i="35"/>
  <c r="T121" i="35"/>
  <c r="S121" i="35"/>
  <c r="H121" i="35"/>
  <c r="G121" i="35"/>
  <c r="AA120" i="35"/>
  <c r="AA121" i="35" s="1"/>
  <c r="Z120" i="35"/>
  <c r="Z121" i="35" s="1"/>
  <c r="Y120" i="35"/>
  <c r="X120" i="35"/>
  <c r="X127" i="35" s="1"/>
  <c r="X131" i="35" s="1"/>
  <c r="W120" i="35"/>
  <c r="W127" i="35" s="1"/>
  <c r="W131" i="35" s="1"/>
  <c r="V120" i="35"/>
  <c r="V121" i="35" s="1"/>
  <c r="U120" i="35"/>
  <c r="T120" i="35"/>
  <c r="T127" i="35" s="1"/>
  <c r="T131" i="35" s="1"/>
  <c r="S120" i="35"/>
  <c r="S127" i="35" s="1"/>
  <c r="S131" i="35" s="1"/>
  <c r="R120" i="35"/>
  <c r="R121" i="35" s="1"/>
  <c r="Q120" i="35"/>
  <c r="P120" i="35"/>
  <c r="P127" i="35" s="1"/>
  <c r="P131" i="35" s="1"/>
  <c r="O120" i="35"/>
  <c r="O127" i="35" s="1"/>
  <c r="O131" i="35" s="1"/>
  <c r="N120" i="35"/>
  <c r="M120" i="35"/>
  <c r="L120" i="35"/>
  <c r="L127" i="35" s="1"/>
  <c r="L131" i="35" s="1"/>
  <c r="K120" i="35"/>
  <c r="K127" i="35" s="1"/>
  <c r="K131" i="35" s="1"/>
  <c r="J120" i="35"/>
  <c r="J121" i="35" s="1"/>
  <c r="I120" i="35"/>
  <c r="H120" i="35"/>
  <c r="H127" i="35" s="1"/>
  <c r="H131" i="35" s="1"/>
  <c r="G120" i="35"/>
  <c r="G127" i="35" s="1"/>
  <c r="G131" i="35" s="1"/>
  <c r="F120" i="35"/>
  <c r="F121" i="35" s="1"/>
  <c r="E120" i="35"/>
  <c r="D115" i="35" a="1"/>
  <c r="D115" i="35" s="1"/>
  <c r="B115" i="35" s="1"/>
  <c r="D114" i="35" a="1"/>
  <c r="D114" i="35" s="1"/>
  <c r="B114" i="35" s="1"/>
  <c r="D113" i="35" a="1"/>
  <c r="D113" i="35" s="1"/>
  <c r="D112" i="35" a="1"/>
  <c r="D112" i="35" s="1"/>
  <c r="B112" i="35" s="1"/>
  <c r="D111" i="35" a="1"/>
  <c r="D111" i="35" s="1"/>
  <c r="D110" i="35" a="1"/>
  <c r="D110" i="35" s="1"/>
  <c r="D109" i="35" a="1"/>
  <c r="D109" i="35" s="1"/>
  <c r="D108" i="35" a="1"/>
  <c r="D108" i="35" s="1"/>
  <c r="B108" i="35" s="1"/>
  <c r="D107" i="35" a="1"/>
  <c r="D107" i="35" s="1"/>
  <c r="B107" i="35" s="1"/>
  <c r="D106" i="35" a="1"/>
  <c r="D106" i="35" s="1"/>
  <c r="D105" i="35" a="1"/>
  <c r="D105" i="35" s="1"/>
  <c r="D104" i="35" a="1"/>
  <c r="D104" i="35" s="1"/>
  <c r="D103" i="35" a="1"/>
  <c r="D103" i="35" s="1"/>
  <c r="D102" i="35" a="1"/>
  <c r="D102" i="35" s="1"/>
  <c r="B102" i="35" s="1"/>
  <c r="D101" i="35" a="1"/>
  <c r="D101" i="35" s="1"/>
  <c r="D100" i="35" a="1"/>
  <c r="D100" i="35" s="1"/>
  <c r="B100" i="35" s="1"/>
  <c r="D99" i="35" a="1"/>
  <c r="D99" i="35" s="1"/>
  <c r="B99" i="35" s="1"/>
  <c r="D98" i="35"/>
  <c r="D98" i="35" a="1"/>
  <c r="D97" i="35"/>
  <c r="D96" i="35"/>
  <c r="B96" i="35" s="1"/>
  <c r="D95" i="35"/>
  <c r="B95" i="35" s="1"/>
  <c r="D94" i="35"/>
  <c r="B94" i="35" s="1"/>
  <c r="D93" i="35"/>
  <c r="B93" i="35" s="1"/>
  <c r="D92" i="35"/>
  <c r="B92" i="35" s="1"/>
  <c r="D91" i="35"/>
  <c r="B91" i="35" s="1"/>
  <c r="D90" i="35"/>
  <c r="D89" i="35"/>
  <c r="B89" i="35" s="1"/>
  <c r="D88" i="35"/>
  <c r="D87" i="35"/>
  <c r="D86" i="35"/>
  <c r="D85" i="35"/>
  <c r="B85" i="35" s="1"/>
  <c r="D84" i="35"/>
  <c r="D83" i="35"/>
  <c r="B83" i="35" s="1"/>
  <c r="D82" i="35"/>
  <c r="B82" i="35" s="1"/>
  <c r="D81" i="35"/>
  <c r="B81" i="35" s="1"/>
  <c r="D80" i="35"/>
  <c r="B80" i="35" s="1"/>
  <c r="D79" i="35"/>
  <c r="B79" i="35" s="1"/>
  <c r="D78" i="35"/>
  <c r="D77" i="35"/>
  <c r="B77" i="35" s="1"/>
  <c r="D76" i="35"/>
  <c r="D75" i="35"/>
  <c r="B75" i="35" s="1"/>
  <c r="D74" i="35"/>
  <c r="D73" i="35"/>
  <c r="D72" i="35"/>
  <c r="D71" i="35"/>
  <c r="D70" i="35"/>
  <c r="B70" i="35" s="1"/>
  <c r="D69" i="35"/>
  <c r="B69" i="35" s="1"/>
  <c r="D68" i="35"/>
  <c r="B68" i="35" s="1"/>
  <c r="D67" i="35"/>
  <c r="B67" i="35" s="1"/>
  <c r="D66" i="35"/>
  <c r="B66" i="35" s="1"/>
  <c r="D65" i="35"/>
  <c r="B65" i="35" s="1"/>
  <c r="D64" i="35"/>
  <c r="B64" i="35" s="1"/>
  <c r="D63" i="35"/>
  <c r="B63" i="35" s="1"/>
  <c r="D62" i="35"/>
  <c r="D61" i="35"/>
  <c r="D60" i="35"/>
  <c r="B60" i="35" s="1"/>
  <c r="D59" i="35"/>
  <c r="B59" i="35" s="1"/>
  <c r="D58" i="35"/>
  <c r="B58" i="35" s="1"/>
  <c r="D57" i="35"/>
  <c r="B57" i="35" s="1"/>
  <c r="D56" i="35"/>
  <c r="B56" i="35" s="1"/>
  <c r="D55" i="35"/>
  <c r="B55" i="35" s="1"/>
  <c r="D54" i="35"/>
  <c r="B54" i="35" s="1"/>
  <c r="D53" i="35"/>
  <c r="B53" i="35" s="1"/>
  <c r="D52" i="35"/>
  <c r="B52" i="35" s="1"/>
  <c r="D51" i="35"/>
  <c r="B51" i="35" s="1"/>
  <c r="D50" i="35"/>
  <c r="B50" i="35" s="1"/>
  <c r="D49" i="35"/>
  <c r="B49" i="35" s="1"/>
  <c r="D48" i="35"/>
  <c r="D47" i="35"/>
  <c r="D46" i="35"/>
  <c r="D45" i="35"/>
  <c r="B45" i="35" s="1"/>
  <c r="D44" i="35"/>
  <c r="B44" i="35" s="1"/>
  <c r="D43" i="35"/>
  <c r="B43" i="35" s="1"/>
  <c r="D42" i="35"/>
  <c r="B42" i="35" s="1"/>
  <c r="D41" i="35"/>
  <c r="B41" i="35" s="1"/>
  <c r="D40" i="35"/>
  <c r="B40" i="35" s="1"/>
  <c r="D39" i="35"/>
  <c r="B39" i="35" s="1"/>
  <c r="D38" i="35"/>
  <c r="D37" i="35"/>
  <c r="D36" i="35"/>
  <c r="D35" i="35"/>
  <c r="D34" i="35"/>
  <c r="D33" i="35"/>
  <c r="D32" i="35"/>
  <c r="D31" i="35"/>
  <c r="D30" i="35"/>
  <c r="D29" i="35"/>
  <c r="D28" i="35"/>
  <c r="D27" i="35"/>
  <c r="D26" i="35"/>
  <c r="D25" i="35"/>
  <c r="D24" i="35"/>
  <c r="D23" i="35"/>
  <c r="D22" i="35"/>
  <c r="D21" i="35"/>
  <c r="D20" i="35"/>
  <c r="D19" i="35"/>
  <c r="D18" i="35"/>
  <c r="D17" i="35"/>
  <c r="D16" i="35"/>
  <c r="D15" i="35"/>
  <c r="B15" i="35" s="1"/>
  <c r="D14" i="35"/>
  <c r="B14" i="35" s="1"/>
  <c r="D13" i="35"/>
  <c r="B13" i="35" s="1"/>
  <c r="D12" i="35"/>
  <c r="B12" i="35" s="1"/>
  <c r="D11" i="35"/>
  <c r="B11" i="35" s="1"/>
  <c r="D10" i="35"/>
  <c r="B10" i="35" s="1"/>
  <c r="D9" i="35"/>
  <c r="B9" i="35" s="1"/>
  <c r="D8" i="35"/>
  <c r="B8" i="35" s="1"/>
  <c r="N121" i="35" l="1"/>
  <c r="L121" i="35"/>
  <c r="P121" i="35"/>
  <c r="AE123" i="35"/>
  <c r="AE124" i="35"/>
  <c r="B19" i="35"/>
  <c r="B23" i="35"/>
  <c r="B18" i="35"/>
  <c r="B22" i="35"/>
  <c r="B26" i="35"/>
  <c r="B30" i="35"/>
  <c r="B27" i="35"/>
  <c r="B31" i="35"/>
  <c r="B33" i="35"/>
  <c r="B21" i="35"/>
  <c r="B25" i="35"/>
  <c r="B29" i="35"/>
  <c r="B34" i="35"/>
  <c r="B36" i="35"/>
  <c r="B17" i="35"/>
  <c r="B16" i="35"/>
  <c r="B20" i="35"/>
  <c r="B24" i="35"/>
  <c r="B28" i="35"/>
  <c r="B32" i="35"/>
  <c r="B38" i="35"/>
  <c r="B46" i="35"/>
  <c r="B47" i="35"/>
  <c r="B48" i="35"/>
  <c r="B35" i="35"/>
  <c r="B37" i="35"/>
  <c r="B61" i="35"/>
  <c r="B73" i="35"/>
  <c r="B90" i="35"/>
  <c r="B62" i="35"/>
  <c r="B71" i="35"/>
  <c r="B76" i="35"/>
  <c r="B97" i="35"/>
  <c r="B72" i="35"/>
  <c r="B98" i="35"/>
  <c r="B74" i="35"/>
  <c r="B78" i="35"/>
  <c r="B84" i="35"/>
  <c r="B86" i="35"/>
  <c r="B87" i="35"/>
  <c r="B88" i="35"/>
  <c r="B101" i="35"/>
  <c r="B109" i="35"/>
  <c r="B110" i="35"/>
  <c r="B113" i="35"/>
  <c r="B103" i="35"/>
  <c r="B104" i="35"/>
  <c r="B106" i="35"/>
  <c r="B111" i="35"/>
  <c r="B105" i="35"/>
  <c r="AE122" i="35"/>
  <c r="E127" i="35"/>
  <c r="AE120" i="35"/>
  <c r="E121" i="35"/>
  <c r="I127" i="35"/>
  <c r="I131" i="35" s="1"/>
  <c r="I121" i="35"/>
  <c r="M127" i="35"/>
  <c r="M131" i="35" s="1"/>
  <c r="M121" i="35"/>
  <c r="Q127" i="35"/>
  <c r="Q131" i="35" s="1"/>
  <c r="Q121" i="35"/>
  <c r="U127" i="35"/>
  <c r="U131" i="35" s="1"/>
  <c r="U121" i="35"/>
  <c r="Y127" i="35"/>
  <c r="Y131" i="35" s="1"/>
  <c r="Y121" i="35"/>
  <c r="AA127" i="35"/>
  <c r="AA131" i="35" s="1"/>
  <c r="I48" i="33"/>
  <c r="J48" i="33" s="1"/>
  <c r="I47" i="33"/>
  <c r="J47" i="33" s="1"/>
  <c r="I49" i="33"/>
  <c r="J49" i="33" s="1"/>
  <c r="N49" i="33" s="1"/>
  <c r="I44" i="33"/>
  <c r="I43" i="33"/>
  <c r="J43" i="33" s="1"/>
  <c r="I42" i="33"/>
  <c r="J42" i="33" s="1"/>
  <c r="I41" i="33"/>
  <c r="J41" i="33" s="1"/>
  <c r="L41" i="33" s="1"/>
  <c r="I40" i="33"/>
  <c r="J40" i="33" s="1"/>
  <c r="N40" i="33" s="1"/>
  <c r="AE121" i="35" l="1"/>
  <c r="E8" i="35" a="1"/>
  <c r="E8" i="35" s="1"/>
  <c r="AE127" i="35"/>
  <c r="E131" i="35"/>
  <c r="N48" i="33"/>
  <c r="M48" i="33"/>
  <c r="L48" i="33"/>
  <c r="K48" i="33"/>
  <c r="M42" i="33"/>
  <c r="N42" i="33"/>
  <c r="L42" i="33"/>
  <c r="N43" i="33"/>
  <c r="L43" i="33"/>
  <c r="M43" i="33"/>
  <c r="N47" i="33"/>
  <c r="M47" i="33"/>
  <c r="L47" i="33"/>
  <c r="K47" i="33"/>
  <c r="N41" i="33"/>
  <c r="L40" i="33"/>
  <c r="M41" i="33"/>
  <c r="M40" i="33"/>
  <c r="M49" i="33"/>
  <c r="K49" i="33"/>
  <c r="L49" i="33"/>
  <c r="F8" i="35" l="1" a="1"/>
  <c r="F8" i="35" s="1"/>
  <c r="E9" i="35" a="1"/>
  <c r="E9" i="35" s="1"/>
  <c r="AE131" i="35"/>
  <c r="AF121" i="35" s="1"/>
  <c r="AF127" i="35"/>
  <c r="I39" i="33"/>
  <c r="I46" i="33" s="1"/>
  <c r="J26" i="33"/>
  <c r="J39" i="33" l="1"/>
  <c r="G8" i="35" a="1"/>
  <c r="G8" i="35" s="1"/>
  <c r="H8" i="35" s="1" a="1"/>
  <c r="H8" i="35" s="1"/>
  <c r="AF131" i="35"/>
  <c r="AF128" i="35"/>
  <c r="AF129" i="35"/>
  <c r="AF123" i="35"/>
  <c r="AF124" i="35"/>
  <c r="AF120" i="35"/>
  <c r="AF122" i="35"/>
  <c r="F9" i="35" a="1"/>
  <c r="F9" i="35" s="1"/>
  <c r="E10" i="35" a="1"/>
  <c r="E10" i="35" s="1"/>
  <c r="K40" i="33"/>
  <c r="I24" i="33"/>
  <c r="G9" i="35" l="1" a="1"/>
  <c r="G9" i="35" s="1"/>
  <c r="H9" i="35" s="1" a="1"/>
  <c r="H9" i="35" s="1"/>
  <c r="J24" i="33"/>
  <c r="L24" i="33" s="1"/>
  <c r="M39" i="33"/>
  <c r="N39" i="33"/>
  <c r="L39" i="33"/>
  <c r="K39" i="33"/>
  <c r="F10" i="35" a="1"/>
  <c r="F10" i="35" s="1"/>
  <c r="E11" i="35" a="1"/>
  <c r="E11" i="35" s="1"/>
  <c r="I8" i="35" a="1"/>
  <c r="I8" i="35" s="1"/>
  <c r="J8" i="35" s="1" a="1"/>
  <c r="J8" i="35" s="1"/>
  <c r="G32" i="33"/>
  <c r="G31" i="33"/>
  <c r="G30" i="33"/>
  <c r="G29" i="33"/>
  <c r="G28" i="33"/>
  <c r="G27" i="33"/>
  <c r="G24" i="33"/>
  <c r="G26" i="33"/>
  <c r="G23" i="33"/>
  <c r="G22" i="33"/>
  <c r="G21" i="33"/>
  <c r="G20" i="33"/>
  <c r="E34" i="33"/>
  <c r="I32" i="33"/>
  <c r="J32" i="33" s="1"/>
  <c r="I9" i="35" l="1" a="1"/>
  <c r="I9" i="35" s="1"/>
  <c r="J9" i="35" s="1" a="1"/>
  <c r="J9" i="35" s="1"/>
  <c r="E12" i="35" a="1"/>
  <c r="E12" i="35" s="1"/>
  <c r="G10" i="35" a="1"/>
  <c r="G10" i="35" s="1"/>
  <c r="H10" i="35" s="1" a="1"/>
  <c r="H10" i="35" s="1"/>
  <c r="F11" i="35" a="1"/>
  <c r="F11" i="35" s="1"/>
  <c r="K8" i="35" a="1"/>
  <c r="K8" i="35" s="1"/>
  <c r="N32" i="33"/>
  <c r="M32" i="33"/>
  <c r="L32" i="33"/>
  <c r="K32" i="33"/>
  <c r="G34" i="33"/>
  <c r="I31" i="33"/>
  <c r="J31" i="33" s="1"/>
  <c r="I23" i="33"/>
  <c r="J23" i="33" s="1"/>
  <c r="I28" i="33"/>
  <c r="J28" i="33" s="1"/>
  <c r="I29" i="33"/>
  <c r="J29" i="33" s="1"/>
  <c r="I30" i="33"/>
  <c r="J30" i="33" s="1"/>
  <c r="I27" i="33"/>
  <c r="I20" i="33"/>
  <c r="J20" i="33" s="1"/>
  <c r="G11" i="35" l="1" a="1"/>
  <c r="G11" i="35" s="1"/>
  <c r="H11" i="35" s="1" a="1"/>
  <c r="H11" i="35" s="1"/>
  <c r="J27" i="33"/>
  <c r="J33" i="33" s="1"/>
  <c r="I33" i="33"/>
  <c r="K9" i="35" a="1"/>
  <c r="K9" i="35" s="1"/>
  <c r="F12" i="35" a="1"/>
  <c r="F12" i="35" s="1"/>
  <c r="E13" i="35" a="1"/>
  <c r="E13" i="35" s="1"/>
  <c r="I10" i="35" a="1"/>
  <c r="I10" i="35" s="1"/>
  <c r="L8" i="35" a="1"/>
  <c r="L8" i="35" s="1"/>
  <c r="M8" i="35" s="1" a="1"/>
  <c r="M8" i="35" s="1"/>
  <c r="N30" i="33"/>
  <c r="M30" i="33"/>
  <c r="L30" i="33"/>
  <c r="K30" i="33"/>
  <c r="N29" i="33"/>
  <c r="L29" i="33"/>
  <c r="M29" i="33"/>
  <c r="K29" i="33"/>
  <c r="N31" i="33"/>
  <c r="M31" i="33"/>
  <c r="L31" i="33"/>
  <c r="M28" i="33"/>
  <c r="L28" i="33"/>
  <c r="N28" i="33"/>
  <c r="L27" i="33"/>
  <c r="N27" i="33"/>
  <c r="M27" i="33"/>
  <c r="N23" i="33"/>
  <c r="M23" i="33"/>
  <c r="L23" i="33"/>
  <c r="K31" i="33"/>
  <c r="N8" i="35" l="1" a="1"/>
  <c r="N8" i="35" s="1"/>
  <c r="G12" i="35" a="1"/>
  <c r="G12" i="35" s="1"/>
  <c r="I11" i="35" a="1"/>
  <c r="I11" i="35" s="1"/>
  <c r="J10" i="35" a="1"/>
  <c r="J10" i="35" s="1"/>
  <c r="F13" i="35" a="1"/>
  <c r="F13" i="35" s="1"/>
  <c r="E14" i="35" a="1"/>
  <c r="E14" i="35" s="1"/>
  <c r="H12" i="35" a="1"/>
  <c r="H12" i="35" s="1"/>
  <c r="L9" i="35" a="1"/>
  <c r="L9" i="35" s="1"/>
  <c r="M9" i="35" s="1" a="1"/>
  <c r="M9" i="35" s="1"/>
  <c r="AG14" i="29"/>
  <c r="W14" i="29" s="1"/>
  <c r="AG13" i="29"/>
  <c r="Y13" i="29" s="1"/>
  <c r="AD14" i="29"/>
  <c r="AD13" i="29"/>
  <c r="G13" i="35" l="1" a="1"/>
  <c r="G13" i="35" s="1"/>
  <c r="H13" i="35" s="1" a="1"/>
  <c r="H13" i="35" s="1"/>
  <c r="J11" i="35" a="1"/>
  <c r="J11" i="35" s="1"/>
  <c r="K10" i="35" a="1"/>
  <c r="K10" i="35" s="1"/>
  <c r="F14" i="35" a="1"/>
  <c r="F14" i="35" s="1"/>
  <c r="G14" i="35" s="1" a="1"/>
  <c r="G14" i="35" s="1"/>
  <c r="E15" i="35" a="1"/>
  <c r="E15" i="35" s="1"/>
  <c r="N9" i="35" a="1"/>
  <c r="N9" i="35" s="1"/>
  <c r="I12" i="35" a="1"/>
  <c r="I12" i="35" s="1"/>
  <c r="O8" i="35" a="1"/>
  <c r="O8" i="35" s="1"/>
  <c r="AB13" i="29"/>
  <c r="O13" i="29" s="1"/>
  <c r="AA13" i="29"/>
  <c r="Q13" i="29" s="1"/>
  <c r="AA14" i="29"/>
  <c r="Q14" i="29" s="1"/>
  <c r="AB14" i="29"/>
  <c r="R14" i="29"/>
  <c r="X14" i="29"/>
  <c r="W13" i="29"/>
  <c r="R13" i="29" s="1"/>
  <c r="Y14" i="29"/>
  <c r="Z13" i="29"/>
  <c r="U13" i="29"/>
  <c r="K11" i="35" l="1" a="1"/>
  <c r="K11" i="35" s="1"/>
  <c r="L10" i="35" a="1"/>
  <c r="L10" i="35" s="1"/>
  <c r="J12" i="35" a="1"/>
  <c r="J12" i="35" s="1"/>
  <c r="O9" i="35" a="1"/>
  <c r="O9" i="35" s="1"/>
  <c r="F15" i="35" a="1"/>
  <c r="F15" i="35" s="1"/>
  <c r="E16" i="35" a="1"/>
  <c r="E16" i="35" s="1"/>
  <c r="P8" i="35" a="1"/>
  <c r="P8" i="35" s="1"/>
  <c r="H14" i="35" a="1"/>
  <c r="H14" i="35" s="1"/>
  <c r="I13" i="35" a="1"/>
  <c r="I13" i="35" s="1"/>
  <c r="O14" i="29"/>
  <c r="P13" i="29"/>
  <c r="M13" i="29"/>
  <c r="M14" i="29"/>
  <c r="X13" i="29"/>
  <c r="Z14" i="29"/>
  <c r="U14" i="29"/>
  <c r="N14" i="29"/>
  <c r="K12" i="35" l="1" a="1"/>
  <c r="K12" i="35" s="1"/>
  <c r="P9" i="35" a="1"/>
  <c r="P9" i="35" s="1"/>
  <c r="J13" i="35" a="1"/>
  <c r="J13" i="35" s="1"/>
  <c r="K13" i="35" s="1" a="1"/>
  <c r="K13" i="35" s="1"/>
  <c r="F16" i="35" a="1"/>
  <c r="F16" i="35" s="1"/>
  <c r="E17" i="35" a="1"/>
  <c r="E17" i="35" s="1"/>
  <c r="M10" i="35" a="1"/>
  <c r="M10" i="35" s="1"/>
  <c r="N10" i="35" s="1" a="1"/>
  <c r="N10" i="35" s="1"/>
  <c r="Q8" i="35" a="1"/>
  <c r="Q8" i="35" s="1"/>
  <c r="I14" i="35" a="1"/>
  <c r="I14" i="35" s="1"/>
  <c r="J14" i="35" s="1" a="1"/>
  <c r="J14" i="35" s="1"/>
  <c r="G15" i="35" a="1"/>
  <c r="G15" i="35" s="1"/>
  <c r="L11" i="35" a="1"/>
  <c r="L11" i="35" s="1"/>
  <c r="P14" i="29"/>
  <c r="AC14" i="29"/>
  <c r="N13" i="29"/>
  <c r="AC13" i="29"/>
  <c r="M11" i="35" l="1" a="1"/>
  <c r="M11" i="35" s="1"/>
  <c r="N11" i="35" s="1" a="1"/>
  <c r="N11" i="35" s="1"/>
  <c r="H15" i="35" a="1"/>
  <c r="H15" i="35" s="1"/>
  <c r="R8" i="35" a="1"/>
  <c r="R8" i="35" s="1"/>
  <c r="Q9" i="35" a="1"/>
  <c r="Q9" i="35" s="1"/>
  <c r="G16" i="35" a="1"/>
  <c r="G16" i="35" s="1"/>
  <c r="L12" i="35" a="1"/>
  <c r="L12" i="35" s="1"/>
  <c r="L13" i="35" s="1" a="1"/>
  <c r="L13" i="35" s="1"/>
  <c r="K14" i="35" a="1"/>
  <c r="K14" i="35" s="1"/>
  <c r="I15" i="35" a="1"/>
  <c r="I15" i="35" s="1"/>
  <c r="O10" i="35" a="1"/>
  <c r="O10" i="35" s="1"/>
  <c r="F17" i="35" a="1"/>
  <c r="F17" i="35" s="1"/>
  <c r="E18" i="35" a="1"/>
  <c r="E18" i="35" s="1"/>
  <c r="AD9" i="29"/>
  <c r="AG9" i="29"/>
  <c r="W9" i="29" s="1"/>
  <c r="AD10" i="29"/>
  <c r="AG10" i="29"/>
  <c r="Y10" i="29" s="1"/>
  <c r="AD11" i="29"/>
  <c r="AG11" i="29"/>
  <c r="Y11" i="29" s="1"/>
  <c r="U11" i="29" s="1"/>
  <c r="AD12" i="29"/>
  <c r="AG12" i="29"/>
  <c r="Y12" i="29" s="1"/>
  <c r="U12" i="29" s="1"/>
  <c r="H16" i="35" l="1" a="1"/>
  <c r="H16" i="35" s="1"/>
  <c r="R9" i="35" a="1"/>
  <c r="R9" i="35" s="1"/>
  <c r="J15" i="35" a="1"/>
  <c r="J15" i="35" s="1"/>
  <c r="K15" i="35" s="1" a="1"/>
  <c r="K15" i="35" s="1"/>
  <c r="I16" i="35" a="1"/>
  <c r="I16" i="35" s="1"/>
  <c r="S8" i="35" a="1"/>
  <c r="S8" i="35" s="1"/>
  <c r="L14" i="35" a="1"/>
  <c r="L14" i="35" s="1"/>
  <c r="P10" i="35" a="1"/>
  <c r="P10" i="35" s="1"/>
  <c r="O11" i="35" a="1"/>
  <c r="O11" i="35" s="1"/>
  <c r="M12" i="35" a="1"/>
  <c r="M12" i="35" s="1"/>
  <c r="M13" i="35" s="1" a="1"/>
  <c r="M13" i="35" s="1"/>
  <c r="F18" i="35" a="1"/>
  <c r="F18" i="35" s="1"/>
  <c r="E19" i="35" a="1"/>
  <c r="E19" i="35" s="1"/>
  <c r="G17" i="35" a="1"/>
  <c r="G17" i="35" s="1"/>
  <c r="AB12" i="29"/>
  <c r="O12" i="29" s="1"/>
  <c r="AA12" i="29"/>
  <c r="Q12" i="29" s="1"/>
  <c r="AB10" i="29"/>
  <c r="O10" i="29" s="1"/>
  <c r="AA10" i="29"/>
  <c r="Q10" i="29" s="1"/>
  <c r="AB11" i="29"/>
  <c r="O11" i="29" s="1"/>
  <c r="AA11" i="29"/>
  <c r="Q11" i="29" s="1"/>
  <c r="AB9" i="29"/>
  <c r="M9" i="29" s="1"/>
  <c r="AA9" i="29"/>
  <c r="Q9" i="29" s="1"/>
  <c r="Z12" i="29"/>
  <c r="X9" i="29"/>
  <c r="R9" i="29"/>
  <c r="Z11" i="29"/>
  <c r="U10" i="29"/>
  <c r="Z10" i="29"/>
  <c r="W12" i="29"/>
  <c r="W11" i="29"/>
  <c r="W10" i="29"/>
  <c r="Y9" i="29"/>
  <c r="J16" i="35" l="1" a="1"/>
  <c r="J16" i="35" s="1"/>
  <c r="S9" i="35" a="1"/>
  <c r="S9" i="35" s="1"/>
  <c r="L15" i="35" a="1"/>
  <c r="L15" i="35" s="1"/>
  <c r="P12" i="29"/>
  <c r="H17" i="35" a="1"/>
  <c r="H17" i="35" s="1"/>
  <c r="I17" i="35" s="1" a="1"/>
  <c r="I17" i="35" s="1"/>
  <c r="J17" i="35" s="1" a="1"/>
  <c r="J17" i="35" s="1"/>
  <c r="M14" i="35" a="1"/>
  <c r="M14" i="35" s="1"/>
  <c r="P11" i="35" a="1"/>
  <c r="P11" i="35" s="1"/>
  <c r="F19" i="35" a="1"/>
  <c r="F19" i="35" s="1"/>
  <c r="E20" i="35" a="1"/>
  <c r="E20" i="35" s="1"/>
  <c r="G18" i="35" a="1"/>
  <c r="G18" i="35" s="1"/>
  <c r="N12" i="35" a="1"/>
  <c r="N12" i="35" s="1"/>
  <c r="N13" i="35" s="1" a="1"/>
  <c r="N13" i="35" s="1"/>
  <c r="Q10" i="35" a="1"/>
  <c r="Q10" i="35" s="1"/>
  <c r="K16" i="35" a="1"/>
  <c r="K16" i="35" s="1"/>
  <c r="T8" i="35" a="1"/>
  <c r="T8" i="35" s="1"/>
  <c r="P11" i="29"/>
  <c r="P10" i="29"/>
  <c r="N9" i="29"/>
  <c r="U9" i="29"/>
  <c r="Z9" i="29"/>
  <c r="P9" i="29" s="1"/>
  <c r="O9" i="29"/>
  <c r="X12" i="29"/>
  <c r="N12" i="29" s="1"/>
  <c r="M12" i="29"/>
  <c r="R12" i="29"/>
  <c r="X10" i="29"/>
  <c r="N10" i="29" s="1"/>
  <c r="M10" i="29"/>
  <c r="R10" i="29"/>
  <c r="X11" i="29"/>
  <c r="N11" i="29" s="1"/>
  <c r="M11" i="29"/>
  <c r="R11" i="29"/>
  <c r="M15" i="35" l="1" a="1"/>
  <c r="M15" i="35" s="1"/>
  <c r="G19" i="35" a="1"/>
  <c r="G19" i="35" s="1"/>
  <c r="N14" i="35" a="1"/>
  <c r="N14" i="35" s="1"/>
  <c r="N15" i="35" s="1" a="1"/>
  <c r="N15" i="35" s="1"/>
  <c r="Q11" i="35" a="1"/>
  <c r="Q11" i="35" s="1"/>
  <c r="U8" i="35" a="1"/>
  <c r="U8" i="35" s="1"/>
  <c r="T9" i="35" a="1"/>
  <c r="T9" i="35" s="1"/>
  <c r="K17" i="35" a="1"/>
  <c r="K17" i="35" s="1"/>
  <c r="R10" i="35" a="1"/>
  <c r="R10" i="35" s="1"/>
  <c r="F20" i="35" a="1"/>
  <c r="F20" i="35" s="1"/>
  <c r="E21" i="35" a="1"/>
  <c r="E21" i="35" s="1"/>
  <c r="L16" i="35" a="1"/>
  <c r="L16" i="35" s="1"/>
  <c r="O12" i="35" a="1"/>
  <c r="O12" i="35" s="1"/>
  <c r="H18" i="35" a="1"/>
  <c r="H18" i="35" s="1"/>
  <c r="I18" i="35" s="1" a="1"/>
  <c r="I18" i="35" s="1"/>
  <c r="AC11" i="29"/>
  <c r="AC10" i="29"/>
  <c r="AC12" i="29"/>
  <c r="AC9" i="29"/>
  <c r="G20" i="35" l="1" a="1"/>
  <c r="G20" i="35" s="1"/>
  <c r="H19" i="35" a="1"/>
  <c r="H19" i="35" s="1"/>
  <c r="I19" i="35" s="1" a="1"/>
  <c r="I19" i="35" s="1"/>
  <c r="U9" i="35" a="1"/>
  <c r="U9" i="35" s="1"/>
  <c r="J18" i="35" a="1"/>
  <c r="J18" i="35" s="1"/>
  <c r="K18" i="35" s="1" a="1"/>
  <c r="K18" i="35" s="1"/>
  <c r="P12" i="35" a="1"/>
  <c r="P12" i="35" s="1"/>
  <c r="L17" i="35" a="1"/>
  <c r="L17" i="35" s="1"/>
  <c r="F21" i="35" a="1"/>
  <c r="F21" i="35" s="1"/>
  <c r="E22" i="35" a="1"/>
  <c r="E22" i="35" s="1"/>
  <c r="M16" i="35" a="1"/>
  <c r="M16" i="35" s="1"/>
  <c r="V8" i="35" a="1"/>
  <c r="V8" i="35" s="1"/>
  <c r="S10" i="35" a="1"/>
  <c r="S10" i="35" s="1"/>
  <c r="O13" i="35" a="1"/>
  <c r="O13" i="35" s="1"/>
  <c r="R11" i="35" a="1"/>
  <c r="R11" i="35" s="1"/>
  <c r="F34" i="33"/>
  <c r="V9" i="35" l="1" a="1"/>
  <c r="V9" i="35" s="1"/>
  <c r="H20" i="35" a="1"/>
  <c r="H20" i="35" s="1"/>
  <c r="I20" i="35" s="1" a="1"/>
  <c r="I20" i="35" s="1"/>
  <c r="S11" i="35" a="1"/>
  <c r="S11" i="35" s="1"/>
  <c r="J19" i="35" a="1"/>
  <c r="J19" i="35" s="1"/>
  <c r="P13" i="35" a="1"/>
  <c r="P13" i="35" s="1"/>
  <c r="M17" i="35" a="1"/>
  <c r="M17" i="35" s="1"/>
  <c r="L18" i="35" a="1"/>
  <c r="L18" i="35" s="1"/>
  <c r="G21" i="35" a="1"/>
  <c r="G21" i="35" s="1"/>
  <c r="F22" i="35" a="1"/>
  <c r="F22" i="35" s="1"/>
  <c r="E23" i="35" a="1"/>
  <c r="E23" i="35" s="1"/>
  <c r="T10" i="35" a="1"/>
  <c r="T10" i="35" s="1"/>
  <c r="K19" i="35" a="1"/>
  <c r="K19" i="35" s="1"/>
  <c r="W8" i="35" a="1"/>
  <c r="W8" i="35" s="1"/>
  <c r="W9" i="35" s="1" a="1"/>
  <c r="W9" i="35" s="1"/>
  <c r="N16" i="35" a="1"/>
  <c r="N16" i="35" s="1"/>
  <c r="Q12" i="35" a="1"/>
  <c r="Q12" i="35" s="1"/>
  <c r="O14" i="35" a="1"/>
  <c r="O14" i="35" s="1"/>
  <c r="K45" i="33"/>
  <c r="L45" i="33"/>
  <c r="M45" i="33"/>
  <c r="M50" i="33" s="1"/>
  <c r="N45" i="33"/>
  <c r="J44" i="33"/>
  <c r="K43" i="33"/>
  <c r="K42" i="33"/>
  <c r="K26" i="33"/>
  <c r="K23" i="33"/>
  <c r="H25" i="33"/>
  <c r="K27" i="33"/>
  <c r="I21" i="33"/>
  <c r="J21" i="33" s="1"/>
  <c r="K15" i="33"/>
  <c r="E15" i="33"/>
  <c r="P14" i="33"/>
  <c r="O14" i="33"/>
  <c r="N14" i="33"/>
  <c r="M14" i="33"/>
  <c r="L13" i="33"/>
  <c r="O13" i="33" s="1"/>
  <c r="L12" i="33"/>
  <c r="P12" i="33" s="1"/>
  <c r="L11" i="33"/>
  <c r="P11" i="33" s="1"/>
  <c r="L10" i="33"/>
  <c r="P10" i="33" s="1"/>
  <c r="L9" i="33"/>
  <c r="O9" i="33" s="1"/>
  <c r="L8" i="33"/>
  <c r="P8" i="33" s="1"/>
  <c r="L7" i="33"/>
  <c r="P7" i="33" s="1"/>
  <c r="L6" i="33"/>
  <c r="P6" i="33" s="1"/>
  <c r="L5" i="33"/>
  <c r="O5" i="33" s="1"/>
  <c r="L4" i="33"/>
  <c r="P4" i="33" s="1"/>
  <c r="L3" i="33"/>
  <c r="P14" i="35" l="1" a="1"/>
  <c r="P14" i="35" s="1"/>
  <c r="Q13" i="35" a="1"/>
  <c r="Q13" i="35" s="1"/>
  <c r="M18" i="35" a="1"/>
  <c r="M18" i="35" s="1"/>
  <c r="G22" i="35" a="1"/>
  <c r="G22" i="35" s="1"/>
  <c r="L19" i="35" a="1"/>
  <c r="L19" i="35" s="1"/>
  <c r="O15" i="35" a="1"/>
  <c r="O15" i="35" s="1"/>
  <c r="O16" i="35" s="1" a="1"/>
  <c r="O16" i="35" s="1"/>
  <c r="J46" i="33"/>
  <c r="U10" i="35" a="1"/>
  <c r="U10" i="35" s="1"/>
  <c r="T11" i="35" a="1"/>
  <c r="T11" i="35" s="1"/>
  <c r="Q14" i="35" a="1"/>
  <c r="Q14" i="35" s="1"/>
  <c r="R12" i="35" a="1"/>
  <c r="R12" i="35" s="1"/>
  <c r="R13" i="35" s="1" a="1"/>
  <c r="R13" i="35" s="1"/>
  <c r="X8" i="35" a="1"/>
  <c r="X8" i="35" s="1"/>
  <c r="F23" i="35" a="1"/>
  <c r="F23" i="35" s="1"/>
  <c r="E24" i="35" a="1"/>
  <c r="E24" i="35" s="1"/>
  <c r="H21" i="35" a="1"/>
  <c r="H21" i="35" s="1"/>
  <c r="I21" i="35" s="1" a="1"/>
  <c r="I21" i="35" s="1"/>
  <c r="N17" i="35" a="1"/>
  <c r="N17" i="35" s="1"/>
  <c r="J20" i="35" a="1"/>
  <c r="J20" i="35" s="1"/>
  <c r="N21" i="33"/>
  <c r="M21" i="33"/>
  <c r="L21" i="33"/>
  <c r="I22" i="33"/>
  <c r="O6" i="33"/>
  <c r="L20" i="33"/>
  <c r="M20" i="33"/>
  <c r="N6" i="33"/>
  <c r="N26" i="33"/>
  <c r="N44" i="33"/>
  <c r="N50" i="33" s="1"/>
  <c r="L44" i="33"/>
  <c r="L50" i="33" s="1"/>
  <c r="K44" i="33"/>
  <c r="N7" i="33"/>
  <c r="K28" i="33"/>
  <c r="M4" i="33"/>
  <c r="M12" i="33"/>
  <c r="L15" i="33"/>
  <c r="M10" i="33"/>
  <c r="M11" i="33"/>
  <c r="M8" i="33"/>
  <c r="N10" i="33"/>
  <c r="N11" i="33"/>
  <c r="K20" i="33"/>
  <c r="K41" i="33"/>
  <c r="K50" i="33" s="1"/>
  <c r="L26" i="33"/>
  <c r="M3" i="33"/>
  <c r="M26" i="33"/>
  <c r="N3" i="33"/>
  <c r="M6" i="33"/>
  <c r="M7" i="33"/>
  <c r="O10" i="33"/>
  <c r="K21" i="33"/>
  <c r="O3" i="33"/>
  <c r="N4" i="33"/>
  <c r="M5" i="33"/>
  <c r="O7" i="33"/>
  <c r="N8" i="33"/>
  <c r="M9" i="33"/>
  <c r="O11" i="33"/>
  <c r="N12" i="33"/>
  <c r="M13" i="33"/>
  <c r="N20" i="33"/>
  <c r="P9" i="33"/>
  <c r="N24" i="33"/>
  <c r="P3" i="33"/>
  <c r="O4" i="33"/>
  <c r="N5" i="33"/>
  <c r="O8" i="33"/>
  <c r="N9" i="33"/>
  <c r="O12" i="33"/>
  <c r="N13" i="33"/>
  <c r="P5" i="33"/>
  <c r="P13" i="33"/>
  <c r="O17" i="35" l="1" a="1"/>
  <c r="O17" i="35" s="1"/>
  <c r="M19" i="35" a="1"/>
  <c r="M19" i="35" s="1"/>
  <c r="P15" i="35" a="1"/>
  <c r="P15" i="35" s="1"/>
  <c r="G23" i="35" a="1"/>
  <c r="G23" i="35" s="1"/>
  <c r="H23" i="35" s="1" a="1"/>
  <c r="H23" i="35" s="1"/>
  <c r="H22" i="35" a="1"/>
  <c r="H22" i="35" s="1"/>
  <c r="U11" i="35" a="1"/>
  <c r="U11" i="35" s="1"/>
  <c r="R14" i="35" a="1"/>
  <c r="R14" i="35" s="1"/>
  <c r="I25" i="33"/>
  <c r="I34" i="33"/>
  <c r="F24" i="35" a="1"/>
  <c r="F24" i="35" s="1"/>
  <c r="E25" i="35" a="1"/>
  <c r="E25" i="35" s="1"/>
  <c r="K20" i="35" a="1"/>
  <c r="K20" i="35" s="1"/>
  <c r="Y8" i="35" a="1"/>
  <c r="Y8" i="35" s="1"/>
  <c r="S12" i="35" a="1"/>
  <c r="S12" i="35" s="1"/>
  <c r="S13" i="35" s="1" a="1"/>
  <c r="S13" i="35" s="1"/>
  <c r="X9" i="35" a="1"/>
  <c r="X9" i="35" s="1"/>
  <c r="V10" i="35" a="1"/>
  <c r="V10" i="35" s="1"/>
  <c r="J21" i="35" a="1"/>
  <c r="J21" i="35" s="1"/>
  <c r="N18" i="35" a="1"/>
  <c r="N18" i="35" s="1"/>
  <c r="I22" i="35" a="1"/>
  <c r="I22" i="35" s="1"/>
  <c r="J22" i="33"/>
  <c r="M15" i="33"/>
  <c r="N15" i="33"/>
  <c r="P15" i="33"/>
  <c r="O15" i="33"/>
  <c r="G24" i="35" l="1" a="1"/>
  <c r="G24" i="35" s="1"/>
  <c r="Q15" i="35" a="1"/>
  <c r="Q15" i="35" s="1"/>
  <c r="P16" i="35" a="1"/>
  <c r="P16" i="35" s="1"/>
  <c r="P17" i="35" s="1" a="1"/>
  <c r="P17" i="35" s="1"/>
  <c r="V11" i="35" a="1"/>
  <c r="V11" i="35" s="1"/>
  <c r="S14" i="35" a="1"/>
  <c r="S14" i="35" s="1"/>
  <c r="K21" i="35" a="1"/>
  <c r="K21" i="35" s="1"/>
  <c r="I23" i="35" a="1"/>
  <c r="I23" i="35" s="1"/>
  <c r="Y9" i="35" a="1"/>
  <c r="Y9" i="35" s="1"/>
  <c r="J34" i="33"/>
  <c r="J25" i="33"/>
  <c r="H24" i="35" a="1"/>
  <c r="H24" i="35" s="1"/>
  <c r="I24" i="35" s="1" a="1"/>
  <c r="I24" i="35" s="1"/>
  <c r="Z8" i="35" a="1"/>
  <c r="Z8" i="35" s="1"/>
  <c r="Z9" i="35" s="1" a="1"/>
  <c r="Z9" i="35" s="1"/>
  <c r="J22" i="35" a="1"/>
  <c r="J22" i="35" s="1"/>
  <c r="O18" i="35" a="1"/>
  <c r="O18" i="35" s="1"/>
  <c r="N19" i="35" a="1"/>
  <c r="N19" i="35" s="1"/>
  <c r="W10" i="35" a="1"/>
  <c r="W10" i="35" s="1"/>
  <c r="W11" i="35" s="1" a="1"/>
  <c r="W11" i="35" s="1"/>
  <c r="F25" i="35" a="1"/>
  <c r="F25" i="35" s="1"/>
  <c r="G25" i="35" s="1" a="1"/>
  <c r="G25" i="35" s="1"/>
  <c r="E26" i="35" a="1"/>
  <c r="E26" i="35" s="1"/>
  <c r="R15" i="35" a="1"/>
  <c r="R15" i="35" s="1"/>
  <c r="T12" i="35" a="1"/>
  <c r="T12" i="35" s="1"/>
  <c r="L20" i="35" a="1"/>
  <c r="L20" i="35" s="1"/>
  <c r="N22" i="33"/>
  <c r="N34" i="33" s="1"/>
  <c r="M22" i="33"/>
  <c r="M34" i="33" s="1"/>
  <c r="L22" i="33"/>
  <c r="L34" i="33" s="1"/>
  <c r="K22" i="33"/>
  <c r="K34" i="33" s="1"/>
  <c r="Q16" i="35" l="1" a="1"/>
  <c r="Q16" i="35" s="1"/>
  <c r="Q17" i="35" s="1" a="1"/>
  <c r="Q17" i="35" s="1"/>
  <c r="J23" i="35" a="1"/>
  <c r="J23" i="35" s="1"/>
  <c r="J24" i="35" s="1" a="1"/>
  <c r="J24" i="35" s="1"/>
  <c r="M20" i="35" a="1"/>
  <c r="M20" i="35" s="1"/>
  <c r="L21" i="35" a="1"/>
  <c r="L21" i="35" s="1"/>
  <c r="H25" i="35" a="1"/>
  <c r="H25" i="35" s="1"/>
  <c r="I25" i="35" s="1" a="1"/>
  <c r="I25" i="35" s="1"/>
  <c r="AA8" i="35" a="1"/>
  <c r="AA8" i="35" s="1"/>
  <c r="AA9" i="35" s="1" a="1"/>
  <c r="AA9" i="35" s="1"/>
  <c r="U12" i="35" a="1"/>
  <c r="U12" i="35" s="1"/>
  <c r="P18" i="35" a="1"/>
  <c r="P18" i="35" s="1"/>
  <c r="S15" i="35" a="1"/>
  <c r="S15" i="35" s="1"/>
  <c r="T13" i="35" a="1"/>
  <c r="T13" i="35" s="1"/>
  <c r="O19" i="35" a="1"/>
  <c r="O19" i="35" s="1"/>
  <c r="F26" i="35" a="1"/>
  <c r="F26" i="35" s="1"/>
  <c r="G26" i="35" s="1" a="1"/>
  <c r="G26" i="35" s="1"/>
  <c r="E27" i="35" a="1"/>
  <c r="E27" i="35" s="1"/>
  <c r="X10" i="35" a="1"/>
  <c r="X10" i="35" s="1"/>
  <c r="X11" i="35" s="1" a="1"/>
  <c r="X11" i="35" s="1"/>
  <c r="K22" i="35" a="1"/>
  <c r="K22" i="35" s="1"/>
  <c r="R16" i="35" l="1" a="1"/>
  <c r="R16" i="35" s="1"/>
  <c r="R17" i="35" s="1" a="1"/>
  <c r="R17" i="35" s="1"/>
  <c r="P19" i="35" a="1"/>
  <c r="P19" i="35" s="1"/>
  <c r="F27" i="35" a="1"/>
  <c r="F27" i="35" s="1"/>
  <c r="E28" i="35" a="1"/>
  <c r="E28" i="35" s="1"/>
  <c r="V12" i="35" a="1"/>
  <c r="V12" i="35" s="1"/>
  <c r="U13" i="35" a="1"/>
  <c r="U13" i="35" s="1"/>
  <c r="M21" i="35" a="1"/>
  <c r="M21" i="35" s="1"/>
  <c r="N20" i="35" a="1"/>
  <c r="N20" i="35" s="1"/>
  <c r="AB8" i="35" a="1"/>
  <c r="AB8" i="35" s="1"/>
  <c r="AB9" i="35" s="1" a="1"/>
  <c r="AB9" i="35" s="1"/>
  <c r="AE9" i="35" s="1"/>
  <c r="AF9" i="35" s="1"/>
  <c r="L22" i="35" a="1"/>
  <c r="L22" i="35" s="1"/>
  <c r="K23" i="35" a="1"/>
  <c r="K23" i="35" s="1"/>
  <c r="T14" i="35" a="1"/>
  <c r="T14" i="35" s="1"/>
  <c r="Y10" i="35" a="1"/>
  <c r="Y10" i="35" s="1"/>
  <c r="Y11" i="35" s="1" a="1"/>
  <c r="Y11" i="35" s="1"/>
  <c r="H26" i="35" a="1"/>
  <c r="H26" i="35" s="1"/>
  <c r="I26" i="35" s="1" a="1"/>
  <c r="I26" i="35" s="1"/>
  <c r="Q18" i="35" a="1"/>
  <c r="Q18" i="35" s="1"/>
  <c r="J25" i="35" a="1"/>
  <c r="J25" i="35" s="1"/>
  <c r="Q19" i="35" l="1" a="1"/>
  <c r="Q19" i="35" s="1"/>
  <c r="S16" i="35" a="1"/>
  <c r="S16" i="35" s="1"/>
  <c r="S17" i="35" s="1" a="1"/>
  <c r="S17" i="35" s="1"/>
  <c r="V13" i="35" a="1"/>
  <c r="V13" i="35" s="1"/>
  <c r="U14" i="35" a="1"/>
  <c r="U14" i="35" s="1"/>
  <c r="T15" i="35" a="1"/>
  <c r="T15" i="35" s="1"/>
  <c r="J26" i="35" a="1"/>
  <c r="J26" i="35" s="1"/>
  <c r="G27" i="35" a="1"/>
  <c r="G27" i="35" s="1"/>
  <c r="R18" i="35" a="1"/>
  <c r="R18" i="35" s="1"/>
  <c r="O20" i="35" a="1"/>
  <c r="O20" i="35" s="1"/>
  <c r="N21" i="35" a="1"/>
  <c r="N21" i="35" s="1"/>
  <c r="Z10" i="35" a="1"/>
  <c r="Z10" i="35" s="1"/>
  <c r="L23" i="35" a="1"/>
  <c r="L23" i="35" s="1"/>
  <c r="AE8" i="35"/>
  <c r="AF8" i="35" s="1"/>
  <c r="K24" i="35" a="1"/>
  <c r="K24" i="35" s="1"/>
  <c r="M22" i="35" a="1"/>
  <c r="M22" i="35" s="1"/>
  <c r="W12" i="35" a="1"/>
  <c r="W12" i="35" s="1"/>
  <c r="F28" i="35" a="1"/>
  <c r="F28" i="35" s="1"/>
  <c r="E29" i="35" a="1"/>
  <c r="E29" i="35" s="1"/>
  <c r="G28" i="35" l="1" a="1"/>
  <c r="G28" i="35" s="1"/>
  <c r="T16" i="35" a="1"/>
  <c r="T16" i="35" s="1"/>
  <c r="W13" i="35" a="1"/>
  <c r="W13" i="35" s="1"/>
  <c r="V14" i="35" a="1"/>
  <c r="V14" i="35" s="1"/>
  <c r="W14" i="35" s="1" a="1"/>
  <c r="W14" i="35" s="1"/>
  <c r="H27" i="35" a="1"/>
  <c r="H27" i="35" s="1"/>
  <c r="I27" i="35" s="1" a="1"/>
  <c r="I27" i="35" s="1"/>
  <c r="J27" i="35" s="1" a="1"/>
  <c r="J27" i="35" s="1"/>
  <c r="U15" i="35" a="1"/>
  <c r="U15" i="35" s="1"/>
  <c r="O21" i="35" a="1"/>
  <c r="O21" i="35" s="1"/>
  <c r="T17" i="35" a="1"/>
  <c r="T17" i="35" s="1"/>
  <c r="H28" i="35" a="1"/>
  <c r="H28" i="35" s="1"/>
  <c r="X12" i="35" a="1"/>
  <c r="X12" i="35" s="1"/>
  <c r="L24" i="35" a="1"/>
  <c r="L24" i="35" s="1"/>
  <c r="K25" i="35" a="1"/>
  <c r="K25" i="35" s="1"/>
  <c r="K26" i="35" s="1" a="1"/>
  <c r="K26" i="35" s="1"/>
  <c r="F29" i="35" a="1"/>
  <c r="F29" i="35" s="1"/>
  <c r="E30" i="35" a="1"/>
  <c r="E30" i="35" s="1"/>
  <c r="N22" i="35" a="1"/>
  <c r="N22" i="35" s="1"/>
  <c r="O22" i="35" s="1" a="1"/>
  <c r="O22" i="35" s="1"/>
  <c r="S18" i="35" a="1"/>
  <c r="S18" i="35" s="1"/>
  <c r="R19" i="35" a="1"/>
  <c r="R19" i="35" s="1"/>
  <c r="M23" i="35" a="1"/>
  <c r="M23" i="35" s="1"/>
  <c r="AA10" i="35" a="1"/>
  <c r="AA10" i="35" s="1"/>
  <c r="P20" i="35" a="1"/>
  <c r="P20" i="35" s="1"/>
  <c r="Z11" i="35" a="1"/>
  <c r="Z11" i="35" s="1"/>
  <c r="AG8" i="29"/>
  <c r="W8" i="29" s="1"/>
  <c r="AD8" i="29"/>
  <c r="AG7" i="29"/>
  <c r="W7" i="29" s="1"/>
  <c r="X7" i="29" s="1"/>
  <c r="AD7" i="29"/>
  <c r="AG6" i="29"/>
  <c r="Y6" i="29" s="1"/>
  <c r="Z6" i="29" s="1"/>
  <c r="AD6" i="29"/>
  <c r="AB6" i="29" s="1"/>
  <c r="AG5" i="29"/>
  <c r="Y5" i="29" s="1"/>
  <c r="AD5" i="29"/>
  <c r="X13" i="35" l="1" a="1"/>
  <c r="X13" i="35" s="1"/>
  <c r="V15" i="35" a="1"/>
  <c r="V15" i="35" s="1"/>
  <c r="W15" i="35" s="1" a="1"/>
  <c r="W15" i="35" s="1"/>
  <c r="S19" i="35" a="1"/>
  <c r="S19" i="35" s="1"/>
  <c r="P21" i="35" a="1"/>
  <c r="P21" i="35" s="1"/>
  <c r="P22" i="35" s="1" a="1"/>
  <c r="P22" i="35" s="1"/>
  <c r="I28" i="35" a="1"/>
  <c r="I28" i="35" s="1"/>
  <c r="M24" i="35" a="1"/>
  <c r="M24" i="35" s="1"/>
  <c r="AA11" i="35" a="1"/>
  <c r="AA11" i="35" s="1"/>
  <c r="U16" i="35" a="1"/>
  <c r="U16" i="35" s="1"/>
  <c r="V16" i="35" s="1" a="1"/>
  <c r="V16" i="35" s="1"/>
  <c r="J28" i="35" a="1"/>
  <c r="J28" i="35" s="1"/>
  <c r="L25" i="35" a="1"/>
  <c r="L25" i="35" s="1"/>
  <c r="X14" i="35" a="1"/>
  <c r="X14" i="35" s="1"/>
  <c r="T18" i="35" a="1"/>
  <c r="T18" i="35" s="1"/>
  <c r="G29" i="35" a="1"/>
  <c r="G29" i="35" s="1"/>
  <c r="AB10" i="35" a="1"/>
  <c r="AB10" i="35" s="1"/>
  <c r="F30" i="35" a="1"/>
  <c r="F30" i="35" s="1"/>
  <c r="E31" i="35" a="1"/>
  <c r="E31" i="35" s="1"/>
  <c r="Q20" i="35" a="1"/>
  <c r="Q20" i="35" s="1"/>
  <c r="N23" i="35" a="1"/>
  <c r="N23" i="35" s="1"/>
  <c r="O23" i="35" s="1" a="1"/>
  <c r="O23" i="35" s="1"/>
  <c r="Y12" i="35" a="1"/>
  <c r="Y12" i="35" s="1"/>
  <c r="Y13" i="35" s="1" a="1"/>
  <c r="Y13" i="35" s="1"/>
  <c r="K27" i="35" a="1"/>
  <c r="K27" i="35" s="1"/>
  <c r="Y8" i="29"/>
  <c r="Z8" i="29" s="1"/>
  <c r="Y7" i="29"/>
  <c r="U7" i="29" s="1"/>
  <c r="W6" i="29"/>
  <c r="X6" i="29" s="1"/>
  <c r="N6" i="29" s="1"/>
  <c r="W5" i="29"/>
  <c r="U6" i="29"/>
  <c r="R8" i="29"/>
  <c r="X8" i="29"/>
  <c r="AB7" i="29"/>
  <c r="M7" i="29" s="1"/>
  <c r="AA7" i="29"/>
  <c r="Q7" i="29" s="1"/>
  <c r="Z5" i="29"/>
  <c r="U5" i="29"/>
  <c r="P6" i="29"/>
  <c r="AA8" i="29"/>
  <c r="Q8" i="29" s="1"/>
  <c r="AB8" i="29"/>
  <c r="O6" i="29"/>
  <c r="AB5" i="29"/>
  <c r="O5" i="29" s="1"/>
  <c r="AA5" i="29"/>
  <c r="Q5" i="29" s="1"/>
  <c r="AA6" i="29"/>
  <c r="Q6" i="29" s="1"/>
  <c r="R7" i="29"/>
  <c r="X15" i="35" l="1" a="1"/>
  <c r="X15" i="35" s="1"/>
  <c r="P23" i="35" a="1"/>
  <c r="P23" i="35" s="1"/>
  <c r="R5" i="29"/>
  <c r="S5" i="29" s="1"/>
  <c r="T5" i="29"/>
  <c r="T6" i="29" s="1"/>
  <c r="T7" i="29" s="1"/>
  <c r="T8" i="29" s="1"/>
  <c r="T9" i="29" s="1"/>
  <c r="T10" i="29" s="1"/>
  <c r="T11" i="29" s="1"/>
  <c r="T12" i="29" s="1"/>
  <c r="T13" i="29" s="1"/>
  <c r="T14" i="29" s="1"/>
  <c r="T15" i="29" s="1"/>
  <c r="G30" i="35" a="1"/>
  <c r="G30" i="35" s="1"/>
  <c r="M25" i="35" a="1"/>
  <c r="M25" i="35" s="1"/>
  <c r="U8" i="29"/>
  <c r="AB11" i="35" a="1"/>
  <c r="AB11" i="35" s="1"/>
  <c r="AE11" i="35" s="1"/>
  <c r="AF11" i="35" s="1"/>
  <c r="L26" i="35" a="1"/>
  <c r="L26" i="35" s="1"/>
  <c r="L27" i="35" s="1" a="1"/>
  <c r="L27" i="35" s="1"/>
  <c r="U17" i="35" a="1"/>
  <c r="U17" i="35" s="1"/>
  <c r="V17" i="35" s="1" a="1"/>
  <c r="V17" i="35" s="1"/>
  <c r="K28" i="35" a="1"/>
  <c r="K28" i="35" s="1"/>
  <c r="H29" i="35" a="1"/>
  <c r="H29" i="35" s="1"/>
  <c r="I29" i="35" s="1" a="1"/>
  <c r="I29" i="35" s="1"/>
  <c r="Y14" i="35" a="1"/>
  <c r="Y14" i="35" s="1"/>
  <c r="Z12" i="35" a="1"/>
  <c r="Z12" i="35" s="1"/>
  <c r="Z13" i="35" s="1" a="1"/>
  <c r="Z13" i="35" s="1"/>
  <c r="W16" i="35" a="1"/>
  <c r="W16" i="35" s="1"/>
  <c r="X16" i="35" s="1" a="1"/>
  <c r="X16" i="35" s="1"/>
  <c r="R20" i="35" a="1"/>
  <c r="R20" i="35" s="1"/>
  <c r="T19" i="35" a="1"/>
  <c r="T19" i="35" s="1"/>
  <c r="Q21" i="35" a="1"/>
  <c r="Q21" i="35" s="1"/>
  <c r="F31" i="35" a="1"/>
  <c r="F31" i="35" s="1"/>
  <c r="E32" i="35" a="1"/>
  <c r="E32" i="35" s="1"/>
  <c r="AE10" i="35"/>
  <c r="AF10" i="35" s="1"/>
  <c r="N24" i="35" a="1"/>
  <c r="N24" i="35" s="1"/>
  <c r="Z7" i="29"/>
  <c r="AC7" i="29" s="1"/>
  <c r="V5" i="29"/>
  <c r="V6" i="29" s="1"/>
  <c r="V7" i="29" s="1"/>
  <c r="M6" i="29"/>
  <c r="X5" i="29"/>
  <c r="AC5" i="29" s="1"/>
  <c r="R6" i="29"/>
  <c r="O7" i="29"/>
  <c r="AC6" i="29"/>
  <c r="N7" i="29"/>
  <c r="M5" i="29"/>
  <c r="P5" i="29"/>
  <c r="O8" i="29"/>
  <c r="M8" i="29"/>
  <c r="P8" i="29"/>
  <c r="AC8" i="29"/>
  <c r="N8" i="29"/>
  <c r="G31" i="35" l="1" a="1"/>
  <c r="G31" i="35" s="1"/>
  <c r="M26" i="35" a="1"/>
  <c r="M26" i="35" s="1"/>
  <c r="M27" i="35" s="1" a="1"/>
  <c r="M27" i="35" s="1"/>
  <c r="V8" i="29"/>
  <c r="V9" i="29" s="1"/>
  <c r="V10" i="29" s="1"/>
  <c r="V11" i="29" s="1"/>
  <c r="V12" i="29" s="1"/>
  <c r="V13" i="29" s="1"/>
  <c r="V14" i="29" s="1"/>
  <c r="V15" i="29" s="1"/>
  <c r="R21" i="35" a="1"/>
  <c r="R21" i="35" s="1"/>
  <c r="U18" i="35" a="1"/>
  <c r="U18" i="35" s="1"/>
  <c r="W17" i="35" a="1"/>
  <c r="W17" i="35" s="1"/>
  <c r="X17" i="35" s="1" a="1"/>
  <c r="X17" i="35" s="1"/>
  <c r="H30" i="35" a="1"/>
  <c r="H30" i="35" s="1"/>
  <c r="H31" i="35" s="1" a="1"/>
  <c r="H31" i="35" s="1"/>
  <c r="J29" i="35" a="1"/>
  <c r="J29" i="35" s="1"/>
  <c r="K29" i="35" s="1" a="1"/>
  <c r="K29" i="35" s="1"/>
  <c r="Y15" i="35" a="1"/>
  <c r="Y15" i="35" s="1"/>
  <c r="V18" i="35" a="1"/>
  <c r="V18" i="35" s="1"/>
  <c r="Q22" i="35" a="1"/>
  <c r="Q22" i="35" s="1"/>
  <c r="F32" i="35" a="1"/>
  <c r="F32" i="35" s="1"/>
  <c r="E33" i="35" a="1"/>
  <c r="E33" i="35" s="1"/>
  <c r="O24" i="35" a="1"/>
  <c r="O24" i="35" s="1"/>
  <c r="N25" i="35" a="1"/>
  <c r="N25" i="35" s="1"/>
  <c r="S20" i="35" a="1"/>
  <c r="S20" i="35" s="1"/>
  <c r="S21" i="35" s="1" a="1"/>
  <c r="S21" i="35" s="1"/>
  <c r="U19" i="35" a="1"/>
  <c r="U19" i="35" s="1"/>
  <c r="L28" i="35" a="1"/>
  <c r="L28" i="35" s="1"/>
  <c r="AA12" i="35" a="1"/>
  <c r="AA12" i="35" s="1"/>
  <c r="AA13" i="35" s="1" a="1"/>
  <c r="AA13" i="35" s="1"/>
  <c r="Z14" i="35" a="1"/>
  <c r="Z14" i="35" s="1"/>
  <c r="P7" i="29"/>
  <c r="N5" i="29"/>
  <c r="S6" i="29"/>
  <c r="S7" i="29" s="1"/>
  <c r="S8" i="29" s="1"/>
  <c r="S9" i="29" s="1"/>
  <c r="S10" i="29" s="1"/>
  <c r="S11" i="29" s="1"/>
  <c r="S12" i="29" s="1"/>
  <c r="S13" i="29" s="1"/>
  <c r="S14" i="29" s="1"/>
  <c r="S15" i="29" s="1"/>
  <c r="R22" i="35" l="1" a="1"/>
  <c r="R22" i="35" s="1"/>
  <c r="S22" i="35" s="1" a="1"/>
  <c r="S22" i="35" s="1"/>
  <c r="M28" i="35" a="1"/>
  <c r="M28" i="35" s="1"/>
  <c r="V19" i="35" a="1"/>
  <c r="V19" i="35" s="1"/>
  <c r="AA14" i="35" a="1"/>
  <c r="AA14" i="35" s="1"/>
  <c r="Y16" i="35" a="1"/>
  <c r="Y16" i="35" s="1"/>
  <c r="O25" i="35" a="1"/>
  <c r="O25" i="35" s="1"/>
  <c r="G32" i="35" a="1"/>
  <c r="G32" i="35" s="1"/>
  <c r="H32" i="35" s="1" a="1"/>
  <c r="H32" i="35" s="1"/>
  <c r="I30" i="35" a="1"/>
  <c r="I30" i="35" s="1"/>
  <c r="Z15" i="35" a="1"/>
  <c r="Z15" i="35" s="1"/>
  <c r="P24" i="35" a="1"/>
  <c r="P24" i="35" s="1"/>
  <c r="L29" i="35" a="1"/>
  <c r="L29" i="35" s="1"/>
  <c r="M29" i="35" s="1" a="1"/>
  <c r="M29" i="35" s="1"/>
  <c r="N26" i="35" a="1"/>
  <c r="N26" i="35" s="1"/>
  <c r="F33" i="35" a="1"/>
  <c r="F33" i="35" s="1"/>
  <c r="E34" i="35" a="1"/>
  <c r="E34" i="35" s="1"/>
  <c r="AB12" i="35" a="1"/>
  <c r="AB12" i="35" s="1"/>
  <c r="T20" i="35" a="1"/>
  <c r="T20" i="35" s="1"/>
  <c r="T21" i="35" s="1" a="1"/>
  <c r="T21" i="35" s="1"/>
  <c r="W18" i="35" a="1"/>
  <c r="W18" i="35" s="1"/>
  <c r="Q23" i="35" a="1"/>
  <c r="Q23" i="35" s="1"/>
  <c r="AA15" i="35" l="1" a="1"/>
  <c r="AA15" i="35" s="1"/>
  <c r="Z16" i="35" a="1"/>
  <c r="Z16" i="35" s="1"/>
  <c r="AA16" i="35" s="1" a="1"/>
  <c r="AA16" i="35" s="1"/>
  <c r="X18" i="35" a="1"/>
  <c r="X18" i="35" s="1"/>
  <c r="J30" i="35" a="1"/>
  <c r="J30" i="35" s="1"/>
  <c r="K30" i="35" s="1" a="1"/>
  <c r="K30" i="35" s="1"/>
  <c r="P25" i="35" a="1"/>
  <c r="P25" i="35" s="1"/>
  <c r="R23" i="35" a="1"/>
  <c r="R23" i="35" s="1"/>
  <c r="U20" i="35" a="1"/>
  <c r="U20" i="35" s="1"/>
  <c r="AE12" i="35"/>
  <c r="AF12" i="35" s="1"/>
  <c r="F34" i="35" a="1"/>
  <c r="F34" i="35" s="1"/>
  <c r="E35" i="35" a="1"/>
  <c r="E35" i="35" s="1"/>
  <c r="AB13" i="35" a="1"/>
  <c r="AB13" i="35" s="1"/>
  <c r="AE13" i="35" s="1"/>
  <c r="AF13" i="35" s="1"/>
  <c r="Q24" i="35" a="1"/>
  <c r="Q24" i="35" s="1"/>
  <c r="R24" i="35" s="1" a="1"/>
  <c r="R24" i="35" s="1"/>
  <c r="T22" i="35" a="1"/>
  <c r="T22" i="35" s="1"/>
  <c r="I31" i="35" a="1"/>
  <c r="I31" i="35" s="1"/>
  <c r="I32" i="35" s="1" a="1"/>
  <c r="I32" i="35" s="1"/>
  <c r="W19" i="35" a="1"/>
  <c r="W19" i="35" s="1"/>
  <c r="X19" i="35" s="1" a="1"/>
  <c r="X19" i="35" s="1"/>
  <c r="G33" i="35" a="1"/>
  <c r="G33" i="35" s="1"/>
  <c r="O26" i="35" a="1"/>
  <c r="O26" i="35" s="1"/>
  <c r="N27" i="35" a="1"/>
  <c r="N27" i="35" s="1"/>
  <c r="N28" i="35" s="1" a="1"/>
  <c r="N28" i="35" s="1"/>
  <c r="Y17" i="35" a="1"/>
  <c r="Y17" i="35" s="1"/>
  <c r="Z17" i="35" s="1" a="1"/>
  <c r="Z17" i="35" s="1"/>
  <c r="AA17" i="35" s="1" a="1"/>
  <c r="AA17" i="35" s="1"/>
  <c r="Q25" i="35" l="1" a="1"/>
  <c r="Q25" i="35" s="1"/>
  <c r="R25" i="35" s="1" a="1"/>
  <c r="R25" i="35" s="1"/>
  <c r="P26" i="35" a="1"/>
  <c r="P26" i="35" s="1"/>
  <c r="Q26" i="35" s="1" a="1"/>
  <c r="Q26" i="35" s="1"/>
  <c r="F35" i="35" a="1"/>
  <c r="F35" i="35" s="1"/>
  <c r="E36" i="35" a="1"/>
  <c r="E36" i="35" s="1"/>
  <c r="O27" i="35" a="1"/>
  <c r="O27" i="35" s="1"/>
  <c r="G34" i="35" a="1"/>
  <c r="G34" i="35" s="1"/>
  <c r="S23" i="35" a="1"/>
  <c r="S23" i="35" s="1"/>
  <c r="S24" i="35" s="1" a="1"/>
  <c r="S24" i="35" s="1"/>
  <c r="N29" i="35" a="1"/>
  <c r="N29" i="35" s="1"/>
  <c r="H33" i="35" a="1"/>
  <c r="H33" i="35" s="1"/>
  <c r="AB14" i="35" a="1"/>
  <c r="AB14" i="35" s="1"/>
  <c r="AE14" i="35" s="1"/>
  <c r="AF14" i="35" s="1"/>
  <c r="J31" i="35" a="1"/>
  <c r="J31" i="35" s="1"/>
  <c r="J32" i="35" s="1" a="1"/>
  <c r="J32" i="35" s="1"/>
  <c r="V20" i="35" a="1"/>
  <c r="V20" i="35" s="1"/>
  <c r="L30" i="35" a="1"/>
  <c r="L30" i="35" s="1"/>
  <c r="Y18" i="35" a="1"/>
  <c r="Y18" i="35" s="1"/>
  <c r="Z18" i="35" s="1" a="1"/>
  <c r="Z18" i="35" s="1"/>
  <c r="AA18" i="35" s="1" a="1"/>
  <c r="AA18" i="35" s="1"/>
  <c r="U21" i="35" a="1"/>
  <c r="U21" i="35" s="1"/>
  <c r="P27" i="35" l="1" a="1"/>
  <c r="P27" i="35" s="1"/>
  <c r="Q27" i="35" s="1" a="1"/>
  <c r="Q27" i="35" s="1"/>
  <c r="S25" i="35" a="1"/>
  <c r="S25" i="35" s="1"/>
  <c r="G35" i="35" a="1"/>
  <c r="G35" i="35" s="1"/>
  <c r="R26" i="35" a="1"/>
  <c r="R26" i="35" s="1"/>
  <c r="S26" i="35" s="1" a="1"/>
  <c r="S26" i="35" s="1"/>
  <c r="Y19" i="35" a="1"/>
  <c r="Y19" i="35" s="1"/>
  <c r="Z19" i="35" s="1" a="1"/>
  <c r="Z19" i="35" s="1"/>
  <c r="AA19" i="35" s="1" a="1"/>
  <c r="AA19" i="35" s="1"/>
  <c r="V21" i="35" a="1"/>
  <c r="V21" i="35" s="1"/>
  <c r="K31" i="35" a="1"/>
  <c r="K31" i="35" s="1"/>
  <c r="L31" i="35" s="1" a="1"/>
  <c r="L31" i="35" s="1"/>
  <c r="T23" i="35" a="1"/>
  <c r="T23" i="35" s="1"/>
  <c r="T24" i="35" s="1" a="1"/>
  <c r="T24" i="35" s="1"/>
  <c r="T25" i="35" s="1" a="1"/>
  <c r="T25" i="35" s="1"/>
  <c r="F36" i="35" a="1"/>
  <c r="F36" i="35" s="1"/>
  <c r="E37" i="35" a="1"/>
  <c r="E37" i="35" s="1"/>
  <c r="I33" i="35" a="1"/>
  <c r="I33" i="35" s="1"/>
  <c r="J33" i="35" s="1" a="1"/>
  <c r="J33" i="35" s="1"/>
  <c r="O28" i="35" a="1"/>
  <c r="O28" i="35" s="1"/>
  <c r="O29" i="35" s="1" a="1"/>
  <c r="O29" i="35" s="1"/>
  <c r="H34" i="35" a="1"/>
  <c r="H34" i="35" s="1"/>
  <c r="AB15" i="35" a="1"/>
  <c r="AB15" i="35" s="1"/>
  <c r="W20" i="35" a="1"/>
  <c r="W20" i="35" s="1"/>
  <c r="U22" i="35" a="1"/>
  <c r="U22" i="35" s="1"/>
  <c r="V22" i="35" s="1" a="1"/>
  <c r="V22" i="35" s="1"/>
  <c r="M30" i="35" a="1"/>
  <c r="M30" i="35" s="1"/>
  <c r="R27" i="35" l="1" a="1"/>
  <c r="R27" i="35" s="1"/>
  <c r="S27" i="35" s="1" a="1"/>
  <c r="S27" i="35" s="1"/>
  <c r="K32" i="35" a="1"/>
  <c r="K32" i="35" s="1"/>
  <c r="K33" i="35" s="1" a="1"/>
  <c r="K33" i="35" s="1"/>
  <c r="P28" i="35" a="1"/>
  <c r="P28" i="35" s="1"/>
  <c r="H35" i="35" a="1"/>
  <c r="H35" i="35" s="1"/>
  <c r="M31" i="35" a="1"/>
  <c r="M31" i="35" s="1"/>
  <c r="U23" i="35" a="1"/>
  <c r="U23" i="35" s="1"/>
  <c r="V23" i="35" s="1" a="1"/>
  <c r="V23" i="35" s="1"/>
  <c r="G36" i="35" a="1"/>
  <c r="G36" i="35" s="1"/>
  <c r="P29" i="35" a="1"/>
  <c r="P29" i="35" s="1"/>
  <c r="X20" i="35" a="1"/>
  <c r="X20" i="35" s="1"/>
  <c r="F37" i="35" a="1"/>
  <c r="F37" i="35" s="1"/>
  <c r="G37" i="35" s="1" a="1"/>
  <c r="G37" i="35" s="1"/>
  <c r="E38" i="35" a="1"/>
  <c r="E38" i="35" s="1"/>
  <c r="N30" i="35" a="1"/>
  <c r="N30" i="35" s="1"/>
  <c r="U24" i="35" a="1"/>
  <c r="U24" i="35" s="1"/>
  <c r="V24" i="35" s="1" a="1"/>
  <c r="V24" i="35" s="1"/>
  <c r="T26" i="35" a="1"/>
  <c r="T26" i="35" s="1"/>
  <c r="AE15" i="35"/>
  <c r="AF15" i="35" s="1"/>
  <c r="AB16" i="35" a="1"/>
  <c r="AB16" i="35" s="1"/>
  <c r="I34" i="35" a="1"/>
  <c r="I34" i="35" s="1"/>
  <c r="W21" i="35" a="1"/>
  <c r="W21" i="35" s="1"/>
  <c r="L32" i="35" a="1"/>
  <c r="L32" i="35" s="1"/>
  <c r="X21" i="35" l="1" a="1"/>
  <c r="X21" i="35" s="1"/>
  <c r="N31" i="35" a="1"/>
  <c r="N31" i="35" s="1"/>
  <c r="J34" i="35" a="1"/>
  <c r="J34" i="35" s="1"/>
  <c r="K34" i="35" s="1" a="1"/>
  <c r="K34" i="35" s="1"/>
  <c r="M32" i="35" a="1"/>
  <c r="M32" i="35" s="1"/>
  <c r="N32" i="35" s="1" a="1"/>
  <c r="N32" i="35" s="1"/>
  <c r="AE16" i="35"/>
  <c r="AF16" i="35" s="1"/>
  <c r="AB17" i="35" a="1"/>
  <c r="AB17" i="35" s="1"/>
  <c r="AE17" i="35" s="1"/>
  <c r="AF17" i="35" s="1"/>
  <c r="T27" i="35" a="1"/>
  <c r="T27" i="35" s="1"/>
  <c r="Q28" i="35" a="1"/>
  <c r="Q28" i="35" s="1"/>
  <c r="U25" i="35" a="1"/>
  <c r="U25" i="35" s="1"/>
  <c r="V25" i="35" s="1" a="1"/>
  <c r="V25" i="35" s="1"/>
  <c r="W22" i="35" a="1"/>
  <c r="W22" i="35" s="1"/>
  <c r="O30" i="35" a="1"/>
  <c r="O30" i="35" s="1"/>
  <c r="H36" i="35" a="1"/>
  <c r="H36" i="35" s="1"/>
  <c r="F38" i="35" a="1"/>
  <c r="F38" i="35" s="1"/>
  <c r="E39" i="35" a="1"/>
  <c r="E39" i="35" s="1"/>
  <c r="Y20" i="35" a="1"/>
  <c r="Y20" i="35" s="1"/>
  <c r="Y21" i="35" s="1" a="1"/>
  <c r="Y21" i="35" s="1"/>
  <c r="I35" i="35" a="1"/>
  <c r="I35" i="35" s="1"/>
  <c r="L33" i="35" a="1"/>
  <c r="L33" i="35" s="1"/>
  <c r="X22" i="35" l="1" a="1"/>
  <c r="X22" i="35" s="1"/>
  <c r="W23" i="35" a="1"/>
  <c r="W23" i="35" s="1"/>
  <c r="R28" i="35" a="1"/>
  <c r="R28" i="35" s="1"/>
  <c r="G38" i="35" a="1"/>
  <c r="G38" i="35" s="1"/>
  <c r="Y22" i="35" a="1"/>
  <c r="Y22" i="35" s="1"/>
  <c r="J35" i="35" a="1"/>
  <c r="J35" i="35" s="1"/>
  <c r="K35" i="35" s="1" a="1"/>
  <c r="K35" i="35" s="1"/>
  <c r="Z20" i="35" a="1"/>
  <c r="Z20" i="35" s="1"/>
  <c r="F39" i="35" a="1"/>
  <c r="F39" i="35" s="1"/>
  <c r="E40" i="35" a="1"/>
  <c r="E40" i="35" s="1"/>
  <c r="H37" i="35" a="1"/>
  <c r="H37" i="35" s="1"/>
  <c r="AB18" i="35" a="1"/>
  <c r="AB18" i="35" s="1"/>
  <c r="I36" i="35" a="1"/>
  <c r="I36" i="35" s="1"/>
  <c r="U26" i="35" a="1"/>
  <c r="U26" i="35" s="1"/>
  <c r="U27" i="35" s="1" a="1"/>
  <c r="U27" i="35" s="1"/>
  <c r="L34" i="35" a="1"/>
  <c r="L34" i="35" s="1"/>
  <c r="Q29" i="35" a="1"/>
  <c r="Q29" i="35" s="1"/>
  <c r="M33" i="35" a="1"/>
  <c r="M33" i="35" s="1"/>
  <c r="P30" i="35" a="1"/>
  <c r="P30" i="35" s="1"/>
  <c r="O31" i="35" a="1"/>
  <c r="O31" i="35" s="1"/>
  <c r="X23" i="35" l="1" a="1"/>
  <c r="X23" i="35" s="1"/>
  <c r="P31" i="35" a="1"/>
  <c r="P31" i="35" s="1"/>
  <c r="W24" i="35" a="1"/>
  <c r="W24" i="35" s="1"/>
  <c r="W25" i="35" s="1" a="1"/>
  <c r="W25" i="35" s="1"/>
  <c r="R29" i="35" a="1"/>
  <c r="R29" i="35" s="1"/>
  <c r="M34" i="35" a="1"/>
  <c r="M34" i="35" s="1"/>
  <c r="O32" i="35" a="1"/>
  <c r="O32" i="35" s="1"/>
  <c r="P32" i="35" s="1" a="1"/>
  <c r="P32" i="35" s="1"/>
  <c r="L35" i="35" a="1"/>
  <c r="L35" i="35" s="1"/>
  <c r="J36" i="35" a="1"/>
  <c r="J36" i="35" s="1"/>
  <c r="K36" i="35" s="1" a="1"/>
  <c r="K36" i="35" s="1"/>
  <c r="I37" i="35" a="1"/>
  <c r="I37" i="35" s="1"/>
  <c r="N33" i="35" a="1"/>
  <c r="N33" i="35" s="1"/>
  <c r="V26" i="35" a="1"/>
  <c r="V26" i="35" s="1"/>
  <c r="H38" i="35" a="1"/>
  <c r="H38" i="35" s="1"/>
  <c r="F40" i="35" a="1"/>
  <c r="F40" i="35" s="1"/>
  <c r="E41" i="35" a="1"/>
  <c r="E41" i="35" s="1"/>
  <c r="G39" i="35" a="1"/>
  <c r="G39" i="35" s="1"/>
  <c r="AA20" i="35" a="1"/>
  <c r="AA20" i="35" s="1"/>
  <c r="Q30" i="35" a="1"/>
  <c r="Q30" i="35" s="1"/>
  <c r="Z21" i="35" a="1"/>
  <c r="Z21" i="35" s="1"/>
  <c r="AE18" i="35"/>
  <c r="AF18" i="35" s="1"/>
  <c r="AB19" i="35" a="1"/>
  <c r="AB19" i="35" s="1"/>
  <c r="AE19" i="35" s="1"/>
  <c r="AF19" i="35" s="1"/>
  <c r="S28" i="35" a="1"/>
  <c r="S28" i="35" s="1"/>
  <c r="Y23" i="35" a="1"/>
  <c r="Y23" i="35" s="1"/>
  <c r="R30" i="35" l="1" a="1"/>
  <c r="R30" i="35" s="1"/>
  <c r="N34" i="35" a="1"/>
  <c r="N34" i="35" s="1"/>
  <c r="M35" i="35" a="1"/>
  <c r="M35" i="35" s="1"/>
  <c r="N35" i="35" s="1" a="1"/>
  <c r="N35" i="35" s="1"/>
  <c r="J37" i="35" a="1"/>
  <c r="J37" i="35" s="1"/>
  <c r="K37" i="35" s="1" a="1"/>
  <c r="K37" i="35" s="1"/>
  <c r="X24" i="35" a="1"/>
  <c r="X24" i="35" s="1"/>
  <c r="X25" i="35" s="1" a="1"/>
  <c r="X25" i="35" s="1"/>
  <c r="G40" i="35" a="1"/>
  <c r="G40" i="35" s="1"/>
  <c r="AA21" i="35" a="1"/>
  <c r="AA21" i="35" s="1"/>
  <c r="Z22" i="35" a="1"/>
  <c r="Z22" i="35" s="1"/>
  <c r="Q31" i="35" a="1"/>
  <c r="Q31" i="35" s="1"/>
  <c r="R31" i="35" s="1" a="1"/>
  <c r="R31" i="35" s="1"/>
  <c r="L36" i="35" a="1"/>
  <c r="L36" i="35" s="1"/>
  <c r="M36" i="35" s="1" a="1"/>
  <c r="M36" i="35" s="1"/>
  <c r="F41" i="35" a="1"/>
  <c r="F41" i="35" s="1"/>
  <c r="G41" i="35" s="1" a="1"/>
  <c r="G41" i="35" s="1"/>
  <c r="E42" i="35" a="1"/>
  <c r="E42" i="35" s="1"/>
  <c r="I38" i="35" a="1"/>
  <c r="I38" i="35" s="1"/>
  <c r="AB20" i="35" a="1"/>
  <c r="AB20" i="35" s="1"/>
  <c r="AE20" i="35" s="1"/>
  <c r="AF20" i="35" s="1"/>
  <c r="W26" i="35" a="1"/>
  <c r="W26" i="35" s="1"/>
  <c r="V27" i="35" a="1"/>
  <c r="V27" i="35" s="1"/>
  <c r="T28" i="35" a="1"/>
  <c r="T28" i="35" s="1"/>
  <c r="H39" i="35" a="1"/>
  <c r="H39" i="35" s="1"/>
  <c r="H40" i="35" s="1" a="1"/>
  <c r="H40" i="35" s="1"/>
  <c r="S29" i="35" a="1"/>
  <c r="S29" i="35" s="1"/>
  <c r="O33" i="35" a="1"/>
  <c r="O33" i="35" s="1"/>
  <c r="O34" i="35" s="1" a="1"/>
  <c r="O34" i="35" s="1"/>
  <c r="J38" i="35" l="1" a="1"/>
  <c r="J38" i="35" s="1"/>
  <c r="AA22" i="35" a="1"/>
  <c r="AA22" i="35" s="1"/>
  <c r="N36" i="35" a="1"/>
  <c r="N36" i="35" s="1"/>
  <c r="Y24" i="35" a="1"/>
  <c r="Y24" i="35" s="1"/>
  <c r="Y25" i="35" s="1" a="1"/>
  <c r="Y25" i="35" s="1"/>
  <c r="Z23" i="35" a="1"/>
  <c r="Z23" i="35" s="1"/>
  <c r="AA23" i="35" s="1" a="1"/>
  <c r="AA23" i="35" s="1"/>
  <c r="T29" i="35" a="1"/>
  <c r="T29" i="35" s="1"/>
  <c r="Q32" i="35" a="1"/>
  <c r="Q32" i="35" s="1"/>
  <c r="R32" i="35" s="1" a="1"/>
  <c r="R32" i="35" s="1"/>
  <c r="H41" i="35" a="1"/>
  <c r="H41" i="35" s="1"/>
  <c r="AB21" i="35" a="1"/>
  <c r="AB21" i="35" s="1"/>
  <c r="AE21" i="35" s="1"/>
  <c r="AF21" i="35" s="1"/>
  <c r="L37" i="35" a="1"/>
  <c r="L37" i="35" s="1"/>
  <c r="M37" i="35" s="1" a="1"/>
  <c r="M37" i="35" s="1"/>
  <c r="U28" i="35" a="1"/>
  <c r="U28" i="35" s="1"/>
  <c r="O35" i="35" a="1"/>
  <c r="O35" i="35" s="1"/>
  <c r="O36" i="35" s="1" a="1"/>
  <c r="O36" i="35" s="1"/>
  <c r="X26" i="35" a="1"/>
  <c r="X26" i="35" s="1"/>
  <c r="AB22" i="35" a="1"/>
  <c r="AB22" i="35" s="1"/>
  <c r="AB23" i="35" s="1" a="1"/>
  <c r="AB23" i="35" s="1"/>
  <c r="AE23" i="35" s="1"/>
  <c r="AF23" i="35" s="1"/>
  <c r="S30" i="35" a="1"/>
  <c r="S30" i="35" s="1"/>
  <c r="S31" i="35" s="1" a="1"/>
  <c r="S31" i="35" s="1"/>
  <c r="P33" i="35" a="1"/>
  <c r="P33" i="35" s="1"/>
  <c r="P34" i="35" s="1" a="1"/>
  <c r="P34" i="35" s="1"/>
  <c r="K38" i="35" a="1"/>
  <c r="K38" i="35" s="1"/>
  <c r="I39" i="35" a="1"/>
  <c r="I39" i="35" s="1"/>
  <c r="J39" i="35" s="1" a="1"/>
  <c r="J39" i="35" s="1"/>
  <c r="W27" i="35" a="1"/>
  <c r="W27" i="35" s="1"/>
  <c r="F42" i="35" a="1"/>
  <c r="F42" i="35" s="1"/>
  <c r="G42" i="35" s="1" a="1"/>
  <c r="G42" i="35" s="1"/>
  <c r="E43" i="35" a="1"/>
  <c r="E43" i="35" s="1"/>
  <c r="N37" i="35" l="1" a="1"/>
  <c r="N37" i="35" s="1"/>
  <c r="I40" i="35" a="1"/>
  <c r="I40" i="35" s="1"/>
  <c r="I41" i="35" s="1" a="1"/>
  <c r="I41" i="35" s="1"/>
  <c r="U29" i="35" a="1"/>
  <c r="U29" i="35" s="1"/>
  <c r="X27" i="35" a="1"/>
  <c r="X27" i="35" s="1"/>
  <c r="Z24" i="35" a="1"/>
  <c r="Z24" i="35" s="1"/>
  <c r="AA24" i="35" s="1" a="1"/>
  <c r="AA24" i="35" s="1"/>
  <c r="L38" i="35" a="1"/>
  <c r="L38" i="35" s="1"/>
  <c r="M38" i="35" s="1" a="1"/>
  <c r="M38" i="35" s="1"/>
  <c r="N38" i="35" s="1" a="1"/>
  <c r="N38" i="35" s="1"/>
  <c r="H42" i="35" a="1"/>
  <c r="H42" i="35" s="1"/>
  <c r="J40" i="35" a="1"/>
  <c r="J40" i="35" s="1"/>
  <c r="J41" i="35" s="1" a="1"/>
  <c r="J41" i="35" s="1"/>
  <c r="P35" i="35" a="1"/>
  <c r="P35" i="35" s="1"/>
  <c r="P36" i="35" s="1" a="1"/>
  <c r="P36" i="35" s="1"/>
  <c r="F43" i="35" a="1"/>
  <c r="F43" i="35" s="1"/>
  <c r="E44" i="35" a="1"/>
  <c r="E44" i="35" s="1"/>
  <c r="I42" i="35" a="1"/>
  <c r="I42" i="35" s="1"/>
  <c r="Q33" i="35" a="1"/>
  <c r="Q33" i="35" s="1"/>
  <c r="AE22" i="35"/>
  <c r="AF22" i="35" s="1"/>
  <c r="Y26" i="35" a="1"/>
  <c r="Y26" i="35" s="1"/>
  <c r="Y27" i="35" s="1" a="1"/>
  <c r="Y27" i="35" s="1"/>
  <c r="K39" i="35" a="1"/>
  <c r="K39" i="35" s="1"/>
  <c r="K40" i="35" s="1" a="1"/>
  <c r="K40" i="35" s="1"/>
  <c r="S32" i="35" a="1"/>
  <c r="S32" i="35" s="1"/>
  <c r="T30" i="35" a="1"/>
  <c r="T30" i="35" s="1"/>
  <c r="O37" i="35" a="1"/>
  <c r="O37" i="35" s="1"/>
  <c r="V28" i="35" a="1"/>
  <c r="V28" i="35" s="1"/>
  <c r="F15" i="9"/>
  <c r="F14" i="9"/>
  <c r="F13" i="9"/>
  <c r="F12" i="9"/>
  <c r="F11" i="9"/>
  <c r="F10" i="9"/>
  <c r="F9" i="9"/>
  <c r="F8" i="9"/>
  <c r="F7" i="9"/>
  <c r="F6" i="9"/>
  <c r="F5" i="9"/>
  <c r="F4" i="9"/>
  <c r="Z25" i="35" l="1" a="1"/>
  <c r="Z25" i="35" s="1"/>
  <c r="AA25" i="35" s="1" a="1"/>
  <c r="AA25" i="35" s="1"/>
  <c r="P37" i="35" a="1"/>
  <c r="P37" i="35" s="1"/>
  <c r="U30" i="35" a="1"/>
  <c r="U30" i="35" s="1"/>
  <c r="R33" i="35" a="1"/>
  <c r="R33" i="35" s="1"/>
  <c r="W28" i="35" a="1"/>
  <c r="W28" i="35" s="1"/>
  <c r="L39" i="35" a="1"/>
  <c r="L39" i="35" s="1"/>
  <c r="M39" i="35" s="1" a="1"/>
  <c r="M39" i="35" s="1"/>
  <c r="O38" i="35" a="1"/>
  <c r="O38" i="35" s="1"/>
  <c r="P38" i="35" s="1" a="1"/>
  <c r="P38" i="35" s="1"/>
  <c r="V29" i="35" a="1"/>
  <c r="V29" i="35" s="1"/>
  <c r="Z26" i="35" a="1"/>
  <c r="Z26" i="35" s="1"/>
  <c r="F44" i="35" a="1"/>
  <c r="F44" i="35" s="1"/>
  <c r="E46" i="35" a="1"/>
  <c r="E46" i="35" s="1"/>
  <c r="G43" i="35" a="1"/>
  <c r="G43" i="35" s="1"/>
  <c r="AB24" i="35" a="1"/>
  <c r="AB24" i="35" s="1"/>
  <c r="J42" i="35" a="1"/>
  <c r="J42" i="35" s="1"/>
  <c r="Q34" i="35" a="1"/>
  <c r="Q34" i="35" s="1"/>
  <c r="T31" i="35" a="1"/>
  <c r="T31" i="35" s="1"/>
  <c r="K41" i="35" a="1"/>
  <c r="K41" i="35" s="1"/>
  <c r="F41" i="12"/>
  <c r="AB25" i="35" l="1" a="1"/>
  <c r="AB25" i="35" s="1"/>
  <c r="AE25" i="35" s="1"/>
  <c r="AF25" i="35" s="1"/>
  <c r="AA26" i="35" a="1"/>
  <c r="AA26" i="35" s="1"/>
  <c r="U31" i="35" a="1"/>
  <c r="U31" i="35" s="1"/>
  <c r="R34" i="35" a="1"/>
  <c r="R34" i="35" s="1"/>
  <c r="W29" i="35" a="1"/>
  <c r="W29" i="35" s="1"/>
  <c r="T32" i="35" a="1"/>
  <c r="T32" i="35" s="1"/>
  <c r="U32" i="35" s="1" a="1"/>
  <c r="U32" i="35" s="1"/>
  <c r="K42" i="35" a="1"/>
  <c r="K42" i="35" s="1"/>
  <c r="G44" i="35" a="1"/>
  <c r="G44" i="35" s="1"/>
  <c r="H43" i="35" a="1"/>
  <c r="H43" i="35" s="1"/>
  <c r="I43" i="35" s="1" a="1"/>
  <c r="I43" i="35" s="1"/>
  <c r="V30" i="35" a="1"/>
  <c r="V30" i="35" s="1"/>
  <c r="W30" i="35" s="1" a="1"/>
  <c r="W30" i="35" s="1"/>
  <c r="AE24" i="35"/>
  <c r="AF24" i="35" s="1"/>
  <c r="AB26" i="35" a="1"/>
  <c r="AB26" i="35" s="1"/>
  <c r="AE26" i="35" s="1"/>
  <c r="AF26" i="35" s="1"/>
  <c r="Q35" i="35" a="1"/>
  <c r="Q35" i="35" s="1"/>
  <c r="L40" i="35" a="1"/>
  <c r="L40" i="35" s="1"/>
  <c r="F46" i="35" a="1"/>
  <c r="F46" i="35" s="1"/>
  <c r="E47" i="35" a="1"/>
  <c r="E47" i="35" s="1"/>
  <c r="Z27" i="35" a="1"/>
  <c r="Z27" i="35" s="1"/>
  <c r="AA27" i="35" s="1" a="1"/>
  <c r="AA27" i="35" s="1"/>
  <c r="N39" i="35" a="1"/>
  <c r="N39" i="35" s="1"/>
  <c r="X28" i="35" a="1"/>
  <c r="X28" i="35" s="1"/>
  <c r="S33" i="35" a="1"/>
  <c r="S33" i="35" s="1"/>
  <c r="E4" i="20"/>
  <c r="E5" i="20"/>
  <c r="E6" i="20"/>
  <c r="E7" i="20"/>
  <c r="E8" i="20"/>
  <c r="E9" i="20"/>
  <c r="E10" i="20"/>
  <c r="E11" i="20"/>
  <c r="E12" i="20"/>
  <c r="E13" i="20"/>
  <c r="E14" i="20"/>
  <c r="E15" i="20"/>
  <c r="E16" i="20"/>
  <c r="E17" i="20"/>
  <c r="E18" i="20"/>
  <c r="E19" i="20"/>
  <c r="E3" i="20"/>
  <c r="G46" i="35" l="1" a="1"/>
  <c r="G46" i="35" s="1"/>
  <c r="R35" i="35" a="1"/>
  <c r="R35" i="35" s="1"/>
  <c r="AB27" i="35" a="1"/>
  <c r="AB27" i="35" s="1"/>
  <c r="AE27" i="35" s="1"/>
  <c r="AF27" i="35" s="1"/>
  <c r="Q36" i="35" a="1"/>
  <c r="Q36" i="35" s="1"/>
  <c r="Y28" i="35" a="1"/>
  <c r="Y28" i="35" s="1"/>
  <c r="V31" i="35" a="1"/>
  <c r="V31" i="35" s="1"/>
  <c r="W31" i="35" s="1" a="1"/>
  <c r="W31" i="35" s="1"/>
  <c r="O39" i="35" a="1"/>
  <c r="O39" i="35" s="1"/>
  <c r="M40" i="35" a="1"/>
  <c r="M40" i="35" s="1"/>
  <c r="X29" i="35" a="1"/>
  <c r="X29" i="35" s="1"/>
  <c r="Y29" i="35" s="1" a="1"/>
  <c r="Y29" i="35" s="1"/>
  <c r="F47" i="35" a="1"/>
  <c r="F47" i="35" s="1"/>
  <c r="E49" i="35" a="1"/>
  <c r="E49" i="35" s="1"/>
  <c r="X30" i="35" a="1"/>
  <c r="X30" i="35" s="1"/>
  <c r="Y30" i="35" s="1" a="1"/>
  <c r="Y30" i="35" s="1"/>
  <c r="H44" i="35" a="1"/>
  <c r="H44" i="35" s="1"/>
  <c r="H46" i="35" s="1" a="1"/>
  <c r="H46" i="35" s="1"/>
  <c r="T33" i="35" a="1"/>
  <c r="T33" i="35" s="1"/>
  <c r="L41" i="35" a="1"/>
  <c r="L41" i="35" s="1"/>
  <c r="J43" i="35" a="1"/>
  <c r="J43" i="35" s="1"/>
  <c r="K43" i="35" s="1" a="1"/>
  <c r="K43" i="35" s="1"/>
  <c r="S34" i="35" a="1"/>
  <c r="S34" i="35" s="1"/>
  <c r="F27" i="12"/>
  <c r="V32" i="35" l="1" a="1"/>
  <c r="V32" i="35" s="1"/>
  <c r="W32" i="35" s="1" a="1"/>
  <c r="W32" i="35" s="1"/>
  <c r="I44" i="35" a="1"/>
  <c r="I44" i="35" s="1"/>
  <c r="R36" i="35" a="1"/>
  <c r="R36" i="35" s="1"/>
  <c r="Q37" i="35" a="1"/>
  <c r="Q37" i="35" s="1"/>
  <c r="S35" i="35" a="1"/>
  <c r="S35" i="35" s="1"/>
  <c r="F49" i="35" a="1"/>
  <c r="F49" i="35" s="1"/>
  <c r="E50" i="35" a="1"/>
  <c r="E50" i="35" s="1"/>
  <c r="P39" i="35" a="1"/>
  <c r="P39" i="35" s="1"/>
  <c r="Z28" i="35" a="1"/>
  <c r="Z28" i="35" s="1"/>
  <c r="Z29" i="35" s="1" a="1"/>
  <c r="Z29" i="35" s="1"/>
  <c r="L42" i="35" a="1"/>
  <c r="L42" i="35" s="1"/>
  <c r="M41" i="35" a="1"/>
  <c r="M41" i="35" s="1"/>
  <c r="U33" i="35" a="1"/>
  <c r="U33" i="35" s="1"/>
  <c r="T34" i="35" a="1"/>
  <c r="T34" i="35" s="1"/>
  <c r="L43" i="35" a="1"/>
  <c r="L43" i="35" s="1"/>
  <c r="I46" i="35" a="1"/>
  <c r="I46" i="35" s="1"/>
  <c r="J44" i="35" a="1"/>
  <c r="J44" i="35" s="1"/>
  <c r="K44" i="35" s="1" a="1"/>
  <c r="K44" i="35" s="1"/>
  <c r="K45" i="35" s="1" a="1"/>
  <c r="K45" i="35" s="1"/>
  <c r="X31" i="35" a="1"/>
  <c r="X31" i="35" s="1"/>
  <c r="Y31" i="35" s="1" a="1"/>
  <c r="Y31" i="35" s="1"/>
  <c r="N40" i="35" a="1"/>
  <c r="N40" i="35" s="1"/>
  <c r="G47" i="35" a="1"/>
  <c r="G47" i="35" s="1"/>
  <c r="C48" i="12"/>
  <c r="C49" i="12" s="1"/>
  <c r="C50" i="12" s="1"/>
  <c r="G5" i="12"/>
  <c r="F29" i="12" s="1"/>
  <c r="C13" i="12"/>
  <c r="C17" i="12"/>
  <c r="C16" i="12"/>
  <c r="C18" i="12" s="1"/>
  <c r="U34" i="35" l="1" a="1"/>
  <c r="U34" i="35" s="1"/>
  <c r="X32" i="35" a="1"/>
  <c r="X32" i="35" s="1"/>
  <c r="Y32" i="35" s="1" a="1"/>
  <c r="Y32" i="35" s="1"/>
  <c r="R37" i="35" a="1"/>
  <c r="R37" i="35" s="1"/>
  <c r="Q38" i="35" a="1"/>
  <c r="Q38" i="35" s="1"/>
  <c r="L44" i="35" a="1"/>
  <c r="L44" i="35" s="1"/>
  <c r="L45" i="35" s="1" a="1"/>
  <c r="L45" i="35" s="1"/>
  <c r="N41" i="35" a="1"/>
  <c r="N41" i="35" s="1"/>
  <c r="V33" i="35" a="1"/>
  <c r="V33" i="35" s="1"/>
  <c r="V34" i="35" s="1" a="1"/>
  <c r="V34" i="35" s="1"/>
  <c r="Q39" i="35" a="1"/>
  <c r="Q39" i="35" s="1"/>
  <c r="F50" i="35" a="1"/>
  <c r="F50" i="35" s="1"/>
  <c r="E51" i="35" a="1"/>
  <c r="E51" i="35" s="1"/>
  <c r="G49" i="35" a="1"/>
  <c r="G49" i="35" s="1"/>
  <c r="T35" i="35" a="1"/>
  <c r="T35" i="35" s="1"/>
  <c r="Z30" i="35" a="1"/>
  <c r="Z30" i="35" s="1"/>
  <c r="Z31" i="35" s="1" a="1"/>
  <c r="Z31" i="35" s="1"/>
  <c r="AA28" i="35" a="1"/>
  <c r="AA28" i="35" s="1"/>
  <c r="AA29" i="35" s="1" a="1"/>
  <c r="AA29" i="35" s="1"/>
  <c r="O40" i="35" a="1"/>
  <c r="O40" i="35" s="1"/>
  <c r="H47" i="35" a="1"/>
  <c r="H47" i="35" s="1"/>
  <c r="M42" i="35" a="1"/>
  <c r="M42" i="35" s="1"/>
  <c r="N42" i="35" s="1" a="1"/>
  <c r="N42" i="35" s="1"/>
  <c r="J46" i="35" a="1"/>
  <c r="J46" i="35" s="1"/>
  <c r="S36" i="35" a="1"/>
  <c r="S36" i="35" s="1"/>
  <c r="F33" i="12"/>
  <c r="F30" i="12"/>
  <c r="F31" i="12" s="1"/>
  <c r="C37" i="12"/>
  <c r="C38" i="12" s="1"/>
  <c r="C29" i="12"/>
  <c r="C30" i="12" s="1"/>
  <c r="C31" i="12" s="1"/>
  <c r="C40" i="12"/>
  <c r="C47" i="12"/>
  <c r="C51" i="12" s="1"/>
  <c r="C26" i="12"/>
  <c r="C27" i="12" s="1"/>
  <c r="C41" i="12"/>
  <c r="D30" i="20"/>
  <c r="AA19" i="20"/>
  <c r="R19" i="20" s="1"/>
  <c r="X19" i="20"/>
  <c r="V19" i="20" s="1"/>
  <c r="O19" i="20"/>
  <c r="AA18" i="20"/>
  <c r="R18" i="20" s="1"/>
  <c r="X18" i="20"/>
  <c r="U18" i="20" s="1"/>
  <c r="O18" i="20"/>
  <c r="G18" i="20" s="1"/>
  <c r="AA17" i="20"/>
  <c r="X17" i="20"/>
  <c r="V17" i="20" s="1"/>
  <c r="R17" i="20"/>
  <c r="O17" i="20"/>
  <c r="AA16" i="20"/>
  <c r="R16" i="20" s="1"/>
  <c r="X16" i="20"/>
  <c r="V16" i="20" s="1"/>
  <c r="O16" i="20"/>
  <c r="AA15" i="20"/>
  <c r="X15" i="20"/>
  <c r="V15" i="20" s="1"/>
  <c r="R15" i="20"/>
  <c r="O15" i="20"/>
  <c r="G15" i="20" s="1"/>
  <c r="AA14" i="20"/>
  <c r="R14" i="20" s="1"/>
  <c r="X14" i="20"/>
  <c r="U14" i="20" s="1"/>
  <c r="O14" i="20"/>
  <c r="AA13" i="20"/>
  <c r="X13" i="20"/>
  <c r="V13" i="20" s="1"/>
  <c r="R13" i="20"/>
  <c r="M13" i="20" s="1"/>
  <c r="N13" i="20" s="1"/>
  <c r="O13" i="20"/>
  <c r="G13" i="20" s="1"/>
  <c r="AA12" i="20"/>
  <c r="R12" i="20" s="1"/>
  <c r="X12" i="20"/>
  <c r="U12" i="20" s="1"/>
  <c r="O12" i="20"/>
  <c r="AA11" i="20"/>
  <c r="X11" i="20"/>
  <c r="V11" i="20" s="1"/>
  <c r="R11" i="20"/>
  <c r="O11" i="20"/>
  <c r="G11" i="20" s="1"/>
  <c r="AA10" i="20"/>
  <c r="R10" i="20" s="1"/>
  <c r="X10" i="20"/>
  <c r="V10" i="20" s="1"/>
  <c r="O10" i="20"/>
  <c r="AA9" i="20"/>
  <c r="X9" i="20"/>
  <c r="V9" i="20" s="1"/>
  <c r="R9" i="20"/>
  <c r="O9" i="20"/>
  <c r="G9" i="20" s="1"/>
  <c r="AA8" i="20"/>
  <c r="R8" i="20" s="1"/>
  <c r="X8" i="20"/>
  <c r="U8" i="20" s="1"/>
  <c r="O8" i="20"/>
  <c r="AA7" i="20"/>
  <c r="X7" i="20"/>
  <c r="V7" i="20" s="1"/>
  <c r="R7" i="20"/>
  <c r="O7" i="20"/>
  <c r="G7" i="20" s="1"/>
  <c r="AA6" i="20"/>
  <c r="R6" i="20" s="1"/>
  <c r="X6" i="20"/>
  <c r="V6" i="20" s="1"/>
  <c r="O6" i="20"/>
  <c r="AA5" i="20"/>
  <c r="X5" i="20"/>
  <c r="V5" i="20" s="1"/>
  <c r="R5" i="20"/>
  <c r="O5" i="20"/>
  <c r="AA4" i="20"/>
  <c r="R4" i="20" s="1"/>
  <c r="X4" i="20"/>
  <c r="V4" i="20" s="1"/>
  <c r="U4" i="20"/>
  <c r="O4" i="20"/>
  <c r="AA3" i="20"/>
  <c r="X3" i="20"/>
  <c r="V3" i="20" s="1"/>
  <c r="R3" i="20"/>
  <c r="S3" i="20" s="1"/>
  <c r="O3" i="20"/>
  <c r="P3" i="20" s="1"/>
  <c r="R38" i="35" l="1" a="1"/>
  <c r="R38" i="35" s="1"/>
  <c r="P40" i="35" a="1"/>
  <c r="P40" i="35" s="1"/>
  <c r="H49" i="35" a="1"/>
  <c r="H49" i="35" s="1"/>
  <c r="F51" i="35" a="1"/>
  <c r="F51" i="35" s="1"/>
  <c r="E52" i="35" a="1"/>
  <c r="E52" i="35" s="1"/>
  <c r="T36" i="35" a="1"/>
  <c r="T36" i="35" s="1"/>
  <c r="S37" i="35" a="1"/>
  <c r="S37" i="35" s="1"/>
  <c r="T37" i="35" s="1" a="1"/>
  <c r="T37" i="35" s="1"/>
  <c r="Z32" i="35" a="1"/>
  <c r="Z32" i="35" s="1"/>
  <c r="U35" i="35" a="1"/>
  <c r="U35" i="35" s="1"/>
  <c r="R39" i="35" a="1"/>
  <c r="R39" i="35" s="1"/>
  <c r="M43" i="35" a="1"/>
  <c r="M43" i="35" s="1"/>
  <c r="G50" i="35" a="1"/>
  <c r="G50" i="35" s="1"/>
  <c r="I47" i="35" a="1"/>
  <c r="I47" i="35" s="1"/>
  <c r="O41" i="35" a="1"/>
  <c r="O41" i="35" s="1"/>
  <c r="P41" i="35" s="1" a="1"/>
  <c r="P41" i="35" s="1"/>
  <c r="K46" i="35" a="1"/>
  <c r="K46" i="35" s="1"/>
  <c r="L46" i="35" s="1" a="1"/>
  <c r="L46" i="35" s="1"/>
  <c r="AB28" i="35" a="1"/>
  <c r="AB28" i="35" s="1"/>
  <c r="AA30" i="35" a="1"/>
  <c r="AA30" i="35" s="1"/>
  <c r="W33" i="35" a="1"/>
  <c r="W33" i="35" s="1"/>
  <c r="P5" i="20"/>
  <c r="Q5" i="20" s="1"/>
  <c r="P7" i="20"/>
  <c r="Q7" i="20" s="1"/>
  <c r="S5" i="20"/>
  <c r="S11" i="20"/>
  <c r="T11" i="20" s="1"/>
  <c r="S13" i="20"/>
  <c r="T13" i="20" s="1"/>
  <c r="V12" i="20"/>
  <c r="P17" i="20"/>
  <c r="Q17" i="20" s="1"/>
  <c r="G16" i="20"/>
  <c r="G19" i="20"/>
  <c r="G17" i="20"/>
  <c r="P9" i="20"/>
  <c r="Q9" i="20" s="1"/>
  <c r="V8" i="20"/>
  <c r="U19" i="20"/>
  <c r="S17" i="20"/>
  <c r="T17" i="20" s="1"/>
  <c r="M15" i="20"/>
  <c r="N15" i="20" s="1"/>
  <c r="P15" i="20"/>
  <c r="Q15" i="20" s="1"/>
  <c r="V14" i="20"/>
  <c r="P13" i="20"/>
  <c r="Q13" i="20" s="1"/>
  <c r="P11" i="20"/>
  <c r="Q11" i="20" s="1"/>
  <c r="S9" i="20"/>
  <c r="T9" i="20" s="1"/>
  <c r="S7" i="20"/>
  <c r="T7" i="20" s="1"/>
  <c r="U6" i="20"/>
  <c r="U10" i="20"/>
  <c r="U16" i="20"/>
  <c r="M7" i="20"/>
  <c r="N7" i="20" s="1"/>
  <c r="M5" i="20"/>
  <c r="N5" i="20" s="1"/>
  <c r="G5" i="20"/>
  <c r="G3" i="20"/>
  <c r="H3" i="20" s="1"/>
  <c r="C32" i="12"/>
  <c r="F40" i="12"/>
  <c r="F34" i="12"/>
  <c r="F35" i="12" s="1"/>
  <c r="C42" i="12"/>
  <c r="C43" i="12" s="1"/>
  <c r="M18" i="20"/>
  <c r="N18" i="20" s="1"/>
  <c r="S18" i="20"/>
  <c r="T18" i="20" s="1"/>
  <c r="G4" i="20"/>
  <c r="P4" i="20"/>
  <c r="I4" i="20"/>
  <c r="M9" i="20"/>
  <c r="N9" i="20" s="1"/>
  <c r="G12" i="20"/>
  <c r="P12" i="20"/>
  <c r="I12" i="20"/>
  <c r="S12" i="20"/>
  <c r="T12" i="20" s="1"/>
  <c r="M12" i="20"/>
  <c r="N12" i="20" s="1"/>
  <c r="S16" i="20"/>
  <c r="T16" i="20" s="1"/>
  <c r="M16" i="20"/>
  <c r="N16" i="20" s="1"/>
  <c r="S19" i="20"/>
  <c r="T19" i="20" s="1"/>
  <c r="M19" i="20"/>
  <c r="N19" i="20" s="1"/>
  <c r="G8" i="20"/>
  <c r="P8" i="20"/>
  <c r="Q8" i="20" s="1"/>
  <c r="I8" i="20"/>
  <c r="S8" i="20"/>
  <c r="M8" i="20"/>
  <c r="N8" i="20" s="1"/>
  <c r="G10" i="20"/>
  <c r="P10" i="20"/>
  <c r="Q10" i="20" s="1"/>
  <c r="I10" i="20"/>
  <c r="S10" i="20"/>
  <c r="T10" i="20" s="1"/>
  <c r="M10" i="20"/>
  <c r="N10" i="20" s="1"/>
  <c r="W3" i="20"/>
  <c r="S4" i="20"/>
  <c r="M4" i="20"/>
  <c r="N4" i="20" s="1"/>
  <c r="M3" i="20"/>
  <c r="N3" i="20" s="1"/>
  <c r="G6" i="20"/>
  <c r="P6" i="20"/>
  <c r="Q6" i="20" s="1"/>
  <c r="I6" i="20"/>
  <c r="S6" i="20"/>
  <c r="T6" i="20" s="1"/>
  <c r="M6" i="20"/>
  <c r="N6" i="20" s="1"/>
  <c r="M11" i="20"/>
  <c r="N11" i="20" s="1"/>
  <c r="G14" i="20"/>
  <c r="P14" i="20"/>
  <c r="I14" i="20"/>
  <c r="S14" i="20"/>
  <c r="T14" i="20" s="1"/>
  <c r="M14" i="20"/>
  <c r="N14" i="20" s="1"/>
  <c r="S15" i="20"/>
  <c r="U3" i="20"/>
  <c r="U5" i="20"/>
  <c r="U7" i="20"/>
  <c r="U9" i="20"/>
  <c r="U11" i="20"/>
  <c r="U13" i="20"/>
  <c r="U15" i="20"/>
  <c r="U17" i="20"/>
  <c r="I18" i="20"/>
  <c r="P18" i="20"/>
  <c r="Q18" i="20" s="1"/>
  <c r="V18" i="20"/>
  <c r="M17" i="20"/>
  <c r="N17" i="20" s="1"/>
  <c r="I16" i="20"/>
  <c r="P16" i="20"/>
  <c r="Q16" i="20" s="1"/>
  <c r="I19" i="20"/>
  <c r="P19" i="20"/>
  <c r="I3" i="20"/>
  <c r="I5" i="20"/>
  <c r="I7" i="20"/>
  <c r="I9" i="20"/>
  <c r="I11" i="20"/>
  <c r="I13" i="20"/>
  <c r="I15" i="20"/>
  <c r="I17" i="20"/>
  <c r="A19" i="19"/>
  <c r="D11" i="19"/>
  <c r="D10" i="19"/>
  <c r="D9" i="19"/>
  <c r="D6" i="19"/>
  <c r="D4" i="19"/>
  <c r="I49" i="35" l="1" a="1"/>
  <c r="I49" i="35" s="1"/>
  <c r="W5" i="20"/>
  <c r="S38" i="35" a="1"/>
  <c r="S38" i="35" s="1"/>
  <c r="T38" i="35" s="1" a="1"/>
  <c r="T38" i="35" s="1"/>
  <c r="X33" i="35" a="1"/>
  <c r="X33" i="35" s="1"/>
  <c r="AE28" i="35"/>
  <c r="AF28" i="35" s="1"/>
  <c r="H50" i="35" a="1"/>
  <c r="H50" i="35" s="1"/>
  <c r="M44" i="35" a="1"/>
  <c r="M44" i="35" s="1"/>
  <c r="N43" i="35" a="1"/>
  <c r="N43" i="35" s="1"/>
  <c r="V35" i="35" a="1"/>
  <c r="V35" i="35" s="1"/>
  <c r="J47" i="35" a="1"/>
  <c r="J47" i="35" s="1"/>
  <c r="K47" i="35" s="1" a="1"/>
  <c r="K47" i="35" s="1"/>
  <c r="L47" i="35" s="1" a="1"/>
  <c r="L47" i="35" s="1"/>
  <c r="F52" i="35" a="1"/>
  <c r="F52" i="35" s="1"/>
  <c r="E53" i="35" a="1"/>
  <c r="E53" i="35" s="1"/>
  <c r="G51" i="35" a="1"/>
  <c r="G51" i="35" s="1"/>
  <c r="H51" i="35" s="1" a="1"/>
  <c r="H51" i="35" s="1"/>
  <c r="O42" i="35" a="1"/>
  <c r="O42" i="35" s="1"/>
  <c r="P42" i="35" s="1" a="1"/>
  <c r="P42" i="35" s="1"/>
  <c r="AA31" i="35" a="1"/>
  <c r="AA31" i="35" s="1"/>
  <c r="AA32" i="35" s="1" a="1"/>
  <c r="AA32" i="35" s="1"/>
  <c r="W34" i="35" a="1"/>
  <c r="W34" i="35" s="1"/>
  <c r="X34" i="35" s="1" a="1"/>
  <c r="X34" i="35" s="1"/>
  <c r="U36" i="35" a="1"/>
  <c r="U36" i="35" s="1"/>
  <c r="U37" i="35" s="1" a="1"/>
  <c r="U37" i="35" s="1"/>
  <c r="J49" i="35" a="1"/>
  <c r="J49" i="35" s="1"/>
  <c r="Q40" i="35" a="1"/>
  <c r="Q40" i="35" s="1"/>
  <c r="AB29" i="35" a="1"/>
  <c r="AB29" i="35" s="1"/>
  <c r="AE29" i="35" s="1"/>
  <c r="AF29" i="35" s="1"/>
  <c r="W7" i="20"/>
  <c r="W4" i="20"/>
  <c r="T5" i="20"/>
  <c r="W13" i="20"/>
  <c r="W17" i="20"/>
  <c r="W15" i="20"/>
  <c r="W19" i="20"/>
  <c r="W14" i="20"/>
  <c r="W12" i="20"/>
  <c r="Q19" i="20"/>
  <c r="W8" i="20"/>
  <c r="W9" i="20"/>
  <c r="W16" i="20"/>
  <c r="T15" i="20"/>
  <c r="Q14" i="20"/>
  <c r="Q12" i="20"/>
  <c r="W11" i="20"/>
  <c r="W10" i="20"/>
  <c r="T8" i="20"/>
  <c r="W18" i="20"/>
  <c r="W6" i="20"/>
  <c r="H4" i="20"/>
  <c r="H5" i="20" s="1"/>
  <c r="H6" i="20" s="1"/>
  <c r="H7" i="20" s="1"/>
  <c r="H8" i="20" s="1"/>
  <c r="H9" i="20" s="1"/>
  <c r="H10" i="20" s="1"/>
  <c r="H11" i="20" s="1"/>
  <c r="H12" i="20" s="1"/>
  <c r="H13" i="20" s="1"/>
  <c r="H14" i="20" s="1"/>
  <c r="H15" i="20" s="1"/>
  <c r="H16" i="20" s="1"/>
  <c r="H17" i="20" s="1"/>
  <c r="H18" i="20" s="1"/>
  <c r="H19" i="20" s="1"/>
  <c r="F42" i="12"/>
  <c r="F43" i="12" s="1"/>
  <c r="F44" i="12" s="1"/>
  <c r="F36" i="12"/>
  <c r="U38" i="35" l="1" a="1"/>
  <c r="U38" i="35" s="1"/>
  <c r="S39" i="35" a="1"/>
  <c r="S39" i="35" s="1"/>
  <c r="T39" i="35" s="1" a="1"/>
  <c r="T39" i="35" s="1"/>
  <c r="W35" i="35" a="1"/>
  <c r="W35" i="35" s="1"/>
  <c r="X35" i="35" s="1" a="1"/>
  <c r="X35" i="35" s="1"/>
  <c r="N44" i="35" a="1"/>
  <c r="N44" i="35" s="1"/>
  <c r="M45" i="35" a="1"/>
  <c r="M45" i="35" s="1"/>
  <c r="U39" i="35" a="1"/>
  <c r="U39" i="35" s="1"/>
  <c r="F53" i="35" a="1"/>
  <c r="F53" i="35" s="1"/>
  <c r="E54" i="35" a="1"/>
  <c r="E54" i="35" s="1"/>
  <c r="V36" i="35" a="1"/>
  <c r="V36" i="35" s="1"/>
  <c r="AB30" i="35" a="1"/>
  <c r="AB30" i="35" s="1"/>
  <c r="AE30" i="35" s="1"/>
  <c r="AF30" i="35" s="1"/>
  <c r="Y33" i="35" a="1"/>
  <c r="Y33" i="35" s="1"/>
  <c r="R40" i="35" a="1"/>
  <c r="R40" i="35" s="1"/>
  <c r="G52" i="35" a="1"/>
  <c r="G52" i="35" s="1"/>
  <c r="H52" i="35" s="1" a="1"/>
  <c r="H52" i="35" s="1"/>
  <c r="O43" i="35" a="1"/>
  <c r="O43" i="35" s="1"/>
  <c r="I50" i="35" a="1"/>
  <c r="I50" i="35" s="1"/>
  <c r="Q41" i="35" a="1"/>
  <c r="Q41" i="35" s="1"/>
  <c r="R41" i="35" s="1" a="1"/>
  <c r="R41" i="35" s="1"/>
  <c r="K49" i="35" a="1"/>
  <c r="K49" i="35" s="1"/>
  <c r="L49" i="35" s="1" a="1"/>
  <c r="L49" i="35" s="1"/>
  <c r="E44" i="15"/>
  <c r="F44" i="15" s="1"/>
  <c r="I44" i="15" s="1"/>
  <c r="E43" i="15"/>
  <c r="F43" i="15" s="1"/>
  <c r="I43" i="15" s="1"/>
  <c r="E42" i="15"/>
  <c r="F42" i="15" s="1"/>
  <c r="I42" i="15" s="1"/>
  <c r="E41" i="15"/>
  <c r="F41" i="15" s="1"/>
  <c r="I41" i="15" s="1"/>
  <c r="E40" i="15"/>
  <c r="F40" i="15" s="1"/>
  <c r="I40" i="15" s="1"/>
  <c r="E39" i="15"/>
  <c r="F39" i="15" s="1"/>
  <c r="I39" i="15" s="1"/>
  <c r="E38" i="15"/>
  <c r="F38" i="15" s="1"/>
  <c r="I38" i="15" s="1"/>
  <c r="E37" i="15"/>
  <c r="F37" i="15" s="1"/>
  <c r="I37" i="15" s="1"/>
  <c r="E36" i="15"/>
  <c r="F36" i="15" s="1"/>
  <c r="I36" i="15" s="1"/>
  <c r="E35" i="15"/>
  <c r="F35" i="15" s="1"/>
  <c r="I35" i="15" s="1"/>
  <c r="E34" i="15"/>
  <c r="F34" i="15" s="1"/>
  <c r="I34" i="15" s="1"/>
  <c r="E33" i="15"/>
  <c r="F33" i="15" s="1"/>
  <c r="I33" i="15" s="1"/>
  <c r="E32" i="15"/>
  <c r="F32" i="15" s="1"/>
  <c r="I32" i="15" s="1"/>
  <c r="E31" i="15"/>
  <c r="F31" i="15" s="1"/>
  <c r="I31" i="15" s="1"/>
  <c r="E30" i="15"/>
  <c r="F30" i="15" s="1"/>
  <c r="I30" i="15" s="1"/>
  <c r="E29" i="15"/>
  <c r="F29" i="15" s="1"/>
  <c r="I29" i="15" s="1"/>
  <c r="E28" i="15"/>
  <c r="F28" i="15" s="1"/>
  <c r="I28" i="15" s="1"/>
  <c r="E27" i="15"/>
  <c r="F27" i="15" s="1"/>
  <c r="W36" i="35" l="1" a="1"/>
  <c r="W36" i="35" s="1"/>
  <c r="X36" i="35" s="1" a="1"/>
  <c r="X36" i="35" s="1"/>
  <c r="O44" i="35" a="1"/>
  <c r="O44" i="35" s="1"/>
  <c r="I51" i="35" a="1"/>
  <c r="I51" i="35" s="1"/>
  <c r="F54" i="35" a="1"/>
  <c r="F54" i="35" s="1"/>
  <c r="E55" i="35" a="1"/>
  <c r="E55" i="35" s="1"/>
  <c r="G53" i="35" a="1"/>
  <c r="G53" i="35" s="1"/>
  <c r="V37" i="35" a="1"/>
  <c r="V37" i="35" s="1"/>
  <c r="W37" i="35" s="1" a="1"/>
  <c r="W37" i="35" s="1"/>
  <c r="X37" i="35" s="1" a="1"/>
  <c r="X37" i="35" s="1"/>
  <c r="P43" i="35" a="1"/>
  <c r="P43" i="35" s="1"/>
  <c r="P44" i="35" s="1" a="1"/>
  <c r="P44" i="35" s="1"/>
  <c r="S40" i="35" a="1"/>
  <c r="S40" i="35" s="1"/>
  <c r="J50" i="35" a="1"/>
  <c r="J50" i="35" s="1"/>
  <c r="K50" i="35" s="1" a="1"/>
  <c r="K50" i="35" s="1"/>
  <c r="I52" i="35" a="1"/>
  <c r="I52" i="35" s="1"/>
  <c r="V38" i="35" a="1"/>
  <c r="V38" i="35" s="1"/>
  <c r="W38" i="35" s="1" a="1"/>
  <c r="W38" i="35" s="1"/>
  <c r="X38" i="35" s="1" a="1"/>
  <c r="X38" i="35" s="1"/>
  <c r="Z33" i="35" a="1"/>
  <c r="Z33" i="35" s="1"/>
  <c r="Q42" i="35" a="1"/>
  <c r="Q42" i="35" s="1"/>
  <c r="Y34" i="35" a="1"/>
  <c r="Y34" i="35" s="1"/>
  <c r="AB31" i="35" a="1"/>
  <c r="AB31" i="35" s="1"/>
  <c r="N45" i="35" a="1"/>
  <c r="N45" i="35" s="1"/>
  <c r="O45" i="35" s="1" a="1"/>
  <c r="O45" i="35" s="1"/>
  <c r="M46" i="35" a="1"/>
  <c r="M46" i="35" s="1"/>
  <c r="I27" i="15"/>
  <c r="G27" i="15"/>
  <c r="G28" i="15" s="1"/>
  <c r="G29" i="15" s="1"/>
  <c r="G30" i="15" s="1"/>
  <c r="G31" i="15" s="1"/>
  <c r="G32" i="15" s="1"/>
  <c r="G33" i="15" s="1"/>
  <c r="G34" i="15" s="1"/>
  <c r="G35" i="15" s="1"/>
  <c r="G36" i="15" s="1"/>
  <c r="G37" i="15" s="1"/>
  <c r="G38" i="15" s="1"/>
  <c r="G39" i="15" s="1"/>
  <c r="G40" i="15" s="1"/>
  <c r="G41" i="15" s="1"/>
  <c r="G42" i="15" s="1"/>
  <c r="G43" i="15" s="1"/>
  <c r="G44" i="15" s="1"/>
  <c r="P45" i="35" l="1" a="1"/>
  <c r="P45" i="35" s="1"/>
  <c r="AE31" i="35"/>
  <c r="AF31" i="35" s="1"/>
  <c r="AB32" i="35" a="1"/>
  <c r="AB32" i="35" s="1"/>
  <c r="AE32" i="35" s="1"/>
  <c r="AF32" i="35" s="1"/>
  <c r="Z34" i="35" a="1"/>
  <c r="Z34" i="35" s="1"/>
  <c r="L50" i="35" a="1"/>
  <c r="L50" i="35" s="1"/>
  <c r="Y35" i="35" a="1"/>
  <c r="Y35" i="35" s="1"/>
  <c r="N46" i="35" a="1"/>
  <c r="N46" i="35" s="1"/>
  <c r="O46" i="35" s="1" a="1"/>
  <c r="O46" i="35" s="1"/>
  <c r="P46" i="35" s="1" a="1"/>
  <c r="P46" i="35" s="1"/>
  <c r="M47" i="35" a="1"/>
  <c r="M47" i="35" s="1"/>
  <c r="R42" i="35" a="1"/>
  <c r="R42" i="35" s="1"/>
  <c r="AA33" i="35" a="1"/>
  <c r="AA33" i="35" s="1"/>
  <c r="Q43" i="35" a="1"/>
  <c r="Q43" i="35" s="1"/>
  <c r="F55" i="35" a="1"/>
  <c r="F55" i="35" s="1"/>
  <c r="E56" i="35" a="1"/>
  <c r="E56" i="35" s="1"/>
  <c r="J51" i="35" a="1"/>
  <c r="J51" i="35" s="1"/>
  <c r="J52" i="35" s="1" a="1"/>
  <c r="J52" i="35" s="1"/>
  <c r="V39" i="35" a="1"/>
  <c r="V39" i="35" s="1"/>
  <c r="Y36" i="35" a="1"/>
  <c r="Y36" i="35" s="1"/>
  <c r="T40" i="35" a="1"/>
  <c r="T40" i="35" s="1"/>
  <c r="S41" i="35" a="1"/>
  <c r="S41" i="35" s="1"/>
  <c r="H53" i="35" a="1"/>
  <c r="H53" i="35" s="1"/>
  <c r="G54" i="35" a="1"/>
  <c r="G54" i="35" s="1"/>
  <c r="F3" i="9"/>
  <c r="I53" i="35" l="1" a="1"/>
  <c r="I53" i="35" s="1"/>
  <c r="S42" i="35" a="1"/>
  <c r="S42" i="35" s="1"/>
  <c r="Z35" i="35" a="1"/>
  <c r="Z35" i="35" s="1"/>
  <c r="Z36" i="35" s="1" a="1"/>
  <c r="Z36" i="35" s="1"/>
  <c r="K51" i="35" a="1"/>
  <c r="K51" i="35" s="1"/>
  <c r="L51" i="35" s="1" a="1"/>
  <c r="L51" i="35" s="1"/>
  <c r="G55" i="35" a="1"/>
  <c r="G55" i="35" s="1"/>
  <c r="T41" i="35" a="1"/>
  <c r="T41" i="35" s="1"/>
  <c r="AB33" i="35" a="1"/>
  <c r="AB33" i="35" s="1"/>
  <c r="AE33" i="35" s="1"/>
  <c r="AF33" i="35" s="1"/>
  <c r="N47" i="35" a="1"/>
  <c r="N47" i="35" s="1"/>
  <c r="O47" i="35" s="1" a="1"/>
  <c r="O47" i="35" s="1"/>
  <c r="M49" i="35" a="1"/>
  <c r="M49" i="35" s="1"/>
  <c r="H54" i="35" a="1"/>
  <c r="H54" i="35" s="1"/>
  <c r="H55" i="35" s="1" a="1"/>
  <c r="H55" i="35" s="1"/>
  <c r="W39" i="35" a="1"/>
  <c r="W39" i="35" s="1"/>
  <c r="R43" i="35" a="1"/>
  <c r="R43" i="35" s="1"/>
  <c r="S43" i="35" s="1" a="1"/>
  <c r="S43" i="35" s="1"/>
  <c r="Y37" i="35" a="1"/>
  <c r="Y37" i="35" s="1"/>
  <c r="J53" i="35" a="1"/>
  <c r="J53" i="35" s="1"/>
  <c r="U40" i="35" a="1"/>
  <c r="U40" i="35" s="1"/>
  <c r="F56" i="35" a="1"/>
  <c r="F56" i="35" s="1"/>
  <c r="G56" i="35" s="1" a="1"/>
  <c r="G56" i="35" s="1"/>
  <c r="E57" i="35" a="1"/>
  <c r="E57" i="35" s="1"/>
  <c r="AA34" i="35" a="1"/>
  <c r="AA34" i="35" s="1"/>
  <c r="Q44" i="35" a="1"/>
  <c r="Q44" i="35" s="1"/>
  <c r="Q45" i="35" s="1" a="1"/>
  <c r="Q45" i="35" s="1"/>
  <c r="F16" i="9"/>
  <c r="U3" i="9"/>
  <c r="U18" i="9"/>
  <c r="U19" i="9"/>
  <c r="W3" i="9"/>
  <c r="P3" i="9"/>
  <c r="Q3" i="9" s="1"/>
  <c r="T3" i="9"/>
  <c r="Z37" i="35" l="1" a="1"/>
  <c r="Z37" i="35" s="1"/>
  <c r="AB34" i="35" a="1"/>
  <c r="AB34" i="35" s="1"/>
  <c r="AE34" i="35" s="1"/>
  <c r="AF34" i="35" s="1"/>
  <c r="F57" i="35" a="1"/>
  <c r="F57" i="35" s="1"/>
  <c r="G57" i="35" s="1" a="1"/>
  <c r="G57" i="35" s="1"/>
  <c r="E58" i="35" a="1"/>
  <c r="E58" i="35" s="1"/>
  <c r="X39" i="35" a="1"/>
  <c r="X39" i="35" s="1"/>
  <c r="N49" i="35" a="1"/>
  <c r="N49" i="35" s="1"/>
  <c r="M50" i="35" a="1"/>
  <c r="M50" i="35" s="1"/>
  <c r="Y38" i="35" a="1"/>
  <c r="Y38" i="35" s="1"/>
  <c r="Z38" i="35" s="1" a="1"/>
  <c r="Z38" i="35" s="1"/>
  <c r="AA35" i="35" a="1"/>
  <c r="AA35" i="35" s="1"/>
  <c r="AB35" i="35" s="1" a="1"/>
  <c r="AB35" i="35" s="1"/>
  <c r="AE35" i="35" s="1"/>
  <c r="AF35" i="35" s="1"/>
  <c r="H56" i="35" a="1"/>
  <c r="H56" i="35" s="1"/>
  <c r="R44" i="35" a="1"/>
  <c r="R44" i="35" s="1"/>
  <c r="S44" i="35" s="1" a="1"/>
  <c r="S44" i="35" s="1"/>
  <c r="V40" i="35" a="1"/>
  <c r="V40" i="35" s="1"/>
  <c r="O48" i="35" a="1"/>
  <c r="O48" i="35" s="1"/>
  <c r="P47" i="35" a="1"/>
  <c r="P47" i="35" s="1"/>
  <c r="U41" i="35" a="1"/>
  <c r="U41" i="35" s="1"/>
  <c r="Q46" i="35" a="1"/>
  <c r="Q46" i="35" s="1"/>
  <c r="I54" i="35" a="1"/>
  <c r="I54" i="35" s="1"/>
  <c r="I55" i="35" s="1" a="1"/>
  <c r="I55" i="35" s="1"/>
  <c r="K52" i="35" a="1"/>
  <c r="K52" i="35" s="1"/>
  <c r="K53" i="35" s="1" a="1"/>
  <c r="K53" i="35" s="1"/>
  <c r="T42" i="35" a="1"/>
  <c r="T42" i="35" s="1"/>
  <c r="T43" i="35" s="1" a="1"/>
  <c r="T43" i="35" s="1"/>
  <c r="Z19" i="9"/>
  <c r="R19" i="9" s="1"/>
  <c r="S19" i="9" s="1"/>
  <c r="Z18" i="9"/>
  <c r="R18" i="9" s="1"/>
  <c r="N18" i="9" s="1"/>
  <c r="O18" i="9" s="1"/>
  <c r="Z17" i="9"/>
  <c r="R17" i="9" s="1"/>
  <c r="S17" i="9" s="1"/>
  <c r="Z16" i="9"/>
  <c r="R16" i="9" s="1"/>
  <c r="S16" i="9" s="1"/>
  <c r="Z15" i="9"/>
  <c r="R15" i="9" s="1"/>
  <c r="S15" i="9" s="1"/>
  <c r="Z14" i="9"/>
  <c r="R14" i="9" s="1"/>
  <c r="S14" i="9" s="1"/>
  <c r="Z13" i="9"/>
  <c r="R13" i="9" s="1"/>
  <c r="S13" i="9" s="1"/>
  <c r="Z12" i="9"/>
  <c r="R12" i="9" s="1"/>
  <c r="S12" i="9" s="1"/>
  <c r="Z11" i="9"/>
  <c r="R11" i="9" s="1"/>
  <c r="S11" i="9" s="1"/>
  <c r="Z10" i="9"/>
  <c r="R10" i="9" s="1"/>
  <c r="S10" i="9" s="1"/>
  <c r="Z9" i="9"/>
  <c r="Z8" i="9"/>
  <c r="R8" i="9" s="1"/>
  <c r="S8" i="9" s="1"/>
  <c r="Z7" i="9"/>
  <c r="R7" i="9" s="1"/>
  <c r="S7" i="9" s="1"/>
  <c r="Z6" i="9"/>
  <c r="R6" i="9" s="1"/>
  <c r="S6" i="9" s="1"/>
  <c r="Z5" i="9"/>
  <c r="R5" i="9" s="1"/>
  <c r="S5" i="9" s="1"/>
  <c r="Z4" i="9"/>
  <c r="R4" i="9" s="1"/>
  <c r="S4" i="9" s="1"/>
  <c r="Z3" i="9"/>
  <c r="R3" i="9" s="1"/>
  <c r="D30" i="9"/>
  <c r="F19" i="9"/>
  <c r="W19" i="9" s="1"/>
  <c r="F18" i="9"/>
  <c r="W18" i="9" s="1"/>
  <c r="F17" i="9"/>
  <c r="W17" i="9" s="1"/>
  <c r="U17" i="9" s="1"/>
  <c r="W16" i="9"/>
  <c r="U16" i="9" s="1"/>
  <c r="W15" i="9"/>
  <c r="U15" i="9" s="1"/>
  <c r="W14" i="9"/>
  <c r="U14" i="9" s="1"/>
  <c r="W13" i="9"/>
  <c r="U13" i="9" s="1"/>
  <c r="W12" i="9"/>
  <c r="U12" i="9" s="1"/>
  <c r="W11" i="9"/>
  <c r="U11" i="9" s="1"/>
  <c r="W10" i="9"/>
  <c r="U10" i="9" s="1"/>
  <c r="W9" i="9"/>
  <c r="W8" i="9"/>
  <c r="W7" i="9"/>
  <c r="U7" i="9" s="1"/>
  <c r="W6" i="9"/>
  <c r="U6" i="9" s="1"/>
  <c r="W5" i="9"/>
  <c r="W4" i="9"/>
  <c r="U4" i="9" s="1"/>
  <c r="R45" i="35" l="1" a="1"/>
  <c r="R45" i="35" s="1"/>
  <c r="R46" i="35" s="1" a="1"/>
  <c r="R46" i="35" s="1"/>
  <c r="V41" i="35" a="1"/>
  <c r="V41" i="35" s="1"/>
  <c r="I56" i="35" a="1"/>
  <c r="I56" i="35" s="1"/>
  <c r="P48" i="35" a="1"/>
  <c r="P48" i="35" s="1"/>
  <c r="T44" i="35" a="1"/>
  <c r="T44" i="35" s="1"/>
  <c r="N50" i="35" a="1"/>
  <c r="N50" i="35" s="1"/>
  <c r="M51" i="35" a="1"/>
  <c r="M51" i="35" s="1"/>
  <c r="N51" i="35" s="1" a="1"/>
  <c r="N51" i="35" s="1"/>
  <c r="J54" i="35" a="1"/>
  <c r="J54" i="35" s="1"/>
  <c r="K54" i="35" s="1" a="1"/>
  <c r="K54" i="35" s="1"/>
  <c r="H57" i="35" a="1"/>
  <c r="H57" i="35" s="1"/>
  <c r="U42" i="35" a="1"/>
  <c r="U42" i="35" s="1"/>
  <c r="U43" i="35" s="1" a="1"/>
  <c r="U43" i="35" s="1"/>
  <c r="S45" i="35" a="1"/>
  <c r="S45" i="35" s="1"/>
  <c r="W40" i="35" a="1"/>
  <c r="W40" i="35" s="1"/>
  <c r="F58" i="35" a="1"/>
  <c r="F58" i="35" s="1"/>
  <c r="E59" i="35" a="1"/>
  <c r="E59" i="35" s="1"/>
  <c r="L52" i="35" a="1"/>
  <c r="L52" i="35" s="1"/>
  <c r="M52" i="35" s="1" a="1"/>
  <c r="M52" i="35" s="1"/>
  <c r="N52" i="35" s="1" a="1"/>
  <c r="N52" i="35" s="1"/>
  <c r="Q47" i="35" a="1"/>
  <c r="Q47" i="35" s="1"/>
  <c r="AA36" i="35" a="1"/>
  <c r="AA36" i="35" s="1"/>
  <c r="O49" i="35" a="1"/>
  <c r="O49" i="35" s="1"/>
  <c r="Y39" i="35" a="1"/>
  <c r="Y39" i="35" s="1"/>
  <c r="R9" i="9"/>
  <c r="S9" i="9" s="1"/>
  <c r="T8" i="9"/>
  <c r="U8" i="9"/>
  <c r="T5" i="9"/>
  <c r="U5" i="9"/>
  <c r="T9" i="9"/>
  <c r="U9" i="9"/>
  <c r="N3" i="9"/>
  <c r="O3" i="9" s="1"/>
  <c r="J3" i="9"/>
  <c r="P5" i="9"/>
  <c r="J5" i="9" s="1"/>
  <c r="P19" i="9"/>
  <c r="H19" i="9" s="1"/>
  <c r="P13" i="9"/>
  <c r="J13" i="9" s="1"/>
  <c r="P11" i="9"/>
  <c r="J11" i="9" s="1"/>
  <c r="P17" i="9"/>
  <c r="J17" i="9" s="1"/>
  <c r="P9" i="9"/>
  <c r="J9" i="9" s="1"/>
  <c r="P15" i="9"/>
  <c r="J15" i="9" s="1"/>
  <c r="P7" i="9"/>
  <c r="H7" i="9" s="1"/>
  <c r="P18" i="9"/>
  <c r="J18" i="9" s="1"/>
  <c r="P14" i="9"/>
  <c r="J14" i="9" s="1"/>
  <c r="P10" i="9"/>
  <c r="J10" i="9" s="1"/>
  <c r="P6" i="9"/>
  <c r="J6" i="9" s="1"/>
  <c r="P16" i="9"/>
  <c r="J16" i="9" s="1"/>
  <c r="P12" i="9"/>
  <c r="J12" i="9" s="1"/>
  <c r="P8" i="9"/>
  <c r="J8" i="9" s="1"/>
  <c r="P4" i="9"/>
  <c r="J4" i="9" s="1"/>
  <c r="N7" i="9"/>
  <c r="O7" i="9" s="1"/>
  <c r="S3" i="9"/>
  <c r="V3" i="9" s="1"/>
  <c r="S18" i="9"/>
  <c r="N4" i="9"/>
  <c r="O4" i="9" s="1"/>
  <c r="N8" i="9"/>
  <c r="O8" i="9" s="1"/>
  <c r="N5" i="9"/>
  <c r="O5" i="9" s="1"/>
  <c r="N6" i="9"/>
  <c r="O6" i="9" s="1"/>
  <c r="N10" i="9"/>
  <c r="O10" i="9" s="1"/>
  <c r="N12" i="9"/>
  <c r="O12" i="9" s="1"/>
  <c r="N13" i="9"/>
  <c r="O13" i="9" s="1"/>
  <c r="N14" i="9"/>
  <c r="O14" i="9" s="1"/>
  <c r="N15" i="9"/>
  <c r="O15" i="9" s="1"/>
  <c r="N17" i="9"/>
  <c r="O17" i="9" s="1"/>
  <c r="N19" i="9"/>
  <c r="O19" i="9" s="1"/>
  <c r="N16" i="9"/>
  <c r="O16" i="9" s="1"/>
  <c r="N11" i="9"/>
  <c r="O11" i="9" s="1"/>
  <c r="T4" i="9"/>
  <c r="T6" i="9"/>
  <c r="T7" i="9"/>
  <c r="T10" i="9"/>
  <c r="T11" i="9"/>
  <c r="T12" i="9"/>
  <c r="T13" i="9"/>
  <c r="T14" i="9"/>
  <c r="T15" i="9"/>
  <c r="T16" i="9"/>
  <c r="T17" i="9"/>
  <c r="T18" i="9"/>
  <c r="T19" i="9"/>
  <c r="H3" i="9"/>
  <c r="I3" i="9" s="1"/>
  <c r="P49" i="35" l="1" a="1"/>
  <c r="P49" i="35" s="1"/>
  <c r="R47" i="35" a="1"/>
  <c r="R47" i="35" s="1"/>
  <c r="I57" i="35" a="1"/>
  <c r="I57" i="35" s="1"/>
  <c r="L53" i="35" a="1"/>
  <c r="L53" i="35" s="1"/>
  <c r="L54" i="35" s="1" a="1"/>
  <c r="L54" i="35" s="1"/>
  <c r="X40" i="35" a="1"/>
  <c r="X40" i="35" s="1"/>
  <c r="Z39" i="35" a="1"/>
  <c r="Z39" i="35" s="1"/>
  <c r="AB36" i="35" a="1"/>
  <c r="AB36" i="35" s="1"/>
  <c r="AA37" i="35" a="1"/>
  <c r="AA37" i="35" s="1"/>
  <c r="F59" i="35" a="1"/>
  <c r="F59" i="35" s="1"/>
  <c r="E61" i="35" a="1"/>
  <c r="E61" i="35" s="1"/>
  <c r="W41" i="35" a="1"/>
  <c r="W41" i="35" s="1"/>
  <c r="G58" i="35" a="1"/>
  <c r="G58" i="35" s="1"/>
  <c r="T45" i="35" a="1"/>
  <c r="T45" i="35" s="1"/>
  <c r="J55" i="35" a="1"/>
  <c r="J55" i="35" s="1"/>
  <c r="V42" i="35" a="1"/>
  <c r="V42" i="35" s="1"/>
  <c r="V43" i="35" s="1" a="1"/>
  <c r="V43" i="35" s="1"/>
  <c r="O50" i="35" a="1"/>
  <c r="O50" i="35" s="1"/>
  <c r="U44" i="35" a="1"/>
  <c r="U44" i="35" s="1"/>
  <c r="Q48" i="35" a="1"/>
  <c r="Q48" i="35" s="1"/>
  <c r="Q49" i="35" s="1" a="1"/>
  <c r="Q49" i="35" s="1"/>
  <c r="S46" i="35" a="1"/>
  <c r="S46" i="35" s="1"/>
  <c r="M53" i="35" a="1"/>
  <c r="M53" i="35" s="1"/>
  <c r="N53" i="35" s="1" a="1"/>
  <c r="N53" i="35" s="1"/>
  <c r="Q5" i="9"/>
  <c r="V5" i="9" s="1"/>
  <c r="N9" i="9"/>
  <c r="O9" i="9" s="1"/>
  <c r="J19" i="9"/>
  <c r="H13" i="9"/>
  <c r="Q19" i="9"/>
  <c r="V19" i="9" s="1"/>
  <c r="Q11" i="9"/>
  <c r="V11" i="9" s="1"/>
  <c r="Q9" i="9"/>
  <c r="V9" i="9" s="1"/>
  <c r="H9" i="9"/>
  <c r="J7" i="9"/>
  <c r="H11" i="9"/>
  <c r="H5" i="9"/>
  <c r="Q17" i="9"/>
  <c r="V17" i="9" s="1"/>
  <c r="Q13" i="9"/>
  <c r="V13" i="9" s="1"/>
  <c r="H8" i="9"/>
  <c r="H17" i="9"/>
  <c r="Q18" i="9"/>
  <c r="V18" i="9" s="1"/>
  <c r="Q16" i="9"/>
  <c r="V16" i="9" s="1"/>
  <c r="H18" i="9"/>
  <c r="H16" i="9"/>
  <c r="Q7" i="9"/>
  <c r="V7" i="9" s="1"/>
  <c r="Q15" i="9"/>
  <c r="V15" i="9" s="1"/>
  <c r="H15" i="9"/>
  <c r="Q10" i="9"/>
  <c r="V10" i="9" s="1"/>
  <c r="H10" i="9"/>
  <c r="Q8" i="9"/>
  <c r="V8" i="9" s="1"/>
  <c r="Q14" i="9"/>
  <c r="V14" i="9" s="1"/>
  <c r="H14" i="9"/>
  <c r="Q12" i="9"/>
  <c r="V12" i="9" s="1"/>
  <c r="H12" i="9"/>
  <c r="Q6" i="9"/>
  <c r="V6" i="9" s="1"/>
  <c r="H6" i="9"/>
  <c r="Q4" i="9"/>
  <c r="V4" i="9" s="1"/>
  <c r="H4" i="9"/>
  <c r="I4" i="9" s="1"/>
  <c r="T46" i="35" l="1" a="1"/>
  <c r="T46" i="35" s="1"/>
  <c r="S47" i="35" a="1"/>
  <c r="S47" i="35" s="1"/>
  <c r="T47" i="35" s="1" a="1"/>
  <c r="T47" i="35" s="1"/>
  <c r="M54" i="35" a="1"/>
  <c r="M54" i="35" s="1"/>
  <c r="X41" i="35" a="1"/>
  <c r="X41" i="35" s="1"/>
  <c r="Y40" i="35" a="1"/>
  <c r="Y40" i="35" s="1"/>
  <c r="P50" i="35" a="1"/>
  <c r="P50" i="35" s="1"/>
  <c r="H58" i="35" a="1"/>
  <c r="H58" i="35" s="1"/>
  <c r="AB37" i="35" a="1"/>
  <c r="AB37" i="35" s="1"/>
  <c r="AE37" i="35" s="1"/>
  <c r="AF37" i="35" s="1"/>
  <c r="AA38" i="35" a="1"/>
  <c r="AA38" i="35" s="1"/>
  <c r="AA39" i="35" s="1" a="1"/>
  <c r="AA39" i="35" s="1"/>
  <c r="J56" i="35" a="1"/>
  <c r="J56" i="35" s="1"/>
  <c r="J57" i="35" s="1" a="1"/>
  <c r="J57" i="35" s="1"/>
  <c r="K55" i="35" a="1"/>
  <c r="K55" i="35" s="1"/>
  <c r="N54" i="35" a="1"/>
  <c r="N54" i="35" s="1"/>
  <c r="R48" i="35" a="1"/>
  <c r="R48" i="35" s="1"/>
  <c r="W42" i="35" a="1"/>
  <c r="W42" i="35" s="1"/>
  <c r="V44" i="35" a="1"/>
  <c r="V44" i="35" s="1"/>
  <c r="U45" i="35" a="1"/>
  <c r="U45" i="35" s="1"/>
  <c r="F61" i="35" a="1"/>
  <c r="F61" i="35" s="1"/>
  <c r="E64" i="35" a="1"/>
  <c r="E64" i="35" s="1"/>
  <c r="E63" i="35" a="1"/>
  <c r="E63" i="35" s="1"/>
  <c r="G59" i="35" a="1"/>
  <c r="G59" i="35" s="1"/>
  <c r="AE36" i="35"/>
  <c r="AF36" i="35" s="1"/>
  <c r="O51" i="35" a="1"/>
  <c r="O51" i="35" s="1"/>
  <c r="P51" i="35" s="1" a="1"/>
  <c r="P51" i="35" s="1"/>
  <c r="I5" i="9"/>
  <c r="I6" i="9" s="1"/>
  <c r="I7" i="9" s="1"/>
  <c r="I8" i="9" s="1"/>
  <c r="I9" i="9" s="1"/>
  <c r="I10" i="9" s="1"/>
  <c r="I11" i="9" s="1"/>
  <c r="I12" i="9" s="1"/>
  <c r="I13" i="9" s="1"/>
  <c r="I14" i="9" s="1"/>
  <c r="I15" i="9" s="1"/>
  <c r="I16" i="9" s="1"/>
  <c r="I17" i="9" s="1"/>
  <c r="I18" i="9" s="1"/>
  <c r="I19" i="9" s="1"/>
  <c r="X42" i="35" l="1" a="1"/>
  <c r="X42" i="35" s="1"/>
  <c r="F64" i="35" a="1"/>
  <c r="F64" i="35" s="1"/>
  <c r="Q50" i="35" a="1"/>
  <c r="Q50" i="35" s="1"/>
  <c r="Q51" i="35" s="1" a="1"/>
  <c r="Q51" i="35" s="1"/>
  <c r="W43" i="35" a="1"/>
  <c r="W43" i="35" s="1"/>
  <c r="W44" i="35" s="1" a="1"/>
  <c r="W44" i="35" s="1"/>
  <c r="O52" i="35" a="1"/>
  <c r="O52" i="35" s="1"/>
  <c r="K56" i="35" a="1"/>
  <c r="K56" i="35" s="1"/>
  <c r="K57" i="35" s="1" a="1"/>
  <c r="K57" i="35" s="1"/>
  <c r="H59" i="35" a="1"/>
  <c r="H59" i="35" s="1"/>
  <c r="Z40" i="35" a="1"/>
  <c r="Z40" i="35" s="1"/>
  <c r="G61" i="35" a="1"/>
  <c r="G61" i="35" s="1"/>
  <c r="F63" i="35" a="1"/>
  <c r="F63" i="35" s="1"/>
  <c r="G63" i="35" s="1" a="1"/>
  <c r="G63" i="35" s="1"/>
  <c r="E66" i="35" a="1"/>
  <c r="E66" i="35" s="1"/>
  <c r="V45" i="35" a="1"/>
  <c r="V45" i="35" s="1"/>
  <c r="U46" i="35" a="1"/>
  <c r="U46" i="35" s="1"/>
  <c r="S48" i="35" a="1"/>
  <c r="S48" i="35" s="1"/>
  <c r="L55" i="35" a="1"/>
  <c r="L55" i="35" s="1"/>
  <c r="AB38" i="35" a="1"/>
  <c r="AB38" i="35" s="1"/>
  <c r="AC38" i="35" s="1" a="1"/>
  <c r="AC38" i="35" s="1"/>
  <c r="I58" i="35" a="1"/>
  <c r="I58" i="35" s="1"/>
  <c r="Y41" i="35" a="1"/>
  <c r="Y41" i="35" s="1"/>
  <c r="O53" i="35" a="1"/>
  <c r="O53" i="35" s="1"/>
  <c r="R49" i="35" a="1"/>
  <c r="R49" i="35" s="1"/>
  <c r="I59" i="35" l="1" a="1"/>
  <c r="I59" i="35" s="1"/>
  <c r="S49" i="35" a="1"/>
  <c r="S49" i="35" s="1"/>
  <c r="Z41" i="35" a="1"/>
  <c r="Z41" i="35" s="1"/>
  <c r="L56" i="35" a="1"/>
  <c r="L56" i="35" s="1"/>
  <c r="L57" i="35" s="1" a="1"/>
  <c r="L57" i="35" s="1"/>
  <c r="M55" i="35" a="1"/>
  <c r="M55" i="35" s="1"/>
  <c r="W45" i="35" a="1"/>
  <c r="W45" i="35" s="1"/>
  <c r="Y42" i="35" a="1"/>
  <c r="Y42" i="35" s="1"/>
  <c r="T48" i="35" a="1"/>
  <c r="T48" i="35" s="1"/>
  <c r="AB39" i="35" a="1"/>
  <c r="AB39" i="35" s="1"/>
  <c r="AC39" i="35" s="1" a="1"/>
  <c r="AC39" i="35" s="1"/>
  <c r="AA40" i="35" a="1"/>
  <c r="AA40" i="35" s="1"/>
  <c r="P52" i="35" a="1"/>
  <c r="P52" i="35" s="1"/>
  <c r="R50" i="35" a="1"/>
  <c r="R50" i="35" s="1"/>
  <c r="S50" i="35" s="1" a="1"/>
  <c r="S50" i="35" s="1"/>
  <c r="O54" i="35" a="1"/>
  <c r="O54" i="35" s="1"/>
  <c r="AD38" i="35" a="1"/>
  <c r="AD38" i="35" s="1"/>
  <c r="V46" i="35" a="1"/>
  <c r="V46" i="35" s="1"/>
  <c r="U47" i="35" a="1"/>
  <c r="U47" i="35" s="1"/>
  <c r="V47" i="35" s="1" a="1"/>
  <c r="V47" i="35" s="1"/>
  <c r="J58" i="35" a="1"/>
  <c r="J58" i="35" s="1"/>
  <c r="F66" i="35" a="1"/>
  <c r="F66" i="35" s="1"/>
  <c r="G66" i="35" s="1" a="1"/>
  <c r="G66" i="35" s="1"/>
  <c r="E67" i="35" a="1"/>
  <c r="E67" i="35" s="1"/>
  <c r="H61" i="35" a="1"/>
  <c r="H61" i="35" s="1"/>
  <c r="H63" i="35" s="1" a="1"/>
  <c r="H63" i="35" s="1"/>
  <c r="X43" i="35" a="1"/>
  <c r="X43" i="35" s="1"/>
  <c r="X44" i="35" s="1" a="1"/>
  <c r="X44" i="35" s="1"/>
  <c r="G64" i="35" a="1"/>
  <c r="G64" i="35" s="1"/>
  <c r="AA41" i="35" l="1" a="1"/>
  <c r="AA41" i="35" s="1"/>
  <c r="M56" i="35" a="1"/>
  <c r="M56" i="35" s="1"/>
  <c r="M57" i="35" s="1" a="1"/>
  <c r="M57" i="35" s="1"/>
  <c r="R51" i="35" a="1"/>
  <c r="R51" i="35" s="1"/>
  <c r="S51" i="35" s="1" a="1"/>
  <c r="S51" i="35" s="1"/>
  <c r="W46" i="35" a="1"/>
  <c r="W46" i="35" s="1"/>
  <c r="W47" i="35" s="1" a="1"/>
  <c r="W47" i="35" s="1"/>
  <c r="H66" i="35" a="1"/>
  <c r="H66" i="35" s="1"/>
  <c r="Q52" i="35" a="1"/>
  <c r="Q52" i="35" s="1"/>
  <c r="J59" i="35" a="1"/>
  <c r="J59" i="35" s="1"/>
  <c r="AD39" i="35" a="1"/>
  <c r="AD39" i="35" s="1"/>
  <c r="AE39" i="35" s="1"/>
  <c r="AF39" i="35" s="1"/>
  <c r="Y43" i="35" a="1"/>
  <c r="Y43" i="35" s="1"/>
  <c r="I61" i="35" a="1"/>
  <c r="I61" i="35" s="1"/>
  <c r="J61" i="35" s="1" a="1"/>
  <c r="J61" i="35" s="1"/>
  <c r="F67" i="35" a="1"/>
  <c r="F67" i="35" s="1"/>
  <c r="E68" i="35" a="1"/>
  <c r="E68" i="35" s="1"/>
  <c r="AE38" i="35"/>
  <c r="AF38" i="35" s="1" a="1"/>
  <c r="AF38" i="35" s="1"/>
  <c r="P53" i="35" a="1"/>
  <c r="P53" i="35" s="1"/>
  <c r="AB40" i="35" a="1"/>
  <c r="AB40" i="35" s="1"/>
  <c r="H64" i="35" a="1"/>
  <c r="H64" i="35" s="1"/>
  <c r="Z42" i="35" a="1"/>
  <c r="Z42" i="35" s="1"/>
  <c r="X45" i="35" a="1"/>
  <c r="X45" i="35" s="1"/>
  <c r="U48" i="35" a="1"/>
  <c r="U48" i="35" s="1"/>
  <c r="V48" i="35" s="1" a="1"/>
  <c r="V48" i="35" s="1"/>
  <c r="T49" i="35" a="1"/>
  <c r="T49" i="35" s="1"/>
  <c r="K58" i="35" a="1"/>
  <c r="K58" i="35" s="1"/>
  <c r="N55" i="35" a="1"/>
  <c r="N55" i="35" s="1"/>
  <c r="I64" i="35" l="1" a="1"/>
  <c r="I64" i="35" s="1"/>
  <c r="U49" i="35" a="1"/>
  <c r="U49" i="35" s="1"/>
  <c r="Q53" i="35" a="1"/>
  <c r="Q53" i="35" s="1"/>
  <c r="P54" i="35" a="1"/>
  <c r="P54" i="35" s="1"/>
  <c r="Q54" i="35" s="1" a="1"/>
  <c r="Q54" i="35" s="1"/>
  <c r="W48" i="35" a="1"/>
  <c r="W48" i="35" s="1"/>
  <c r="O55" i="35" a="1"/>
  <c r="O55" i="35" s="1"/>
  <c r="AC40" i="35" a="1"/>
  <c r="AC40" i="35" s="1"/>
  <c r="G67" i="35" a="1"/>
  <c r="G67" i="35" s="1"/>
  <c r="H67" i="35" s="1" a="1"/>
  <c r="H67" i="35" s="1"/>
  <c r="Z43" i="35" a="1"/>
  <c r="Z43" i="35" s="1"/>
  <c r="K59" i="35" a="1"/>
  <c r="K59" i="35" s="1"/>
  <c r="K61" i="35" s="1" a="1"/>
  <c r="K61" i="35" s="1"/>
  <c r="V49" i="35" a="1"/>
  <c r="V49" i="35" s="1"/>
  <c r="J64" i="35" a="1"/>
  <c r="J64" i="35" s="1"/>
  <c r="X46" i="35" a="1"/>
  <c r="X46" i="35" s="1"/>
  <c r="X47" i="35" s="1" a="1"/>
  <c r="X47" i="35" s="1"/>
  <c r="Y44" i="35" a="1"/>
  <c r="Y44" i="35" s="1"/>
  <c r="T50" i="35" a="1"/>
  <c r="T50" i="35" s="1"/>
  <c r="U50" i="35" s="1" a="1"/>
  <c r="U50" i="35" s="1"/>
  <c r="V50" i="35" s="1" a="1"/>
  <c r="V50" i="35" s="1"/>
  <c r="F68" i="35" a="1"/>
  <c r="F68" i="35" s="1"/>
  <c r="E69" i="35" a="1"/>
  <c r="E69" i="35" s="1"/>
  <c r="R52" i="35" a="1"/>
  <c r="R52" i="35" s="1"/>
  <c r="I63" i="35" a="1"/>
  <c r="I63" i="35" s="1"/>
  <c r="N56" i="35" a="1"/>
  <c r="N56" i="35" s="1"/>
  <c r="N57" i="35" s="1" a="1"/>
  <c r="N57" i="35" s="1"/>
  <c r="AA42" i="35" a="1"/>
  <c r="AA42" i="35" s="1"/>
  <c r="L58" i="35" a="1"/>
  <c r="L58" i="35" s="1"/>
  <c r="AB41" i="35" a="1"/>
  <c r="AB41" i="35" s="1"/>
  <c r="T51" i="35" l="1" a="1"/>
  <c r="T51" i="35" s="1"/>
  <c r="U51" i="35" s="1" a="1"/>
  <c r="U51" i="35" s="1"/>
  <c r="V51" i="35" s="1" a="1"/>
  <c r="V51" i="35" s="1"/>
  <c r="AC41" i="35" a="1"/>
  <c r="AC41" i="35" s="1"/>
  <c r="W49" i="35" a="1"/>
  <c r="W49" i="35" s="1"/>
  <c r="O56" i="35" a="1"/>
  <c r="O56" i="35" s="1"/>
  <c r="O57" i="35" s="1" a="1"/>
  <c r="O57" i="35" s="1"/>
  <c r="AB42" i="35" a="1"/>
  <c r="AB42" i="35" s="1"/>
  <c r="AC42" i="35" s="1" a="1"/>
  <c r="AC42" i="35" s="1"/>
  <c r="S52" i="35" a="1"/>
  <c r="S52" i="35" s="1"/>
  <c r="F69" i="35" a="1"/>
  <c r="F69" i="35" s="1"/>
  <c r="E73" i="35" a="1"/>
  <c r="E73" i="35" s="1"/>
  <c r="Z44" i="35" a="1"/>
  <c r="Z44" i="35" s="1"/>
  <c r="K64" i="35" a="1"/>
  <c r="K64" i="35" s="1"/>
  <c r="X48" i="35" a="1"/>
  <c r="X48" i="35" s="1"/>
  <c r="X49" i="35" s="1" a="1"/>
  <c r="X49" i="35" s="1"/>
  <c r="J63" i="35" a="1"/>
  <c r="J63" i="35" s="1"/>
  <c r="I66" i="35" a="1"/>
  <c r="I66" i="35" s="1"/>
  <c r="I67" i="35" s="1" a="1"/>
  <c r="I67" i="35" s="1"/>
  <c r="AA43" i="35" a="1"/>
  <c r="AA43" i="35" s="1"/>
  <c r="R53" i="35" a="1"/>
  <c r="R53" i="35" s="1"/>
  <c r="G68" i="35" a="1"/>
  <c r="G68" i="35" s="1"/>
  <c r="Y45" i="35" a="1"/>
  <c r="Y45" i="35" s="1"/>
  <c r="L59" i="35" a="1"/>
  <c r="L59" i="35" s="1"/>
  <c r="M58" i="35" a="1"/>
  <c r="M58" i="35" s="1"/>
  <c r="AD40" i="35" a="1"/>
  <c r="AD40" i="35" s="1"/>
  <c r="P55" i="35" a="1"/>
  <c r="P55" i="35" s="1"/>
  <c r="P56" i="35" l="1" a="1"/>
  <c r="P56" i="35" s="1"/>
  <c r="Z45" i="35" a="1"/>
  <c r="Z45" i="35" s="1"/>
  <c r="AB43" i="35" a="1"/>
  <c r="AB43" i="35" s="1"/>
  <c r="AC43" i="35" s="1" a="1"/>
  <c r="AC43" i="35" s="1"/>
  <c r="G69" i="35" a="1"/>
  <c r="G69" i="35" s="1"/>
  <c r="W50" i="35" a="1"/>
  <c r="W50" i="35" s="1"/>
  <c r="X50" i="35" s="1" a="1"/>
  <c r="X50" i="35" s="1"/>
  <c r="Y46" i="35" a="1"/>
  <c r="Y46" i="35" s="1"/>
  <c r="Z46" i="35" s="1" a="1"/>
  <c r="Z46" i="35" s="1"/>
  <c r="S53" i="35" a="1"/>
  <c r="S53" i="35" s="1"/>
  <c r="AE40" i="35"/>
  <c r="AF40" i="35" s="1"/>
  <c r="M59" i="35" a="1"/>
  <c r="M59" i="35" s="1"/>
  <c r="J66" i="35" a="1"/>
  <c r="J66" i="35" s="1"/>
  <c r="J67" i="35" s="1" a="1"/>
  <c r="J67" i="35" s="1"/>
  <c r="AD41" i="35" a="1"/>
  <c r="AD41" i="35" s="1"/>
  <c r="AE41" i="35" s="1"/>
  <c r="AF41" i="35" s="1"/>
  <c r="F73" i="35" a="1"/>
  <c r="F73" i="35" s="1"/>
  <c r="E76" i="35" a="1"/>
  <c r="E76" i="35" s="1"/>
  <c r="T52" i="35" a="1"/>
  <c r="T52" i="35" s="1"/>
  <c r="P57" i="35" a="1"/>
  <c r="P57" i="35" s="1"/>
  <c r="L61" i="35" a="1"/>
  <c r="L61" i="35" s="1"/>
  <c r="N58" i="35" a="1"/>
  <c r="N58" i="35" s="1"/>
  <c r="H68" i="35" a="1"/>
  <c r="H68" i="35" s="1"/>
  <c r="R54" i="35" a="1"/>
  <c r="R54" i="35" s="1"/>
  <c r="K63" i="35" a="1"/>
  <c r="K63" i="35" s="1"/>
  <c r="AA44" i="35" a="1"/>
  <c r="AA44" i="35" s="1"/>
  <c r="Q55" i="35" a="1"/>
  <c r="Q55" i="35" s="1"/>
  <c r="Y47" i="35" a="1"/>
  <c r="Y47" i="35" s="1"/>
  <c r="Z47" i="35" s="1" a="1"/>
  <c r="Z47" i="35" s="1"/>
  <c r="AB44" i="35" l="1" a="1"/>
  <c r="AB44" i="35" s="1"/>
  <c r="AC44" i="35" s="1" a="1"/>
  <c r="AC44" i="35" s="1"/>
  <c r="T53" i="35" a="1"/>
  <c r="T53" i="35" s="1"/>
  <c r="AD42" i="35" a="1"/>
  <c r="AD42" i="35" s="1"/>
  <c r="AE42" i="35" s="1"/>
  <c r="AF42" i="35" s="1"/>
  <c r="S54" i="35" a="1"/>
  <c r="S54" i="35" s="1"/>
  <c r="T54" i="35" s="1" a="1"/>
  <c r="T54" i="35" s="1"/>
  <c r="W51" i="35" a="1"/>
  <c r="W51" i="35" s="1"/>
  <c r="X51" i="35" s="1" a="1"/>
  <c r="X51" i="35" s="1"/>
  <c r="AA45" i="35" a="1"/>
  <c r="AA45" i="35" s="1"/>
  <c r="AB45" i="35" s="1" a="1"/>
  <c r="AB45" i="35" s="1"/>
  <c r="AC45" i="35" s="1" a="1"/>
  <c r="AC45" i="35" s="1"/>
  <c r="U52" i="35" a="1"/>
  <c r="U52" i="35" s="1"/>
  <c r="U53" i="35" s="1" a="1"/>
  <c r="U53" i="35" s="1"/>
  <c r="L63" i="35" a="1"/>
  <c r="L63" i="35" s="1"/>
  <c r="L64" i="35" a="1"/>
  <c r="L64" i="35" s="1"/>
  <c r="M61" i="35" a="1"/>
  <c r="M61" i="35" s="1"/>
  <c r="R55" i="35" a="1"/>
  <c r="R55" i="35" s="1"/>
  <c r="N59" i="35" a="1"/>
  <c r="N59" i="35" s="1"/>
  <c r="Q56" i="35" a="1"/>
  <c r="Q56" i="35" s="1"/>
  <c r="Y48" i="35" a="1"/>
  <c r="Y48" i="35" s="1"/>
  <c r="Z48" i="35" s="1" a="1"/>
  <c r="Z48" i="35" s="1"/>
  <c r="I68" i="35" a="1"/>
  <c r="I68" i="35" s="1"/>
  <c r="J68" i="35" s="1" a="1"/>
  <c r="J68" i="35" s="1"/>
  <c r="H69" i="35" a="1"/>
  <c r="H69" i="35" s="1"/>
  <c r="F76" i="35" a="1"/>
  <c r="F76" i="35" s="1"/>
  <c r="E79" i="35" a="1"/>
  <c r="E79" i="35" s="1"/>
  <c r="K66" i="35" a="1"/>
  <c r="K66" i="35" s="1"/>
  <c r="L66" i="35" s="1" a="1"/>
  <c r="L66" i="35" s="1"/>
  <c r="AA46" i="35" a="1"/>
  <c r="AA46" i="35" s="1"/>
  <c r="AA47" i="35" s="1" a="1"/>
  <c r="AA47" i="35" s="1"/>
  <c r="O58" i="35" a="1"/>
  <c r="O58" i="35" s="1"/>
  <c r="G73" i="35" a="1"/>
  <c r="G73" i="35" s="1"/>
  <c r="AD43" i="35" l="1" a="1"/>
  <c r="AD43" i="35" s="1"/>
  <c r="AE43" i="35" s="1"/>
  <c r="AF43" i="35" s="1"/>
  <c r="H73" i="35" a="1"/>
  <c r="H73" i="35" s="1"/>
  <c r="R56" i="35" a="1"/>
  <c r="R56" i="35" s="1"/>
  <c r="Q57" i="35" a="1"/>
  <c r="Q57" i="35" s="1"/>
  <c r="R57" i="35" s="1" a="1"/>
  <c r="R57" i="35" s="1"/>
  <c r="Y49" i="35" a="1"/>
  <c r="Y49" i="35" s="1"/>
  <c r="F79" i="35" a="1"/>
  <c r="F79" i="35" s="1"/>
  <c r="E80" i="35" a="1"/>
  <c r="E80" i="35" s="1"/>
  <c r="AD44" i="35" a="1"/>
  <c r="AD44" i="35" s="1"/>
  <c r="AE44" i="35" s="1"/>
  <c r="AF44" i="35" s="1"/>
  <c r="I69" i="35" a="1"/>
  <c r="I69" i="35" s="1"/>
  <c r="N61" i="35" a="1"/>
  <c r="N61" i="35" s="1"/>
  <c r="K67" i="35" a="1"/>
  <c r="K67" i="35" s="1"/>
  <c r="K68" i="35" s="1" a="1"/>
  <c r="K68" i="35" s="1"/>
  <c r="G76" i="35" a="1"/>
  <c r="G76" i="35" s="1"/>
  <c r="H76" i="35" s="1" a="1"/>
  <c r="H76" i="35" s="1"/>
  <c r="S55" i="35" a="1"/>
  <c r="S55" i="35" s="1"/>
  <c r="M64" i="35" a="1"/>
  <c r="M64" i="35" s="1"/>
  <c r="N64" i="35" s="1" a="1"/>
  <c r="N64" i="35" s="1"/>
  <c r="U54" i="35" a="1"/>
  <c r="U54" i="35" s="1"/>
  <c r="V52" i="35" a="1"/>
  <c r="V52" i="35" s="1"/>
  <c r="V53" i="35" s="1" a="1"/>
  <c r="V53" i="35" s="1"/>
  <c r="P58" i="35" a="1"/>
  <c r="P58" i="35" s="1"/>
  <c r="AB46" i="35" a="1"/>
  <c r="AB46" i="35" s="1"/>
  <c r="AB47" i="35" s="1" a="1"/>
  <c r="AB47" i="35" s="1"/>
  <c r="AA48" i="35" a="1"/>
  <c r="AA48" i="35" s="1"/>
  <c r="O59" i="35" a="1"/>
  <c r="O59" i="35" s="1"/>
  <c r="M63" i="35" a="1"/>
  <c r="M63" i="35" s="1"/>
  <c r="N63" i="35" s="1" a="1"/>
  <c r="N63" i="35" s="1"/>
  <c r="S56" i="35" l="1" a="1"/>
  <c r="S56" i="35" s="1"/>
  <c r="S57" i="35" s="1" a="1"/>
  <c r="S57" i="35" s="1"/>
  <c r="AD45" i="35" a="1"/>
  <c r="AD45" i="35" s="1"/>
  <c r="AE45" i="35" s="1"/>
  <c r="V54" i="35" a="1"/>
  <c r="V54" i="35" s="1"/>
  <c r="Z49" i="35" a="1"/>
  <c r="Z49" i="35" s="1"/>
  <c r="AA49" i="35" s="1" a="1"/>
  <c r="AA49" i="35" s="1"/>
  <c r="Y50" i="35" a="1"/>
  <c r="Y50" i="35" s="1"/>
  <c r="Q58" i="35" a="1"/>
  <c r="Q58" i="35" s="1"/>
  <c r="T55" i="35" a="1"/>
  <c r="T55" i="35" s="1"/>
  <c r="F80" i="35" a="1"/>
  <c r="F80" i="35" s="1"/>
  <c r="E81" i="35" a="1"/>
  <c r="E81" i="35" s="1"/>
  <c r="G79" i="35" a="1"/>
  <c r="G79" i="35" s="1"/>
  <c r="AB48" i="35" a="1"/>
  <c r="AB48" i="35" s="1"/>
  <c r="J69" i="35" a="1"/>
  <c r="J69" i="35" s="1"/>
  <c r="I73" i="35" a="1"/>
  <c r="I73" i="35" s="1"/>
  <c r="O60" i="35" a="1"/>
  <c r="O60" i="35" s="1"/>
  <c r="P59" i="35" a="1"/>
  <c r="P59" i="35" s="1"/>
  <c r="AC46" i="35" a="1"/>
  <c r="AC46" i="35" s="1"/>
  <c r="AC47" i="35" s="1" a="1"/>
  <c r="AC47" i="35" s="1"/>
  <c r="W52" i="35" a="1"/>
  <c r="W52" i="35" s="1"/>
  <c r="W53" i="35" s="1" a="1"/>
  <c r="W53" i="35" s="1"/>
  <c r="L67" i="35" a="1"/>
  <c r="L67" i="35" s="1"/>
  <c r="L68" i="35" s="1" a="1"/>
  <c r="L68" i="35" s="1"/>
  <c r="M66" i="35" a="1"/>
  <c r="M66" i="35" s="1"/>
  <c r="N66" i="35" s="1" a="1"/>
  <c r="N66" i="35" s="1"/>
  <c r="Q59" i="35" l="1" a="1"/>
  <c r="Q59" i="35" s="1"/>
  <c r="Z50" i="35" a="1"/>
  <c r="Z50" i="35" s="1"/>
  <c r="Y51" i="35" a="1"/>
  <c r="Y51" i="35" s="1"/>
  <c r="Z51" i="35" s="1" a="1"/>
  <c r="Z51" i="35" s="1"/>
  <c r="P60" i="35" a="1"/>
  <c r="P60" i="35" s="1"/>
  <c r="K69" i="35" a="1"/>
  <c r="K69" i="35" s="1"/>
  <c r="O61" i="35" a="1"/>
  <c r="O61" i="35" s="1"/>
  <c r="W54" i="35" a="1"/>
  <c r="W54" i="35" s="1"/>
  <c r="R58" i="35" a="1"/>
  <c r="R58" i="35" s="1"/>
  <c r="J73" i="35" a="1"/>
  <c r="J73" i="35" s="1"/>
  <c r="K73" i="35" s="1" a="1"/>
  <c r="K73" i="35" s="1"/>
  <c r="I76" i="35" a="1"/>
  <c r="I76" i="35" s="1"/>
  <c r="AB49" i="35" a="1"/>
  <c r="AB49" i="35" s="1"/>
  <c r="AA50" i="35" a="1"/>
  <c r="AA50" i="35" s="1"/>
  <c r="AC48" i="35" a="1"/>
  <c r="AC48" i="35" s="1"/>
  <c r="H79" i="35" a="1"/>
  <c r="H79" i="35" s="1"/>
  <c r="I79" i="35" s="1" a="1"/>
  <c r="I79" i="35" s="1"/>
  <c r="X52" i="35" a="1"/>
  <c r="X52" i="35" s="1"/>
  <c r="M67" i="35" a="1"/>
  <c r="M67" i="35" s="1"/>
  <c r="N67" i="35" s="1" a="1"/>
  <c r="N67" i="35" s="1"/>
  <c r="AD46" i="35" a="1"/>
  <c r="AD46" i="35" s="1"/>
  <c r="AD47" i="35" s="1" a="1"/>
  <c r="AD47" i="35" s="1"/>
  <c r="AE47" i="35" s="1"/>
  <c r="AF47" i="35" s="1"/>
  <c r="F81" i="35" a="1"/>
  <c r="F81" i="35" s="1"/>
  <c r="E82" i="35" a="1"/>
  <c r="E82" i="35" s="1"/>
  <c r="G80" i="35" a="1"/>
  <c r="G80" i="35" s="1"/>
  <c r="U55" i="35" a="1"/>
  <c r="U55" i="35" s="1"/>
  <c r="T56" i="35" a="1"/>
  <c r="T56" i="35" s="1"/>
  <c r="U56" i="35" s="1" a="1"/>
  <c r="U56" i="35" s="1"/>
  <c r="R59" i="35" l="1" a="1"/>
  <c r="R59" i="35" s="1"/>
  <c r="H80" i="35" a="1"/>
  <c r="H80" i="35" s="1"/>
  <c r="V55" i="35" a="1"/>
  <c r="V55" i="35" s="1"/>
  <c r="F82" i="35" a="1"/>
  <c r="F82" i="35" s="1"/>
  <c r="E86" i="35" a="1"/>
  <c r="E86" i="35" s="1"/>
  <c r="AD48" i="35" a="1"/>
  <c r="AD48" i="35" s="1"/>
  <c r="AE48" i="35" s="1"/>
  <c r="J76" i="35" a="1"/>
  <c r="J76" i="35" s="1"/>
  <c r="K76" i="35" s="1" a="1"/>
  <c r="K76" i="35" s="1"/>
  <c r="I80" i="35" a="1"/>
  <c r="I80" i="35" s="1"/>
  <c r="M68" i="35" a="1"/>
  <c r="M68" i="35" s="1"/>
  <c r="N68" i="35" s="1" a="1"/>
  <c r="N68" i="35" s="1"/>
  <c r="V56" i="35" a="1"/>
  <c r="V56" i="35" s="1"/>
  <c r="T57" i="35" a="1"/>
  <c r="T57" i="35" s="1"/>
  <c r="G81" i="35" a="1"/>
  <c r="G81" i="35" s="1"/>
  <c r="AE46" i="35"/>
  <c r="AF46" i="35" s="1"/>
  <c r="Y52" i="35" a="1"/>
  <c r="Y52" i="35" s="1"/>
  <c r="AB50" i="35" a="1"/>
  <c r="AB50" i="35" s="1"/>
  <c r="S58" i="35" a="1"/>
  <c r="S58" i="35" s="1"/>
  <c r="S59" i="35" s="1" a="1"/>
  <c r="S59" i="35" s="1"/>
  <c r="L69" i="35" a="1"/>
  <c r="L69" i="35" s="1"/>
  <c r="M69" i="35" s="1" a="1"/>
  <c r="M69" i="35" s="1"/>
  <c r="N69" i="35" s="1" a="1"/>
  <c r="N69" i="35" s="1"/>
  <c r="AA51" i="35" a="1"/>
  <c r="AA51" i="35" s="1"/>
  <c r="AC49" i="35" a="1"/>
  <c r="AC49" i="35" s="1"/>
  <c r="O62" i="35" a="1"/>
  <c r="O62" i="35" s="1"/>
  <c r="P61" i="35" a="1"/>
  <c r="P61" i="35" s="1"/>
  <c r="Q60" i="35" a="1"/>
  <c r="Q60" i="35" s="1"/>
  <c r="R60" i="35" s="1" a="1"/>
  <c r="R60" i="35" s="1"/>
  <c r="X53" i="35" a="1"/>
  <c r="X53" i="35" s="1"/>
  <c r="Y53" i="35" s="1" a="1"/>
  <c r="Y53" i="35" s="1"/>
  <c r="AB51" i="35" l="1" a="1"/>
  <c r="AB51" i="35" s="1"/>
  <c r="Q61" i="35" a="1"/>
  <c r="Q61" i="35" s="1"/>
  <c r="R61" i="35" s="1" a="1"/>
  <c r="R61" i="35" s="1"/>
  <c r="AD49" i="35" a="1"/>
  <c r="AD49" i="35" s="1"/>
  <c r="Z52" i="35" a="1"/>
  <c r="Z52" i="35" s="1"/>
  <c r="T58" i="35" a="1"/>
  <c r="T58" i="35" s="1"/>
  <c r="T59" i="35" s="1" a="1"/>
  <c r="T59" i="35" s="1"/>
  <c r="AC50" i="35" a="1"/>
  <c r="AC50" i="35" s="1"/>
  <c r="U57" i="35" a="1"/>
  <c r="U57" i="35" s="1"/>
  <c r="S60" i="35" a="1"/>
  <c r="S60" i="35" s="1"/>
  <c r="H81" i="35" a="1"/>
  <c r="H81" i="35" s="1"/>
  <c r="I81" i="35" s="1" a="1"/>
  <c r="I81" i="35" s="1"/>
  <c r="X54" i="35" a="1"/>
  <c r="X54" i="35" s="1"/>
  <c r="Y54" i="35" s="1" a="1"/>
  <c r="Y54" i="35" s="1"/>
  <c r="F86" i="35" a="1"/>
  <c r="F86" i="35" s="1"/>
  <c r="E87" i="35" a="1"/>
  <c r="E87" i="35" s="1"/>
  <c r="E93" i="35" a="1"/>
  <c r="E93" i="35" s="1"/>
  <c r="G82" i="35" a="1"/>
  <c r="G82" i="35" s="1"/>
  <c r="W55" i="35" a="1"/>
  <c r="W55" i="35" s="1"/>
  <c r="W56" i="35" s="1" a="1"/>
  <c r="W56" i="35" s="1"/>
  <c r="J79" i="35" a="1"/>
  <c r="J79" i="35" s="1"/>
  <c r="P62" i="35" a="1"/>
  <c r="P62" i="35" s="1"/>
  <c r="O63" i="35" a="1"/>
  <c r="O63" i="35" s="1"/>
  <c r="L73" i="35" a="1"/>
  <c r="L73" i="35" s="1"/>
  <c r="M73" i="35" s="1" a="1"/>
  <c r="M73" i="35" s="1"/>
  <c r="N73" i="35" s="1" a="1"/>
  <c r="N73" i="35" s="1"/>
  <c r="AD50" i="35" l="1" a="1"/>
  <c r="AD50" i="35" s="1"/>
  <c r="AE50" i="35" s="1"/>
  <c r="AF50" i="35" s="1"/>
  <c r="U58" i="35" a="1"/>
  <c r="U58" i="35" s="1"/>
  <c r="U59" i="35" s="1" a="1"/>
  <c r="U59" i="35" s="1"/>
  <c r="G86" i="35" a="1"/>
  <c r="G86" i="35" s="1"/>
  <c r="X55" i="35" a="1"/>
  <c r="X55" i="35" s="1"/>
  <c r="X56" i="35" s="1" a="1"/>
  <c r="X56" i="35" s="1"/>
  <c r="F87" i="35" a="1"/>
  <c r="F87" i="35" s="1"/>
  <c r="E91" i="35" a="1"/>
  <c r="E91" i="35" s="1"/>
  <c r="AA52" i="35" a="1"/>
  <c r="AA52" i="35" s="1"/>
  <c r="AC51" i="35" a="1"/>
  <c r="AC51" i="35" s="1"/>
  <c r="AD51" i="35" s="1" a="1"/>
  <c r="AD51" i="35" s="1"/>
  <c r="AE51" i="35" s="1"/>
  <c r="AF51" i="35" s="1"/>
  <c r="S61" i="35" a="1"/>
  <c r="S61" i="35" s="1"/>
  <c r="F93" i="35" a="1"/>
  <c r="F93" i="35" s="1"/>
  <c r="L76" i="35" a="1"/>
  <c r="L76" i="35" s="1"/>
  <c r="M76" i="35" s="1" a="1"/>
  <c r="M76" i="35" s="1"/>
  <c r="N76" i="35" s="1" a="1"/>
  <c r="N76" i="35" s="1"/>
  <c r="Z53" i="35" a="1"/>
  <c r="Z53" i="35" s="1"/>
  <c r="Q62" i="35" a="1"/>
  <c r="Q62" i="35" s="1"/>
  <c r="P63" i="35" a="1"/>
  <c r="P63" i="35" s="1"/>
  <c r="O64" i="35" a="1"/>
  <c r="O64" i="35" s="1"/>
  <c r="H82" i="35" a="1"/>
  <c r="H82" i="35" s="1"/>
  <c r="H86" i="35" s="1" a="1"/>
  <c r="H86" i="35" s="1"/>
  <c r="T60" i="35" a="1"/>
  <c r="T60" i="35" s="1"/>
  <c r="K79" i="35" a="1"/>
  <c r="K79" i="35" s="1"/>
  <c r="J80" i="35" a="1"/>
  <c r="J80" i="35" s="1"/>
  <c r="V57" i="35" a="1"/>
  <c r="V57" i="35" s="1"/>
  <c r="AE49" i="35"/>
  <c r="AF49" i="35" s="1"/>
  <c r="G93" i="35" l="1" a="1"/>
  <c r="G93" i="35" s="1"/>
  <c r="AA53" i="35" a="1"/>
  <c r="AA53" i="35" s="1"/>
  <c r="G87" i="35" a="1"/>
  <c r="G87" i="35" s="1"/>
  <c r="W57" i="35" a="1"/>
  <c r="W57" i="35" s="1"/>
  <c r="K80" i="35" a="1"/>
  <c r="K80" i="35" s="1"/>
  <c r="J81" i="35" a="1"/>
  <c r="J81" i="35" s="1"/>
  <c r="O65" i="35" a="1"/>
  <c r="O65" i="35" s="1"/>
  <c r="O66" i="35" s="1" a="1"/>
  <c r="O66" i="35" s="1"/>
  <c r="P64" i="35" a="1"/>
  <c r="P64" i="35" s="1"/>
  <c r="L79" i="35" a="1"/>
  <c r="L79" i="35" s="1"/>
  <c r="M79" i="35" s="1" a="1"/>
  <c r="M79" i="35" s="1"/>
  <c r="N79" i="35" s="1" a="1"/>
  <c r="N79" i="35" s="1"/>
  <c r="I82" i="35" a="1"/>
  <c r="I82" i="35" s="1"/>
  <c r="I86" i="35" s="1" a="1"/>
  <c r="I86" i="35" s="1"/>
  <c r="Q63" i="35" a="1"/>
  <c r="Q63" i="35" s="1"/>
  <c r="AB52" i="35" a="1"/>
  <c r="AB52" i="35" s="1"/>
  <c r="AB53" i="35" s="1" a="1"/>
  <c r="AB53" i="35" s="1"/>
  <c r="R62" i="35" a="1"/>
  <c r="R62" i="35" s="1"/>
  <c r="U60" i="35" a="1"/>
  <c r="U60" i="35" s="1"/>
  <c r="V58" i="35" a="1"/>
  <c r="V58" i="35" s="1"/>
  <c r="H93" i="35" a="1"/>
  <c r="H93" i="35" s="1"/>
  <c r="T61" i="35" a="1"/>
  <c r="T61" i="35" s="1"/>
  <c r="Z54" i="35" a="1"/>
  <c r="Z54" i="35" s="1"/>
  <c r="AA54" i="35" s="1" a="1"/>
  <c r="AA54" i="35" s="1"/>
  <c r="F91" i="35" a="1"/>
  <c r="F91" i="35" s="1"/>
  <c r="E94" i="35" a="1"/>
  <c r="E94" i="35" s="1"/>
  <c r="E92" i="35" a="1"/>
  <c r="E92" i="35" s="1"/>
  <c r="Y55" i="35" a="1"/>
  <c r="Y55" i="35" s="1"/>
  <c r="W58" i="35" l="1" a="1"/>
  <c r="W58" i="35" s="1"/>
  <c r="U61" i="35" a="1"/>
  <c r="U61" i="35" s="1"/>
  <c r="J82" i="35" a="1"/>
  <c r="J82" i="35" s="1"/>
  <c r="I93" i="35" a="1"/>
  <c r="I93" i="35" s="1"/>
  <c r="F92" i="35" a="1"/>
  <c r="F92" i="35" s="1"/>
  <c r="E95" i="35" a="1"/>
  <c r="E95" i="35" s="1"/>
  <c r="AC52" i="35" a="1"/>
  <c r="AC52" i="35" s="1"/>
  <c r="R63" i="35" a="1"/>
  <c r="R63" i="35" s="1"/>
  <c r="Q64" i="35" a="1"/>
  <c r="Q64" i="35" s="1"/>
  <c r="L80" i="35" a="1"/>
  <c r="L80" i="35" s="1"/>
  <c r="H87" i="35" a="1"/>
  <c r="H87" i="35" s="1"/>
  <c r="F94" i="35" a="1"/>
  <c r="F94" i="35" s="1"/>
  <c r="E96" i="35" a="1"/>
  <c r="E96" i="35" s="1"/>
  <c r="G91" i="35" a="1"/>
  <c r="G91" i="35" s="1"/>
  <c r="AB54" i="35" a="1"/>
  <c r="AB54" i="35" s="1"/>
  <c r="J86" i="35" a="1"/>
  <c r="J86" i="35" s="1"/>
  <c r="V59" i="35" a="1"/>
  <c r="V59" i="35" s="1"/>
  <c r="W59" i="35" s="1" a="1"/>
  <c r="W59" i="35" s="1"/>
  <c r="P65" i="35" a="1"/>
  <c r="P65" i="35" s="1"/>
  <c r="O67" i="35" a="1"/>
  <c r="O67" i="35" s="1"/>
  <c r="O68" i="35" s="1" a="1"/>
  <c r="O68" i="35" s="1"/>
  <c r="K81" i="35" a="1"/>
  <c r="K81" i="35" s="1"/>
  <c r="K82" i="35" s="1" a="1"/>
  <c r="K82" i="35" s="1"/>
  <c r="X57" i="35" a="1"/>
  <c r="X57" i="35" s="1"/>
  <c r="X58" i="35" s="1" a="1"/>
  <c r="X58" i="35" s="1"/>
  <c r="S62" i="35" a="1"/>
  <c r="S62" i="35" s="1"/>
  <c r="Z55" i="35" a="1"/>
  <c r="Z55" i="35" s="1"/>
  <c r="AA55" i="35" s="1" a="1"/>
  <c r="AA55" i="35" s="1"/>
  <c r="AC53" i="35" a="1"/>
  <c r="AC53" i="35" s="1"/>
  <c r="Y56" i="35" a="1"/>
  <c r="Y56" i="35" s="1"/>
  <c r="R64" i="35" l="1" a="1"/>
  <c r="R64" i="35" s="1"/>
  <c r="G94" i="35" a="1"/>
  <c r="G94" i="35" s="1"/>
  <c r="Z56" i="35" a="1"/>
  <c r="Z56" i="35" s="1"/>
  <c r="AA56" i="35" s="1" a="1"/>
  <c r="AA56" i="35" s="1"/>
  <c r="O69" i="35" a="1"/>
  <c r="O69" i="35" s="1"/>
  <c r="AB55" i="35" a="1"/>
  <c r="AB55" i="35" s="1"/>
  <c r="X59" i="35" a="1"/>
  <c r="X59" i="35" s="1"/>
  <c r="AC54" i="35" a="1"/>
  <c r="AC54" i="35" s="1"/>
  <c r="AD52" i="35" a="1"/>
  <c r="AD52" i="35" s="1"/>
  <c r="AD53" i="35" s="1" a="1"/>
  <c r="AD53" i="35" s="1"/>
  <c r="AE53" i="35" s="1"/>
  <c r="AF53" i="35" s="1"/>
  <c r="T62" i="35" a="1"/>
  <c r="T62" i="35" s="1"/>
  <c r="Q65" i="35" a="1"/>
  <c r="Q65" i="35" s="1"/>
  <c r="R65" i="35" s="1" a="1"/>
  <c r="R65" i="35" s="1"/>
  <c r="V60" i="35" a="1"/>
  <c r="V60" i="35" s="1"/>
  <c r="V61" i="35" s="1" a="1"/>
  <c r="V61" i="35" s="1"/>
  <c r="H91" i="35" a="1"/>
  <c r="H91" i="35" s="1"/>
  <c r="H94" i="35" s="1" a="1"/>
  <c r="H94" i="35" s="1"/>
  <c r="M80" i="35" a="1"/>
  <c r="M80" i="35" s="1"/>
  <c r="J93" i="35" a="1"/>
  <c r="J93" i="35" s="1"/>
  <c r="L81" i="35" a="1"/>
  <c r="L81" i="35" s="1"/>
  <c r="L82" i="35" s="1" a="1"/>
  <c r="L82" i="35" s="1"/>
  <c r="F96" i="35" a="1"/>
  <c r="F96" i="35" s="1"/>
  <c r="E98" i="35" a="1"/>
  <c r="E98" i="35" s="1"/>
  <c r="S63" i="35" a="1"/>
  <c r="S63" i="35" s="1"/>
  <c r="F95" i="35" a="1"/>
  <c r="F95" i="35" s="1"/>
  <c r="E97" i="35" a="1"/>
  <c r="E97" i="35" s="1"/>
  <c r="G92" i="35" a="1"/>
  <c r="G92" i="35" s="1"/>
  <c r="P66" i="35" a="1"/>
  <c r="P66" i="35" s="1"/>
  <c r="P67" i="35" s="1" a="1"/>
  <c r="P67" i="35" s="1"/>
  <c r="K86" i="35" a="1"/>
  <c r="K86" i="35" s="1"/>
  <c r="Y57" i="35" a="1"/>
  <c r="Y57" i="35" s="1"/>
  <c r="Z57" i="35" s="1" a="1"/>
  <c r="Z57" i="35" s="1"/>
  <c r="AA57" i="35" s="1" a="1"/>
  <c r="AA57" i="35" s="1"/>
  <c r="I87" i="35" a="1"/>
  <c r="I87" i="35" s="1"/>
  <c r="J87" i="35" s="1" a="1"/>
  <c r="J87" i="35" s="1"/>
  <c r="H92" i="35" l="1" a="1"/>
  <c r="H92" i="35" s="1"/>
  <c r="T63" i="35" a="1"/>
  <c r="T63" i="35" s="1"/>
  <c r="F98" i="35" a="1"/>
  <c r="F98" i="35" s="1"/>
  <c r="Y58" i="35" a="1"/>
  <c r="Y58" i="35" s="1"/>
  <c r="Z58" i="35" s="1" a="1"/>
  <c r="Z58" i="35" s="1"/>
  <c r="AA58" i="35" s="1" a="1"/>
  <c r="AA58" i="35" s="1"/>
  <c r="Q66" i="35" a="1"/>
  <c r="Q66" i="35" s="1"/>
  <c r="R66" i="35" s="1" a="1"/>
  <c r="R66" i="35" s="1"/>
  <c r="N80" i="35" a="1"/>
  <c r="N80" i="35" s="1"/>
  <c r="S64" i="35" a="1"/>
  <c r="S64" i="35" s="1"/>
  <c r="T64" i="35" s="1" a="1"/>
  <c r="T64" i="35" s="1"/>
  <c r="AC55" i="35" a="1"/>
  <c r="AC55" i="35" s="1"/>
  <c r="AB56" i="35" a="1"/>
  <c r="AB56" i="35" s="1"/>
  <c r="AB57" i="35" s="1" a="1"/>
  <c r="AB57" i="35" s="1"/>
  <c r="P68" i="35" a="1"/>
  <c r="P68" i="35" s="1"/>
  <c r="I91" i="35" a="1"/>
  <c r="I91" i="35" s="1"/>
  <c r="W60" i="35" a="1"/>
  <c r="W60" i="35" s="1"/>
  <c r="X60" i="35" s="1" a="1"/>
  <c r="X60" i="35" s="1"/>
  <c r="AE98" i="35"/>
  <c r="E102" i="35" a="1"/>
  <c r="E102" i="35" s="1"/>
  <c r="K87" i="35" a="1"/>
  <c r="K87" i="35" s="1"/>
  <c r="AD54" i="35" a="1"/>
  <c r="AD54" i="35" s="1"/>
  <c r="AE54" i="35" s="1"/>
  <c r="AF54" i="35" s="1"/>
  <c r="F97" i="35" a="1"/>
  <c r="F97" i="35" s="1"/>
  <c r="E101" i="35" a="1"/>
  <c r="E101" i="35" s="1"/>
  <c r="E100" i="35" a="1"/>
  <c r="E100" i="35" s="1"/>
  <c r="E99" i="35" a="1"/>
  <c r="E99" i="35" s="1"/>
  <c r="G95" i="35" a="1"/>
  <c r="G95" i="35" s="1"/>
  <c r="G96" i="35" a="1"/>
  <c r="G96" i="35" s="1"/>
  <c r="M81" i="35" a="1"/>
  <c r="M81" i="35" s="1"/>
  <c r="N81" i="35" s="1" a="1"/>
  <c r="N81" i="35" s="1"/>
  <c r="K93" i="35" a="1"/>
  <c r="K93" i="35" s="1"/>
  <c r="U62" i="35" a="1"/>
  <c r="U62" i="35" s="1"/>
  <c r="AE52" i="35"/>
  <c r="AF52" i="35" s="1"/>
  <c r="L86" i="35" a="1"/>
  <c r="L86" i="35" s="1"/>
  <c r="O70" i="35" a="1"/>
  <c r="O70" i="35" s="1"/>
  <c r="P69" i="35" a="1"/>
  <c r="P69" i="35" s="1"/>
  <c r="W61" i="35" l="1" a="1"/>
  <c r="W61" i="35" s="1"/>
  <c r="X61" i="35" s="1" a="1"/>
  <c r="X61" i="35" s="1"/>
  <c r="Q67" i="35" a="1"/>
  <c r="Q67" i="35" s="1"/>
  <c r="R67" i="35" s="1" a="1"/>
  <c r="R67" i="35" s="1"/>
  <c r="G97" i="35" a="1"/>
  <c r="G97" i="35" s="1"/>
  <c r="Y59" i="35" a="1"/>
  <c r="Y59" i="35" s="1"/>
  <c r="Z59" i="35" s="1" a="1"/>
  <c r="Z59" i="35" s="1"/>
  <c r="AA59" i="35" s="1" a="1"/>
  <c r="AA59" i="35" s="1"/>
  <c r="S65" i="35" a="1"/>
  <c r="S65" i="35" s="1"/>
  <c r="T65" i="35" s="1" a="1"/>
  <c r="T65" i="35" s="1"/>
  <c r="L93" i="35" a="1"/>
  <c r="L93" i="35" s="1"/>
  <c r="AB58" i="35" a="1"/>
  <c r="AB58" i="35" s="1"/>
  <c r="G98" i="35" a="1"/>
  <c r="G98" i="35" s="1"/>
  <c r="AE99" i="35"/>
  <c r="G99" i="35" a="1"/>
  <c r="G99" i="35" s="1"/>
  <c r="F99" i="35" a="1"/>
  <c r="F99" i="35" s="1"/>
  <c r="E103" i="35" a="1"/>
  <c r="E103" i="35" s="1"/>
  <c r="H96" i="35" a="1"/>
  <c r="H96" i="35" s="1"/>
  <c r="AE100" i="35"/>
  <c r="G100" i="35" a="1"/>
  <c r="G100" i="35" s="1"/>
  <c r="F100" i="35" a="1"/>
  <c r="F100" i="35" s="1"/>
  <c r="E104" i="35" a="1"/>
  <c r="E104" i="35" s="1"/>
  <c r="AD55" i="35" a="1"/>
  <c r="AD55" i="35" s="1"/>
  <c r="S66" i="35" a="1"/>
  <c r="S66" i="35" s="1"/>
  <c r="T66" i="35" s="1" a="1"/>
  <c r="T66" i="35" s="1"/>
  <c r="AB59" i="35" a="1"/>
  <c r="AB59" i="35" s="1"/>
  <c r="H95" i="35" a="1"/>
  <c r="H95" i="35" s="1"/>
  <c r="M82" i="35" a="1"/>
  <c r="M82" i="35" s="1"/>
  <c r="N82" i="35" s="1" a="1"/>
  <c r="N82" i="35" s="1"/>
  <c r="AE101" i="35"/>
  <c r="G101" i="35" a="1"/>
  <c r="G101" i="35" s="1"/>
  <c r="F101" i="35" a="1"/>
  <c r="F101" i="35" s="1"/>
  <c r="E105" i="35" a="1"/>
  <c r="E105" i="35" s="1"/>
  <c r="V62" i="35" a="1"/>
  <c r="V62" i="35" s="1"/>
  <c r="U63" i="35" a="1"/>
  <c r="U63" i="35" s="1"/>
  <c r="Y60" i="35" a="1"/>
  <c r="Y60" i="35" s="1"/>
  <c r="Z60" i="35" s="1" a="1"/>
  <c r="Z60" i="35" s="1"/>
  <c r="J91" i="35" a="1"/>
  <c r="J91" i="35" s="1"/>
  <c r="Q68" i="35" a="1"/>
  <c r="Q68" i="35" s="1"/>
  <c r="R68" i="35" s="1" a="1"/>
  <c r="R68" i="35" s="1"/>
  <c r="U64" i="35" a="1"/>
  <c r="U64" i="35" s="1"/>
  <c r="P70" i="35" a="1"/>
  <c r="P70" i="35" s="1"/>
  <c r="O71" i="35" a="1"/>
  <c r="O71" i="35" s="1"/>
  <c r="S67" i="35" a="1"/>
  <c r="S67" i="35" s="1"/>
  <c r="T67" i="35" s="1" a="1"/>
  <c r="T67" i="35" s="1"/>
  <c r="AE102" i="35"/>
  <c r="F102" i="35" a="1"/>
  <c r="F102" i="35" s="1"/>
  <c r="G102" i="35" a="1"/>
  <c r="G102" i="35" s="1"/>
  <c r="E106" i="35" a="1"/>
  <c r="E106" i="35" s="1"/>
  <c r="AC56" i="35" a="1"/>
  <c r="AC56" i="35" s="1"/>
  <c r="AD56" i="35" s="1" a="1"/>
  <c r="AD56" i="35" s="1"/>
  <c r="AE56" i="35" s="1"/>
  <c r="AF56" i="35" s="1"/>
  <c r="L87" i="35" a="1"/>
  <c r="L87" i="35" s="1"/>
  <c r="I94" i="35" a="1"/>
  <c r="I94" i="35" s="1"/>
  <c r="I92" i="35" a="1"/>
  <c r="I92" i="35" s="1"/>
  <c r="S68" i="35" l="1" a="1"/>
  <c r="S68" i="35" s="1"/>
  <c r="T68" i="35" s="1" a="1"/>
  <c r="T68" i="35" s="1"/>
  <c r="AA60" i="35" a="1"/>
  <c r="AA60" i="35" s="1"/>
  <c r="J94" i="35" a="1"/>
  <c r="J94" i="35" s="1"/>
  <c r="V63" i="35" a="1"/>
  <c r="V63" i="35" s="1"/>
  <c r="V64" i="35" s="1" a="1"/>
  <c r="V64" i="35" s="1"/>
  <c r="AE105" i="35"/>
  <c r="G105" i="35" a="1"/>
  <c r="G105" i="35" s="1"/>
  <c r="F105" i="35" a="1"/>
  <c r="F105" i="35" s="1"/>
  <c r="E109" i="35" a="1"/>
  <c r="E109" i="35" s="1"/>
  <c r="I96" i="35" a="1"/>
  <c r="I96" i="35" s="1"/>
  <c r="AE55" i="35"/>
  <c r="AF55" i="35" s="1"/>
  <c r="H98" i="35" a="1"/>
  <c r="H98" i="35" s="1"/>
  <c r="J92" i="35" a="1"/>
  <c r="J92" i="35" s="1"/>
  <c r="AE106" i="35"/>
  <c r="G106" i="35" a="1"/>
  <c r="G106" i="35" s="1"/>
  <c r="F106" i="35" a="1"/>
  <c r="F106" i="35" s="1"/>
  <c r="E110" i="35" a="1"/>
  <c r="E110" i="35" s="1"/>
  <c r="I95" i="35" a="1"/>
  <c r="I95" i="35" s="1"/>
  <c r="W62" i="35" a="1"/>
  <c r="W62" i="35" s="1"/>
  <c r="Y61" i="35" a="1"/>
  <c r="Y61" i="35" s="1"/>
  <c r="U65" i="35" a="1"/>
  <c r="U65" i="35" s="1"/>
  <c r="Q69" i="35" a="1"/>
  <c r="Q69" i="35" s="1"/>
  <c r="K91" i="35" a="1"/>
  <c r="K91" i="35" s="1"/>
  <c r="AE104" i="35"/>
  <c r="G104" i="35" a="1"/>
  <c r="G104" i="35" s="1"/>
  <c r="F104" i="35" a="1"/>
  <c r="F104" i="35" s="1"/>
  <c r="E108" i="35" a="1"/>
  <c r="E108" i="35" s="1"/>
  <c r="M86" i="35" a="1"/>
  <c r="M86" i="35" s="1"/>
  <c r="M87" i="35" s="1" a="1"/>
  <c r="M87" i="35" s="1"/>
  <c r="AE103" i="35"/>
  <c r="F103" i="35" a="1"/>
  <c r="F103" i="35" s="1"/>
  <c r="G103" i="35" a="1"/>
  <c r="G103" i="35" s="1"/>
  <c r="E107" i="35" a="1"/>
  <c r="E107" i="35" s="1"/>
  <c r="AC57" i="35" a="1"/>
  <c r="AC57" i="35" s="1"/>
  <c r="AD57" i="35" s="1" a="1"/>
  <c r="AD57" i="35" s="1"/>
  <c r="AE57" i="35" s="1"/>
  <c r="AF57" i="35" s="1"/>
  <c r="P71" i="35" a="1"/>
  <c r="P71" i="35" s="1"/>
  <c r="O72" i="35" a="1"/>
  <c r="O72" i="35" s="1"/>
  <c r="H97" i="35" a="1"/>
  <c r="H97" i="35" s="1"/>
  <c r="H104" i="35" s="1" a="1"/>
  <c r="H104" i="35" s="1"/>
  <c r="H100" i="35" a="1"/>
  <c r="H100" i="35" s="1"/>
  <c r="AC58" i="35" l="1" a="1"/>
  <c r="AC58" i="35" s="1"/>
  <c r="AD58" i="35" s="1" a="1"/>
  <c r="AD58" i="35" s="1"/>
  <c r="AE58" i="35" s="1"/>
  <c r="AF58" i="35" s="1"/>
  <c r="H102" i="35" a="1"/>
  <c r="H102" i="35" s="1"/>
  <c r="I97" i="35" a="1"/>
  <c r="I97" i="35" s="1"/>
  <c r="H103" i="35" a="1"/>
  <c r="H103" i="35" s="1"/>
  <c r="L91" i="35" a="1"/>
  <c r="L91" i="35" s="1"/>
  <c r="H101" i="35" a="1"/>
  <c r="H101" i="35" s="1"/>
  <c r="J95" i="35" a="1"/>
  <c r="J95" i="35" s="1"/>
  <c r="AC59" i="35" a="1"/>
  <c r="AC59" i="35" s="1"/>
  <c r="AE110" i="35"/>
  <c r="H110" i="35" a="1"/>
  <c r="H110" i="35" s="1"/>
  <c r="G110" i="35" a="1"/>
  <c r="G110" i="35" s="1"/>
  <c r="F110" i="35" a="1"/>
  <c r="F110" i="35" s="1"/>
  <c r="E114" i="35" a="1"/>
  <c r="E114" i="35" s="1"/>
  <c r="AE109" i="35"/>
  <c r="F109" i="35" a="1"/>
  <c r="F109" i="35" s="1"/>
  <c r="G109" i="35" a="1"/>
  <c r="G109" i="35" s="1"/>
  <c r="H109" i="35" a="1"/>
  <c r="H109" i="35" s="1"/>
  <c r="E113" i="35" a="1"/>
  <c r="E113" i="35" s="1"/>
  <c r="W63" i="35" a="1"/>
  <c r="W63" i="35" s="1"/>
  <c r="W64" i="35" s="1" a="1"/>
  <c r="W64" i="35" s="1"/>
  <c r="K94" i="35" a="1"/>
  <c r="K94" i="35" s="1"/>
  <c r="AB60" i="35" a="1"/>
  <c r="AB60" i="35" s="1"/>
  <c r="X62" i="35" a="1"/>
  <c r="X62" i="35" s="1"/>
  <c r="K92" i="35" a="1"/>
  <c r="K92" i="35" s="1"/>
  <c r="L92" i="35" s="1" a="1"/>
  <c r="L92" i="35" s="1"/>
  <c r="J96" i="35" a="1"/>
  <c r="J96" i="35" s="1"/>
  <c r="AE107" i="35"/>
  <c r="F107" i="35" a="1"/>
  <c r="F107" i="35" s="1"/>
  <c r="G107" i="35" a="1"/>
  <c r="G107" i="35" s="1"/>
  <c r="H107" i="35" a="1"/>
  <c r="H107" i="35" s="1"/>
  <c r="E111" i="35" a="1"/>
  <c r="E111" i="35" s="1"/>
  <c r="N86" i="35" a="1"/>
  <c r="N86" i="35" s="1"/>
  <c r="N87" i="35" s="1" a="1"/>
  <c r="N87" i="35" s="1"/>
  <c r="M93" i="35" a="1"/>
  <c r="M93" i="35" s="1"/>
  <c r="AE108" i="35"/>
  <c r="F108" i="35" a="1"/>
  <c r="F108" i="35" s="1"/>
  <c r="G108" i="35" a="1"/>
  <c r="G108" i="35" s="1"/>
  <c r="H108" i="35" a="1"/>
  <c r="H108" i="35" s="1"/>
  <c r="E112" i="35" a="1"/>
  <c r="E112" i="35" s="1"/>
  <c r="R69" i="35" a="1"/>
  <c r="R69" i="35" s="1"/>
  <c r="Q70" i="35" a="1"/>
  <c r="Q70" i="35" s="1"/>
  <c r="H99" i="35" a="1"/>
  <c r="H99" i="35" s="1"/>
  <c r="P72" i="35" a="1"/>
  <c r="P72" i="35" s="1"/>
  <c r="O73" i="35" a="1"/>
  <c r="O73" i="35" s="1"/>
  <c r="V65" i="35" a="1"/>
  <c r="V65" i="35" s="1"/>
  <c r="Z61" i="35" a="1"/>
  <c r="Z61" i="35" s="1"/>
  <c r="H106" i="35" a="1"/>
  <c r="H106" i="35" s="1"/>
  <c r="U66" i="35" a="1"/>
  <c r="U66" i="35" s="1"/>
  <c r="I98" i="35" a="1"/>
  <c r="I98" i="35" s="1"/>
  <c r="I110" i="35" s="1" a="1"/>
  <c r="I110" i="35" s="1"/>
  <c r="K96" i="35" a="1"/>
  <c r="K96" i="35" s="1"/>
  <c r="H105" i="35" a="1"/>
  <c r="H105" i="35" s="1"/>
  <c r="I100" i="35" a="1"/>
  <c r="I100" i="35" s="1"/>
  <c r="J97" i="35" l="1" a="1"/>
  <c r="J97" i="35" s="1"/>
  <c r="J101" i="35" s="1" a="1"/>
  <c r="J101" i="35" s="1"/>
  <c r="I105" i="35" a="1"/>
  <c r="I105" i="35" s="1"/>
  <c r="J100" i="35" a="1"/>
  <c r="J100" i="35" s="1"/>
  <c r="W65" i="35" a="1"/>
  <c r="W65" i="35" s="1"/>
  <c r="S69" i="35" a="1"/>
  <c r="S69" i="35" s="1"/>
  <c r="I108" i="35" a="1"/>
  <c r="I108" i="35" s="1"/>
  <c r="N93" i="35" a="1"/>
  <c r="N93" i="35" s="1"/>
  <c r="AE111" i="35"/>
  <c r="F111" i="35" a="1"/>
  <c r="F111" i="35" s="1"/>
  <c r="I111" i="35" a="1"/>
  <c r="I111" i="35" s="1"/>
  <c r="H111" i="35" a="1"/>
  <c r="H111" i="35" s="1"/>
  <c r="G111" i="35" a="1"/>
  <c r="G111" i="35" s="1"/>
  <c r="E115" i="35" a="1"/>
  <c r="E115" i="35" s="1"/>
  <c r="Y62" i="35" a="1"/>
  <c r="Y62" i="35" s="1"/>
  <c r="AE114" i="35"/>
  <c r="I114" i="35" a="1"/>
  <c r="I114" i="35" s="1"/>
  <c r="H114" i="35" a="1"/>
  <c r="H114" i="35" s="1"/>
  <c r="F114" i="35" a="1"/>
  <c r="F114" i="35" s="1"/>
  <c r="G114" i="35" a="1"/>
  <c r="G114" i="35" s="1"/>
  <c r="I107" i="35" a="1"/>
  <c r="I107" i="35" s="1"/>
  <c r="X64" i="35" a="1"/>
  <c r="X64" i="35" s="1"/>
  <c r="J98" i="35" a="1"/>
  <c r="J98" i="35" s="1"/>
  <c r="J112" i="35" s="1" a="1"/>
  <c r="J112" i="35" s="1"/>
  <c r="X63" i="35" a="1"/>
  <c r="X63" i="35" s="1"/>
  <c r="I109" i="35" a="1"/>
  <c r="I109" i="35" s="1"/>
  <c r="U67" i="35" a="1"/>
  <c r="U67" i="35" s="1"/>
  <c r="I106" i="35" a="1"/>
  <c r="I106" i="35" s="1"/>
  <c r="I101" i="35" a="1"/>
  <c r="I101" i="35" s="1"/>
  <c r="I99" i="35" a="1"/>
  <c r="I99" i="35" s="1"/>
  <c r="I104" i="35" a="1"/>
  <c r="I104" i="35" s="1"/>
  <c r="I102" i="35" a="1"/>
  <c r="I102" i="35" s="1"/>
  <c r="I103" i="35" a="1"/>
  <c r="I103" i="35" s="1"/>
  <c r="R70" i="35" a="1"/>
  <c r="R70" i="35" s="1"/>
  <c r="S70" i="35" s="1" a="1"/>
  <c r="S70" i="35" s="1"/>
  <c r="AE112" i="35"/>
  <c r="AF112" i="35" s="1"/>
  <c r="I112" i="35" a="1"/>
  <c r="I112" i="35" s="1"/>
  <c r="F112" i="35" a="1"/>
  <c r="F112" i="35" s="1"/>
  <c r="G112" i="35" a="1"/>
  <c r="G112" i="35" s="1"/>
  <c r="H112" i="35" a="1"/>
  <c r="H112" i="35" s="1"/>
  <c r="H117" i="35" s="1" a="1"/>
  <c r="H117" i="35" s="1"/>
  <c r="AC60" i="35" a="1"/>
  <c r="AC60" i="35" s="1"/>
  <c r="L94" i="35" a="1"/>
  <c r="L94" i="35" s="1"/>
  <c r="AE113" i="35"/>
  <c r="G113" i="35" a="1"/>
  <c r="G113" i="35" s="1"/>
  <c r="H113" i="35" a="1"/>
  <c r="H113" i="35" s="1"/>
  <c r="F113" i="35" a="1"/>
  <c r="F113" i="35" s="1"/>
  <c r="I113" i="35" a="1"/>
  <c r="I113" i="35" s="1"/>
  <c r="K95" i="35" a="1"/>
  <c r="K95" i="35" s="1"/>
  <c r="J103" i="35" a="1"/>
  <c r="J103" i="35" s="1"/>
  <c r="J104" i="35" a="1"/>
  <c r="J104" i="35" s="1"/>
  <c r="J99" i="35" a="1"/>
  <c r="J99" i="35" s="1"/>
  <c r="M91" i="35" a="1"/>
  <c r="M91" i="35" s="1"/>
  <c r="Q71" i="35" a="1"/>
  <c r="Q71" i="35" s="1"/>
  <c r="V66" i="35" a="1"/>
  <c r="V66" i="35" s="1"/>
  <c r="W66" i="35" s="1" a="1"/>
  <c r="W66" i="35" s="1"/>
  <c r="O74" i="35" a="1"/>
  <c r="O74" i="35" s="1"/>
  <c r="P73" i="35" a="1"/>
  <c r="P73" i="35" s="1"/>
  <c r="AA61" i="35" a="1"/>
  <c r="AA61" i="35" s="1"/>
  <c r="E117" i="35" a="1"/>
  <c r="E117" i="35" s="1"/>
  <c r="J107" i="35" a="1"/>
  <c r="J107" i="35" s="1"/>
  <c r="J109" i="35" a="1"/>
  <c r="J109" i="35" s="1"/>
  <c r="AD59" i="35" a="1"/>
  <c r="AD59" i="35" s="1"/>
  <c r="J110" i="35" l="1" a="1"/>
  <c r="J110" i="35" s="1"/>
  <c r="I117" i="35" a="1"/>
  <c r="I117" i="35" s="1"/>
  <c r="F117" i="35" a="1"/>
  <c r="F117" i="35" s="1"/>
  <c r="K97" i="35" a="1"/>
  <c r="K97" i="35" s="1"/>
  <c r="K98" i="35" a="1"/>
  <c r="K98" i="35" s="1"/>
  <c r="K103" i="35" s="1" a="1"/>
  <c r="K103" i="35" s="1"/>
  <c r="AE59" i="35"/>
  <c r="AF59" i="35" s="1"/>
  <c r="P74" i="35" a="1"/>
  <c r="P74" i="35" s="1"/>
  <c r="O75" i="35" a="1"/>
  <c r="O75" i="35" s="1"/>
  <c r="AD60" i="35" a="1"/>
  <c r="AD60" i="35" s="1"/>
  <c r="AE60" i="35" s="1"/>
  <c r="J102" i="35" a="1"/>
  <c r="J102" i="35" s="1"/>
  <c r="K100" i="35" a="1"/>
  <c r="K100" i="35" s="1"/>
  <c r="Z62" i="35" a="1"/>
  <c r="Z62" i="35" s="1"/>
  <c r="J111" i="35" a="1"/>
  <c r="J111" i="35" s="1"/>
  <c r="G117" i="35" a="1"/>
  <c r="G117" i="35" s="1"/>
  <c r="L96" i="35" a="1"/>
  <c r="L96" i="35" s="1"/>
  <c r="M94" i="35" a="1"/>
  <c r="M94" i="35" s="1"/>
  <c r="K101" i="35" a="1"/>
  <c r="K101" i="35" s="1"/>
  <c r="K109" i="35" a="1"/>
  <c r="K109" i="35" s="1"/>
  <c r="AB61" i="35" a="1"/>
  <c r="AB61" i="35" s="1"/>
  <c r="N91" i="35" a="1"/>
  <c r="N91" i="35" s="1"/>
  <c r="M92" i="35" a="1"/>
  <c r="M92" i="35" s="1"/>
  <c r="K105" i="35" a="1"/>
  <c r="K105" i="35" s="1"/>
  <c r="K107" i="35" a="1"/>
  <c r="K107" i="35" s="1"/>
  <c r="K108" i="35" a="1"/>
  <c r="K108" i="35" s="1"/>
  <c r="J113" i="35" a="1"/>
  <c r="J113" i="35" s="1"/>
  <c r="K99" i="35" a="1"/>
  <c r="K99" i="35" s="1"/>
  <c r="J114" i="35" a="1"/>
  <c r="J114" i="35" s="1"/>
  <c r="T69" i="35" a="1"/>
  <c r="T69" i="35" s="1"/>
  <c r="U68" i="35" a="1"/>
  <c r="U68" i="35" s="1"/>
  <c r="S71" i="35" a="1"/>
  <c r="S71" i="35" s="1"/>
  <c r="R71" i="35" a="1"/>
  <c r="R71" i="35" s="1"/>
  <c r="Q72" i="35" a="1"/>
  <c r="Q72" i="35" s="1"/>
  <c r="L95" i="35" a="1"/>
  <c r="L95" i="35" s="1"/>
  <c r="K112" i="35" a="1"/>
  <c r="K112" i="35" s="1"/>
  <c r="Y63" i="35" a="1"/>
  <c r="Y63" i="35" s="1"/>
  <c r="AE115" i="35"/>
  <c r="J115" i="35" a="1"/>
  <c r="J115" i="35" s="1"/>
  <c r="I115" i="35" a="1"/>
  <c r="I115" i="35" s="1"/>
  <c r="H115" i="35" a="1"/>
  <c r="H115" i="35" s="1"/>
  <c r="G115" i="35" a="1"/>
  <c r="G115" i="35" s="1"/>
  <c r="F115" i="35" a="1"/>
  <c r="F115" i="35" s="1"/>
  <c r="K115" i="35" a="1"/>
  <c r="K115" i="35" s="1"/>
  <c r="K111" i="35" a="1"/>
  <c r="K111" i="35" s="1"/>
  <c r="V67" i="35" a="1"/>
  <c r="V67" i="35" s="1"/>
  <c r="J108" i="35" a="1"/>
  <c r="J108" i="35" s="1"/>
  <c r="J106" i="35" a="1"/>
  <c r="J106" i="35" s="1"/>
  <c r="J105" i="35" a="1"/>
  <c r="J105" i="35" s="1"/>
  <c r="K110" i="35" a="1"/>
  <c r="K110" i="35" s="1"/>
  <c r="X65" i="35" a="1"/>
  <c r="X65" i="35" s="1"/>
  <c r="K102" i="35" l="1" a="1"/>
  <c r="K102" i="35" s="1"/>
  <c r="J117" i="35" a="1"/>
  <c r="J117" i="35" s="1"/>
  <c r="K106" i="35" a="1"/>
  <c r="K106" i="35" s="1"/>
  <c r="N94" i="35" a="1"/>
  <c r="N94" i="35" s="1"/>
  <c r="K104" i="35" a="1"/>
  <c r="K104" i="35" s="1"/>
  <c r="K113" i="35" a="1"/>
  <c r="K113" i="35" s="1"/>
  <c r="K114" i="35" a="1"/>
  <c r="K114" i="35" s="1"/>
  <c r="U69" i="35" a="1"/>
  <c r="U69" i="35" s="1"/>
  <c r="X66" i="35" a="1"/>
  <c r="X66" i="35" s="1"/>
  <c r="T70" i="35" a="1"/>
  <c r="T70" i="35" s="1"/>
  <c r="T71" i="35" s="1" a="1"/>
  <c r="T71" i="35" s="1"/>
  <c r="L97" i="35" a="1"/>
  <c r="L97" i="35" s="1"/>
  <c r="W67" i="35" a="1"/>
  <c r="W67" i="35" s="1"/>
  <c r="M95" i="35" a="1"/>
  <c r="M95" i="35" s="1"/>
  <c r="R72" i="35" a="1"/>
  <c r="R72" i="35" s="1"/>
  <c r="S72" i="35" s="1" a="1"/>
  <c r="S72" i="35" s="1"/>
  <c r="N92" i="35" a="1"/>
  <c r="N92" i="35" s="1"/>
  <c r="L98" i="35" a="1"/>
  <c r="L98" i="35" s="1"/>
  <c r="M96" i="35" a="1"/>
  <c r="M96" i="35" s="1"/>
  <c r="AA62" i="35" a="1"/>
  <c r="AA62" i="35" s="1"/>
  <c r="Z63" i="35" a="1"/>
  <c r="Z63" i="35" s="1"/>
  <c r="V68" i="35" a="1"/>
  <c r="V68" i="35" s="1"/>
  <c r="AC61" i="35" a="1"/>
  <c r="AC61" i="35" s="1"/>
  <c r="Y64" i="35" a="1"/>
  <c r="Y64" i="35" s="1"/>
  <c r="L106" i="35" a="1"/>
  <c r="L106" i="35" s="1"/>
  <c r="L110" i="35" s="1" a="1"/>
  <c r="L110" i="35" s="1"/>
  <c r="P75" i="35" a="1"/>
  <c r="P75" i="35" s="1"/>
  <c r="O78" i="35" a="1"/>
  <c r="O78" i="35" s="1"/>
  <c r="O76" i="35" a="1"/>
  <c r="O76" i="35" s="1"/>
  <c r="Q73" i="35" a="1"/>
  <c r="Q73" i="35" s="1"/>
  <c r="K117" i="35" l="1" a="1"/>
  <c r="K117" i="35" s="1"/>
  <c r="L102" i="35" a="1"/>
  <c r="L102" i="35" s="1"/>
  <c r="Z64" i="35" a="1"/>
  <c r="Z64" i="35" s="1"/>
  <c r="L107" i="35" a="1"/>
  <c r="L107" i="35" s="1"/>
  <c r="L111" i="35" s="1" a="1"/>
  <c r="L111" i="35" s="1"/>
  <c r="L108" i="35" a="1"/>
  <c r="L108" i="35" s="1"/>
  <c r="L103" i="35" a="1"/>
  <c r="L103" i="35" s="1"/>
  <c r="AA63" i="35" a="1"/>
  <c r="AA63" i="35" s="1"/>
  <c r="L115" i="35" a="1"/>
  <c r="L115" i="35" s="1"/>
  <c r="X67" i="35" a="1"/>
  <c r="X67" i="35" s="1"/>
  <c r="L105" i="35" a="1"/>
  <c r="L105" i="35" s="1"/>
  <c r="P78" i="35" a="1"/>
  <c r="P78" i="35" s="1"/>
  <c r="Y65" i="35" a="1"/>
  <c r="Y65" i="35" s="1"/>
  <c r="M97" i="35" a="1"/>
  <c r="M97" i="35" s="1"/>
  <c r="M100" i="35" s="1" a="1"/>
  <c r="M100" i="35" s="1"/>
  <c r="L99" i="35" a="1"/>
  <c r="L99" i="35" s="1"/>
  <c r="L100" i="35" a="1"/>
  <c r="L100" i="35" s="1"/>
  <c r="L114" i="35" a="1"/>
  <c r="L114" i="35" s="1"/>
  <c r="L101" i="35" a="1"/>
  <c r="L101" i="35" s="1"/>
  <c r="O77" i="35" a="1"/>
  <c r="O77" i="35" s="1"/>
  <c r="P76" i="35" a="1"/>
  <c r="P76" i="35" s="1"/>
  <c r="O79" i="35" a="1"/>
  <c r="O79" i="35" s="1"/>
  <c r="R73" i="35" a="1"/>
  <c r="R73" i="35" s="1"/>
  <c r="AA64" i="35" a="1"/>
  <c r="AA64" i="35" s="1"/>
  <c r="AD61" i="35" a="1"/>
  <c r="AD61" i="35" s="1"/>
  <c r="AB62" i="35" a="1"/>
  <c r="AB62" i="35" s="1"/>
  <c r="T72" i="35" a="1"/>
  <c r="T72" i="35" s="1"/>
  <c r="L112" i="35" a="1"/>
  <c r="L112" i="35" s="1"/>
  <c r="U70" i="35" a="1"/>
  <c r="U70" i="35" s="1"/>
  <c r="U71" i="35" s="1" a="1"/>
  <c r="U71" i="35" s="1"/>
  <c r="L109" i="35" a="1"/>
  <c r="L109" i="35" s="1"/>
  <c r="L113" i="35" a="1"/>
  <c r="L113" i="35" s="1"/>
  <c r="L104" i="35" a="1"/>
  <c r="L104" i="35" s="1"/>
  <c r="N95" i="35" a="1"/>
  <c r="N95" i="35" s="1"/>
  <c r="W68" i="35" a="1"/>
  <c r="W68" i="35" s="1"/>
  <c r="X68" i="35" s="1" a="1"/>
  <c r="X68" i="35" s="1"/>
  <c r="M98" i="35" a="1"/>
  <c r="M98" i="35" s="1"/>
  <c r="M102" i="35" s="1" a="1"/>
  <c r="M102" i="35" s="1"/>
  <c r="M106" i="35" s="1" a="1"/>
  <c r="M106" i="35" s="1"/>
  <c r="N96" i="35" a="1"/>
  <c r="N96" i="35" s="1"/>
  <c r="Q74" i="35" a="1"/>
  <c r="Q74" i="35" s="1"/>
  <c r="Y66" i="35" a="1"/>
  <c r="Y66" i="35" s="1"/>
  <c r="V69" i="35" a="1"/>
  <c r="V69" i="35" s="1"/>
  <c r="W69" i="35" s="1" a="1"/>
  <c r="W69" i="35" s="1"/>
  <c r="X69" i="35" s="1" a="1"/>
  <c r="X69" i="35" s="1"/>
  <c r="M112" i="35" l="1" a="1"/>
  <c r="M112" i="35" s="1"/>
  <c r="P79" i="35" a="1"/>
  <c r="P79" i="35" s="1"/>
  <c r="N98" i="35" a="1"/>
  <c r="N98" i="35" s="1"/>
  <c r="AE61" i="35"/>
  <c r="AF61" i="35" s="1"/>
  <c r="N97" i="35" a="1"/>
  <c r="N97" i="35" s="1"/>
  <c r="M99" i="35" a="1"/>
  <c r="M99" i="35" s="1"/>
  <c r="M103" i="35" s="1" a="1"/>
  <c r="M103" i="35" s="1"/>
  <c r="M107" i="35" s="1" a="1"/>
  <c r="M107" i="35" s="1"/>
  <c r="M110" i="35" a="1"/>
  <c r="M110" i="35" s="1"/>
  <c r="M114" i="35" s="1" a="1"/>
  <c r="M114" i="35" s="1"/>
  <c r="M101" i="35" a="1"/>
  <c r="M101" i="35" s="1"/>
  <c r="M105" i="35" s="1" a="1"/>
  <c r="M105" i="35" s="1"/>
  <c r="M109" i="35" s="1" a="1"/>
  <c r="M109" i="35" s="1"/>
  <c r="M113" i="35" s="1" a="1"/>
  <c r="M113" i="35" s="1"/>
  <c r="P77" i="35" a="1"/>
  <c r="P77" i="35" s="1"/>
  <c r="O80" i="35" a="1"/>
  <c r="O80" i="35" s="1"/>
  <c r="N108" i="35" a="1"/>
  <c r="N108" i="35" s="1"/>
  <c r="N112" i="35" s="1" a="1"/>
  <c r="N112" i="35" s="1"/>
  <c r="Z65" i="35" a="1"/>
  <c r="Z65" i="35" s="1"/>
  <c r="M108" i="35" a="1"/>
  <c r="M108" i="35" s="1"/>
  <c r="N111" i="35" a="1"/>
  <c r="N111" i="35" s="1"/>
  <c r="AB63" i="35" a="1"/>
  <c r="AB63" i="35" s="1"/>
  <c r="Z66" i="35" a="1"/>
  <c r="Z66" i="35" s="1"/>
  <c r="V70" i="35" a="1"/>
  <c r="V70" i="35" s="1"/>
  <c r="U72" i="35" a="1"/>
  <c r="U72" i="35" s="1"/>
  <c r="AC62" i="35" a="1"/>
  <c r="AC62" i="35" s="1"/>
  <c r="S73" i="35" a="1"/>
  <c r="S73" i="35" s="1"/>
  <c r="S74" i="35" s="1" a="1"/>
  <c r="S74" i="35" s="1"/>
  <c r="M115" i="35" a="1"/>
  <c r="M115" i="35" s="1"/>
  <c r="M111" i="35" a="1"/>
  <c r="M111" i="35" s="1"/>
  <c r="N107" i="35" a="1"/>
  <c r="N107" i="35" s="1"/>
  <c r="Y67" i="35" a="1"/>
  <c r="Y67" i="35" s="1"/>
  <c r="R74" i="35" a="1"/>
  <c r="R74" i="35" s="1"/>
  <c r="Q75" i="35" a="1"/>
  <c r="Q75" i="35" s="1"/>
  <c r="Q76" i="35" s="1" a="1"/>
  <c r="Q76" i="35" s="1"/>
  <c r="L117" i="35" a="1"/>
  <c r="L117" i="35" s="1"/>
  <c r="M104" i="35" a="1"/>
  <c r="M104" i="35" s="1"/>
  <c r="M117" i="35" s="1" a="1"/>
  <c r="M117" i="35" s="1"/>
  <c r="AC63" i="35" l="1" a="1"/>
  <c r="AC63" i="35" s="1"/>
  <c r="T73" i="35" a="1"/>
  <c r="T73" i="35" s="1"/>
  <c r="T74" i="35" s="1" a="1"/>
  <c r="T74" i="35" s="1"/>
  <c r="AD62" i="35" a="1"/>
  <c r="AD62" i="35" s="1"/>
  <c r="AD63" i="35" s="1" a="1"/>
  <c r="AD63" i="35" s="1"/>
  <c r="AE63" i="35" s="1"/>
  <c r="AF63" i="35" s="1"/>
  <c r="V71" i="35" a="1"/>
  <c r="V71" i="35" s="1"/>
  <c r="Z67" i="35" a="1"/>
  <c r="Z67" i="35" s="1"/>
  <c r="W70" i="35" a="1"/>
  <c r="W70" i="35" s="1"/>
  <c r="X70" i="35" s="1" a="1"/>
  <c r="X70" i="35" s="1"/>
  <c r="R75" i="35" a="1"/>
  <c r="R75" i="35" s="1"/>
  <c r="Y68" i="35" a="1"/>
  <c r="Y68" i="35" s="1"/>
  <c r="AA65" i="35" a="1"/>
  <c r="AA65" i="35" s="1"/>
  <c r="AA66" i="35" s="1" a="1"/>
  <c r="AA66" i="35" s="1"/>
  <c r="P80" i="35" a="1"/>
  <c r="P80" i="35" s="1"/>
  <c r="O81" i="35" a="1"/>
  <c r="O81" i="35" s="1"/>
  <c r="Q77" i="35" a="1"/>
  <c r="Q77" i="35" s="1"/>
  <c r="AB64" i="35" a="1"/>
  <c r="AB64" i="35" s="1"/>
  <c r="N99" i="35" a="1"/>
  <c r="N99" i="35" s="1"/>
  <c r="N100" i="35" a="1"/>
  <c r="N100" i="35" s="1"/>
  <c r="N104" i="35" s="1" a="1"/>
  <c r="N104" i="35" s="1"/>
  <c r="N101" i="35" a="1"/>
  <c r="N101" i="35" s="1"/>
  <c r="N105" i="35" s="1" a="1"/>
  <c r="N105" i="35" s="1"/>
  <c r="N109" i="35" s="1" a="1"/>
  <c r="N109" i="35" s="1"/>
  <c r="N115" i="35" a="1"/>
  <c r="N115" i="35" s="1"/>
  <c r="N102" i="35" a="1"/>
  <c r="N102" i="35" s="1"/>
  <c r="N106" i="35" s="1" a="1"/>
  <c r="N106" i="35" s="1"/>
  <c r="N110" i="35" s="1" a="1"/>
  <c r="N110" i="35" s="1"/>
  <c r="N114" i="35" s="1" a="1"/>
  <c r="N114" i="35" s="1"/>
  <c r="N113" i="35" a="1"/>
  <c r="N113" i="35" s="1"/>
  <c r="Z68" i="35" l="1" a="1"/>
  <c r="Z68" i="35" s="1"/>
  <c r="P81" i="35" a="1"/>
  <c r="P81" i="35" s="1"/>
  <c r="O82" i="35" a="1"/>
  <c r="O82" i="35" s="1"/>
  <c r="S75" i="35" a="1"/>
  <c r="S75" i="35" s="1"/>
  <c r="W71" i="35" a="1"/>
  <c r="W71" i="35" s="1"/>
  <c r="X71" i="35" s="1" a="1"/>
  <c r="X71" i="35" s="1"/>
  <c r="V72" i="35" a="1"/>
  <c r="V72" i="35" s="1"/>
  <c r="Y69" i="35" a="1"/>
  <c r="Y69" i="35" s="1"/>
  <c r="Z69" i="35" s="1" a="1"/>
  <c r="Z69" i="35" s="1"/>
  <c r="U73" i="35" a="1"/>
  <c r="U73" i="35" s="1"/>
  <c r="R76" i="35" a="1"/>
  <c r="R76" i="35" s="1"/>
  <c r="R77" i="35" s="1" a="1"/>
  <c r="R77" i="35" s="1"/>
  <c r="AC64" i="35" a="1"/>
  <c r="AC64" i="35" s="1"/>
  <c r="AB65" i="35" a="1"/>
  <c r="AB65" i="35" s="1"/>
  <c r="AC65" i="35" s="1" a="1"/>
  <c r="AC65" i="35" s="1"/>
  <c r="N103" i="35" a="1"/>
  <c r="N103" i="35" s="1"/>
  <c r="N117" i="35" s="1" a="1"/>
  <c r="N117" i="35" s="1"/>
  <c r="Q78" i="35" a="1"/>
  <c r="Q78" i="35" s="1"/>
  <c r="Q79" i="35" s="1" a="1"/>
  <c r="Q79" i="35" s="1"/>
  <c r="AA67" i="35" a="1"/>
  <c r="AA67" i="35" s="1"/>
  <c r="AA68" i="35" s="1" a="1"/>
  <c r="AA68" i="35" s="1"/>
  <c r="AE62" i="35"/>
  <c r="Y70" i="35" l="1" a="1"/>
  <c r="Y70" i="35" s="1"/>
  <c r="Z70" i="35" s="1" a="1"/>
  <c r="Z70" i="35" s="1"/>
  <c r="W72" i="35" a="1"/>
  <c r="W72" i="35" s="1"/>
  <c r="X72" i="35" s="1" a="1"/>
  <c r="X72" i="35" s="1"/>
  <c r="AD64" i="35" a="1"/>
  <c r="AD64" i="35" s="1"/>
  <c r="AD65" i="35" s="1" a="1"/>
  <c r="AD65" i="35" s="1"/>
  <c r="AE65" i="35" s="1"/>
  <c r="V73" i="35" a="1"/>
  <c r="V73" i="35" s="1"/>
  <c r="W73" i="35" s="1" a="1"/>
  <c r="W73" i="35" s="1"/>
  <c r="X73" i="35" s="1" a="1"/>
  <c r="X73" i="35" s="1"/>
  <c r="Y71" i="35" a="1"/>
  <c r="Y71" i="35" s="1"/>
  <c r="Z71" i="35" s="1" a="1"/>
  <c r="Z71" i="35" s="1"/>
  <c r="O83" i="35" a="1"/>
  <c r="O83" i="35" s="1"/>
  <c r="P82" i="35" a="1"/>
  <c r="P82" i="35" s="1"/>
  <c r="AB66" i="35" a="1"/>
  <c r="AB66" i="35" s="1"/>
  <c r="R78" i="35" a="1"/>
  <c r="R78" i="35" s="1"/>
  <c r="R79" i="35" s="1" a="1"/>
  <c r="R79" i="35" s="1"/>
  <c r="S76" i="35" a="1"/>
  <c r="S76" i="35" s="1"/>
  <c r="AA69" i="35" a="1"/>
  <c r="AA69" i="35" s="1"/>
  <c r="T75" i="35" a="1"/>
  <c r="T75" i="35" s="1"/>
  <c r="Q80" i="35" a="1"/>
  <c r="Q80" i="35" s="1"/>
  <c r="Q81" i="35" s="1" a="1"/>
  <c r="Q81" i="35" s="1"/>
  <c r="U74" i="35" a="1"/>
  <c r="U74" i="35" s="1"/>
  <c r="V74" i="35" s="1" a="1"/>
  <c r="V74" i="35" s="1"/>
  <c r="W74" i="35" s="1" a="1"/>
  <c r="W74" i="35" s="1"/>
  <c r="X74" i="35" s="1" a="1"/>
  <c r="X74" i="35" s="1"/>
  <c r="AA70" i="35" l="1" a="1"/>
  <c r="AA70" i="35" s="1"/>
  <c r="U75" i="35" a="1"/>
  <c r="U75" i="35" s="1"/>
  <c r="AC66" i="35" a="1"/>
  <c r="AC66" i="35" s="1"/>
  <c r="AB67" i="35" a="1"/>
  <c r="AB67" i="35" s="1"/>
  <c r="AC67" i="35" s="1" a="1"/>
  <c r="AC67" i="35" s="1"/>
  <c r="Q82" i="35" a="1"/>
  <c r="Q82" i="35" s="1"/>
  <c r="Y72" i="35" a="1"/>
  <c r="Y72" i="35" s="1"/>
  <c r="Z72" i="35" s="1" a="1"/>
  <c r="Z72" i="35" s="1"/>
  <c r="T76" i="35" a="1"/>
  <c r="T76" i="35" s="1"/>
  <c r="U76" i="35" s="1" a="1"/>
  <c r="U76" i="35" s="1"/>
  <c r="S77" i="35" a="1"/>
  <c r="S77" i="35" s="1"/>
  <c r="S78" i="35" s="1" a="1"/>
  <c r="S78" i="35" s="1"/>
  <c r="P83" i="35" a="1"/>
  <c r="P83" i="35" s="1"/>
  <c r="Q83" i="35" s="1" a="1"/>
  <c r="Q83" i="35" s="1"/>
  <c r="O84" i="35" a="1"/>
  <c r="O84" i="35" s="1"/>
  <c r="AA71" i="35" a="1"/>
  <c r="AA71" i="35" s="1"/>
  <c r="AE64" i="35"/>
  <c r="R80" i="35" a="1"/>
  <c r="R80" i="35" s="1"/>
  <c r="AB68" i="35" a="1"/>
  <c r="AB68" i="35" s="1"/>
  <c r="AC68" i="35" s="1" a="1"/>
  <c r="AC68" i="35" s="1"/>
  <c r="P84" i="35" l="1" a="1"/>
  <c r="P84" i="35" s="1"/>
  <c r="O85" i="35" a="1"/>
  <c r="O85" i="35" s="1"/>
  <c r="AA72" i="35" a="1"/>
  <c r="AA72" i="35" s="1"/>
  <c r="AD66" i="35" a="1"/>
  <c r="AD66" i="35" s="1"/>
  <c r="AD67" i="35" s="1" a="1"/>
  <c r="AD67" i="35" s="1"/>
  <c r="AE67" i="35" s="1"/>
  <c r="AF67" i="35" s="1"/>
  <c r="R81" i="35" a="1"/>
  <c r="R81" i="35" s="1"/>
  <c r="R82" i="35" s="1" a="1"/>
  <c r="R82" i="35" s="1"/>
  <c r="T77" i="35" a="1"/>
  <c r="T77" i="35" s="1"/>
  <c r="T78" i="35" s="1" a="1"/>
  <c r="T78" i="35" s="1"/>
  <c r="Y73" i="35" a="1"/>
  <c r="Y73" i="35" s="1"/>
  <c r="S79" i="35" a="1"/>
  <c r="S79" i="35" s="1"/>
  <c r="T79" i="35" s="1" a="1"/>
  <c r="T79" i="35" s="1"/>
  <c r="AB69" i="35" a="1"/>
  <c r="AB69" i="35" s="1"/>
  <c r="V75" i="35" a="1"/>
  <c r="V75" i="35" s="1"/>
  <c r="V76" i="35" s="1" a="1"/>
  <c r="V76" i="35" s="1"/>
  <c r="U77" i="35" l="1" a="1"/>
  <c r="U77" i="35" s="1"/>
  <c r="U78" i="35" s="1" a="1"/>
  <c r="U78" i="35" s="1"/>
  <c r="AD68" i="35" a="1"/>
  <c r="AD68" i="35" s="1"/>
  <c r="AE68" i="35" s="1"/>
  <c r="AF68" i="35" s="1"/>
  <c r="R83" i="35" a="1"/>
  <c r="R83" i="35" s="1"/>
  <c r="P85" i="35" a="1"/>
  <c r="P85" i="35" s="1"/>
  <c r="O86" i="35" a="1"/>
  <c r="O86" i="35" s="1"/>
  <c r="W75" i="35" a="1"/>
  <c r="W75" i="35" s="1"/>
  <c r="Z73" i="35" a="1"/>
  <c r="Z73" i="35" s="1"/>
  <c r="Y74" i="35" a="1"/>
  <c r="Y74" i="35" s="1"/>
  <c r="AC69" i="35" a="1"/>
  <c r="AC69" i="35" s="1"/>
  <c r="AB70" i="35" a="1"/>
  <c r="AB70" i="35" s="1"/>
  <c r="V77" i="35" a="1"/>
  <c r="V77" i="35" s="1"/>
  <c r="S80" i="35" a="1"/>
  <c r="S80" i="35" s="1"/>
  <c r="T80" i="35" s="1" a="1"/>
  <c r="T80" i="35" s="1"/>
  <c r="AE66" i="35"/>
  <c r="AF66" i="35" s="1"/>
  <c r="Q84" i="35" a="1"/>
  <c r="Q84" i="35" s="1"/>
  <c r="Z74" i="35" l="1" a="1"/>
  <c r="Z74" i="35" s="1"/>
  <c r="R84" i="35" a="1"/>
  <c r="R84" i="35" s="1"/>
  <c r="X75" i="35" a="1"/>
  <c r="X75" i="35" s="1"/>
  <c r="W76" i="35" a="1"/>
  <c r="W76" i="35" s="1"/>
  <c r="AC70" i="35" a="1"/>
  <c r="AC70" i="35" s="1"/>
  <c r="AA73" i="35" a="1"/>
  <c r="AA73" i="35" s="1"/>
  <c r="AA74" i="35" s="1" a="1"/>
  <c r="AA74" i="35" s="1"/>
  <c r="P86" i="35" a="1"/>
  <c r="P86" i="35" s="1"/>
  <c r="O87" i="35" a="1"/>
  <c r="O87" i="35" s="1"/>
  <c r="V78" i="35" a="1"/>
  <c r="V78" i="35" s="1"/>
  <c r="AD69" i="35" a="1"/>
  <c r="AD69" i="35" s="1"/>
  <c r="S81" i="35" a="1"/>
  <c r="S81" i="35" s="1"/>
  <c r="T81" i="35" s="1" a="1"/>
  <c r="T81" i="35" s="1"/>
  <c r="Q85" i="35" a="1"/>
  <c r="Q85" i="35" s="1"/>
  <c r="U79" i="35" a="1"/>
  <c r="U79" i="35" s="1"/>
  <c r="AB71" i="35" a="1"/>
  <c r="AB71" i="35" s="1"/>
  <c r="AC71" i="35" s="1" a="1"/>
  <c r="AC71" i="35" s="1"/>
  <c r="X76" i="35" l="1" a="1"/>
  <c r="X76" i="35" s="1"/>
  <c r="Q86" i="35" a="1"/>
  <c r="Q86" i="35" s="1"/>
  <c r="Y75" i="35" a="1"/>
  <c r="Y75" i="35" s="1"/>
  <c r="AB72" i="35" a="1"/>
  <c r="AB72" i="35" s="1"/>
  <c r="V79" i="35" a="1"/>
  <c r="V79" i="35" s="1"/>
  <c r="AD70" i="35" a="1"/>
  <c r="AD70" i="35" s="1"/>
  <c r="AE70" i="35" s="1"/>
  <c r="W77" i="35" a="1"/>
  <c r="W77" i="35" s="1"/>
  <c r="X77" i="35" s="1" a="1"/>
  <c r="X77" i="35" s="1"/>
  <c r="S82" i="35" a="1"/>
  <c r="S82" i="35" s="1"/>
  <c r="T82" i="35" s="1" a="1"/>
  <c r="T82" i="35" s="1"/>
  <c r="R85" i="35" a="1"/>
  <c r="R85" i="35" s="1"/>
  <c r="AE69" i="35"/>
  <c r="AF69" i="35" s="1"/>
  <c r="O88" i="35" a="1"/>
  <c r="O88" i="35" s="1"/>
  <c r="P87" i="35" a="1"/>
  <c r="P87" i="35" s="1"/>
  <c r="AB73" i="35" a="1"/>
  <c r="AB73" i="35" s="1"/>
  <c r="U80" i="35" a="1"/>
  <c r="U80" i="35" s="1"/>
  <c r="V80" i="35" s="1" a="1"/>
  <c r="V80" i="35" s="1"/>
  <c r="W78" i="35" l="1" a="1"/>
  <c r="W78" i="35" s="1"/>
  <c r="X78" i="35" s="1" a="1"/>
  <c r="X78" i="35" s="1"/>
  <c r="S83" i="35" a="1"/>
  <c r="S83" i="35" s="1"/>
  <c r="S84" i="35" s="1" a="1"/>
  <c r="S84" i="35" s="1"/>
  <c r="Q87" i="35" a="1"/>
  <c r="Q87" i="35" s="1"/>
  <c r="AD71" i="35" a="1"/>
  <c r="AD71" i="35" s="1"/>
  <c r="AE71" i="35" s="1"/>
  <c r="P88" i="35" a="1"/>
  <c r="P88" i="35" s="1"/>
  <c r="O89" i="35" a="1"/>
  <c r="O89" i="35" s="1"/>
  <c r="T83" i="35" a="1"/>
  <c r="T83" i="35" s="1"/>
  <c r="Z75" i="35" a="1"/>
  <c r="Z75" i="35" s="1"/>
  <c r="Y76" i="35" a="1"/>
  <c r="Y76" i="35" s="1"/>
  <c r="W79" i="35" a="1"/>
  <c r="W79" i="35" s="1"/>
  <c r="X79" i="35" s="1" a="1"/>
  <c r="X79" i="35" s="1"/>
  <c r="U81" i="35" a="1"/>
  <c r="U81" i="35" s="1"/>
  <c r="V81" i="35" s="1" a="1"/>
  <c r="V81" i="35" s="1"/>
  <c r="AC72" i="35" a="1"/>
  <c r="AC72" i="35" s="1"/>
  <c r="R86" i="35" a="1"/>
  <c r="R86" i="35" s="1"/>
  <c r="AB74" i="35" a="1"/>
  <c r="AB74" i="35" s="1"/>
  <c r="S85" i="35" l="1" a="1"/>
  <c r="S85" i="35" s="1"/>
  <c r="Q88" i="35" a="1"/>
  <c r="Q88" i="35" s="1"/>
  <c r="Y77" i="35" a="1"/>
  <c r="Y77" i="35" s="1"/>
  <c r="AD72" i="35" a="1"/>
  <c r="AD72" i="35" s="1"/>
  <c r="AC73" i="35" a="1"/>
  <c r="AC73" i="35" s="1"/>
  <c r="AC74" i="35" s="1" a="1"/>
  <c r="AC74" i="35" s="1"/>
  <c r="Z76" i="35" a="1"/>
  <c r="Z76" i="35" s="1"/>
  <c r="W80" i="35" a="1"/>
  <c r="W80" i="35" s="1"/>
  <c r="W81" i="35" s="1" a="1"/>
  <c r="W81" i="35" s="1"/>
  <c r="S86" i="35" a="1"/>
  <c r="S86" i="35" s="1"/>
  <c r="R87" i="35" a="1"/>
  <c r="R87" i="35" s="1"/>
  <c r="U82" i="35" a="1"/>
  <c r="U82" i="35" s="1"/>
  <c r="V82" i="35" s="1" a="1"/>
  <c r="V82" i="35" s="1"/>
  <c r="AA75" i="35" a="1"/>
  <c r="AA75" i="35" s="1"/>
  <c r="T84" i="35" a="1"/>
  <c r="T84" i="35" s="1"/>
  <c r="P89" i="35" a="1"/>
  <c r="P89" i="35" s="1"/>
  <c r="O90" i="35" a="1"/>
  <c r="O90" i="35" s="1"/>
  <c r="R88" i="35" a="1"/>
  <c r="R88" i="35" s="1"/>
  <c r="Z77" i="35" a="1"/>
  <c r="Z77" i="35" s="1"/>
  <c r="Y78" i="35" l="1" a="1"/>
  <c r="Y78" i="35" s="1"/>
  <c r="Y79" i="35" s="1" a="1"/>
  <c r="Y79" i="35" s="1"/>
  <c r="S87" i="35" a="1"/>
  <c r="S87" i="35" s="1"/>
  <c r="S88" i="35" s="1" a="1"/>
  <c r="S88" i="35" s="1"/>
  <c r="U83" i="35" a="1"/>
  <c r="U83" i="35" s="1"/>
  <c r="AA76" i="35" a="1"/>
  <c r="AA76" i="35" s="1"/>
  <c r="AA77" i="35" s="1" a="1"/>
  <c r="AA77" i="35" s="1"/>
  <c r="AD73" i="35" a="1"/>
  <c r="AD73" i="35" s="1"/>
  <c r="AE73" i="35" s="1"/>
  <c r="AF73" i="35" s="1"/>
  <c r="V83" i="35" a="1"/>
  <c r="V83" i="35" s="1"/>
  <c r="P90" i="35" a="1"/>
  <c r="P90" i="35" s="1"/>
  <c r="O91" i="35" a="1"/>
  <c r="O91" i="35" s="1"/>
  <c r="W82" i="35" a="1"/>
  <c r="W82" i="35" s="1"/>
  <c r="AE72" i="35"/>
  <c r="Q89" i="35" a="1"/>
  <c r="Q89" i="35" s="1"/>
  <c r="Q90" i="35" s="1" a="1"/>
  <c r="Q90" i="35" s="1"/>
  <c r="U84" i="35" a="1"/>
  <c r="U84" i="35" s="1"/>
  <c r="AB75" i="35" a="1"/>
  <c r="AB75" i="35" s="1"/>
  <c r="AB76" i="35" s="1" a="1"/>
  <c r="AB76" i="35" s="1"/>
  <c r="T85" i="35" a="1"/>
  <c r="T85" i="35" s="1"/>
  <c r="X80" i="35" a="1"/>
  <c r="X80" i="35" s="1"/>
  <c r="X81" i="35" s="1" a="1"/>
  <c r="X81" i="35" s="1"/>
  <c r="Z78" i="35" a="1"/>
  <c r="Z78" i="35" s="1"/>
  <c r="W83" i="35" l="1" a="1"/>
  <c r="W83" i="35" s="1"/>
  <c r="AD74" i="35" a="1"/>
  <c r="AD74" i="35" s="1"/>
  <c r="AE74" i="35" s="1"/>
  <c r="AA78" i="35" a="1"/>
  <c r="AA78" i="35" s="1"/>
  <c r="X82" i="35" a="1"/>
  <c r="X82" i="35" s="1"/>
  <c r="X83" i="35" s="1" a="1"/>
  <c r="X83" i="35" s="1"/>
  <c r="AB77" i="35" a="1"/>
  <c r="AB77" i="35" s="1"/>
  <c r="R89" i="35" a="1"/>
  <c r="R89" i="35" s="1"/>
  <c r="Z79" i="35" a="1"/>
  <c r="Z79" i="35" s="1"/>
  <c r="AA79" i="35" s="1" a="1"/>
  <c r="AA79" i="35" s="1"/>
  <c r="V84" i="35" a="1"/>
  <c r="V84" i="35" s="1"/>
  <c r="W84" i="35" s="1" a="1"/>
  <c r="W84" i="35" s="1"/>
  <c r="Y80" i="35" a="1"/>
  <c r="Y80" i="35" s="1"/>
  <c r="U85" i="35" a="1"/>
  <c r="U85" i="35" s="1"/>
  <c r="AC75" i="35" a="1"/>
  <c r="AC75" i="35" s="1"/>
  <c r="T86" i="35" a="1"/>
  <c r="T86" i="35" s="1"/>
  <c r="U86" i="35" s="1" a="1"/>
  <c r="U86" i="35" s="1"/>
  <c r="P91" i="35" a="1"/>
  <c r="P91" i="35" s="1"/>
  <c r="O92" i="35" a="1"/>
  <c r="O92" i="35" s="1"/>
  <c r="V85" i="35" l="1" a="1"/>
  <c r="V85" i="35" s="1"/>
  <c r="V86" i="35" s="1" a="1"/>
  <c r="V86" i="35" s="1"/>
  <c r="Z80" i="35" a="1"/>
  <c r="Z80" i="35" s="1"/>
  <c r="AA80" i="35" s="1" a="1"/>
  <c r="AA80" i="35" s="1"/>
  <c r="S89" i="35" a="1"/>
  <c r="S89" i="35" s="1"/>
  <c r="O93" i="35" a="1"/>
  <c r="O93" i="35" s="1"/>
  <c r="P92" i="35" a="1"/>
  <c r="P92" i="35" s="1"/>
  <c r="AD75" i="35" a="1"/>
  <c r="AD75" i="35" s="1"/>
  <c r="T87" i="35" a="1"/>
  <c r="T87" i="35" s="1"/>
  <c r="AC76" i="35" a="1"/>
  <c r="AC76" i="35" s="1"/>
  <c r="Q91" i="35" a="1"/>
  <c r="Q91" i="35" s="1"/>
  <c r="X84" i="35" a="1"/>
  <c r="X84" i="35" s="1"/>
  <c r="AB78" i="35" a="1"/>
  <c r="AB78" i="35" s="1"/>
  <c r="R90" i="35" a="1"/>
  <c r="R90" i="35" s="1"/>
  <c r="Y81" i="35" a="1"/>
  <c r="Y81" i="35" s="1"/>
  <c r="Z81" i="35" s="1" a="1"/>
  <c r="Z81" i="35" s="1"/>
  <c r="AA81" i="35" s="1" a="1"/>
  <c r="AA81" i="35" s="1"/>
  <c r="AD76" i="35" l="1" a="1"/>
  <c r="AD76" i="35" s="1"/>
  <c r="AE76" i="35" s="1"/>
  <c r="AF76" i="35" s="1" a="1"/>
  <c r="AF76" i="35" s="1"/>
  <c r="Q92" i="35" a="1"/>
  <c r="Q92" i="35" s="1"/>
  <c r="W85" i="35" a="1"/>
  <c r="W85" i="35" s="1"/>
  <c r="W86" i="35" s="1" a="1"/>
  <c r="W86" i="35" s="1"/>
  <c r="AC77" i="35" a="1"/>
  <c r="AC77" i="35" s="1"/>
  <c r="AC78" i="35" a="1"/>
  <c r="AC78" i="35" s="1"/>
  <c r="P93" i="35" a="1"/>
  <c r="P93" i="35" s="1"/>
  <c r="O94" i="35" a="1"/>
  <c r="O94" i="35" s="1"/>
  <c r="AB79" i="35" a="1"/>
  <c r="AB79" i="35" s="1"/>
  <c r="X85" i="35" a="1"/>
  <c r="X85" i="35" s="1"/>
  <c r="S90" i="35" a="1"/>
  <c r="S90" i="35" s="1"/>
  <c r="R91" i="35" a="1"/>
  <c r="R91" i="35" s="1"/>
  <c r="R92" i="35" s="1" a="1"/>
  <c r="R92" i="35" s="1"/>
  <c r="U87" i="35" a="1"/>
  <c r="U87" i="35" s="1"/>
  <c r="T88" i="35" a="1"/>
  <c r="T88" i="35" s="1"/>
  <c r="AE75" i="35"/>
  <c r="Y82" i="35" a="1"/>
  <c r="Y82" i="35" s="1"/>
  <c r="Z82" i="35" s="1" a="1"/>
  <c r="Z82" i="35" s="1"/>
  <c r="AD77" i="35" l="1" a="1"/>
  <c r="AD77" i="35" s="1"/>
  <c r="AE77" i="35" s="1"/>
  <c r="AC79" i="35" a="1"/>
  <c r="AC79" i="35" s="1"/>
  <c r="X86" i="35" a="1"/>
  <c r="X86" i="35" s="1"/>
  <c r="AB80" i="35" a="1"/>
  <c r="AB80" i="35" s="1"/>
  <c r="AC80" i="35" s="1" a="1"/>
  <c r="AC80" i="35" s="1"/>
  <c r="U88" i="35" a="1"/>
  <c r="U88" i="35" s="1"/>
  <c r="Y83" i="35" a="1"/>
  <c r="Y83" i="35" s="1"/>
  <c r="Z83" i="35" s="1" a="1"/>
  <c r="Z83" i="35" s="1"/>
  <c r="T89" i="35" a="1"/>
  <c r="T89" i="35" s="1"/>
  <c r="P94" i="35" a="1"/>
  <c r="P94" i="35" s="1"/>
  <c r="O95" i="35" a="1"/>
  <c r="O95" i="35" s="1"/>
  <c r="AB81" i="35" a="1"/>
  <c r="AB81" i="35" s="1"/>
  <c r="AC81" i="35" s="1" a="1"/>
  <c r="AC81" i="35" s="1"/>
  <c r="Q93" i="35" a="1"/>
  <c r="Q93" i="35" s="1"/>
  <c r="Y84" i="35" a="1"/>
  <c r="Y84" i="35" s="1"/>
  <c r="Z84" i="35" s="1" a="1"/>
  <c r="Z84" i="35" s="1"/>
  <c r="V87" i="35" a="1"/>
  <c r="V87" i="35" s="1"/>
  <c r="AA82" i="35" a="1"/>
  <c r="AA82" i="35" s="1"/>
  <c r="S91" i="35" a="1"/>
  <c r="S91" i="35" s="1"/>
  <c r="AD78" i="35" l="1" a="1"/>
  <c r="AD78" i="35" s="1"/>
  <c r="AE78" i="35" s="1"/>
  <c r="V88" i="35" a="1"/>
  <c r="V88" i="35" s="1"/>
  <c r="R93" i="35" a="1"/>
  <c r="R93" i="35" s="1"/>
  <c r="AB82" i="35" a="1"/>
  <c r="AB82" i="35" s="1"/>
  <c r="W87" i="35" a="1"/>
  <c r="W87" i="35" s="1"/>
  <c r="P95" i="35" a="1"/>
  <c r="P95" i="35" s="1"/>
  <c r="O96" i="35" a="1"/>
  <c r="O96" i="35" s="1"/>
  <c r="U89" i="35" a="1"/>
  <c r="U89" i="35" s="1"/>
  <c r="Q94" i="35" a="1"/>
  <c r="Q94" i="35" s="1"/>
  <c r="R94" i="35" s="1" a="1"/>
  <c r="R94" i="35" s="1"/>
  <c r="Y85" i="35" a="1"/>
  <c r="Y85" i="35" s="1"/>
  <c r="Y86" i="35" s="1" a="1"/>
  <c r="Y86" i="35" s="1"/>
  <c r="AA83" i="35" a="1"/>
  <c r="AA83" i="35" s="1"/>
  <c r="AB83" i="35" s="1" a="1"/>
  <c r="AB83" i="35" s="1"/>
  <c r="T90" i="35" a="1"/>
  <c r="T90" i="35" s="1"/>
  <c r="T91" i="35" s="1" a="1"/>
  <c r="T91" i="35" s="1"/>
  <c r="S92" i="35" a="1"/>
  <c r="S92" i="35" s="1"/>
  <c r="AD79" i="35" l="1" a="1"/>
  <c r="AD79" i="35" s="1"/>
  <c r="AE79" i="35" s="1"/>
  <c r="AF79" i="35" s="1"/>
  <c r="W88" i="35" a="1"/>
  <c r="W88" i="35" s="1"/>
  <c r="T92" i="35" a="1"/>
  <c r="T92" i="35" s="1"/>
  <c r="U90" i="35" a="1"/>
  <c r="U90" i="35" s="1"/>
  <c r="V89" i="35" a="1"/>
  <c r="V89" i="35" s="1"/>
  <c r="O98" i="35" a="1"/>
  <c r="O98" i="35" s="1"/>
  <c r="O102" i="35" s="1" a="1"/>
  <c r="O102" i="35" s="1"/>
  <c r="O106" i="35" s="1" a="1"/>
  <c r="O106" i="35" s="1"/>
  <c r="O110" i="35" s="1" a="1"/>
  <c r="O110" i="35" s="1"/>
  <c r="O114" i="35" s="1" a="1"/>
  <c r="O114" i="35" s="1"/>
  <c r="P96" i="35" a="1"/>
  <c r="P96" i="35" s="1"/>
  <c r="O97" i="35" a="1"/>
  <c r="O97" i="35" s="1"/>
  <c r="Z85" i="35" a="1"/>
  <c r="Z85" i="35" s="1"/>
  <c r="AA84" i="35" a="1"/>
  <c r="AA84" i="35" s="1"/>
  <c r="AB84" i="35" s="1" a="1"/>
  <c r="AB84" i="35" s="1"/>
  <c r="Q95" i="35" a="1"/>
  <c r="Q95" i="35" s="1"/>
  <c r="R95" i="35" s="1" a="1"/>
  <c r="R95" i="35" s="1"/>
  <c r="AC82" i="35" a="1"/>
  <c r="AC82" i="35" s="1"/>
  <c r="X87" i="35" a="1"/>
  <c r="X87" i="35" s="1"/>
  <c r="S93" i="35" a="1"/>
  <c r="S93" i="35" s="1"/>
  <c r="AD80" i="35" l="1" a="1"/>
  <c r="AD80" i="35" s="1"/>
  <c r="AE80" i="35" s="1"/>
  <c r="AF80" i="35" s="1"/>
  <c r="V90" i="35" a="1"/>
  <c r="V90" i="35" s="1"/>
  <c r="T93" i="35" a="1"/>
  <c r="T93" i="35" s="1"/>
  <c r="O99" i="35" a="1"/>
  <c r="O99" i="35" s="1"/>
  <c r="O103" i="35" s="1" a="1"/>
  <c r="O103" i="35" s="1"/>
  <c r="O107" i="35" s="1" a="1"/>
  <c r="O107" i="35" s="1"/>
  <c r="O111" i="35" s="1" a="1"/>
  <c r="O111" i="35" s="1"/>
  <c r="O115" i="35" s="1" a="1"/>
  <c r="O115" i="35" s="1"/>
  <c r="O101" i="35" a="1"/>
  <c r="O101" i="35" s="1"/>
  <c r="O105" i="35" s="1" a="1"/>
  <c r="O105" i="35" s="1"/>
  <c r="O109" i="35" s="1" a="1"/>
  <c r="O109" i="35" s="1"/>
  <c r="O113" i="35" s="1" a="1"/>
  <c r="O113" i="35" s="1"/>
  <c r="O100" i="35" a="1"/>
  <c r="O100" i="35" s="1"/>
  <c r="O104" i="35" s="1" a="1"/>
  <c r="O104" i="35" s="1"/>
  <c r="O108" i="35" s="1" a="1"/>
  <c r="O108" i="35" s="1"/>
  <c r="O112" i="35" s="1" a="1"/>
  <c r="O112" i="35" s="1"/>
  <c r="P97" i="35" a="1"/>
  <c r="P97" i="35" s="1"/>
  <c r="W89" i="35" a="1"/>
  <c r="W89" i="35" s="1"/>
  <c r="P98" i="35" a="1"/>
  <c r="P98" i="35" s="1"/>
  <c r="P102" i="35" s="1" a="1"/>
  <c r="P102" i="35" s="1"/>
  <c r="P106" i="35" s="1" a="1"/>
  <c r="P106" i="35" s="1"/>
  <c r="P110" i="35" s="1" a="1"/>
  <c r="P110" i="35" s="1"/>
  <c r="P114" i="35" s="1" a="1"/>
  <c r="P114" i="35" s="1"/>
  <c r="Q96" i="35" a="1"/>
  <c r="Q96" i="35" s="1"/>
  <c r="Y87" i="35" a="1"/>
  <c r="Y87" i="35" s="1"/>
  <c r="AA85" i="35" a="1"/>
  <c r="AA85" i="35" s="1"/>
  <c r="X88" i="35" a="1"/>
  <c r="X88" i="35" s="1"/>
  <c r="Y88" i="35" s="1" a="1"/>
  <c r="Y88" i="35" s="1"/>
  <c r="Z86" i="35" a="1"/>
  <c r="Z86" i="35" s="1"/>
  <c r="AC83" i="35" a="1"/>
  <c r="AC83" i="35" s="1"/>
  <c r="S94" i="35" a="1"/>
  <c r="S94" i="35" s="1"/>
  <c r="T94" i="35" s="1" a="1"/>
  <c r="T94" i="35" s="1"/>
  <c r="U91" i="35" a="1"/>
  <c r="U91" i="35" s="1"/>
  <c r="V91" i="35" s="1" a="1"/>
  <c r="V91" i="35" s="1"/>
  <c r="AD81" i="35" l="1" a="1"/>
  <c r="AD81" i="35" s="1"/>
  <c r="AE81" i="35" s="1"/>
  <c r="AF81" i="35" s="1"/>
  <c r="O117" i="35" a="1"/>
  <c r="O117" i="35" s="1"/>
  <c r="AA86" i="35" a="1"/>
  <c r="AA86" i="35" s="1"/>
  <c r="S95" i="35" a="1"/>
  <c r="S95" i="35" s="1"/>
  <c r="T95" i="35" s="1" a="1"/>
  <c r="T95" i="35" s="1"/>
  <c r="R96" i="35" a="1"/>
  <c r="R96" i="35" s="1"/>
  <c r="X89" i="35" a="1"/>
  <c r="X89" i="35" s="1"/>
  <c r="Z87" i="35" a="1"/>
  <c r="Z87" i="35" s="1"/>
  <c r="U92" i="35" a="1"/>
  <c r="U92" i="35" s="1"/>
  <c r="V92" i="35" s="1" a="1"/>
  <c r="V92" i="35" s="1"/>
  <c r="AB85" i="35" a="1"/>
  <c r="AB85" i="35" s="1"/>
  <c r="W90" i="35" a="1"/>
  <c r="W90" i="35" s="1"/>
  <c r="P99" i="35" a="1"/>
  <c r="P99" i="35" s="1"/>
  <c r="P103" i="35" s="1" a="1"/>
  <c r="P103" i="35" s="1"/>
  <c r="P107" i="35" s="1" a="1"/>
  <c r="P107" i="35" s="1"/>
  <c r="P111" i="35" s="1" a="1"/>
  <c r="P111" i="35" s="1"/>
  <c r="P115" i="35" s="1" a="1"/>
  <c r="P115" i="35" s="1"/>
  <c r="P100" i="35" a="1"/>
  <c r="P100" i="35" s="1"/>
  <c r="P104" i="35" s="1" a="1"/>
  <c r="P104" i="35" s="1"/>
  <c r="P108" i="35" s="1" a="1"/>
  <c r="P108" i="35" s="1"/>
  <c r="P112" i="35" s="1" a="1"/>
  <c r="P112" i="35" s="1"/>
  <c r="P101" i="35" a="1"/>
  <c r="P101" i="35" s="1"/>
  <c r="P105" i="35" s="1" a="1"/>
  <c r="P105" i="35" s="1"/>
  <c r="P109" i="35" s="1" a="1"/>
  <c r="P109" i="35" s="1"/>
  <c r="P113" i="35" s="1" a="1"/>
  <c r="P113" i="35" s="1"/>
  <c r="Q97" i="35" a="1"/>
  <c r="Q97" i="35" s="1"/>
  <c r="AC84" i="35" a="1"/>
  <c r="AC84" i="35" s="1"/>
  <c r="U93" i="35" a="1"/>
  <c r="U93" i="35" s="1"/>
  <c r="V93" i="35" s="1" a="1"/>
  <c r="V93" i="35" s="1"/>
  <c r="AD82" i="35" l="1" a="1"/>
  <c r="AD82" i="35" s="1"/>
  <c r="AB86" i="35" a="1"/>
  <c r="AB86" i="35" s="1"/>
  <c r="P117" i="35" a="1"/>
  <c r="P117" i="35" s="1"/>
  <c r="X90" i="35" a="1"/>
  <c r="X90" i="35" s="1"/>
  <c r="Q98" i="35" a="1"/>
  <c r="Q98" i="35" s="1"/>
  <c r="Q99" i="35" s="1" a="1"/>
  <c r="Q99" i="35" s="1"/>
  <c r="Q100" i="35" s="1" a="1"/>
  <c r="Q100" i="35" s="1"/>
  <c r="Q101" i="35" s="1" a="1"/>
  <c r="Q101" i="35" s="1"/>
  <c r="Q102" i="35" s="1" a="1"/>
  <c r="Q102" i="35" s="1"/>
  <c r="Q103" i="35" s="1" a="1"/>
  <c r="Q103" i="35" s="1"/>
  <c r="Q104" i="35" s="1" a="1"/>
  <c r="Q104" i="35" s="1"/>
  <c r="Q105" i="35" s="1" a="1"/>
  <c r="Q105" i="35" s="1"/>
  <c r="Q106" i="35" s="1" a="1"/>
  <c r="Q106" i="35" s="1"/>
  <c r="Q107" i="35" s="1" a="1"/>
  <c r="Q107" i="35" s="1"/>
  <c r="Q108" i="35" s="1" a="1"/>
  <c r="Q108" i="35" s="1"/>
  <c r="Q109" i="35" s="1" a="1"/>
  <c r="Q109" i="35" s="1"/>
  <c r="Q110" i="35" s="1" a="1"/>
  <c r="Q110" i="35" s="1"/>
  <c r="Q111" i="35" s="1" a="1"/>
  <c r="Q111" i="35" s="1"/>
  <c r="Q112" i="35" s="1" a="1"/>
  <c r="Q112" i="35" s="1"/>
  <c r="Q113" i="35" s="1" a="1"/>
  <c r="Q113" i="35" s="1"/>
  <c r="Q114" i="35" s="1" a="1"/>
  <c r="Q114" i="35" s="1"/>
  <c r="Q115" i="35" s="1" a="1"/>
  <c r="Q115" i="35" s="1"/>
  <c r="R97" i="35" a="1"/>
  <c r="R97" i="35" s="1"/>
  <c r="Y89" i="35" a="1"/>
  <c r="Y89" i="35" s="1"/>
  <c r="Y90" i="35" s="1" a="1"/>
  <c r="Y90" i="35" s="1"/>
  <c r="AC85" i="35" a="1"/>
  <c r="AC85" i="35" s="1"/>
  <c r="AA87" i="35" a="1"/>
  <c r="AA87" i="35" s="1"/>
  <c r="W91" i="35" a="1"/>
  <c r="W91" i="35" s="1"/>
  <c r="X91" i="35" s="1" a="1"/>
  <c r="X91" i="35" s="1"/>
  <c r="S96" i="35" a="1"/>
  <c r="S96" i="35" s="1"/>
  <c r="Z88" i="35" a="1"/>
  <c r="Z88" i="35" s="1"/>
  <c r="U94" i="35" a="1"/>
  <c r="U94" i="35" s="1"/>
  <c r="U95" i="35" s="1" a="1"/>
  <c r="U95" i="35" s="1"/>
  <c r="AD84" i="35" l="1" a="1"/>
  <c r="AD84" i="35" s="1"/>
  <c r="AE84" i="35" s="1"/>
  <c r="AD83" i="35" a="1"/>
  <c r="AD83" i="35" s="1"/>
  <c r="AE83" i="35" s="1"/>
  <c r="AE82" i="35"/>
  <c r="AF82" i="35" s="1"/>
  <c r="AA88" i="35" a="1"/>
  <c r="AA88" i="35" s="1"/>
  <c r="W92" i="35" a="1"/>
  <c r="W92" i="35" s="1"/>
  <c r="X92" i="35" s="1" a="1"/>
  <c r="X92" i="35" s="1"/>
  <c r="Q117" i="35" a="1"/>
  <c r="Q117" i="35" s="1"/>
  <c r="R98" i="35" a="1"/>
  <c r="R98" i="35" s="1"/>
  <c r="S97" i="35" a="1"/>
  <c r="S97" i="35" s="1"/>
  <c r="T96" i="35" a="1"/>
  <c r="T96" i="35" s="1"/>
  <c r="AB87" i="35" a="1"/>
  <c r="AB87" i="35" s="1"/>
  <c r="AB88" i="35" s="1" a="1"/>
  <c r="AB88" i="35" s="1"/>
  <c r="Z89" i="35" a="1"/>
  <c r="Z89" i="35" s="1"/>
  <c r="Z90" i="35" s="1" a="1"/>
  <c r="Z90" i="35" s="1"/>
  <c r="V94" i="35" a="1"/>
  <c r="V94" i="35" s="1"/>
  <c r="Y91" i="35" a="1"/>
  <c r="Y91" i="35" s="1"/>
  <c r="W93" i="35" a="1"/>
  <c r="W93" i="35" s="1"/>
  <c r="X93" i="35" s="1" a="1"/>
  <c r="X93" i="35" s="1"/>
  <c r="AC86" i="35" a="1"/>
  <c r="AC86" i="35" s="1"/>
  <c r="AD85" i="35" l="1" a="1"/>
  <c r="AD85" i="35" s="1"/>
  <c r="AE85" i="35" s="1"/>
  <c r="S98" i="35" a="1"/>
  <c r="S98" i="35" s="1"/>
  <c r="T97" i="35" a="1"/>
  <c r="T97" i="35" s="1"/>
  <c r="AA89" i="35" a="1"/>
  <c r="AA89" i="35" s="1"/>
  <c r="R99" i="35" a="1"/>
  <c r="R99" i="35" s="1"/>
  <c r="R100" i="35" s="1" a="1"/>
  <c r="R100" i="35" s="1"/>
  <c r="R101" i="35" s="1" a="1"/>
  <c r="R101" i="35" s="1"/>
  <c r="R102" i="35" s="1" a="1"/>
  <c r="R102" i="35" s="1"/>
  <c r="R103" i="35" s="1" a="1"/>
  <c r="R103" i="35" s="1"/>
  <c r="R104" i="35" s="1" a="1"/>
  <c r="R104" i="35" s="1"/>
  <c r="R105" i="35" s="1" a="1"/>
  <c r="R105" i="35" s="1"/>
  <c r="R106" i="35" s="1" a="1"/>
  <c r="R106" i="35" s="1"/>
  <c r="R107" i="35" s="1" a="1"/>
  <c r="R107" i="35" s="1"/>
  <c r="R108" i="35" s="1" a="1"/>
  <c r="R108" i="35" s="1"/>
  <c r="R109" i="35" s="1" a="1"/>
  <c r="R109" i="35" s="1"/>
  <c r="R110" i="35" s="1" a="1"/>
  <c r="R110" i="35" s="1"/>
  <c r="R111" i="35" s="1" a="1"/>
  <c r="R111" i="35" s="1"/>
  <c r="R112" i="35" s="1" a="1"/>
  <c r="R112" i="35" s="1"/>
  <c r="R113" i="35" s="1" a="1"/>
  <c r="R113" i="35" s="1"/>
  <c r="R114" i="35" s="1" a="1"/>
  <c r="R114" i="35" s="1"/>
  <c r="R115" i="35" s="1" a="1"/>
  <c r="R115" i="35" s="1"/>
  <c r="U96" i="35" a="1"/>
  <c r="U96" i="35" s="1"/>
  <c r="Z91" i="35" a="1"/>
  <c r="Z91" i="35" s="1"/>
  <c r="W94" i="35" a="1"/>
  <c r="W94" i="35" s="1"/>
  <c r="AC87" i="35" a="1"/>
  <c r="AC87" i="35" s="1"/>
  <c r="Y92" i="35" a="1"/>
  <c r="Y92" i="35" s="1"/>
  <c r="V95" i="35" a="1"/>
  <c r="V95" i="35" s="1"/>
  <c r="AD86" i="35" l="1" a="1"/>
  <c r="AD86" i="35" s="1"/>
  <c r="AD87" i="35" s="1" a="1"/>
  <c r="AD87" i="35" s="1"/>
  <c r="AE87" i="35" s="1"/>
  <c r="AF87" i="35" s="1"/>
  <c r="W95" i="35" a="1"/>
  <c r="W95" i="35" s="1"/>
  <c r="R117" i="35" a="1"/>
  <c r="R117" i="35" s="1"/>
  <c r="Z92" i="35" a="1"/>
  <c r="Z92" i="35" s="1"/>
  <c r="X94" i="35" a="1"/>
  <c r="X94" i="35" s="1"/>
  <c r="S99" i="35" a="1"/>
  <c r="S99" i="35" s="1"/>
  <c r="S100" i="35" s="1" a="1"/>
  <c r="S100" i="35" s="1"/>
  <c r="S101" i="35" s="1" a="1"/>
  <c r="S101" i="35" s="1"/>
  <c r="S102" i="35" s="1" a="1"/>
  <c r="S102" i="35" s="1"/>
  <c r="S103" i="35" s="1" a="1"/>
  <c r="S103" i="35" s="1"/>
  <c r="S104" i="35" s="1" a="1"/>
  <c r="S104" i="35" s="1"/>
  <c r="S105" i="35" s="1" a="1"/>
  <c r="S105" i="35" s="1"/>
  <c r="S106" i="35" s="1" a="1"/>
  <c r="S106" i="35" s="1"/>
  <c r="S107" i="35" s="1" a="1"/>
  <c r="S107" i="35" s="1"/>
  <c r="S108" i="35" s="1" a="1"/>
  <c r="S108" i="35" s="1"/>
  <c r="S109" i="35" s="1" a="1"/>
  <c r="S109" i="35" s="1"/>
  <c r="S110" i="35" s="1" a="1"/>
  <c r="S110" i="35" s="1"/>
  <c r="S111" i="35" s="1" a="1"/>
  <c r="S111" i="35" s="1"/>
  <c r="S112" i="35" s="1" a="1"/>
  <c r="S112" i="35" s="1"/>
  <c r="S113" i="35" s="1" a="1"/>
  <c r="S113" i="35" s="1"/>
  <c r="S114" i="35" s="1" a="1"/>
  <c r="S114" i="35" s="1"/>
  <c r="S115" i="35" s="1" a="1"/>
  <c r="S115" i="35" s="1"/>
  <c r="AE86" i="35"/>
  <c r="AF86" i="35" s="1"/>
  <c r="AC88" i="35" a="1"/>
  <c r="AC88" i="35" s="1"/>
  <c r="AB89" i="35" a="1"/>
  <c r="AB89" i="35" s="1"/>
  <c r="Y93" i="35" a="1"/>
  <c r="Y93" i="35" s="1"/>
  <c r="V96" i="35" a="1"/>
  <c r="V96" i="35" s="1"/>
  <c r="W96" i="35" s="1" a="1"/>
  <c r="W96" i="35" s="1"/>
  <c r="T98" i="35" a="1"/>
  <c r="T98" i="35" s="1"/>
  <c r="U97" i="35" a="1"/>
  <c r="U97" i="35" s="1"/>
  <c r="AA90" i="35" a="1"/>
  <c r="AA90" i="35" s="1"/>
  <c r="AB90" i="35" s="1" a="1"/>
  <c r="AB90" i="35" s="1"/>
  <c r="AD88" i="35" l="1" a="1"/>
  <c r="AD88" i="35" s="1"/>
  <c r="AE88" i="35" s="1"/>
  <c r="Z93" i="35" a="1"/>
  <c r="Z93" i="35" s="1"/>
  <c r="T99" i="35" a="1"/>
  <c r="T99" i="35" s="1"/>
  <c r="T100" i="35" s="1" a="1"/>
  <c r="T100" i="35" s="1"/>
  <c r="T101" i="35" s="1" a="1"/>
  <c r="T101" i="35" s="1"/>
  <c r="T102" i="35" s="1" a="1"/>
  <c r="T102" i="35" s="1"/>
  <c r="T103" i="35" s="1" a="1"/>
  <c r="T103" i="35" s="1"/>
  <c r="T104" i="35" s="1" a="1"/>
  <c r="T104" i="35" s="1"/>
  <c r="T105" i="35" s="1" a="1"/>
  <c r="T105" i="35" s="1"/>
  <c r="T106" i="35" s="1" a="1"/>
  <c r="T106" i="35" s="1"/>
  <c r="T107" i="35" s="1" a="1"/>
  <c r="T107" i="35" s="1"/>
  <c r="T108" i="35" s="1" a="1"/>
  <c r="T108" i="35" s="1"/>
  <c r="T109" i="35" s="1" a="1"/>
  <c r="T109" i="35" s="1"/>
  <c r="T110" i="35" s="1" a="1"/>
  <c r="T110" i="35" s="1"/>
  <c r="T111" i="35" s="1" a="1"/>
  <c r="T111" i="35" s="1"/>
  <c r="T112" i="35" s="1" a="1"/>
  <c r="T112" i="35" s="1"/>
  <c r="T113" i="35" s="1" a="1"/>
  <c r="T113" i="35" s="1"/>
  <c r="T114" i="35" s="1" a="1"/>
  <c r="T114" i="35" s="1"/>
  <c r="T115" i="35" s="1" a="1"/>
  <c r="T115" i="35" s="1"/>
  <c r="S117" i="35" a="1"/>
  <c r="S117" i="35" s="1"/>
  <c r="Y94" i="35" a="1"/>
  <c r="Y94" i="35" s="1"/>
  <c r="Z94" i="35" s="1" a="1"/>
  <c r="Z94" i="35" s="1"/>
  <c r="AC89" i="35" a="1"/>
  <c r="AC89" i="35" s="1"/>
  <c r="AD89" i="35" s="1" a="1"/>
  <c r="AD89" i="35" s="1"/>
  <c r="U98" i="35" a="1"/>
  <c r="U98" i="35" s="1"/>
  <c r="V97" i="35" a="1"/>
  <c r="V97" i="35" s="1"/>
  <c r="AA91" i="35" a="1"/>
  <c r="AA91" i="35" s="1"/>
  <c r="X95" i="35" a="1"/>
  <c r="X95" i="35" s="1"/>
  <c r="Y95" i="35" l="1" a="1"/>
  <c r="Y95" i="35" s="1"/>
  <c r="Z95" i="35" s="1" a="1"/>
  <c r="Z95" i="35" s="1"/>
  <c r="AC90" i="35" a="1"/>
  <c r="AC90" i="35" s="1"/>
  <c r="AD90" i="35" s="1" a="1"/>
  <c r="AD90" i="35" s="1"/>
  <c r="AE90" i="35" s="1"/>
  <c r="AB91" i="35" a="1"/>
  <c r="AB91" i="35" s="1"/>
  <c r="V98" i="35" a="1"/>
  <c r="V98" i="35" s="1"/>
  <c r="V99" i="35" s="1" a="1"/>
  <c r="V99" i="35" s="1"/>
  <c r="V100" i="35" s="1" a="1"/>
  <c r="V100" i="35" s="1"/>
  <c r="V101" i="35" s="1" a="1"/>
  <c r="V101" i="35" s="1"/>
  <c r="V102" i="35" s="1" a="1"/>
  <c r="V102" i="35" s="1"/>
  <c r="V103" i="35" s="1" a="1"/>
  <c r="V103" i="35" s="1"/>
  <c r="V104" i="35" s="1" a="1"/>
  <c r="V104" i="35" s="1"/>
  <c r="V105" i="35" s="1" a="1"/>
  <c r="V105" i="35" s="1"/>
  <c r="V106" i="35" s="1" a="1"/>
  <c r="V106" i="35" s="1"/>
  <c r="V107" i="35" s="1" a="1"/>
  <c r="V107" i="35" s="1"/>
  <c r="V108" i="35" s="1" a="1"/>
  <c r="V108" i="35" s="1"/>
  <c r="V109" i="35" s="1" a="1"/>
  <c r="V109" i="35" s="1"/>
  <c r="V110" i="35" s="1" a="1"/>
  <c r="V110" i="35" s="1"/>
  <c r="V111" i="35" s="1" a="1"/>
  <c r="V111" i="35" s="1"/>
  <c r="V112" i="35" s="1" a="1"/>
  <c r="V112" i="35" s="1"/>
  <c r="V113" i="35" s="1" a="1"/>
  <c r="V113" i="35" s="1"/>
  <c r="V114" i="35" s="1" a="1"/>
  <c r="V114" i="35" s="1"/>
  <c r="V115" i="35" s="1" a="1"/>
  <c r="V115" i="35" s="1"/>
  <c r="W97" i="35" a="1"/>
  <c r="W97" i="35" s="1"/>
  <c r="U99" i="35" a="1"/>
  <c r="U99" i="35" s="1"/>
  <c r="U100" i="35" s="1" a="1"/>
  <c r="U100" i="35" s="1"/>
  <c r="U101" i="35" s="1" a="1"/>
  <c r="U101" i="35" s="1"/>
  <c r="U102" i="35" s="1" a="1"/>
  <c r="U102" i="35" s="1"/>
  <c r="U103" i="35" s="1" a="1"/>
  <c r="U103" i="35" s="1"/>
  <c r="U104" i="35" s="1" a="1"/>
  <c r="U104" i="35" s="1"/>
  <c r="U105" i="35" s="1" a="1"/>
  <c r="U105" i="35" s="1"/>
  <c r="U106" i="35" s="1" a="1"/>
  <c r="U106" i="35" s="1"/>
  <c r="U107" i="35" s="1" a="1"/>
  <c r="U107" i="35" s="1"/>
  <c r="U108" i="35" s="1" a="1"/>
  <c r="U108" i="35" s="1"/>
  <c r="U109" i="35" s="1" a="1"/>
  <c r="U109" i="35" s="1"/>
  <c r="U110" i="35" s="1" a="1"/>
  <c r="U110" i="35" s="1"/>
  <c r="U111" i="35" s="1" a="1"/>
  <c r="U111" i="35" s="1"/>
  <c r="U112" i="35" s="1" a="1"/>
  <c r="U112" i="35" s="1"/>
  <c r="U113" i="35" s="1" a="1"/>
  <c r="U113" i="35" s="1"/>
  <c r="U114" i="35" s="1" a="1"/>
  <c r="U114" i="35" s="1"/>
  <c r="U115" i="35" s="1" a="1"/>
  <c r="U115" i="35" s="1"/>
  <c r="AE89" i="35"/>
  <c r="AA92" i="35" a="1"/>
  <c r="AA92" i="35" s="1"/>
  <c r="X96" i="35" a="1"/>
  <c r="X96" i="35" s="1"/>
  <c r="Y96" i="35" s="1" a="1"/>
  <c r="Y96" i="35" s="1"/>
  <c r="T117" i="35" a="1"/>
  <c r="T117" i="35" s="1"/>
  <c r="AB92" i="35" l="1" a="1"/>
  <c r="AB92" i="35" s="1"/>
  <c r="AA93" i="35" a="1"/>
  <c r="AA93" i="35" s="1"/>
  <c r="AB93" i="35" s="1" a="1"/>
  <c r="AB93" i="35" s="1"/>
  <c r="V117" i="35" a="1"/>
  <c r="V117" i="35" s="1"/>
  <c r="Z96" i="35" a="1"/>
  <c r="Z96" i="35" s="1"/>
  <c r="AC91" i="35" a="1"/>
  <c r="AC91" i="35" s="1"/>
  <c r="U117" i="35" a="1"/>
  <c r="U117" i="35" s="1"/>
  <c r="W98" i="35" a="1"/>
  <c r="W98" i="35" s="1"/>
  <c r="W99" i="35" s="1" a="1"/>
  <c r="W99" i="35" s="1"/>
  <c r="W100" i="35" s="1" a="1"/>
  <c r="W100" i="35" s="1"/>
  <c r="W101" i="35" s="1" a="1"/>
  <c r="W101" i="35" s="1"/>
  <c r="W102" i="35" s="1" a="1"/>
  <c r="W102" i="35" s="1"/>
  <c r="W103" i="35" s="1" a="1"/>
  <c r="W103" i="35" s="1"/>
  <c r="W104" i="35" s="1" a="1"/>
  <c r="W104" i="35" s="1"/>
  <c r="W105" i="35" s="1" a="1"/>
  <c r="W105" i="35" s="1"/>
  <c r="W106" i="35" s="1" a="1"/>
  <c r="W106" i="35" s="1"/>
  <c r="W107" i="35" s="1" a="1"/>
  <c r="W107" i="35" s="1"/>
  <c r="W108" i="35" s="1" a="1"/>
  <c r="W108" i="35" s="1"/>
  <c r="W109" i="35" s="1" a="1"/>
  <c r="W109" i="35" s="1"/>
  <c r="W110" i="35" s="1" a="1"/>
  <c r="W110" i="35" s="1"/>
  <c r="W111" i="35" s="1" a="1"/>
  <c r="W111" i="35" s="1"/>
  <c r="W112" i="35" s="1" a="1"/>
  <c r="W112" i="35" s="1"/>
  <c r="W113" i="35" s="1" a="1"/>
  <c r="W113" i="35" s="1"/>
  <c r="W114" i="35" s="1" a="1"/>
  <c r="W114" i="35" s="1"/>
  <c r="W115" i="35" s="1" a="1"/>
  <c r="W115" i="35" s="1"/>
  <c r="X97" i="35" a="1"/>
  <c r="X97" i="35" s="1"/>
  <c r="AA94" i="35" l="1" a="1"/>
  <c r="AA94" i="35" s="1"/>
  <c r="AB94" i="35" s="1" a="1"/>
  <c r="AB94" i="35" s="1"/>
  <c r="W117" i="35" a="1"/>
  <c r="W117" i="35" s="1"/>
  <c r="X98" i="35" a="1"/>
  <c r="X98" i="35" s="1"/>
  <c r="X99" i="35" s="1" a="1"/>
  <c r="X99" i="35" s="1"/>
  <c r="X100" i="35" s="1" a="1"/>
  <c r="X100" i="35" s="1"/>
  <c r="X101" i="35" s="1" a="1"/>
  <c r="X101" i="35" s="1"/>
  <c r="X102" i="35" s="1" a="1"/>
  <c r="X102" i="35" s="1"/>
  <c r="X103" i="35" s="1" a="1"/>
  <c r="X103" i="35" s="1"/>
  <c r="X104" i="35" s="1" a="1"/>
  <c r="X104" i="35" s="1"/>
  <c r="X105" i="35" s="1" a="1"/>
  <c r="X105" i="35" s="1"/>
  <c r="X106" i="35" s="1" a="1"/>
  <c r="X106" i="35" s="1"/>
  <c r="X107" i="35" s="1" a="1"/>
  <c r="X107" i="35" s="1"/>
  <c r="X108" i="35" s="1" a="1"/>
  <c r="X108" i="35" s="1"/>
  <c r="X109" i="35" s="1" a="1"/>
  <c r="X109" i="35" s="1"/>
  <c r="X110" i="35" s="1" a="1"/>
  <c r="X110" i="35" s="1"/>
  <c r="X111" i="35" s="1" a="1"/>
  <c r="X111" i="35" s="1"/>
  <c r="X112" i="35" s="1" a="1"/>
  <c r="X112" i="35" s="1"/>
  <c r="X113" i="35" s="1" a="1"/>
  <c r="X113" i="35" s="1"/>
  <c r="X114" i="35" s="1" a="1"/>
  <c r="X114" i="35" s="1"/>
  <c r="X115" i="35" s="1" a="1"/>
  <c r="X115" i="35" s="1"/>
  <c r="Y97" i="35" a="1"/>
  <c r="Y97" i="35" s="1"/>
  <c r="AD91" i="35" a="1"/>
  <c r="AD91" i="35" s="1"/>
  <c r="AC92" i="35" a="1"/>
  <c r="AC92" i="35" s="1"/>
  <c r="AD92" i="35" s="1" a="1"/>
  <c r="AD92" i="35" s="1"/>
  <c r="AE92" i="35" s="1"/>
  <c r="AF92" i="35" s="1"/>
  <c r="AA95" i="35" a="1"/>
  <c r="AA95" i="35" s="1"/>
  <c r="AA96" i="35" s="1" a="1"/>
  <c r="AA96" i="35" s="1"/>
  <c r="AC93" i="35" l="1" a="1"/>
  <c r="AC93" i="35" s="1"/>
  <c r="AD93" i="35" s="1" a="1"/>
  <c r="AD93" i="35" s="1"/>
  <c r="AE93" i="35" s="1"/>
  <c r="AF93" i="35" s="1"/>
  <c r="AE91" i="35"/>
  <c r="AF91" i="35" s="1"/>
  <c r="AB95" i="35" a="1"/>
  <c r="AB95" i="35" s="1"/>
  <c r="X117" i="35" a="1"/>
  <c r="X117" i="35" s="1"/>
  <c r="Y98" i="35" a="1"/>
  <c r="Y98" i="35" s="1"/>
  <c r="Y99" i="35" s="1" a="1"/>
  <c r="Y99" i="35" s="1"/>
  <c r="Y100" i="35" s="1" a="1"/>
  <c r="Y100" i="35" s="1"/>
  <c r="Y101" i="35" s="1" a="1"/>
  <c r="Y101" i="35" s="1"/>
  <c r="Y102" i="35" s="1" a="1"/>
  <c r="Y102" i="35" s="1"/>
  <c r="Y103" i="35" s="1" a="1"/>
  <c r="Y103" i="35" s="1"/>
  <c r="Y104" i="35" s="1" a="1"/>
  <c r="Y104" i="35" s="1"/>
  <c r="Y105" i="35" s="1" a="1"/>
  <c r="Y105" i="35" s="1"/>
  <c r="Y106" i="35" s="1" a="1"/>
  <c r="Y106" i="35" s="1"/>
  <c r="Y107" i="35" s="1" a="1"/>
  <c r="Y107" i="35" s="1"/>
  <c r="Y108" i="35" s="1" a="1"/>
  <c r="Y108" i="35" s="1"/>
  <c r="Y109" i="35" s="1" a="1"/>
  <c r="Y109" i="35" s="1"/>
  <c r="Y110" i="35" s="1" a="1"/>
  <c r="Y110" i="35" s="1"/>
  <c r="Y111" i="35" s="1" a="1"/>
  <c r="Y111" i="35" s="1"/>
  <c r="Y112" i="35" s="1" a="1"/>
  <c r="Y112" i="35" s="1"/>
  <c r="Y113" i="35" s="1" a="1"/>
  <c r="Y113" i="35" s="1"/>
  <c r="Y114" i="35" s="1" a="1"/>
  <c r="Y114" i="35" s="1"/>
  <c r="Y115" i="35" s="1" a="1"/>
  <c r="Y115" i="35" s="1"/>
  <c r="Z97" i="35" a="1"/>
  <c r="Z97" i="35" s="1"/>
  <c r="Y117" i="35" l="1" a="1"/>
  <c r="Y117" i="35" s="1"/>
  <c r="AC94" i="35" a="1"/>
  <c r="AC94" i="35" s="1"/>
  <c r="AD94" i="35" s="1" a="1"/>
  <c r="AD94" i="35" s="1"/>
  <c r="AE94" i="35" s="1"/>
  <c r="AF94" i="35" s="1"/>
  <c r="Z98" i="35" a="1"/>
  <c r="Z98" i="35" s="1"/>
  <c r="Z99" i="35" s="1" a="1"/>
  <c r="Z99" i="35" s="1"/>
  <c r="Z100" i="35" s="1" a="1"/>
  <c r="Z100" i="35" s="1"/>
  <c r="Z101" i="35" s="1" a="1"/>
  <c r="Z101" i="35" s="1"/>
  <c r="Z102" i="35" s="1" a="1"/>
  <c r="Z102" i="35" s="1"/>
  <c r="Z103" i="35" s="1" a="1"/>
  <c r="Z103" i="35" s="1"/>
  <c r="Z104" i="35" s="1" a="1"/>
  <c r="Z104" i="35" s="1"/>
  <c r="Z105" i="35" s="1" a="1"/>
  <c r="Z105" i="35" s="1"/>
  <c r="Z106" i="35" s="1" a="1"/>
  <c r="Z106" i="35" s="1"/>
  <c r="Z107" i="35" s="1" a="1"/>
  <c r="Z107" i="35" s="1"/>
  <c r="Z108" i="35" s="1" a="1"/>
  <c r="Z108" i="35" s="1"/>
  <c r="Z109" i="35" s="1" a="1"/>
  <c r="Z109" i="35" s="1"/>
  <c r="Z110" i="35" s="1" a="1"/>
  <c r="Z110" i="35" s="1"/>
  <c r="Z111" i="35" s="1" a="1"/>
  <c r="Z111" i="35" s="1"/>
  <c r="Z112" i="35" s="1" a="1"/>
  <c r="Z112" i="35" s="1"/>
  <c r="Z113" i="35" s="1" a="1"/>
  <c r="Z113" i="35" s="1"/>
  <c r="Z114" i="35" s="1" a="1"/>
  <c r="Z114" i="35" s="1"/>
  <c r="Z115" i="35" s="1" a="1"/>
  <c r="Z115" i="35" s="1"/>
  <c r="AA97" i="35" a="1"/>
  <c r="AA97" i="35" s="1"/>
  <c r="AC95" i="35" a="1"/>
  <c r="AC95" i="35" s="1"/>
  <c r="AB96" i="35" a="1"/>
  <c r="AB96" i="35" s="1"/>
  <c r="AC96" i="35" l="1" a="1"/>
  <c r="AC96" i="35" s="1"/>
  <c r="AD95" i="35" a="1"/>
  <c r="AD95" i="35" s="1"/>
  <c r="AD96" i="35" s="1" a="1"/>
  <c r="AD96" i="35" s="1"/>
  <c r="AE96" i="35" s="1"/>
  <c r="Z117" i="35" a="1"/>
  <c r="Z117" i="35" s="1"/>
  <c r="AA98" i="35" a="1"/>
  <c r="AA98" i="35" s="1"/>
  <c r="AA99" i="35" s="1" a="1"/>
  <c r="AA99" i="35" s="1"/>
  <c r="AA100" i="35" s="1" a="1"/>
  <c r="AA100" i="35" s="1"/>
  <c r="AA101" i="35" s="1" a="1"/>
  <c r="AA101" i="35" s="1"/>
  <c r="AA102" i="35" s="1" a="1"/>
  <c r="AA102" i="35" s="1"/>
  <c r="AA103" i="35" s="1" a="1"/>
  <c r="AA103" i="35" s="1"/>
  <c r="AA104" i="35" s="1" a="1"/>
  <c r="AA104" i="35" s="1"/>
  <c r="AA105" i="35" s="1" a="1"/>
  <c r="AA105" i="35" s="1"/>
  <c r="AA106" i="35" s="1" a="1"/>
  <c r="AA106" i="35" s="1"/>
  <c r="AA107" i="35" s="1" a="1"/>
  <c r="AA107" i="35" s="1"/>
  <c r="AA108" i="35" s="1" a="1"/>
  <c r="AA108" i="35" s="1"/>
  <c r="AA109" i="35" s="1" a="1"/>
  <c r="AA109" i="35" s="1"/>
  <c r="AA110" i="35" s="1" a="1"/>
  <c r="AA110" i="35" s="1"/>
  <c r="AA111" i="35" s="1" a="1"/>
  <c r="AA111" i="35" s="1"/>
  <c r="AA112" i="35" s="1" a="1"/>
  <c r="AA112" i="35" s="1"/>
  <c r="AA113" i="35" s="1" a="1"/>
  <c r="AA113" i="35" s="1"/>
  <c r="AA114" i="35" s="1" a="1"/>
  <c r="AA114" i="35" s="1"/>
  <c r="AA115" i="35" s="1" a="1"/>
  <c r="AA115" i="35" s="1"/>
  <c r="AB97" i="35" a="1"/>
  <c r="AB97" i="35" s="1"/>
  <c r="AA117" i="35" l="1" a="1"/>
  <c r="AA117" i="35" s="1"/>
  <c r="AB98" i="35" a="1"/>
  <c r="AB98" i="35" s="1"/>
  <c r="AB99" i="35" s="1" a="1"/>
  <c r="AB99" i="35" s="1"/>
  <c r="AB100" i="35" s="1" a="1"/>
  <c r="AB100" i="35" s="1"/>
  <c r="AB101" i="35" s="1" a="1"/>
  <c r="AB101" i="35" s="1"/>
  <c r="AB102" i="35" s="1" a="1"/>
  <c r="AB102" i="35" s="1"/>
  <c r="AB103" i="35" s="1" a="1"/>
  <c r="AB103" i="35" s="1"/>
  <c r="AB104" i="35" s="1" a="1"/>
  <c r="AB104" i="35" s="1"/>
  <c r="AB105" i="35" s="1" a="1"/>
  <c r="AB105" i="35" s="1"/>
  <c r="AB106" i="35" s="1" a="1"/>
  <c r="AB106" i="35" s="1"/>
  <c r="AB107" i="35" s="1" a="1"/>
  <c r="AB107" i="35" s="1"/>
  <c r="AB108" i="35" s="1" a="1"/>
  <c r="AB108" i="35" s="1"/>
  <c r="AB109" i="35" s="1" a="1"/>
  <c r="AB109" i="35" s="1"/>
  <c r="AB110" i="35" s="1" a="1"/>
  <c r="AB110" i="35" s="1"/>
  <c r="AB111" i="35" s="1" a="1"/>
  <c r="AB111" i="35" s="1"/>
  <c r="AB112" i="35" s="1" a="1"/>
  <c r="AB112" i="35" s="1"/>
  <c r="AB113" i="35" s="1" a="1"/>
  <c r="AB113" i="35" s="1"/>
  <c r="AB114" i="35" s="1" a="1"/>
  <c r="AB114" i="35" s="1"/>
  <c r="AB115" i="35" s="1" a="1"/>
  <c r="AB115" i="35" s="1"/>
  <c r="AC97" i="35" a="1"/>
  <c r="AC97" i="35" s="1"/>
  <c r="AE95" i="35"/>
  <c r="AB117" i="35" l="1" a="1"/>
  <c r="AB117" i="35" s="1"/>
  <c r="AC98" i="35" a="1"/>
  <c r="AC98" i="35" s="1"/>
  <c r="AD97" i="35" a="1"/>
  <c r="AD97" i="35" s="1"/>
  <c r="AC117" i="35" a="1"/>
  <c r="AC117" i="35" s="1"/>
  <c r="AE97" i="35" l="1"/>
  <c r="AD117" i="35" a="1"/>
  <c r="AD117" i="35" s="1"/>
  <c r="AE117" i="35" s="1"/>
  <c r="AF117" i="35" s="1"/>
  <c r="G29" i="40" l="1"/>
  <c r="R21" i="40"/>
  <c r="P21" i="40"/>
  <c r="G28" i="40"/>
  <c r="Q21" i="40"/>
  <c r="S20" i="40"/>
  <c r="H29" i="40"/>
  <c r="K33" i="40"/>
  <c r="L33" i="40" s="1"/>
  <c r="G33" i="40"/>
  <c r="G26" i="40"/>
  <c r="H26" i="40" s="1"/>
  <c r="I26" i="40" s="1"/>
  <c r="K32" i="40"/>
  <c r="L32" i="40" s="1"/>
  <c r="G32" i="40"/>
  <c r="H32" i="40" l="1"/>
  <c r="J32" i="40" s="1"/>
  <c r="J26" i="40"/>
  <c r="K26" i="40" s="1"/>
  <c r="L26" i="40" s="1"/>
  <c r="M26" i="40" s="1"/>
  <c r="X32" i="40" l="1"/>
  <c r="Y32" i="40" s="1"/>
  <c r="J33" i="40"/>
  <c r="X30" i="40"/>
  <c r="Y30" i="40" s="1"/>
  <c r="X29" i="40"/>
  <c r="Y29" i="40" s="1"/>
  <c r="X31" i="40"/>
  <c r="Y31" i="40" s="1"/>
  <c r="X28" i="40"/>
  <c r="Y28" i="40" s="1"/>
  <c r="X27" i="40"/>
  <c r="S21" i="40"/>
  <c r="X33" i="40" l="1"/>
  <c r="Y27" i="40"/>
</calcChain>
</file>

<file path=xl/comments1.xml><?xml version="1.0" encoding="utf-8"?>
<comments xmlns="http://schemas.openxmlformats.org/spreadsheetml/2006/main">
  <authors>
    <author>Floor, Karla</author>
    <author>Tan, Jeffrey</author>
    <author>Kathleen Freitas</author>
    <author>AAA NCNU User</author>
  </authors>
  <commentList>
    <comment ref="K120" authorId="0" shapeId="0">
      <text>
        <r>
          <rPr>
            <b/>
            <sz val="8"/>
            <color indexed="81"/>
            <rFont val="Tahoma"/>
            <family val="2"/>
          </rPr>
          <t>Floor, Karla:</t>
        </r>
        <r>
          <rPr>
            <sz val="8"/>
            <color indexed="81"/>
            <rFont val="Tahoma"/>
            <family val="2"/>
          </rPr>
          <t xml:space="preserve">
Subrtacted 134.25 due to haitus while developers were reprioritized to clear defects on PAS3</t>
        </r>
      </text>
    </comment>
    <comment ref="L120" authorId="0" shapeId="0">
      <text>
        <r>
          <rPr>
            <b/>
            <sz val="10"/>
            <color indexed="81"/>
            <rFont val="Tahoma"/>
            <family val="2"/>
          </rPr>
          <t xml:space="preserve">Floor, Karla 2/3/15
</t>
        </r>
        <r>
          <rPr>
            <sz val="10"/>
            <color indexed="81"/>
            <rFont val="Tahoma"/>
            <family val="2"/>
          </rPr>
          <t xml:space="preserve">
 841   Final Scope at Sprint 8 Kick-Off
+ </t>
        </r>
        <r>
          <rPr>
            <u/>
            <sz val="10"/>
            <color indexed="81"/>
            <rFont val="Tahoma"/>
            <family val="2"/>
          </rPr>
          <t>45   Earmark for Carry-Forward</t>
        </r>
        <r>
          <rPr>
            <sz val="10"/>
            <color indexed="81"/>
            <rFont val="Tahoma"/>
            <family val="2"/>
          </rPr>
          <t xml:space="preserve">
 886   Total Capacity
  872
</t>
        </r>
        <r>
          <rPr>
            <u/>
            <sz val="10"/>
            <color indexed="81"/>
            <rFont val="Tahoma"/>
            <family val="2"/>
          </rPr>
          <t xml:space="preserve">- 886
</t>
        </r>
        <r>
          <rPr>
            <sz val="10"/>
            <color indexed="81"/>
            <rFont val="Tahoma"/>
            <family val="2"/>
          </rPr>
          <t xml:space="preserve">      14  Above standard capacity
</t>
        </r>
      </text>
    </comment>
    <comment ref="M120" authorId="0" shapeId="0">
      <text>
        <r>
          <rPr>
            <b/>
            <sz val="8"/>
            <color indexed="81"/>
            <rFont val="Tahoma"/>
            <family val="2"/>
          </rPr>
          <t>Floor, Karla:</t>
        </r>
        <r>
          <rPr>
            <sz val="8"/>
            <color indexed="81"/>
            <rFont val="Tahoma"/>
            <family val="2"/>
          </rPr>
          <t xml:space="preserve">
Updated per Sprint 10 Kick-Off deck
</t>
        </r>
      </text>
    </comment>
    <comment ref="N120" authorId="1" shapeId="0">
      <text>
        <r>
          <rPr>
            <b/>
            <sz val="10"/>
            <color indexed="81"/>
            <rFont val="Tahoma"/>
            <family val="2"/>
          </rPr>
          <t xml:space="preserve">Tan, Jeffrey:
Moved 89 points to PAS 5 so we increased capacity.
</t>
        </r>
        <r>
          <rPr>
            <sz val="10"/>
            <color indexed="81"/>
            <rFont val="Tahoma"/>
            <family val="2"/>
          </rPr>
          <t xml:space="preserve">
+11 SPs increae capacity per Scott H.  +20 SPs for CAS Delta work, per Nick RTC reconciliation in RTC on 1/20. 1/27, we increased capacity again by increase in SPs.  See Rev notes.
</t>
        </r>
        <r>
          <rPr>
            <b/>
            <sz val="10"/>
            <color indexed="81"/>
            <rFont val="Tahoma"/>
            <family val="2"/>
          </rPr>
          <t xml:space="preserve">
Floor, Karla 2/3/15</t>
        </r>
        <r>
          <rPr>
            <sz val="10"/>
            <color indexed="81"/>
            <rFont val="Tahoma"/>
            <family val="2"/>
          </rPr>
          <t xml:space="preserve">
841  Final Scope at Sprint 10 Kick-Off
</t>
        </r>
        <r>
          <rPr>
            <u/>
            <sz val="10"/>
            <color indexed="81"/>
            <rFont val="Tahoma"/>
            <family val="2"/>
          </rPr>
          <t>50    Earmark for Carry-Forward</t>
        </r>
        <r>
          <rPr>
            <sz val="10"/>
            <color indexed="81"/>
            <rFont val="Tahoma"/>
            <family val="2"/>
          </rPr>
          <t xml:space="preserve">
891   Total Capacity
  872
</t>
        </r>
        <r>
          <rPr>
            <u/>
            <sz val="10"/>
            <color indexed="81"/>
            <rFont val="Tahoma"/>
            <family val="2"/>
          </rPr>
          <t>-891</t>
        </r>
        <r>
          <rPr>
            <sz val="10"/>
            <color indexed="81"/>
            <rFont val="Tahoma"/>
            <family val="2"/>
          </rPr>
          <t xml:space="preserve">
    19  Above standard capacity</t>
        </r>
        <r>
          <rPr>
            <sz val="9"/>
            <color indexed="81"/>
            <rFont val="Tahoma"/>
            <family val="2"/>
          </rPr>
          <t xml:space="preserve">
</t>
        </r>
      </text>
    </comment>
    <comment ref="O120" authorId="1" shapeId="0">
      <text>
        <r>
          <rPr>
            <b/>
            <sz val="10"/>
            <color indexed="81"/>
            <rFont val="Tahoma"/>
            <family val="2"/>
          </rPr>
          <t xml:space="preserve">
5/5/15 - Kat Freitas
</t>
        </r>
        <r>
          <rPr>
            <sz val="10"/>
            <color indexed="81"/>
            <rFont val="Tahoma"/>
            <family val="2"/>
          </rPr>
          <t>Added in 5 pts to capacity per 4/30 email from Jim Larkin stating he took 677 pts in PAS6 Sprint 11</t>
        </r>
        <r>
          <rPr>
            <b/>
            <sz val="10"/>
            <color indexed="81"/>
            <rFont val="Tahoma"/>
            <family val="2"/>
          </rPr>
          <t xml:space="preserve">
2/18/2015:
Removing 200 SPs.  Developers and Functional testers to assist with regression defects in PAS 5.
Tan, Jeffrey:</t>
        </r>
        <r>
          <rPr>
            <sz val="10"/>
            <color indexed="81"/>
            <rFont val="Tahoma"/>
            <family val="2"/>
          </rPr>
          <t xml:space="preserve">
Removing CR Factor from CA Property of 69 SPs from PAS 5 and reduced Capacity in PAS 6.
Per Mark Discussion with Scott.  
</t>
        </r>
        <r>
          <rPr>
            <b/>
            <sz val="10"/>
            <color indexed="81"/>
            <rFont val="Tahoma"/>
            <family val="2"/>
          </rPr>
          <t>Floor, Karla 2/3/15:</t>
        </r>
        <r>
          <rPr>
            <sz val="10"/>
            <color indexed="81"/>
            <rFont val="Tahoma"/>
            <family val="2"/>
          </rPr>
          <t xml:space="preserve">
Removed subtraction from 083 and created new earmark row for CR Factor to decrement total capacity
69 = CA CR Factor Spill Over
Subtracting the 69 SPs per Mark and Karla on 2/6 meeting.
</t>
        </r>
      </text>
    </comment>
    <comment ref="P120" authorId="2" shapeId="0">
      <text>
        <r>
          <rPr>
            <b/>
            <sz val="9"/>
            <color indexed="81"/>
            <rFont val="Tahoma"/>
            <family val="2"/>
          </rPr>
          <t xml:space="preserve">Kathleen Freitas 6/19/15:
</t>
        </r>
        <r>
          <rPr>
            <sz val="9"/>
            <color indexed="81"/>
            <rFont val="Tahoma"/>
            <family val="2"/>
          </rPr>
          <t>Removed the 1 pt to push MD to PAS7 as planned</t>
        </r>
        <r>
          <rPr>
            <b/>
            <sz val="9"/>
            <color indexed="81"/>
            <rFont val="Tahoma"/>
            <family val="2"/>
          </rPr>
          <t xml:space="preserve">
Kathleen Freitas 5/14/15:
</t>
        </r>
        <r>
          <rPr>
            <sz val="9"/>
            <color indexed="81"/>
            <rFont val="Tahoma"/>
            <family val="2"/>
          </rPr>
          <t>Removed the 62 pts added on 5/6/15 and added on 5/19/15 a full week of capacity 300 pts to accomodate all work planned for PAS6  (Per Jim 480 pts is a full week but you reduce by 12% for sick/holidays/PTO so you get 422 as the amount to use per week; however Scott Barth indicates it's 300 points not 422 so Mark asked that we use 300)</t>
        </r>
        <r>
          <rPr>
            <b/>
            <sz val="9"/>
            <color indexed="81"/>
            <rFont val="Tahoma"/>
            <family val="2"/>
          </rPr>
          <t xml:space="preserve">
Kathleen Freitas 5/6/15:</t>
        </r>
        <r>
          <rPr>
            <sz val="9"/>
            <color indexed="81"/>
            <rFont val="Tahoma"/>
            <family val="2"/>
          </rPr>
          <t xml:space="preserve">
Added 62 points to sprint capacityto align with a 4/30/15 email from Jim Larkin indicating that is what he has taken in to the Sprint as of the email date</t>
        </r>
      </text>
    </comment>
    <comment ref="Q120" authorId="2" shapeId="0">
      <text>
        <r>
          <rPr>
            <b/>
            <sz val="9"/>
            <color indexed="81"/>
            <rFont val="Tahoma"/>
            <family val="2"/>
          </rPr>
          <t>Kathleen Freitas:</t>
        </r>
        <r>
          <rPr>
            <sz val="9"/>
            <color indexed="81"/>
            <rFont val="Tahoma"/>
            <family val="2"/>
          </rPr>
          <t xml:space="preserve">
Jim indicated that he took 831 pts in S13</t>
        </r>
      </text>
    </comment>
    <comment ref="R120" authorId="2" shapeId="0">
      <text>
        <r>
          <rPr>
            <b/>
            <sz val="9"/>
            <color indexed="81"/>
            <rFont val="Tahoma"/>
            <family val="2"/>
          </rPr>
          <t>Kathleen Freitas:</t>
        </r>
        <r>
          <rPr>
            <sz val="9"/>
            <color indexed="81"/>
            <rFont val="Tahoma"/>
            <family val="2"/>
          </rPr>
          <t xml:space="preserve">
Jim added 68 pts to S14 capacity</t>
        </r>
      </text>
    </comment>
    <comment ref="T120" authorId="2" shapeId="0">
      <text>
        <r>
          <rPr>
            <b/>
            <sz val="9"/>
            <color indexed="81"/>
            <rFont val="Tahoma"/>
            <family val="2"/>
          </rPr>
          <t>Kathleen Freitas:</t>
        </r>
        <r>
          <rPr>
            <sz val="9"/>
            <color indexed="81"/>
            <rFont val="Tahoma"/>
            <family val="2"/>
          </rPr>
          <t xml:space="preserve">
</t>
        </r>
        <r>
          <rPr>
            <sz val="10"/>
            <color indexed="81"/>
            <rFont val="Tahoma"/>
            <family val="2"/>
          </rPr>
          <t xml:space="preserve">Decreased capacity for PAS8, Sprint 16 by 90 points per Jim’s recommendation for how to handle QA's capacity need to complete testing of the Manual Conversion and Auto Capping for NJ and PA (which has no DEV work associated). This is PAS7 scope that cannot be tested until the import tooll is available.  See email chain under WI0196 dated 9/18/15
Jim emailed on 10/19/15 5:37PM indicating we will add back 20 pts to S16 for Exigen who was under by 20pts in S15 but will be over 20pts in S16.  Don Sievers provided his approval to Jim to add back in the 20pts to S16.
12/7/15: Updated PAS8 Release with actuals.  As a result only 872 + 754 = 1626 Story Points are utilized.  Adjusting SP16 Capacity down by 48 story points. 
1/21/16: 54 SPs added as many CRs approved for PAS8
</t>
        </r>
      </text>
    </comment>
    <comment ref="Q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R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S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T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U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V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W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X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Y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Z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AA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S123" authorId="3" shapeId="0">
      <text>
        <r>
          <rPr>
            <b/>
            <sz val="9"/>
            <color indexed="81"/>
            <rFont val="Tahoma"/>
            <family val="2"/>
          </rPr>
          <t>AAA NCNU User:</t>
        </r>
        <r>
          <rPr>
            <sz val="9"/>
            <color indexed="81"/>
            <rFont val="Tahoma"/>
            <family val="2"/>
          </rPr>
          <t xml:space="preserve">
vital late breaking prod enhancements
6.1 defects included as line item</t>
        </r>
      </text>
    </comment>
    <comment ref="T123" authorId="2" shapeId="0">
      <text>
        <r>
          <rPr>
            <b/>
            <sz val="9"/>
            <color indexed="81"/>
            <rFont val="Tahoma"/>
            <family val="2"/>
          </rPr>
          <t>Kathleen Freitas:</t>
        </r>
        <r>
          <rPr>
            <sz val="9"/>
            <color indexed="81"/>
            <rFont val="Tahoma"/>
            <family val="2"/>
          </rPr>
          <t xml:space="preserve">
126 Pts CRs processed </t>
        </r>
      </text>
    </comment>
    <comment ref="U123" authorId="2" shapeId="0">
      <text>
        <r>
          <rPr>
            <b/>
            <sz val="9"/>
            <color indexed="81"/>
            <rFont val="Tahoma"/>
            <family val="2"/>
          </rPr>
          <t>Kathleen Freitas:</t>
        </r>
        <r>
          <rPr>
            <sz val="9"/>
            <color indexed="81"/>
            <rFont val="Tahoma"/>
            <family val="2"/>
          </rPr>
          <t xml:space="preserve">
7/23/15: TT requested that we take 1/2 Prod Enhancement pts and from S21 and add them to S17 (151/2=75.5)</t>
        </r>
      </text>
    </comment>
    <comment ref="V123" authorId="2" shapeId="0">
      <text>
        <r>
          <rPr>
            <b/>
            <sz val="9"/>
            <color indexed="81"/>
            <rFont val="Tahoma"/>
            <family val="2"/>
          </rPr>
          <t>Kathleen Freitas:</t>
        </r>
        <r>
          <rPr>
            <sz val="9"/>
            <color indexed="81"/>
            <rFont val="Tahoma"/>
            <family val="2"/>
          </rPr>
          <t xml:space="preserve">
7/23/15: TT requested that we take 1/2 Prod Enhancement pts and from S22 and add them to S18 (151/2=75.5)
Reduced Prod Enh by 100 pts to accommodate WI0301
Narayan- 20 pts for vital late breaking and 5 pts added for CR - WI0339 CR01 that was approved on01/28/16
</t>
        </r>
      </text>
    </comment>
    <comment ref="X123" authorId="3" shapeId="0">
      <text>
        <r>
          <rPr>
            <b/>
            <sz val="9"/>
            <color indexed="81"/>
            <rFont val="Tahoma"/>
            <family val="2"/>
          </rPr>
          <t>Narayan- reserved for vital late breaking- 9 pts added for WI0330 CR01- CR approved</t>
        </r>
      </text>
    </comment>
    <comment ref="Y123" authorId="2" shapeId="0">
      <text>
        <r>
          <rPr>
            <b/>
            <sz val="9"/>
            <color indexed="81"/>
            <rFont val="Tahoma"/>
            <family val="2"/>
          </rPr>
          <t>Kathleen Freitas:</t>
        </r>
        <r>
          <rPr>
            <sz val="9"/>
            <color indexed="81"/>
            <rFont val="Tahoma"/>
            <family val="2"/>
          </rPr>
          <t xml:space="preserve">
7/23/15: 151 pts to start.  TT requested that we take half of the Prod Enhancement pts and from S21 and add them to S17 (151/2=75.5). Also reduced pts by 50pts due to WI0304 MVR Refactoring Phase 1
</t>
        </r>
      </text>
    </comment>
    <comment ref="Z123" authorId="2" shapeId="0">
      <text>
        <r>
          <rPr>
            <b/>
            <sz val="9"/>
            <color indexed="81"/>
            <rFont val="Tahoma"/>
            <family val="2"/>
          </rPr>
          <t>Kathleen Freitas:</t>
        </r>
        <r>
          <rPr>
            <sz val="9"/>
            <color indexed="81"/>
            <rFont val="Tahoma"/>
            <family val="2"/>
          </rPr>
          <t xml:space="preserve">
7/23/15: TT requested that we take half of the Prod Enhancement pts and from S22 and add them to S18 (151/2=75.5)</t>
        </r>
      </text>
    </comment>
    <comment ref="AB123" authorId="2" shapeId="0">
      <text>
        <r>
          <rPr>
            <b/>
            <sz val="9"/>
            <color indexed="81"/>
            <rFont val="Tahoma"/>
            <family val="2"/>
          </rPr>
          <t>Kathleen Freitas:</t>
        </r>
        <r>
          <rPr>
            <sz val="9"/>
            <color indexed="81"/>
            <rFont val="Tahoma"/>
            <family val="2"/>
          </rPr>
          <t xml:space="preserve">
151 prod enh points reduced by 50pts for WI0305 MVR Refactoring Phase 2
Narayan: 20 pts reserved for vital late breaking</t>
        </r>
      </text>
    </comment>
  </commentList>
</comments>
</file>

<file path=xl/comments2.xml><?xml version="1.0" encoding="utf-8"?>
<comments xmlns="http://schemas.openxmlformats.org/spreadsheetml/2006/main">
  <authors>
    <author>Chavan, Siddhi</author>
  </authors>
  <commentList>
    <comment ref="R7" authorId="0" shapeId="0">
      <text>
        <r>
          <rPr>
            <b/>
            <sz val="9"/>
            <color indexed="81"/>
            <rFont val="Tahoma"/>
            <family val="2"/>
          </rPr>
          <t>Chavan, Siddhi:</t>
        </r>
        <r>
          <rPr>
            <sz val="9"/>
            <color indexed="81"/>
            <rFont val="Tahoma"/>
            <family val="2"/>
          </rPr>
          <t xml:space="preserve">
15 more US analyzed but not closed, since conversion designs decision is pending</t>
        </r>
      </text>
    </comment>
  </commentList>
</comments>
</file>

<file path=xl/comments3.xml><?xml version="1.0" encoding="utf-8"?>
<comments xmlns="http://schemas.openxmlformats.org/spreadsheetml/2006/main">
  <authors>
    <author>Kabra, Shreevardhan</author>
  </authors>
  <commentList>
    <comment ref="X4" authorId="0" shapeId="0">
      <text>
        <r>
          <rPr>
            <b/>
            <sz val="9"/>
            <color indexed="81"/>
            <rFont val="Tahoma"/>
            <family val="2"/>
          </rPr>
          <t>Kabra, Shreevardhan:</t>
        </r>
        <r>
          <rPr>
            <sz val="9"/>
            <color indexed="81"/>
            <rFont val="Tahoma"/>
            <family val="2"/>
          </rPr>
          <t xml:space="preserve">
1 DAY WEEKEND WORK</t>
        </r>
      </text>
    </comment>
    <comment ref="X6" authorId="0" shapeId="0">
      <text>
        <r>
          <rPr>
            <b/>
            <sz val="9"/>
            <color indexed="81"/>
            <rFont val="Tahoma"/>
            <family val="2"/>
          </rPr>
          <t>Kabra, Shreevardhan:</t>
        </r>
        <r>
          <rPr>
            <sz val="9"/>
            <color indexed="81"/>
            <rFont val="Tahoma"/>
            <family val="2"/>
          </rPr>
          <t xml:space="preserve">
1 DAY WEEKEND WORK</t>
        </r>
      </text>
    </comment>
    <comment ref="X8" authorId="0" shapeId="0">
      <text>
        <r>
          <rPr>
            <b/>
            <sz val="9"/>
            <color indexed="81"/>
            <rFont val="Tahoma"/>
            <family val="2"/>
          </rPr>
          <t>Kabra, Shreevardhan:</t>
        </r>
        <r>
          <rPr>
            <sz val="9"/>
            <color indexed="81"/>
            <rFont val="Tahoma"/>
            <family val="2"/>
          </rPr>
          <t xml:space="preserve">
1 DAY WEEKEND WORK</t>
        </r>
      </text>
    </comment>
    <comment ref="X9" authorId="0" shapeId="0">
      <text>
        <r>
          <rPr>
            <b/>
            <sz val="9"/>
            <color indexed="81"/>
            <rFont val="Tahoma"/>
            <family val="2"/>
          </rPr>
          <t>Kabra, Shreevardhan:</t>
        </r>
        <r>
          <rPr>
            <sz val="9"/>
            <color indexed="81"/>
            <rFont val="Tahoma"/>
            <family val="2"/>
          </rPr>
          <t xml:space="preserve">
1 DAY WEEKEND WORK</t>
        </r>
      </text>
    </comment>
  </commentList>
</comments>
</file>

<file path=xl/sharedStrings.xml><?xml version="1.0" encoding="utf-8"?>
<sst xmlns="http://schemas.openxmlformats.org/spreadsheetml/2006/main" count="1365" uniqueCount="605">
  <si>
    <t>Total Resources</t>
  </si>
  <si>
    <t>No of Resources for Scenario Pattern Creation</t>
  </si>
  <si>
    <t>Approx. No. of Patterns</t>
  </si>
  <si>
    <t>No of Resources for Scenario Designing</t>
  </si>
  <si>
    <t>No. of ACs covered in Design</t>
  </si>
  <si>
    <t>Approx. No. of Scenarios</t>
  </si>
  <si>
    <t>Pattern Creation Hours</t>
  </si>
  <si>
    <t>Scenario Designing Hours</t>
  </si>
  <si>
    <t>Total Hours (Required Capacity)</t>
  </si>
  <si>
    <t>Available Capacity</t>
  </si>
  <si>
    <t>Assumptions</t>
  </si>
  <si>
    <t>Functional Queries/Defect Review Hours</t>
  </si>
  <si>
    <t>Hours per week</t>
  </si>
  <si>
    <t>No of PTOs (Planned, Holidays, Unplanned)</t>
  </si>
  <si>
    <t>No. of Calenar ACs covered in Pattern Analysis</t>
  </si>
  <si>
    <t>CL - Initial Analysis</t>
  </si>
  <si>
    <t>Type</t>
  </si>
  <si>
    <t>No. of US covered in Pattern Analysis</t>
  </si>
  <si>
    <t>Comments</t>
  </si>
  <si>
    <t>Hr/AC for Analysis</t>
  </si>
  <si>
    <t>Hr/AC for Design</t>
  </si>
  <si>
    <t>Hr/Review</t>
  </si>
  <si>
    <t>AC</t>
  </si>
  <si>
    <t>Review Hours (Pattern Creation)</t>
  </si>
  <si>
    <t>Review Hours (Design)</t>
  </si>
  <si>
    <t>Other Analysis Time</t>
  </si>
  <si>
    <t>Hr/Bug/TC analysis and design</t>
  </si>
  <si>
    <t>No. of ACs per Pattern</t>
  </si>
  <si>
    <t>Hr/query or defect or meetings or others</t>
  </si>
  <si>
    <t>Hr/Other Analysis</t>
  </si>
  <si>
    <t>No of Days</t>
  </si>
  <si>
    <t>No of Hours/day</t>
  </si>
  <si>
    <t xml:space="preserve">Pas 6-mil 3 </t>
  </si>
  <si>
    <t>Pas 6-mil 4</t>
  </si>
  <si>
    <t>Pas 7-mil 1</t>
  </si>
  <si>
    <t>Pas 7-mil 2</t>
  </si>
  <si>
    <t>Cumulative User stories</t>
  </si>
  <si>
    <t>Pas 7-mil 3</t>
  </si>
  <si>
    <t>Pas 7-mil 4</t>
  </si>
  <si>
    <t>Week Ending</t>
  </si>
  <si>
    <t>This does not include any rework required if scope changes</t>
  </si>
  <si>
    <t>PAS7</t>
  </si>
  <si>
    <t>No of hours/Week</t>
  </si>
  <si>
    <t>Gurpreet's effort is added as .5 from Week ending 30 oct</t>
  </si>
  <si>
    <t>if two resource are added strating week ending 30 oct</t>
  </si>
  <si>
    <t>Expected Rework</t>
  </si>
  <si>
    <t>Estimated buffer</t>
  </si>
  <si>
    <t>Task</t>
  </si>
  <si>
    <t>Sprint 13 analysis</t>
  </si>
  <si>
    <t>Sprint 13 design</t>
  </si>
  <si>
    <t>Sprint 13 design + Sprint 14 analysis</t>
  </si>
  <si>
    <t>Sprint 13 analysis + Design</t>
  </si>
  <si>
    <t>Sprint 14 analysis</t>
  </si>
  <si>
    <t>Sprint 14 analysis + Design</t>
  </si>
  <si>
    <t>Sprint 14 design</t>
  </si>
  <si>
    <t>jira</t>
  </si>
  <si>
    <t>reporting</t>
  </si>
  <si>
    <t>manual queries</t>
  </si>
  <si>
    <t>reusability</t>
  </si>
  <si>
    <t>Original</t>
  </si>
  <si>
    <t>Part of Scenarios</t>
  </si>
  <si>
    <t>Individual TCs</t>
  </si>
  <si>
    <t>Total</t>
  </si>
  <si>
    <t>Sub Total</t>
  </si>
  <si>
    <t>Automated (Fully/Partially)</t>
  </si>
  <si>
    <t>Fully Automatable</t>
  </si>
  <si>
    <t>Partially Automatable</t>
  </si>
  <si>
    <t>Not Automatable</t>
  </si>
  <si>
    <t>Property (Approx)</t>
  </si>
  <si>
    <t>Auto (Approx)</t>
  </si>
  <si>
    <t>Total PAS2,3,4 TCs</t>
  </si>
  <si>
    <t>Progress</t>
  </si>
  <si>
    <t>6 UBI TCs in Scope of Manual team of 26 in UBI Dump</t>
  </si>
  <si>
    <t>Burndown</t>
  </si>
  <si>
    <t>No. of Resources</t>
  </si>
  <si>
    <t>Hrs/TC</t>
  </si>
  <si>
    <t>No of Working Days</t>
  </si>
  <si>
    <t>No of Test cases</t>
  </si>
  <si>
    <t>Cumulative TC Count</t>
  </si>
  <si>
    <t>Category</t>
  </si>
  <si>
    <t>No. of Scenarios - To Be Delivered</t>
  </si>
  <si>
    <t>4th Sept</t>
  </si>
  <si>
    <t xml:space="preserve">
UBI Test Cases </t>
  </si>
  <si>
    <t>11th Sept</t>
  </si>
  <si>
    <t xml:space="preserve">UBI Test Cases 
Property Individual Test Cases - Fully/Partially Automatable  </t>
  </si>
  <si>
    <t>18th Sept</t>
  </si>
  <si>
    <t xml:space="preserve">Property Individual Test Cases - Fully/Partially Automatable  </t>
  </si>
  <si>
    <t>25th Sept</t>
  </si>
  <si>
    <t>2nd Oct</t>
  </si>
  <si>
    <t xml:space="preserve">Property Individual Test Cases - Fully/Partially Automatable
Property Scenarios  Fully/Partially Automatable Optimization   </t>
  </si>
  <si>
    <t>9th Oct</t>
  </si>
  <si>
    <t xml:space="preserve">Property Scenarios  Fully/Partially Automatable Optimization   </t>
  </si>
  <si>
    <t>16th Oct</t>
  </si>
  <si>
    <t>23rd Oct</t>
  </si>
  <si>
    <t>30th Oct</t>
  </si>
  <si>
    <t>6th Nov</t>
  </si>
  <si>
    <t xml:space="preserve">Property Scenarios  Fully/Partially Automatable Optimization 
Auto Individual Test Cases - Fully/Partially Automatable  </t>
  </si>
  <si>
    <t>13th Nov</t>
  </si>
  <si>
    <t>Auto Individual Test Cases - Fully/Partially Automatable</t>
  </si>
  <si>
    <t>20th Nov</t>
  </si>
  <si>
    <t xml:space="preserve">Auto Individual Test Cases - Fully/Partially Automatable
Auto Scenarios  Fully/Partially Automatable Optimization   </t>
  </si>
  <si>
    <t>27th Nov</t>
  </si>
  <si>
    <t xml:space="preserve">Auto Scenarios  Fully/Partially Automatable Optimization   </t>
  </si>
  <si>
    <t>4th Dec</t>
  </si>
  <si>
    <t>11th Dec</t>
  </si>
  <si>
    <t>Auto Scenarios  Fully/Partially Automatable Optimization   
Property Test Cases - Not Automable</t>
  </si>
  <si>
    <t>18th Dec</t>
  </si>
  <si>
    <t>Property Test Cases - Not Automable
Auto Test Cases - Not Automable</t>
  </si>
  <si>
    <t>25th Dec</t>
  </si>
  <si>
    <t>Auto Test Cases - Not Automable</t>
  </si>
  <si>
    <t>1st Jan</t>
  </si>
  <si>
    <t>Assumptions:</t>
  </si>
  <si>
    <t xml:space="preserve">1. Hrs/TC from Week ending 25th Sept reduced to 2hrs due to expected feedback from manual team post M3 </t>
  </si>
  <si>
    <t>2. PTOs not accounted for in the burndown</t>
  </si>
  <si>
    <t>3. 691+20 = 711 TCs</t>
  </si>
  <si>
    <t xml:space="preserve">4. 1 Scenario = 4 TCs </t>
  </si>
  <si>
    <t>Count of AC/Scenarios</t>
  </si>
  <si>
    <t>Hours</t>
  </si>
  <si>
    <t>PAS5</t>
  </si>
  <si>
    <t>CA CP design review</t>
  </si>
  <si>
    <t>4 - Ready for review</t>
  </si>
  <si>
    <t>3 - Primary review</t>
  </si>
  <si>
    <t>5 - Secondary review</t>
  </si>
  <si>
    <t>Policy Life cycle scenario creation</t>
  </si>
  <si>
    <t>Time point scenario review</t>
  </si>
  <si>
    <t>PAS6</t>
  </si>
  <si>
    <t>Regression Analysis</t>
  </si>
  <si>
    <t>2 - Primary Review</t>
  </si>
  <si>
    <t>5 - Clarification Pending</t>
  </si>
  <si>
    <t>PAS2,3,4</t>
  </si>
  <si>
    <t>Planned St.Dt</t>
  </si>
  <si>
    <t>Revised St.Dt</t>
  </si>
  <si>
    <t>Planned End.Dt</t>
  </si>
  <si>
    <t>Revised End.Dt</t>
  </si>
  <si>
    <t>week ending</t>
  </si>
  <si>
    <t>4th Sep</t>
  </si>
  <si>
    <t>Mon EOD 2 sep</t>
  </si>
  <si>
    <t>Wed EOD 3 sep</t>
  </si>
  <si>
    <t>Mon EOD 7 sep</t>
  </si>
  <si>
    <t>Wed EOD 9 sep</t>
  </si>
  <si>
    <t>Reasons for the revision in the delivery date:
1. 3 resources were involved in incorporating the CP updates in the CL PLC scenarios on 09/02, hence no progress on CA CP reviews 
2. Unplanned PTO (Gurpreet)
3. I could not review any scenarios as I was tied up with back to back meetings on Stabilization call, UBI CR Assessment, PAS6 design numbers, VC meeting and some follow ups made with the team in terms of pending CA items
4. We have to spend some hours on preparation of WSR (approximately 4-5 hours for 2 resources)</t>
  </si>
  <si>
    <t>Review</t>
  </si>
  <si>
    <t>11th Sep</t>
  </si>
  <si>
    <t>Varun, Siddhi and Shiriesh for review for 3 weeks</t>
  </si>
  <si>
    <t>All CA Auto US</t>
  </si>
  <si>
    <t>CA Select stories in QA approved/In production/test execution complete</t>
  </si>
  <si>
    <t>Target release CA_Auto</t>
  </si>
  <si>
    <t>Target Release PAS1.1, 4,4.1</t>
  </si>
  <si>
    <t>Target Release (upcoming) 5.1,6 core, 7,7.1</t>
  </si>
  <si>
    <t xml:space="preserve">CP related: </t>
  </si>
  <si>
    <t xml:space="preserve">Already implemented </t>
  </si>
  <si>
    <t>Upcoming release</t>
  </si>
  <si>
    <t>NB Related</t>
  </si>
  <si>
    <t>Already implemented</t>
  </si>
  <si>
    <t>Total count of US</t>
  </si>
  <si>
    <t>Approach 1:</t>
  </si>
  <si>
    <t>CP related</t>
  </si>
  <si>
    <t>Use Conversion CP patterns as base</t>
  </si>
  <si>
    <t>Coverage expected 40%</t>
  </si>
  <si>
    <t>CA mapping effort</t>
  </si>
  <si>
    <t>GAP analysis + Pattern designing effort</t>
  </si>
  <si>
    <t>Design effort</t>
  </si>
  <si>
    <t>Review effort</t>
  </si>
  <si>
    <t>Total CP effort</t>
  </si>
  <si>
    <t>Approach 2:</t>
  </si>
  <si>
    <t>Use Property CP patterns as base</t>
  </si>
  <si>
    <t>Coverage expected 80%</t>
  </si>
  <si>
    <t>Approach 3:</t>
  </si>
  <si>
    <t>Total US:</t>
  </si>
  <si>
    <t>Create new patterns</t>
  </si>
  <si>
    <t>Analysis effort</t>
  </si>
  <si>
    <t>Design reusability :</t>
  </si>
  <si>
    <t>Total Pattern creation effort</t>
  </si>
  <si>
    <t>Total Design effort</t>
  </si>
  <si>
    <t>NBP Related</t>
  </si>
  <si>
    <t>Use Existing test cases</t>
  </si>
  <si>
    <t>Total existing New business/MTC/Billing test cases</t>
  </si>
  <si>
    <t>Hour/test case to analyse for regression scope and pattern fitment</t>
  </si>
  <si>
    <t>Total time to revit /Fit all test cases</t>
  </si>
  <si>
    <t>time for US GAP analysis + remaining pattern creation</t>
  </si>
  <si>
    <t>Gap analysis of test cases with US + gap fitment</t>
  </si>
  <si>
    <t>No of AC per US in CP for Regression</t>
  </si>
  <si>
    <t>No of AC per US in NB for Regression</t>
  </si>
  <si>
    <t xml:space="preserve">Total regression coverage analysed </t>
  </si>
  <si>
    <t>Total NB effort</t>
  </si>
  <si>
    <t>Using alternate 2 for CP designing</t>
  </si>
  <si>
    <t>Using alternate 2 for NBP designing</t>
  </si>
  <si>
    <t>Total Analysis hours</t>
  </si>
  <si>
    <t>Total Designing hours</t>
  </si>
  <si>
    <t>CP Analysis Effort</t>
  </si>
  <si>
    <t>CP Design effort</t>
  </si>
  <si>
    <t>NBP Analysis effort</t>
  </si>
  <si>
    <t>NBP Design effort</t>
  </si>
  <si>
    <t>US related to Define/Capture details (UI Validation)</t>
  </si>
  <si>
    <t>Available Resources</t>
  </si>
  <si>
    <t>Adding 3 resources</t>
  </si>
  <si>
    <t>Other tracks</t>
  </si>
  <si>
    <t>Unplanned PTO</t>
  </si>
  <si>
    <t>Actual Rescources for Analysis</t>
  </si>
  <si>
    <t>Actual Rescources for Review</t>
  </si>
  <si>
    <t>Actual Resources for Design</t>
  </si>
  <si>
    <t>Actual Resources for Review</t>
  </si>
  <si>
    <t>Functional Queries/Defect Review/Meeting Hours</t>
  </si>
  <si>
    <t>Actual Resources for Other Analysis</t>
  </si>
  <si>
    <t>PAS8</t>
  </si>
  <si>
    <t>Release</t>
  </si>
  <si>
    <t>Planned PTO</t>
  </si>
  <si>
    <t>No. of AC in a US</t>
  </si>
  <si>
    <t>No. of AC/TC/Defects covered in Design</t>
  </si>
  <si>
    <t>Cumulative AC/TC/Defects for design</t>
  </si>
  <si>
    <t>Analysis Hours</t>
  </si>
  <si>
    <t>Review Hours (Analysis)</t>
  </si>
  <si>
    <t>Design Hours</t>
  </si>
  <si>
    <t>No of Resources for Analysis including review</t>
  </si>
  <si>
    <t>No of Resources for Design including review</t>
  </si>
  <si>
    <t>No. of US covered</t>
  </si>
  <si>
    <t>No. of ACs Analyzed</t>
  </si>
  <si>
    <t xml:space="preserve">Executive Priorities </t>
  </si>
  <si>
    <t>Story Points</t>
  </si>
  <si>
    <t>CT Property</t>
  </si>
  <si>
    <t>WI0047</t>
  </si>
  <si>
    <t>OH Property</t>
  </si>
  <si>
    <t>WI0033</t>
  </si>
  <si>
    <t>SS Automated Renewal Rules</t>
  </si>
  <si>
    <t xml:space="preserve">WI0283 </t>
  </si>
  <si>
    <t>KS Property</t>
  </si>
  <si>
    <t>WI0035</t>
  </si>
  <si>
    <t>*Manual CNV + Auto Capping DE, VA, MD</t>
  </si>
  <si>
    <t>WI0275</t>
  </si>
  <si>
    <t>Document Trigger Changes for Choice - Prod Enh</t>
  </si>
  <si>
    <t>WI0308</t>
  </si>
  <si>
    <t>WI0235</t>
  </si>
  <si>
    <t>Usability Improvements - SS Bundle Simplifications - Prod Enh</t>
  </si>
  <si>
    <t>WI0300</t>
  </si>
  <si>
    <t>Document Redesign</t>
  </si>
  <si>
    <t>WI0205</t>
  </si>
  <si>
    <t>KY Property</t>
  </si>
  <si>
    <t>WI0036</t>
  </si>
  <si>
    <t>PAS8 Vital Late-Breaking</t>
  </si>
  <si>
    <t>------</t>
  </si>
  <si>
    <t>Integrations Stories PAS8</t>
  </si>
  <si>
    <t>WI0174</t>
  </si>
  <si>
    <t>Hr/ Work Item Analysis</t>
  </si>
  <si>
    <t>Hr/Work Item Design</t>
  </si>
  <si>
    <t>Hr for query or defect or meetings or others</t>
  </si>
  <si>
    <t>Hr for Other Analysis</t>
  </si>
  <si>
    <t>Shireesh, Anugya</t>
  </si>
  <si>
    <t>Shireesh</t>
  </si>
  <si>
    <t>Resources</t>
  </si>
  <si>
    <t>PAS9</t>
  </si>
  <si>
    <t>PAS 8-mil 1</t>
  </si>
  <si>
    <t>PAS 8-mil 2</t>
  </si>
  <si>
    <t>PAS 7-mil 3</t>
  </si>
  <si>
    <t>PAS 7-mil 4</t>
  </si>
  <si>
    <t>PAS 7-mil 2</t>
  </si>
  <si>
    <t>PAS 8-mil 3</t>
  </si>
  <si>
    <t>PAS 8-mil 4</t>
  </si>
  <si>
    <t>PAS8 Analysis</t>
  </si>
  <si>
    <t>PAS9 Analysis</t>
  </si>
  <si>
    <t>PAS9 Design</t>
  </si>
  <si>
    <t>PAS10</t>
  </si>
  <si>
    <t>PAS9-mil 1</t>
  </si>
  <si>
    <t>PAS9-mil 2</t>
  </si>
  <si>
    <t>PAS9-mil 3</t>
  </si>
  <si>
    <t>PAS9-mil 4</t>
  </si>
  <si>
    <t>PAS10 Analysis</t>
  </si>
  <si>
    <t>PAS10 Design</t>
  </si>
  <si>
    <t>Shireesh, Siddhi, Ravi, Varun, Gurpreet, Harsh, Anugya</t>
  </si>
  <si>
    <t>Analysis &amp; Design for Release</t>
  </si>
  <si>
    <t>Milestone as per PAS Program</t>
  </si>
  <si>
    <t>Manual Ac count (incl. Content Validation and document automation)</t>
  </si>
  <si>
    <t>Automation Ac count- New</t>
  </si>
  <si>
    <t>Automation Ac count - Reusable</t>
  </si>
  <si>
    <t>Integration AC count</t>
  </si>
  <si>
    <t xml:space="preserve">WV Property
</t>
  </si>
  <si>
    <t>Manual changes to renewal image</t>
  </si>
  <si>
    <t>SD Property</t>
  </si>
  <si>
    <t>NV Property</t>
  </si>
  <si>
    <t xml:space="preserve">Product Simplification Phase 1 </t>
  </si>
  <si>
    <t>Vital Late-Breaking CRs</t>
  </si>
  <si>
    <t>Totals</t>
  </si>
  <si>
    <t>Pri</t>
  </si>
  <si>
    <t>WI#</t>
  </si>
  <si>
    <t>Description</t>
  </si>
  <si>
    <t>US Count</t>
  </si>
  <si>
    <t>AC Count</t>
  </si>
  <si>
    <t>WY Property</t>
  </si>
  <si>
    <t>MT Property</t>
  </si>
  <si>
    <t>WI0046</t>
  </si>
  <si>
    <t>WI0042</t>
  </si>
  <si>
    <t>ID Property (Orig Scope)</t>
  </si>
  <si>
    <t>WI0043</t>
  </si>
  <si>
    <t>OR Property (Orig Scope)</t>
  </si>
  <si>
    <t>WI0049</t>
  </si>
  <si>
    <t>DC Property (Orig Scope)</t>
  </si>
  <si>
    <t>WI0320</t>
  </si>
  <si>
    <t>CA Property Rate Change (Prod Enh)</t>
  </si>
  <si>
    <t>WI0318</t>
  </si>
  <si>
    <t>Technical Design: Manual Change to Renewal Image (Orig Scope)</t>
  </si>
  <si>
    <t>Per note from Jen, only 10 US will be in scope. Assuming 3 AC per US</t>
  </si>
  <si>
    <t>PAS10 Vital Late-Breaking Production Enhancements (Prod Enh)</t>
  </si>
  <si>
    <t>Start Date</t>
  </si>
  <si>
    <t>End Date</t>
  </si>
  <si>
    <t>PAS Milestone</t>
  </si>
  <si>
    <t>No. of weeks</t>
  </si>
  <si>
    <t># WI</t>
  </si>
  <si>
    <t># AC</t>
  </si>
  <si>
    <t>PAS7- Mil3 wk3</t>
  </si>
  <si>
    <t>Steady State Capacity as per last estimations</t>
  </si>
  <si>
    <t>5 FTE for 12 wks</t>
  </si>
  <si>
    <t>Overall Prod Enhancements and Defect Debt PAS8</t>
  </si>
  <si>
    <t>Assuming 70% will be out of regression and remaining 18 US are in regression scope 1SP = 1US</t>
  </si>
  <si>
    <t>Assuming 80% will be new automation, 20% will be reusable automation, 10% will be integration. 20% will also be partially automatable (this is already included in new automation)</t>
  </si>
  <si>
    <t>Assuming 60% will be new automation, 20% will be reusable automation. 20% will also be partially automatable (this is already included in new automation)</t>
  </si>
  <si>
    <t>Not included in Factory scope as this WI covered in CR</t>
  </si>
  <si>
    <t>Totals (excluding Conversion items)</t>
  </si>
  <si>
    <t>Shireesh, Siddhi, Ravi, Varun, Upasana, Ved, Harsh, Anugya</t>
  </si>
  <si>
    <t>Shireesh, Siddhi, Ravi, Varun, Upasana, Ved, Gurpreet, Harsh, Anugya</t>
  </si>
  <si>
    <t>Analysis</t>
  </si>
  <si>
    <t>Analysis &amp; Design</t>
  </si>
  <si>
    <t>Design</t>
  </si>
  <si>
    <t>Design +  Buffer 
(additional 3.5 resource 9-5.5)</t>
  </si>
  <si>
    <t>NY Property</t>
  </si>
  <si>
    <t>OR comprater</t>
  </si>
  <si>
    <t>ID Property Comp rater</t>
  </si>
  <si>
    <t>CA HDES Conversion</t>
  </si>
  <si>
    <t>WI0162</t>
  </si>
  <si>
    <t>WI0039</t>
  </si>
  <si>
    <t>WI0326</t>
  </si>
  <si>
    <t>WI0044</t>
  </si>
  <si>
    <t>WI0325</t>
  </si>
  <si>
    <t>WI0041</t>
  </si>
  <si>
    <t>WI0038</t>
  </si>
  <si>
    <t>WI0040</t>
  </si>
  <si>
    <t>WI0315</t>
  </si>
  <si>
    <t>PAS8- Mil2 wk2</t>
  </si>
  <si>
    <t>PAS 9- Mil1 wk1</t>
  </si>
  <si>
    <t>PAS10- Mil1 wk1</t>
  </si>
  <si>
    <t>Effective No. of Billing Resources (removing PTOs)</t>
  </si>
  <si>
    <t>PAS 8- Mil2 wk1</t>
  </si>
  <si>
    <t>PAS9- Mil1 wk2</t>
  </si>
  <si>
    <t>WI0309</t>
  </si>
  <si>
    <t>Assuming 10% will be pure manual and 90% will be new automation. There will be no partially automtable AC and 10% will be integration 2SP = 1US</t>
  </si>
  <si>
    <t>Story Points (as per latest sheet from Jen)</t>
  </si>
  <si>
    <t>US Count (Per PAS9 Grooming Sheet from Jerry)</t>
  </si>
  <si>
    <t>Assuming 70% will be new automation, 20% will be reusable automation, 10% will be integration. 20% will also be partially automatable (this is already included in new automation). 3SP = 1US</t>
  </si>
  <si>
    <t>Story Points (as per Groom Sheet from Jerry)</t>
  </si>
  <si>
    <t>AC Count (as per Grooming Sheet from Jerry)</t>
  </si>
  <si>
    <t>AC Count (derived from US)</t>
  </si>
  <si>
    <t>To be covered as part of separate estimates by RCA team</t>
  </si>
  <si>
    <t>Approx US count (3SP = 1US for new state and 2SP = 1 US for others)</t>
  </si>
  <si>
    <t>Assuming 90% will be new automation, 10% will be integration. 20% will also be partially automatable (this is already included in new automation). 2SP = 1US</t>
  </si>
  <si>
    <t>PAS10 Minor Production Enhancements (ProdEnh)</t>
  </si>
  <si>
    <t>Developed in 2014</t>
  </si>
  <si>
    <t>Developed in 2015</t>
  </si>
  <si>
    <t>Developed in 2016</t>
  </si>
  <si>
    <r>
      <t xml:space="preserve">  </t>
    </r>
    <r>
      <rPr>
        <b/>
        <sz val="26"/>
        <color theme="1"/>
        <rFont val="Calibri"/>
        <family val="2"/>
        <scheme val="minor"/>
      </rPr>
      <t>PAS Sprint Planning Tool</t>
    </r>
  </si>
  <si>
    <t>Release June 2014</t>
  </si>
  <si>
    <t>Release Sept 2014</t>
  </si>
  <si>
    <t>Release Dec 2014</t>
  </si>
  <si>
    <t>Release Jun 2015</t>
  </si>
  <si>
    <t>Release Aug 2015</t>
  </si>
  <si>
    <t>Release Jan 2016</t>
  </si>
  <si>
    <t>Release March 2016</t>
  </si>
  <si>
    <t>Release June 2016</t>
  </si>
  <si>
    <t>Release Sep 2016</t>
  </si>
  <si>
    <t>Release Nov 2016</t>
  </si>
  <si>
    <t>Release Feb 2017</t>
  </si>
  <si>
    <t>Release May 2017</t>
  </si>
  <si>
    <t>Release Sep 2017</t>
  </si>
  <si>
    <t>PAS1</t>
  </si>
  <si>
    <t>PAS2</t>
  </si>
  <si>
    <t>PAS3</t>
  </si>
  <si>
    <t>PAS4</t>
  </si>
  <si>
    <t>PAS11</t>
  </si>
  <si>
    <t>PAS12</t>
  </si>
  <si>
    <t>PAS13</t>
  </si>
  <si>
    <t>STORIES DUE</t>
  </si>
  <si>
    <t>DEV STARTS</t>
  </si>
  <si>
    <t>DEV ENDS</t>
  </si>
  <si>
    <t>WI #</t>
  </si>
  <si>
    <t>Work Items</t>
  </si>
  <si>
    <t>Sprint 1</t>
  </si>
  <si>
    <t>Sprint 2</t>
  </si>
  <si>
    <t>Sprint 3</t>
  </si>
  <si>
    <t>Sprint 4</t>
  </si>
  <si>
    <t>Sprint 5</t>
  </si>
  <si>
    <t>Sprint 6</t>
  </si>
  <si>
    <t>Sprint 7</t>
  </si>
  <si>
    <t>Sprint 8</t>
  </si>
  <si>
    <t>Sprint 9</t>
  </si>
  <si>
    <t>Sprint 10</t>
  </si>
  <si>
    <t>Sprint 11</t>
  </si>
  <si>
    <t>Sprint 12</t>
  </si>
  <si>
    <t>Sprint 13</t>
  </si>
  <si>
    <t>Sprint 14</t>
  </si>
  <si>
    <t>Sprint 15</t>
  </si>
  <si>
    <t>Sprint 16</t>
  </si>
  <si>
    <t>Sprint 17</t>
  </si>
  <si>
    <t>Sprint 18</t>
  </si>
  <si>
    <t>Sprint 19</t>
  </si>
  <si>
    <t>Sprint 20</t>
  </si>
  <si>
    <t>Sprint 21</t>
  </si>
  <si>
    <t>Sprint 22</t>
  </si>
  <si>
    <t>Sprint 23</t>
  </si>
  <si>
    <t>Sprint 24</t>
  </si>
  <si>
    <t>Sprint 25</t>
  </si>
  <si>
    <t>Sprint 26</t>
  </si>
  <si>
    <t>TOTAL</t>
  </si>
  <si>
    <t>% Overall</t>
  </si>
  <si>
    <t>WI0001</t>
  </si>
  <si>
    <t>WI0002</t>
  </si>
  <si>
    <t>WI0003</t>
  </si>
  <si>
    <t>WI0004</t>
  </si>
  <si>
    <t>WI0005</t>
  </si>
  <si>
    <t>WI0006</t>
  </si>
  <si>
    <t>WI0007</t>
  </si>
  <si>
    <t>WI0008</t>
  </si>
  <si>
    <t>WI0009</t>
  </si>
  <si>
    <t>WI0010</t>
  </si>
  <si>
    <t>WI0011</t>
  </si>
  <si>
    <t>WI0012</t>
  </si>
  <si>
    <t>WI0013</t>
  </si>
  <si>
    <t>WI0014</t>
  </si>
  <si>
    <t>WI0015</t>
  </si>
  <si>
    <t>WI0016</t>
  </si>
  <si>
    <t>WI0017</t>
  </si>
  <si>
    <t>WI0018</t>
  </si>
  <si>
    <t>WI0019</t>
  </si>
  <si>
    <t>WI0020</t>
  </si>
  <si>
    <t>WI0021</t>
  </si>
  <si>
    <t>WI0022</t>
  </si>
  <si>
    <t>WI0023</t>
  </si>
  <si>
    <t>WI0024</t>
  </si>
  <si>
    <t>WI0025</t>
  </si>
  <si>
    <t>WI0026</t>
  </si>
  <si>
    <t>WI0027</t>
  </si>
  <si>
    <t>WI0028</t>
  </si>
  <si>
    <t>WI0029</t>
  </si>
  <si>
    <t>WI0030</t>
  </si>
  <si>
    <t>WI0031</t>
  </si>
  <si>
    <t>WI0032</t>
  </si>
  <si>
    <t>WI0034</t>
  </si>
  <si>
    <t>WI0037</t>
  </si>
  <si>
    <t>WI0045</t>
  </si>
  <si>
    <t>WI0048</t>
  </si>
  <si>
    <t>Sprint Allocation for WorkItems</t>
  </si>
  <si>
    <t>Maximimum Total Points Per Sprint</t>
  </si>
  <si>
    <t>Maximum Points Per Sprint for WorkItems</t>
  </si>
  <si>
    <t>Points Reserved for Defect Debt</t>
  </si>
  <si>
    <t>Points Reserved Unknown Prod Enhancements / Fixes</t>
  </si>
  <si>
    <t>Conversion Development Team</t>
  </si>
  <si>
    <t>TOTAL PAS SYSTEM EFFORT</t>
  </si>
  <si>
    <t>Core Development Team</t>
  </si>
  <si>
    <t>Warranty &amp; Dev Tiger Team Work (Non Sev 1 warranty)</t>
  </si>
  <si>
    <t>Performance Fixes</t>
  </si>
  <si>
    <t>Additional QA Conversion work (i.e. Import Tool)</t>
  </si>
  <si>
    <t>Non UI Subtotal</t>
  </si>
  <si>
    <t>Sub Total of Additional Scope Added To PAS9</t>
  </si>
  <si>
    <t>1. 65% of user stories will fall under regression
2. As the user stories are majorly rules related, 2 AC per user story in regression will be in scope.
3. As there are no form generation user stories, no scenario will be marked for manual content validation thread.
4. The estimates have been done based on quick analysis of 86 item under this work items</t>
  </si>
  <si>
    <t>PAS10-mil 1</t>
  </si>
  <si>
    <t>PAS9 Design + Buffer</t>
  </si>
  <si>
    <t>325 AC</t>
  </si>
  <si>
    <t>429 US</t>
  </si>
  <si>
    <t>238 US</t>
  </si>
  <si>
    <t>175 AC</t>
  </si>
  <si>
    <t>PAS9 Analysis + PAS9 Design</t>
  </si>
  <si>
    <t>Other tracks/Buffer</t>
  </si>
  <si>
    <t>PAS9 Revised Scope</t>
  </si>
  <si>
    <t>235 AC</t>
  </si>
  <si>
    <t>33 AC</t>
  </si>
  <si>
    <t>26 US</t>
  </si>
  <si>
    <t>110 US</t>
  </si>
  <si>
    <t>86 AC</t>
  </si>
  <si>
    <t>No. of detla AC in a US</t>
  </si>
  <si>
    <t>No of Scenarios</t>
  </si>
  <si>
    <t>CP</t>
  </si>
  <si>
    <t>NB</t>
  </si>
  <si>
    <t>Story Points Estimates</t>
  </si>
  <si>
    <t xml:space="preserve">Approx US count (3SP = 1US </t>
  </si>
  <si>
    <t>Manual only AC count</t>
  </si>
  <si>
    <t>CA HDES Conversion, Phase 2 (Org Scope)</t>
  </si>
  <si>
    <t>CA Structural Rate Changes (Fireline)</t>
  </si>
  <si>
    <t>WI0330</t>
  </si>
  <si>
    <t>Thirdparty coverpage for non-pay cancel notice CA Property</t>
  </si>
  <si>
    <t>WI0316</t>
  </si>
  <si>
    <t>Property PAS Simplification Phase-2</t>
  </si>
  <si>
    <t>WI0211</t>
  </si>
  <si>
    <t>Integration stories PAS10</t>
  </si>
  <si>
    <t>WI0333</t>
  </si>
  <si>
    <t>UBI Enhancements</t>
  </si>
  <si>
    <t>WI0342</t>
  </si>
  <si>
    <t>UW Simplification Phase-1</t>
  </si>
  <si>
    <t>WI0344</t>
  </si>
  <si>
    <t>Left over - Auto and Property CRs</t>
  </si>
  <si>
    <t>WI0340</t>
  </si>
  <si>
    <t>BSS - Enabling book roil in new business and capping</t>
  </si>
  <si>
    <t>Grandfathering rules for MAIG states</t>
  </si>
  <si>
    <t>WI0329</t>
  </si>
  <si>
    <t>WI0208</t>
  </si>
  <si>
    <t>BSS - CA Property Conversions SIS (DP3)</t>
  </si>
  <si>
    <t>MPD Validation</t>
  </si>
  <si>
    <t>BSS - PUP Simplification and PUP UW Simplification</t>
  </si>
  <si>
    <t>Auto - Auto CA/SS Report Redesign - Release 1</t>
  </si>
  <si>
    <t>WI0304</t>
  </si>
  <si>
    <t>WI0341</t>
  </si>
  <si>
    <t>WI0322</t>
  </si>
  <si>
    <t>Track</t>
  </si>
  <si>
    <t>Conv</t>
  </si>
  <si>
    <t>Sub totals</t>
  </si>
  <si>
    <t>Assuming 80% will be new automation, 10% will be integration and 10% will be manual. 20% will be document automation AC (this is already included in new automation). There will not be any reusable Automation AC. 2SP = 1US</t>
  </si>
  <si>
    <t>Automation</t>
  </si>
  <si>
    <t>Manual</t>
  </si>
  <si>
    <t>Design Scope</t>
  </si>
  <si>
    <t>Document automation AC Count</t>
  </si>
  <si>
    <t>Story Points 
(as per Business Priority deck)</t>
  </si>
  <si>
    <t>Avg Scenarios</t>
  </si>
  <si>
    <t>Complex</t>
  </si>
  <si>
    <t>Medium</t>
  </si>
  <si>
    <t>Simple</t>
  </si>
  <si>
    <t>Complex (new)</t>
  </si>
  <si>
    <t>Medium (new)</t>
  </si>
  <si>
    <t>Simple (new)</t>
  </si>
  <si>
    <t>Complex (update)</t>
  </si>
  <si>
    <t>Medium (update)</t>
  </si>
  <si>
    <t>Simple (update)</t>
  </si>
  <si>
    <t>New</t>
  </si>
  <si>
    <t>Update</t>
  </si>
  <si>
    <t>%</t>
  </si>
  <si>
    <t>S.Count</t>
  </si>
  <si>
    <t>INT</t>
  </si>
  <si>
    <t>TBC</t>
  </si>
  <si>
    <t>FTEs</t>
  </si>
  <si>
    <t>Assuming 90% will be in new automation, 10% will be integration. 10% will be document automation AC (this is already included in new automation). There will not be any reusable Automation AC. 2SP = 1US</t>
  </si>
  <si>
    <t>Avg AC</t>
  </si>
  <si>
    <t>Scenarios</t>
  </si>
  <si>
    <t>Complex US</t>
  </si>
  <si>
    <t>Simple US</t>
  </si>
  <si>
    <t>Medium US</t>
  </si>
  <si>
    <t>A</t>
  </si>
  <si>
    <t>B</t>
  </si>
  <si>
    <t>C</t>
  </si>
  <si>
    <t>D</t>
  </si>
  <si>
    <t>Estimated AC Count (derived from US)</t>
  </si>
  <si>
    <t xml:space="preserve">Estimated US count </t>
  </si>
  <si>
    <t>Automation AC count- New</t>
  </si>
  <si>
    <t>Automation AC count - Reusable</t>
  </si>
  <si>
    <t>A+B+C+D</t>
  </si>
  <si>
    <t>PAS10 Analysis + Design</t>
  </si>
  <si>
    <t>Assuming 70% will be in new automation, 10% will be integration, 10% will be manual and 10% will be partially resuable AC. There will not be any document content validation AC in regression. 2SP = 1US</t>
  </si>
  <si>
    <t>Assuming 90% will be in new automation, 10% will be reusable automation AC. There will not be any document content validation AC in regression. 2SP = 1US</t>
  </si>
  <si>
    <t>Assuming 100% will be new automation. 20% will be in document content validation (this is already included in new automation). There will be no reusable automtable AC. 2SP = 1US</t>
  </si>
  <si>
    <t>Assuming 70% will be new automation, 20% will be reusable automation and 10% will be integration. 10% will be document automation AC (this is already included in new automation). 2SP = 1US</t>
  </si>
  <si>
    <t>Assuming 80% will be new automation, 10% reusable automation, 10% will be pure manual. There will be no integration AC and no document content validation AC in regression. 2SP = 1US</t>
  </si>
  <si>
    <t>Assuming 70% will be new automation, 10% will be manual, 20% will be resuable automation. There will be no integration AC and no document content validation AC in regression. 2SP = 1US</t>
  </si>
  <si>
    <t>Assuming 60% will be new automation, 10% will be manual, 10% will be integration, 20% will be partially automatable AC. 20% document automation AC r(this is already included in new automation) 2SP = 1US</t>
  </si>
  <si>
    <t>Story Points (as per Business Priority deck)</t>
  </si>
  <si>
    <t>CA Prop Conversion SIS-DP3 and Foxpro-PUP</t>
  </si>
  <si>
    <t>Enable Book roll in New Business and Capping</t>
  </si>
  <si>
    <t>For 800 story points - 22 UI Simplification</t>
  </si>
  <si>
    <t>Sprint</t>
  </si>
  <si>
    <t>Business Priority Deck (WI added to Sp-19 but difference in Story Points)</t>
  </si>
  <si>
    <t>Business Priority Deck (WI not added to Sp-19)</t>
  </si>
  <si>
    <t>Siddhi, Varun, Harsh and Chandini</t>
  </si>
  <si>
    <t>310 AC</t>
  </si>
  <si>
    <t>380 US</t>
  </si>
  <si>
    <t>Siddhi's planned PTO</t>
  </si>
  <si>
    <t>Varun and Siddhi's planned PTO</t>
  </si>
  <si>
    <t>Varun's planned PTO</t>
  </si>
  <si>
    <t>CA Property Conversions SIS (DP3)</t>
  </si>
  <si>
    <t>Story Points 
(as per Sp-19)</t>
  </si>
  <si>
    <t>Increase (SP)</t>
  </si>
  <si>
    <t>Increase (US)</t>
  </si>
  <si>
    <t>Increase (AC)</t>
  </si>
  <si>
    <t>AC in Regression</t>
  </si>
  <si>
    <t>Sp-20</t>
  </si>
  <si>
    <t>Sp-19</t>
  </si>
  <si>
    <t>AC Buffer</t>
  </si>
  <si>
    <t>PAS Core design, Invoice Document Testing activities</t>
  </si>
  <si>
    <t>Siddhi's and Varun's Planned PTO</t>
  </si>
  <si>
    <t>350 US</t>
  </si>
  <si>
    <t>Siddhi, Varun, Harsh,Gurpreet</t>
  </si>
  <si>
    <t>MVR Redesign - Phase 1</t>
  </si>
  <si>
    <t>PAS9 refactor to E-Folder is impacting the folder structure</t>
  </si>
  <si>
    <t xml:space="preserve">WI0371 </t>
  </si>
  <si>
    <t>Sprint-19 &amp; 20</t>
  </si>
  <si>
    <t>BSS - Enabling book roll in new business and capping</t>
  </si>
  <si>
    <t>Estimated US count (Base)</t>
  </si>
  <si>
    <t>Estimated AC Count (Base)</t>
  </si>
  <si>
    <t>Integration</t>
  </si>
  <si>
    <t>Story Points
(As per the latest scope of SP19 and SP20)</t>
  </si>
  <si>
    <t>US Count
(As per the latest scope of SP19 and SP20)</t>
  </si>
  <si>
    <t>CA-CP optimization</t>
  </si>
  <si>
    <t>Siddhi and Varun working on CP optimization, Varun working on Invoice document testing for 1 day</t>
  </si>
  <si>
    <t>Days/per week</t>
  </si>
  <si>
    <t>FTE</t>
  </si>
  <si>
    <t>Hrs/Days</t>
  </si>
  <si>
    <t>Total capacity</t>
  </si>
  <si>
    <t>Unavailable due to PTOs</t>
  </si>
  <si>
    <t>Total Capacity</t>
  </si>
  <si>
    <t>Expected capacity</t>
  </si>
  <si>
    <t>% Unavailable</t>
  </si>
  <si>
    <t>Note: 
1. The total no. of WI does not include additional items for WI0304 - MVR Redesign - Phase 1 (Existing 82 items are only considered) 
2. The total no. also excludes any other WI that may be added based on any future CRs</t>
  </si>
  <si>
    <t xml:space="preserve">1. As per the latest communication, 24 User stories from PAS10 scope are expected to get cancelled. Because of which the scope will reduce to 318 User stories and we will be able to complete it by 7-Oct.
In case these stories are not cancelled, we will need to extend PAS10 analysis/designs till 14-Oct.
2. Based on CA-CP rationalization activity, additional AC’s  from CPs will need to be coded/re-coded. These counts are NOT included in design counts in above table.
</t>
  </si>
  <si>
    <t>Siddhi and Varun working on CP optimization and Production Defect Analysis
Gurpreet working on Invoice Document Testing
Siddhi &amp; Harsh Unplanned PTO (1 day each)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</si>
</sst>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_(* \(#,##0\);_(* &quot;-&quot;_);_(@_)"/>
    <numFmt numFmtId="164" formatCode="0.0"/>
    <numFmt numFmtId="165" formatCode="0.0000"/>
    <numFmt numFmtId="166" formatCode="m/d/yy;@"/>
    <numFmt numFmtId="167" formatCode="0.000"/>
  </numFmts>
  <fonts count="63"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b/>
      <sz val="11"/>
      <name val="Arial"/>
      <family val="2"/>
    </font>
    <font>
      <sz val="11"/>
      <name val="Arial"/>
      <family val="2"/>
    </font>
    <font>
      <sz val="11"/>
      <color rgb="FF000000"/>
      <name val="Calibri"/>
      <family val="2"/>
    </font>
    <font>
      <sz val="10"/>
      <color rgb="FF000000"/>
      <name val="Times New Roman"/>
      <family val="1"/>
    </font>
    <font>
      <sz val="11"/>
      <color rgb="FFFF0000"/>
      <name val="Calibri"/>
      <family val="2"/>
    </font>
    <font>
      <sz val="11"/>
      <color rgb="FF1F497D"/>
      <name val="Calibri"/>
      <family val="2"/>
    </font>
    <font>
      <sz val="10.5"/>
      <name val="Calibri"/>
      <family val="2"/>
      <scheme val="minor"/>
    </font>
    <font>
      <sz val="10.5"/>
      <color theme="1"/>
      <name val="Calibri"/>
      <family val="2"/>
      <scheme val="minor"/>
    </font>
    <font>
      <b/>
      <sz val="10.5"/>
      <color theme="1"/>
      <name val="Calibri"/>
      <family val="2"/>
      <scheme val="minor"/>
    </font>
    <font>
      <b/>
      <sz val="10.5"/>
      <name val="Calibri"/>
      <family val="2"/>
      <scheme val="minor"/>
    </font>
    <font>
      <sz val="8"/>
      <name val="Calibri"/>
      <family val="2"/>
      <scheme val="minor"/>
    </font>
    <font>
      <sz val="9"/>
      <color indexed="81"/>
      <name val="Tahoma"/>
      <family val="2"/>
    </font>
    <font>
      <b/>
      <sz val="9"/>
      <color indexed="81"/>
      <name val="Tahoma"/>
      <family val="2"/>
    </font>
    <font>
      <sz val="11"/>
      <name val="Calibri"/>
      <family val="2"/>
      <scheme val="minor"/>
    </font>
    <font>
      <b/>
      <sz val="8"/>
      <name val="Calibri"/>
      <family val="2"/>
      <scheme val="minor"/>
    </font>
    <font>
      <sz val="10.5"/>
      <color theme="0"/>
      <name val="Calibri"/>
      <family val="2"/>
      <scheme val="minor"/>
    </font>
    <font>
      <b/>
      <sz val="10.5"/>
      <color rgb="FF000000"/>
      <name val="Calibri"/>
      <family val="2"/>
      <scheme val="minor"/>
    </font>
    <font>
      <b/>
      <sz val="10.5"/>
      <color theme="0"/>
      <name val="Calibri"/>
      <family val="2"/>
      <scheme val="minor"/>
    </font>
    <font>
      <b/>
      <sz val="11"/>
      <name val="Calibri"/>
      <family val="2"/>
      <scheme val="minor"/>
    </font>
    <font>
      <sz val="11"/>
      <color rgb="FF002060"/>
      <name val="Calibri"/>
      <family val="2"/>
      <scheme val="minor"/>
    </font>
    <font>
      <b/>
      <sz val="11"/>
      <color theme="0"/>
      <name val="Calibri"/>
      <family val="2"/>
      <scheme val="minor"/>
    </font>
    <font>
      <sz val="10"/>
      <color theme="1"/>
      <name val="Arial"/>
      <family val="2"/>
    </font>
    <font>
      <b/>
      <sz val="14"/>
      <color theme="1"/>
      <name val="Calibri"/>
      <family val="2"/>
      <scheme val="minor"/>
    </font>
    <font>
      <sz val="11"/>
      <color theme="0" tint="-0.34998626667073579"/>
      <name val="Calibri"/>
      <family val="2"/>
      <scheme val="minor"/>
    </font>
    <font>
      <b/>
      <sz val="26"/>
      <color theme="1"/>
      <name val="Calibri"/>
      <family val="2"/>
      <scheme val="minor"/>
    </font>
    <font>
      <b/>
      <sz val="16"/>
      <name val="Calibri"/>
      <family val="2"/>
      <scheme val="minor"/>
    </font>
    <font>
      <b/>
      <sz val="16"/>
      <color theme="1"/>
      <name val="Calibri"/>
      <family val="2"/>
      <scheme val="minor"/>
    </font>
    <font>
      <b/>
      <i/>
      <sz val="16"/>
      <color theme="1" tint="0.499984740745262"/>
      <name val="Calibri"/>
      <family val="2"/>
      <scheme val="minor"/>
    </font>
    <font>
      <b/>
      <sz val="20"/>
      <color theme="1"/>
      <name val="Calibri"/>
      <family val="2"/>
      <scheme val="minor"/>
    </font>
    <font>
      <b/>
      <i/>
      <sz val="26"/>
      <color theme="1" tint="0.499984740745262"/>
      <name val="Calibri"/>
      <family val="2"/>
      <scheme val="minor"/>
    </font>
    <font>
      <sz val="14"/>
      <color theme="1"/>
      <name val="Calibri"/>
      <family val="2"/>
      <scheme val="minor"/>
    </font>
    <font>
      <sz val="14"/>
      <name val="Calibri"/>
      <family val="2"/>
      <scheme val="minor"/>
    </font>
    <font>
      <i/>
      <sz val="14"/>
      <color theme="1" tint="0.499984740745262"/>
      <name val="Calibri"/>
      <family val="2"/>
      <scheme val="minor"/>
    </font>
    <font>
      <b/>
      <sz val="18"/>
      <color theme="1"/>
      <name val="Calibri"/>
      <family val="2"/>
      <scheme val="minor"/>
    </font>
    <font>
      <b/>
      <i/>
      <sz val="14"/>
      <color theme="1" tint="0.499984740745262"/>
      <name val="Calibri"/>
      <family val="2"/>
      <scheme val="minor"/>
    </font>
    <font>
      <b/>
      <i/>
      <sz val="14"/>
      <color theme="1"/>
      <name val="Calibri"/>
      <family val="2"/>
      <scheme val="minor"/>
    </font>
    <font>
      <i/>
      <sz val="14"/>
      <color theme="1"/>
      <name val="Calibri"/>
      <family val="2"/>
      <scheme val="minor"/>
    </font>
    <font>
      <b/>
      <i/>
      <sz val="14"/>
      <color theme="0" tint="-0.499984740745262"/>
      <name val="Calibri"/>
      <family val="2"/>
      <scheme val="minor"/>
    </font>
    <font>
      <i/>
      <sz val="11"/>
      <color theme="1" tint="0.499984740745262"/>
      <name val="Calibri"/>
      <family val="2"/>
      <scheme val="minor"/>
    </font>
    <font>
      <b/>
      <sz val="14"/>
      <color rgb="FF000000"/>
      <name val="Calibri"/>
      <family val="2"/>
      <scheme val="minor"/>
    </font>
    <font>
      <b/>
      <sz val="14"/>
      <name val="Calibri"/>
      <family val="2"/>
      <scheme val="minor"/>
    </font>
    <font>
      <b/>
      <sz val="22"/>
      <color theme="1"/>
      <name val="Calibri"/>
      <family val="2"/>
      <scheme val="minor"/>
    </font>
    <font>
      <b/>
      <sz val="8"/>
      <color indexed="81"/>
      <name val="Tahoma"/>
      <family val="2"/>
    </font>
    <font>
      <sz val="8"/>
      <color indexed="81"/>
      <name val="Tahoma"/>
      <family val="2"/>
    </font>
    <font>
      <b/>
      <sz val="10"/>
      <color indexed="81"/>
      <name val="Tahoma"/>
      <family val="2"/>
    </font>
    <font>
      <sz val="10"/>
      <color indexed="81"/>
      <name val="Tahoma"/>
      <family val="2"/>
    </font>
    <font>
      <u/>
      <sz val="10"/>
      <color indexed="81"/>
      <name val="Tahoma"/>
      <family val="2"/>
    </font>
    <font>
      <sz val="11.5"/>
      <color theme="1"/>
      <name val="Calibri"/>
      <family val="2"/>
      <scheme val="minor"/>
    </font>
    <font>
      <sz val="11.5"/>
      <name val="Calibri"/>
      <family val="2"/>
      <scheme val="minor"/>
    </font>
    <font>
      <b/>
      <sz val="10"/>
      <color theme="0"/>
      <name val="Calibri"/>
      <family val="2"/>
      <scheme val="minor"/>
    </font>
    <font>
      <sz val="10"/>
      <name val="Calibri"/>
      <family val="2"/>
      <scheme val="minor"/>
    </font>
    <font>
      <sz val="10"/>
      <color theme="1"/>
      <name val="Calibri"/>
      <family val="2"/>
      <scheme val="minor"/>
    </font>
    <font>
      <b/>
      <sz val="10"/>
      <color rgb="FF000000"/>
      <name val="Calibri"/>
      <family val="2"/>
      <scheme val="minor"/>
    </font>
    <font>
      <b/>
      <sz val="10"/>
      <name val="Calibri"/>
      <family val="2"/>
      <scheme val="minor"/>
    </font>
    <font>
      <b/>
      <i/>
      <sz val="10"/>
      <color rgb="FFC00000"/>
      <name val="Calibri"/>
      <family val="2"/>
      <scheme val="minor"/>
    </font>
    <font>
      <sz val="11"/>
      <color theme="0"/>
      <name val="Calibri"/>
      <family val="2"/>
      <scheme val="minor"/>
    </font>
    <font>
      <sz val="10"/>
      <color rgb="FFFF0000"/>
      <name val="Calibri"/>
      <family val="2"/>
      <scheme val="minor"/>
    </font>
    <font>
      <b/>
      <sz val="10"/>
      <color theme="1"/>
      <name val="Calibri"/>
      <family val="2"/>
      <scheme val="minor"/>
    </font>
  </fonts>
  <fills count="31">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D9E1F2"/>
        <bgColor indexed="64"/>
      </patternFill>
    </fill>
    <fill>
      <patternFill patternType="solid">
        <fgColor rgb="FFE2EFDA"/>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rgb="FFBDD7EE"/>
        <bgColor indexed="64"/>
      </patternFill>
    </fill>
    <fill>
      <patternFill patternType="solid">
        <fgColor rgb="FF002060"/>
        <bgColor indexed="64"/>
      </patternFill>
    </fill>
    <fill>
      <patternFill patternType="solid">
        <fgColor theme="9"/>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5"/>
        <bgColor indexed="64"/>
      </patternFill>
    </fill>
    <fill>
      <patternFill patternType="solid">
        <fgColor rgb="FFFF0000"/>
        <bgColor indexed="64"/>
      </patternFill>
    </fill>
    <fill>
      <patternFill patternType="solid">
        <fgColor theme="5" tint="-0.249977111117893"/>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249977111117893"/>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style="thin">
        <color auto="1"/>
      </top>
      <bottom style="medium">
        <color auto="1"/>
      </bottom>
      <diagonal/>
    </border>
    <border>
      <left style="medium">
        <color indexed="64"/>
      </left>
      <right/>
      <top style="thin">
        <color auto="1"/>
      </top>
      <bottom style="medium">
        <color auto="1"/>
      </bottom>
      <diagonal/>
    </border>
    <border>
      <left/>
      <right style="medium">
        <color auto="1"/>
      </right>
      <top style="thin">
        <color auto="1"/>
      </top>
      <bottom style="medium">
        <color auto="1"/>
      </bottom>
      <diagonal/>
    </border>
    <border>
      <left style="thin">
        <color auto="1"/>
      </left>
      <right/>
      <top/>
      <bottom/>
      <diagonal/>
    </border>
    <border>
      <left style="thin">
        <color auto="1"/>
      </left>
      <right style="thin">
        <color auto="1"/>
      </right>
      <top/>
      <bottom style="thin">
        <color theme="0" tint="-0.249977111117893"/>
      </bottom>
      <diagonal/>
    </border>
    <border>
      <left style="thin">
        <color auto="1"/>
      </left>
      <right/>
      <top/>
      <bottom style="thin">
        <color theme="0" tint="-0.249977111117893"/>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14999847407452621"/>
      </right>
      <top style="thin">
        <color theme="0" tint="-0.14999847407452621"/>
      </top>
      <bottom style="thin">
        <color theme="0" tint="-0.14999847407452621"/>
      </bottom>
      <diagonal/>
    </border>
    <border>
      <left/>
      <right style="medium">
        <color theme="0" tint="-0.249977111117893"/>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style="thin">
        <color indexed="6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s>
  <cellStyleXfs count="4">
    <xf numFmtId="0" fontId="0" fillId="0" borderId="0"/>
    <xf numFmtId="9" fontId="1" fillId="0" borderId="0" applyFont="0" applyFill="0" applyBorder="0" applyAlignment="0" applyProtection="0"/>
    <xf numFmtId="0" fontId="3" fillId="0" borderId="0"/>
    <xf numFmtId="0" fontId="7" fillId="0" borderId="0"/>
  </cellStyleXfs>
  <cellXfs count="583">
    <xf numFmtId="0" fontId="0" fillId="0" borderId="0" xfId="0"/>
    <xf numFmtId="0" fontId="0" fillId="0" borderId="0" xfId="0" applyAlignment="1">
      <alignment horizontal="left" vertical="top"/>
    </xf>
    <xf numFmtId="1" fontId="4" fillId="3" borderId="2" xfId="2" applyNumberFormat="1" applyFont="1" applyFill="1" applyBorder="1" applyAlignment="1">
      <alignment horizontal="left" vertical="top"/>
    </xf>
    <xf numFmtId="0" fontId="3" fillId="3" borderId="0" xfId="1" applyNumberFormat="1" applyFont="1" applyFill="1" applyBorder="1" applyAlignment="1">
      <alignment horizontal="left" vertical="top"/>
    </xf>
    <xf numFmtId="1" fontId="3" fillId="3" borderId="4" xfId="2" applyNumberFormat="1" applyFill="1" applyBorder="1" applyAlignment="1">
      <alignment horizontal="left" vertical="top"/>
    </xf>
    <xf numFmtId="0" fontId="3" fillId="3" borderId="4" xfId="1" applyNumberFormat="1" applyFont="1" applyFill="1" applyBorder="1" applyAlignment="1">
      <alignment horizontal="left" vertical="top"/>
    </xf>
    <xf numFmtId="0" fontId="3" fillId="3" borderId="5" xfId="1" applyNumberFormat="1" applyFont="1" applyFill="1" applyBorder="1" applyAlignment="1">
      <alignment horizontal="left" vertical="top"/>
    </xf>
    <xf numFmtId="0" fontId="3" fillId="0" borderId="0" xfId="2"/>
    <xf numFmtId="0" fontId="3" fillId="0" borderId="0" xfId="1" applyNumberFormat="1" applyFont="1" applyFill="1" applyBorder="1" applyAlignment="1">
      <alignment horizontal="left" vertical="top"/>
    </xf>
    <xf numFmtId="0" fontId="0" fillId="0" borderId="0" xfId="0" applyFill="1" applyBorder="1" applyAlignment="1">
      <alignment horizontal="left" vertical="top"/>
    </xf>
    <xf numFmtId="0" fontId="0" fillId="0" borderId="0" xfId="0" applyFill="1" applyAlignment="1">
      <alignment horizontal="left" vertical="top"/>
    </xf>
    <xf numFmtId="0" fontId="0" fillId="0" borderId="0" xfId="0" applyFill="1"/>
    <xf numFmtId="0" fontId="4" fillId="0" borderId="0" xfId="1" applyNumberFormat="1" applyFont="1" applyFill="1" applyBorder="1" applyAlignment="1">
      <alignment horizontal="left" vertical="top"/>
    </xf>
    <xf numFmtId="1" fontId="3" fillId="3" borderId="0" xfId="2" applyNumberFormat="1" applyFill="1" applyBorder="1" applyAlignment="1">
      <alignment horizontal="left" vertical="top"/>
    </xf>
    <xf numFmtId="1" fontId="4" fillId="3" borderId="3" xfId="2" applyNumberFormat="1" applyFont="1" applyFill="1" applyBorder="1" applyAlignment="1">
      <alignment horizontal="left" vertical="top"/>
    </xf>
    <xf numFmtId="0" fontId="3" fillId="3" borderId="6" xfId="1" applyNumberFormat="1" applyFont="1" applyFill="1" applyBorder="1" applyAlignment="1">
      <alignment horizontal="left" vertical="top"/>
    </xf>
    <xf numFmtId="1" fontId="3" fillId="0" borderId="0" xfId="2" applyNumberFormat="1" applyFill="1" applyBorder="1" applyAlignment="1">
      <alignment horizontal="left" vertical="top"/>
    </xf>
    <xf numFmtId="1" fontId="3" fillId="4" borderId="7" xfId="2" applyNumberFormat="1" applyFill="1" applyBorder="1" applyAlignment="1">
      <alignment horizontal="left" vertical="top"/>
    </xf>
    <xf numFmtId="1" fontId="3" fillId="4" borderId="8" xfId="2" applyNumberFormat="1" applyFill="1" applyBorder="1" applyAlignment="1">
      <alignment horizontal="left" vertical="top"/>
    </xf>
    <xf numFmtId="0" fontId="3" fillId="4" borderId="8" xfId="1" applyNumberFormat="1" applyFont="1" applyFill="1" applyBorder="1" applyAlignment="1">
      <alignment horizontal="left" vertical="top"/>
    </xf>
    <xf numFmtId="0" fontId="3" fillId="4" borderId="9" xfId="1" applyNumberFormat="1" applyFont="1" applyFill="1" applyBorder="1" applyAlignment="1">
      <alignment horizontal="left" vertical="top"/>
    </xf>
    <xf numFmtId="0" fontId="3" fillId="0" borderId="0" xfId="2" applyAlignment="1">
      <alignment horizontal="center"/>
    </xf>
    <xf numFmtId="0" fontId="0" fillId="7" borderId="0" xfId="0" applyFill="1" applyAlignment="1">
      <alignment horizontal="left" vertical="top"/>
    </xf>
    <xf numFmtId="0" fontId="2" fillId="7" borderId="0" xfId="0" applyFont="1" applyFill="1" applyAlignment="1">
      <alignment horizontal="left" vertical="top"/>
    </xf>
    <xf numFmtId="16" fontId="3" fillId="7" borderId="0" xfId="2" applyNumberFormat="1" applyFill="1" applyAlignment="1">
      <alignment horizontal="left"/>
    </xf>
    <xf numFmtId="0" fontId="0" fillId="7" borderId="0" xfId="0" applyFill="1"/>
    <xf numFmtId="16" fontId="3" fillId="0" borderId="0" xfId="2" applyNumberFormat="1" applyAlignment="1">
      <alignment horizontal="center"/>
    </xf>
    <xf numFmtId="0" fontId="0" fillId="0" borderId="0" xfId="0" applyAlignment="1">
      <alignment horizontal="center" vertical="top"/>
    </xf>
    <xf numFmtId="0" fontId="0" fillId="7" borderId="0" xfId="0" applyFill="1" applyAlignment="1">
      <alignment horizontal="center" vertical="top"/>
    </xf>
    <xf numFmtId="16" fontId="3" fillId="7" borderId="0" xfId="2" applyNumberFormat="1" applyFill="1" applyAlignment="1">
      <alignment horizontal="center"/>
    </xf>
    <xf numFmtId="1" fontId="4" fillId="3" borderId="2" xfId="2" applyNumberFormat="1" applyFont="1" applyFill="1" applyBorder="1" applyAlignment="1">
      <alignment horizontal="center" vertical="top"/>
    </xf>
    <xf numFmtId="1" fontId="4" fillId="3" borderId="3" xfId="2" applyNumberFormat="1" applyFont="1" applyFill="1" applyBorder="1" applyAlignment="1">
      <alignment horizontal="center" vertical="top"/>
    </xf>
    <xf numFmtId="1" fontId="3" fillId="3" borderId="4" xfId="2" applyNumberFormat="1" applyFill="1" applyBorder="1" applyAlignment="1">
      <alignment horizontal="center" vertical="top"/>
    </xf>
    <xf numFmtId="1" fontId="3" fillId="3" borderId="0" xfId="2" applyNumberFormat="1" applyFill="1" applyBorder="1" applyAlignment="1">
      <alignment horizontal="center" vertical="top"/>
    </xf>
    <xf numFmtId="0" fontId="3" fillId="3" borderId="4" xfId="1" applyNumberFormat="1" applyFont="1" applyFill="1" applyBorder="1" applyAlignment="1">
      <alignment horizontal="center" vertical="top"/>
    </xf>
    <xf numFmtId="0" fontId="3" fillId="3" borderId="0" xfId="1" applyNumberFormat="1" applyFont="1" applyFill="1" applyBorder="1" applyAlignment="1">
      <alignment horizontal="center" vertical="top"/>
    </xf>
    <xf numFmtId="0" fontId="3" fillId="3" borderId="5" xfId="1" applyNumberFormat="1" applyFont="1" applyFill="1" applyBorder="1" applyAlignment="1">
      <alignment horizontal="center" vertical="top"/>
    </xf>
    <xf numFmtId="0" fontId="3" fillId="3" borderId="6" xfId="1" applyNumberFormat="1" applyFont="1" applyFill="1" applyBorder="1" applyAlignment="1">
      <alignment horizontal="center" vertical="top"/>
    </xf>
    <xf numFmtId="0" fontId="3" fillId="0" borderId="0" xfId="1" applyNumberFormat="1" applyFont="1" applyFill="1" applyBorder="1" applyAlignment="1">
      <alignment horizontal="center" vertical="top"/>
    </xf>
    <xf numFmtId="0" fontId="4" fillId="0" borderId="0" xfId="1" applyNumberFormat="1" applyFont="1" applyFill="1" applyBorder="1" applyAlignment="1">
      <alignment horizontal="center" vertical="top"/>
    </xf>
    <xf numFmtId="0" fontId="0" fillId="0" borderId="0" xfId="0" applyFill="1" applyAlignment="1">
      <alignment horizontal="center" vertical="top"/>
    </xf>
    <xf numFmtId="0" fontId="2" fillId="0" borderId="0" xfId="0" applyFont="1"/>
    <xf numFmtId="0" fontId="2" fillId="0" borderId="1" xfId="0" applyFont="1" applyBorder="1" applyAlignment="1">
      <alignment horizontal="center" vertical="top" wrapText="1"/>
    </xf>
    <xf numFmtId="0" fontId="6" fillId="0" borderId="1" xfId="2" applyFont="1" applyBorder="1" applyAlignment="1">
      <alignment horizontal="center"/>
    </xf>
    <xf numFmtId="16" fontId="6" fillId="0" borderId="1" xfId="2" applyNumberFormat="1" applyFont="1" applyBorder="1" applyAlignment="1">
      <alignment horizontal="center"/>
    </xf>
    <xf numFmtId="0" fontId="5" fillId="8" borderId="1" xfId="2" applyNumberFormat="1" applyFont="1" applyFill="1" applyBorder="1" applyAlignment="1">
      <alignment horizontal="center" vertical="top" wrapText="1"/>
    </xf>
    <xf numFmtId="0" fontId="5" fillId="2" borderId="1" xfId="2" applyNumberFormat="1" applyFont="1" applyFill="1" applyBorder="1" applyAlignment="1">
      <alignment horizontal="center" vertical="top" wrapText="1"/>
    </xf>
    <xf numFmtId="0" fontId="5" fillId="5" borderId="1" xfId="2" applyNumberFormat="1" applyFont="1" applyFill="1" applyBorder="1" applyAlignment="1">
      <alignment horizontal="center" vertical="top" wrapText="1"/>
    </xf>
    <xf numFmtId="0" fontId="5" fillId="6" borderId="1" xfId="2" applyNumberFormat="1" applyFont="1" applyFill="1" applyBorder="1" applyAlignment="1">
      <alignment horizontal="center" vertical="top" wrapText="1"/>
    </xf>
    <xf numFmtId="0" fontId="5" fillId="0" borderId="1" xfId="2" applyNumberFormat="1" applyFont="1" applyBorder="1" applyAlignment="1">
      <alignment horizontal="center" vertical="top" wrapText="1"/>
    </xf>
    <xf numFmtId="0" fontId="5" fillId="0" borderId="1" xfId="2" applyNumberFormat="1" applyFont="1" applyFill="1" applyBorder="1" applyAlignment="1">
      <alignment horizontal="center" vertical="top" wrapText="1"/>
    </xf>
    <xf numFmtId="16" fontId="6" fillId="0" borderId="1" xfId="2" applyNumberFormat="1" applyFont="1" applyFill="1" applyBorder="1" applyAlignment="1">
      <alignment horizontal="center" vertical="top"/>
    </xf>
    <xf numFmtId="0" fontId="6" fillId="0" borderId="1" xfId="2" applyFont="1" applyFill="1" applyBorder="1" applyAlignment="1">
      <alignment horizontal="center" vertical="top"/>
    </xf>
    <xf numFmtId="0" fontId="6" fillId="8" borderId="1" xfId="1" applyNumberFormat="1" applyFont="1" applyFill="1" applyBorder="1" applyAlignment="1">
      <alignment horizontal="center" vertical="top"/>
    </xf>
    <xf numFmtId="0" fontId="6" fillId="0" borderId="1" xfId="1" applyNumberFormat="1" applyFont="1" applyBorder="1" applyAlignment="1">
      <alignment horizontal="center" vertical="top"/>
    </xf>
    <xf numFmtId="1" fontId="0" fillId="2" borderId="1" xfId="0" applyNumberFormat="1" applyFont="1" applyFill="1" applyBorder="1" applyAlignment="1">
      <alignment horizontal="center" vertical="top"/>
    </xf>
    <xf numFmtId="0" fontId="6" fillId="5" borderId="1" xfId="1" applyNumberFormat="1" applyFont="1" applyFill="1" applyBorder="1" applyAlignment="1">
      <alignment horizontal="center" vertical="top"/>
    </xf>
    <xf numFmtId="0" fontId="0" fillId="2" borderId="1" xfId="0" applyFont="1" applyFill="1" applyBorder="1" applyAlignment="1">
      <alignment horizontal="center" vertical="top"/>
    </xf>
    <xf numFmtId="0" fontId="6" fillId="8" borderId="1" xfId="2" applyNumberFormat="1" applyFont="1" applyFill="1" applyBorder="1" applyAlignment="1">
      <alignment horizontal="center" vertical="top" wrapText="1"/>
    </xf>
    <xf numFmtId="1" fontId="0" fillId="6" borderId="1" xfId="0" applyNumberFormat="1" applyFont="1" applyFill="1" applyBorder="1" applyAlignment="1">
      <alignment horizontal="center" vertical="top"/>
    </xf>
    <xf numFmtId="1" fontId="2" fillId="0" borderId="1" xfId="0" applyNumberFormat="1" applyFont="1" applyBorder="1" applyAlignment="1">
      <alignment horizontal="center" vertical="top"/>
    </xf>
    <xf numFmtId="0" fontId="2" fillId="0" borderId="1" xfId="0" applyFont="1" applyBorder="1" applyAlignment="1">
      <alignment horizontal="center" vertical="top"/>
    </xf>
    <xf numFmtId="1" fontId="0" fillId="0" borderId="1" xfId="0" applyNumberFormat="1" applyFont="1" applyBorder="1" applyAlignment="1">
      <alignment horizontal="center" vertical="top"/>
    </xf>
    <xf numFmtId="0" fontId="0" fillId="0" borderId="1" xfId="0" applyFont="1" applyBorder="1" applyAlignment="1">
      <alignment horizontal="center"/>
    </xf>
    <xf numFmtId="16" fontId="6" fillId="0" borderId="1" xfId="2" quotePrefix="1" applyNumberFormat="1" applyFont="1" applyFill="1" applyBorder="1" applyAlignment="1">
      <alignment horizontal="center" vertical="top"/>
    </xf>
    <xf numFmtId="0" fontId="0" fillId="0" borderId="1" xfId="0" applyFont="1" applyBorder="1" applyAlignment="1">
      <alignment horizontal="center" vertical="top"/>
    </xf>
    <xf numFmtId="0" fontId="4" fillId="3" borderId="0" xfId="2" applyFont="1" applyFill="1"/>
    <xf numFmtId="0" fontId="8" fillId="0" borderId="0" xfId="3" applyFont="1" applyBorder="1" applyAlignment="1">
      <alignment wrapText="1"/>
    </xf>
    <xf numFmtId="0" fontId="7" fillId="0" borderId="0" xfId="3" applyFont="1" applyBorder="1" applyAlignment="1">
      <alignment horizontal="center" vertical="center" wrapText="1"/>
    </xf>
    <xf numFmtId="0" fontId="7" fillId="9" borderId="0" xfId="3" applyFont="1" applyFill="1" applyBorder="1" applyAlignment="1">
      <alignment horizontal="center" vertical="center" wrapText="1"/>
    </xf>
    <xf numFmtId="0" fontId="7" fillId="10" borderId="0" xfId="3" applyFont="1" applyFill="1" applyBorder="1" applyAlignment="1">
      <alignment horizontal="center" vertical="center" wrapText="1"/>
    </xf>
    <xf numFmtId="0" fontId="7" fillId="0" borderId="0" xfId="3" applyFont="1" applyBorder="1" applyAlignment="1">
      <alignment vertical="center" wrapText="1"/>
    </xf>
    <xf numFmtId="0" fontId="9" fillId="0" borderId="0" xfId="3" applyFont="1" applyBorder="1" applyAlignment="1">
      <alignment horizontal="center" vertical="center" wrapText="1"/>
    </xf>
    <xf numFmtId="0" fontId="7" fillId="11" borderId="0" xfId="3" applyFont="1" applyFill="1" applyBorder="1" applyAlignment="1">
      <alignment horizontal="center" vertical="center" wrapText="1"/>
    </xf>
    <xf numFmtId="0" fontId="10" fillId="0" borderId="0" xfId="3" applyFont="1" applyAlignment="1">
      <alignment vertical="center"/>
    </xf>
    <xf numFmtId="0" fontId="7" fillId="0" borderId="0" xfId="3" applyFont="1" applyAlignment="1"/>
    <xf numFmtId="0" fontId="4" fillId="0" borderId="0" xfId="2" applyFont="1"/>
    <xf numFmtId="0" fontId="4" fillId="12" borderId="0" xfId="2" applyFont="1" applyFill="1"/>
    <xf numFmtId="0" fontId="3" fillId="13" borderId="0" xfId="2" applyFill="1"/>
    <xf numFmtId="0" fontId="3" fillId="0" borderId="0" xfId="2" applyAlignment="1">
      <alignment wrapText="1"/>
    </xf>
    <xf numFmtId="0" fontId="3" fillId="0" borderId="0" xfId="2" applyAlignment="1"/>
    <xf numFmtId="0" fontId="3" fillId="4" borderId="0" xfId="2" applyFill="1"/>
    <xf numFmtId="0" fontId="11" fillId="0" borderId="0" xfId="2" applyFont="1" applyBorder="1" applyAlignment="1">
      <alignment horizontal="left" vertical="top"/>
    </xf>
    <xf numFmtId="0" fontId="12" fillId="0" borderId="0" xfId="0" applyFont="1" applyBorder="1" applyAlignment="1">
      <alignment horizontal="left" vertical="top"/>
    </xf>
    <xf numFmtId="0" fontId="13" fillId="0" borderId="0" xfId="0" applyFont="1" applyBorder="1" applyAlignment="1">
      <alignment horizontal="left" vertical="top"/>
    </xf>
    <xf numFmtId="0" fontId="14" fillId="3" borderId="0" xfId="2" applyFont="1" applyFill="1" applyBorder="1" applyAlignment="1">
      <alignment horizontal="left" vertical="top"/>
    </xf>
    <xf numFmtId="0" fontId="11" fillId="3" borderId="0" xfId="2" applyFont="1" applyFill="1" applyBorder="1" applyAlignment="1">
      <alignment horizontal="left" vertical="top"/>
    </xf>
    <xf numFmtId="0" fontId="15" fillId="0" borderId="0" xfId="2" applyFont="1" applyBorder="1" applyAlignment="1">
      <alignment horizontal="left" vertical="top" wrapText="1"/>
    </xf>
    <xf numFmtId="0" fontId="3" fillId="0" borderId="0" xfId="2" applyAlignment="1">
      <alignment horizontal="left"/>
    </xf>
    <xf numFmtId="0" fontId="0" fillId="4" borderId="0" xfId="0" applyFill="1" applyAlignment="1">
      <alignment horizontal="left" vertical="top"/>
    </xf>
    <xf numFmtId="0" fontId="3" fillId="0" borderId="12" xfId="2" applyBorder="1" applyAlignment="1">
      <alignment horizontal="left"/>
    </xf>
    <xf numFmtId="0" fontId="3" fillId="0" borderId="13" xfId="2" applyBorder="1" applyAlignment="1">
      <alignment horizontal="left"/>
    </xf>
    <xf numFmtId="0" fontId="3" fillId="0" borderId="14" xfId="2" applyBorder="1" applyAlignment="1">
      <alignment horizontal="left"/>
    </xf>
    <xf numFmtId="0" fontId="3" fillId="0" borderId="15" xfId="2" applyBorder="1" applyAlignment="1">
      <alignment horizontal="left"/>
    </xf>
    <xf numFmtId="0" fontId="2" fillId="8" borderId="10" xfId="0" applyFont="1" applyFill="1" applyBorder="1" applyAlignment="1">
      <alignment horizontal="left" vertical="top"/>
    </xf>
    <xf numFmtId="0" fontId="2" fillId="8" borderId="11" xfId="0" applyFont="1" applyFill="1" applyBorder="1" applyAlignment="1">
      <alignment horizontal="left" vertical="top"/>
    </xf>
    <xf numFmtId="0" fontId="3" fillId="0" borderId="16" xfId="2" applyBorder="1" applyAlignment="1">
      <alignment horizontal="left"/>
    </xf>
    <xf numFmtId="0" fontId="3" fillId="0" borderId="17" xfId="2" applyBorder="1" applyAlignment="1">
      <alignment horizontal="left"/>
    </xf>
    <xf numFmtId="0" fontId="3" fillId="0" borderId="18" xfId="2" applyBorder="1" applyAlignment="1">
      <alignment horizontal="left"/>
    </xf>
    <xf numFmtId="0" fontId="3" fillId="0" borderId="19" xfId="2" applyBorder="1" applyAlignment="1">
      <alignment horizontal="left"/>
    </xf>
    <xf numFmtId="0" fontId="3" fillId="0" borderId="2" xfId="2" applyBorder="1" applyAlignment="1">
      <alignment horizontal="left"/>
    </xf>
    <xf numFmtId="0" fontId="3" fillId="0" borderId="20" xfId="2" applyBorder="1" applyAlignment="1">
      <alignment horizontal="left"/>
    </xf>
    <xf numFmtId="0" fontId="2" fillId="8" borderId="4" xfId="0" applyFont="1" applyFill="1" applyBorder="1" applyAlignment="1">
      <alignment horizontal="left" vertical="top"/>
    </xf>
    <xf numFmtId="0" fontId="0" fillId="0" borderId="21" xfId="0" applyBorder="1" applyAlignment="1">
      <alignment horizontal="left" vertical="top"/>
    </xf>
    <xf numFmtId="0" fontId="2" fillId="0" borderId="4" xfId="0" applyFont="1" applyBorder="1" applyAlignment="1">
      <alignment horizontal="left" vertical="top"/>
    </xf>
    <xf numFmtId="0" fontId="2" fillId="0" borderId="21" xfId="0" applyFont="1" applyBorder="1" applyAlignment="1">
      <alignment horizontal="left" vertical="top"/>
    </xf>
    <xf numFmtId="0" fontId="0" fillId="0" borderId="4" xfId="0" applyBorder="1" applyAlignment="1">
      <alignment horizontal="left" vertical="top"/>
    </xf>
    <xf numFmtId="9" fontId="0" fillId="0" borderId="21" xfId="0" applyNumberFormat="1" applyBorder="1" applyAlignment="1">
      <alignment horizontal="left" vertical="top"/>
    </xf>
    <xf numFmtId="0" fontId="0" fillId="0" borderId="5" xfId="0" applyBorder="1" applyAlignment="1">
      <alignment horizontal="left" vertical="top"/>
    </xf>
    <xf numFmtId="0" fontId="0" fillId="0" borderId="22" xfId="0" applyBorder="1" applyAlignment="1">
      <alignment horizontal="left" vertical="top"/>
    </xf>
    <xf numFmtId="0" fontId="2" fillId="8" borderId="2" xfId="0" applyFont="1" applyFill="1" applyBorder="1" applyAlignment="1">
      <alignment horizontal="left" vertical="top"/>
    </xf>
    <xf numFmtId="0" fontId="0" fillId="0" borderId="20" xfId="0" applyBorder="1" applyAlignment="1">
      <alignment horizontal="left" vertical="top"/>
    </xf>
    <xf numFmtId="0" fontId="0" fillId="0" borderId="21" xfId="0" applyFill="1" applyBorder="1" applyAlignment="1">
      <alignment horizontal="left" vertical="top"/>
    </xf>
    <xf numFmtId="0" fontId="2" fillId="0" borderId="23" xfId="0" applyFont="1" applyBorder="1" applyAlignment="1">
      <alignment horizontal="left" vertical="top"/>
    </xf>
    <xf numFmtId="0" fontId="2" fillId="0" borderId="24" xfId="0" applyFont="1" applyBorder="1" applyAlignment="1">
      <alignment horizontal="left" vertical="top"/>
    </xf>
    <xf numFmtId="16" fontId="3" fillId="7" borderId="0" xfId="2" applyNumberFormat="1" applyFill="1" applyAlignment="1">
      <alignment horizontal="left" vertical="top"/>
    </xf>
    <xf numFmtId="0" fontId="0" fillId="14" borderId="0" xfId="0" applyFill="1"/>
    <xf numFmtId="0" fontId="6" fillId="14" borderId="1" xfId="2" applyFont="1" applyFill="1" applyBorder="1" applyAlignment="1">
      <alignment horizontal="center"/>
    </xf>
    <xf numFmtId="16" fontId="6" fillId="14" borderId="1" xfId="2" applyNumberFormat="1" applyFont="1" applyFill="1" applyBorder="1" applyAlignment="1">
      <alignment horizontal="center"/>
    </xf>
    <xf numFmtId="16" fontId="6" fillId="14" borderId="1" xfId="2" applyNumberFormat="1" applyFont="1" applyFill="1" applyBorder="1" applyAlignment="1">
      <alignment horizontal="center" vertical="top"/>
    </xf>
    <xf numFmtId="0" fontId="6" fillId="14" borderId="1" xfId="2" applyFont="1" applyFill="1" applyBorder="1" applyAlignment="1">
      <alignment horizontal="center" vertical="top"/>
    </xf>
    <xf numFmtId="0" fontId="6" fillId="14" borderId="1" xfId="1" applyNumberFormat="1" applyFont="1" applyFill="1" applyBorder="1" applyAlignment="1">
      <alignment horizontal="center" vertical="top"/>
    </xf>
    <xf numFmtId="1" fontId="0" fillId="14" borderId="1" xfId="0" applyNumberFormat="1" applyFont="1" applyFill="1" applyBorder="1" applyAlignment="1">
      <alignment horizontal="center" vertical="top"/>
    </xf>
    <xf numFmtId="0" fontId="0" fillId="14" borderId="1" xfId="0" applyFont="1" applyFill="1" applyBorder="1" applyAlignment="1">
      <alignment horizontal="center" vertical="top"/>
    </xf>
    <xf numFmtId="0" fontId="6" fillId="14" borderId="1" xfId="2" applyNumberFormat="1" applyFont="1" applyFill="1" applyBorder="1" applyAlignment="1">
      <alignment horizontal="center" vertical="top" wrapText="1"/>
    </xf>
    <xf numFmtId="1" fontId="2" fillId="14" borderId="1" xfId="0" applyNumberFormat="1" applyFont="1" applyFill="1" applyBorder="1" applyAlignment="1">
      <alignment horizontal="center" vertical="top"/>
    </xf>
    <xf numFmtId="0" fontId="2" fillId="14" borderId="1" xfId="0" applyFont="1" applyFill="1" applyBorder="1" applyAlignment="1">
      <alignment horizontal="center" vertical="top"/>
    </xf>
    <xf numFmtId="0" fontId="0" fillId="14" borderId="1" xfId="0" applyFont="1" applyFill="1" applyBorder="1" applyAlignment="1">
      <alignment horizontal="center"/>
    </xf>
    <xf numFmtId="1" fontId="3" fillId="4" borderId="0" xfId="2" applyNumberFormat="1" applyFill="1" applyBorder="1" applyAlignment="1">
      <alignment horizontal="left" vertical="top"/>
    </xf>
    <xf numFmtId="0" fontId="3" fillId="4" borderId="0" xfId="1" applyNumberFormat="1" applyFont="1" applyFill="1" applyBorder="1" applyAlignment="1">
      <alignment horizontal="left" vertical="top"/>
    </xf>
    <xf numFmtId="0" fontId="6" fillId="0" borderId="1" xfId="2" applyNumberFormat="1" applyFont="1" applyFill="1" applyBorder="1" applyAlignment="1">
      <alignment horizontal="center" vertical="top"/>
    </xf>
    <xf numFmtId="0" fontId="6" fillId="0" borderId="1" xfId="2" quotePrefix="1" applyNumberFormat="1" applyFont="1" applyFill="1" applyBorder="1" applyAlignment="1">
      <alignment horizontal="center" vertical="top"/>
    </xf>
    <xf numFmtId="0" fontId="0" fillId="0" borderId="1" xfId="0" applyNumberFormat="1" applyFont="1" applyBorder="1" applyAlignment="1">
      <alignment horizontal="center" vertical="top"/>
    </xf>
    <xf numFmtId="0" fontId="0" fillId="15" borderId="0" xfId="0" applyFont="1" applyFill="1" applyAlignment="1">
      <alignment horizontal="center" vertical="center" textRotation="90"/>
    </xf>
    <xf numFmtId="0" fontId="11" fillId="0" borderId="0" xfId="2" applyFont="1" applyBorder="1" applyAlignment="1">
      <alignment vertical="center"/>
    </xf>
    <xf numFmtId="0" fontId="11" fillId="0" borderId="0" xfId="2" applyFont="1" applyBorder="1" applyAlignment="1">
      <alignment horizontal="center" vertical="center"/>
    </xf>
    <xf numFmtId="9" fontId="12" fillId="0" borderId="0" xfId="0" applyNumberFormat="1" applyFont="1" applyBorder="1" applyAlignment="1">
      <alignment horizontal="center" vertical="center"/>
    </xf>
    <xf numFmtId="0" fontId="12" fillId="0" borderId="0" xfId="0" applyFont="1" applyBorder="1" applyAlignment="1">
      <alignment horizontal="center" vertical="center"/>
    </xf>
    <xf numFmtId="0" fontId="22" fillId="17" borderId="0" xfId="0" applyFont="1" applyFill="1" applyBorder="1" applyAlignment="1">
      <alignment horizontal="left" vertical="center" wrapText="1"/>
    </xf>
    <xf numFmtId="0" fontId="22" fillId="17" borderId="0" xfId="0" applyFont="1" applyFill="1" applyBorder="1" applyAlignment="1">
      <alignment horizontal="center" vertical="center" wrapText="1"/>
    </xf>
    <xf numFmtId="0" fontId="14" fillId="8" borderId="0" xfId="0" applyFont="1" applyFill="1" applyBorder="1" applyAlignment="1">
      <alignment horizontal="center" vertical="center" wrapText="1"/>
    </xf>
    <xf numFmtId="0" fontId="11" fillId="0" borderId="0" xfId="2" applyFont="1" applyFill="1" applyBorder="1" applyAlignment="1">
      <alignment horizontal="center" vertical="center"/>
    </xf>
    <xf numFmtId="0" fontId="11" fillId="0" borderId="0" xfId="0" applyFont="1" applyFill="1" applyBorder="1" applyAlignment="1">
      <alignment horizontal="left" vertical="center" wrapText="1"/>
    </xf>
    <xf numFmtId="0" fontId="11" fillId="0" borderId="0" xfId="0" applyFont="1" applyFill="1" applyBorder="1" applyAlignment="1">
      <alignment horizontal="center" vertical="center" wrapText="1"/>
    </xf>
    <xf numFmtId="0" fontId="12" fillId="0" borderId="0" xfId="0" applyFont="1" applyFill="1" applyBorder="1" applyAlignment="1">
      <alignment horizontal="center" vertical="center"/>
    </xf>
    <xf numFmtId="0" fontId="11" fillId="0" borderId="0" xfId="2" applyFont="1" applyFill="1" applyBorder="1" applyAlignment="1">
      <alignment vertical="center"/>
    </xf>
    <xf numFmtId="0" fontId="12" fillId="0" borderId="0" xfId="0" applyFont="1" applyFill="1" applyBorder="1" applyAlignment="1">
      <alignment horizontal="left" vertical="center"/>
    </xf>
    <xf numFmtId="0" fontId="20" fillId="0" borderId="0" xfId="0" applyFont="1" applyFill="1" applyBorder="1" applyAlignment="1">
      <alignment vertical="center" wrapText="1"/>
    </xf>
    <xf numFmtId="0" fontId="12" fillId="0" borderId="0" xfId="0" applyFont="1" applyFill="1" applyBorder="1" applyAlignment="1">
      <alignment vertical="center" wrapText="1"/>
    </xf>
    <xf numFmtId="0" fontId="22" fillId="17" borderId="0" xfId="0" applyFont="1" applyFill="1" applyBorder="1" applyAlignment="1">
      <alignment vertical="center" wrapText="1"/>
    </xf>
    <xf numFmtId="0" fontId="22" fillId="17" borderId="0" xfId="0" applyFont="1" applyFill="1" applyBorder="1" applyAlignment="1">
      <alignment horizontal="left" vertical="center"/>
    </xf>
    <xf numFmtId="0" fontId="11" fillId="0" borderId="0" xfId="2" applyFont="1" applyBorder="1" applyAlignment="1">
      <alignment horizontal="left" vertical="center"/>
    </xf>
    <xf numFmtId="0" fontId="0" fillId="15" borderId="0" xfId="0" applyFont="1" applyFill="1" applyAlignment="1">
      <alignment vertical="center"/>
    </xf>
    <xf numFmtId="0" fontId="0" fillId="15" borderId="0" xfId="0" applyFont="1" applyFill="1" applyAlignment="1">
      <alignment horizontal="left" vertical="center"/>
    </xf>
    <xf numFmtId="0" fontId="18" fillId="15" borderId="0" xfId="1" applyNumberFormat="1" applyFont="1" applyFill="1" applyBorder="1" applyAlignment="1">
      <alignment horizontal="center" vertical="center"/>
    </xf>
    <xf numFmtId="0" fontId="18" fillId="15" borderId="0" xfId="1" applyNumberFormat="1" applyFont="1" applyFill="1" applyBorder="1" applyAlignment="1">
      <alignment horizontal="left" vertical="center"/>
    </xf>
    <xf numFmtId="0" fontId="0" fillId="15" borderId="0" xfId="0" applyFont="1" applyFill="1" applyAlignment="1">
      <alignment horizontal="center" vertical="center"/>
    </xf>
    <xf numFmtId="0" fontId="0" fillId="0" borderId="0" xfId="0" applyFont="1" applyFill="1" applyAlignment="1">
      <alignment horizontal="center" vertical="center"/>
    </xf>
    <xf numFmtId="0" fontId="11" fillId="0" borderId="0" xfId="2" applyFont="1" applyFill="1" applyBorder="1" applyAlignment="1">
      <alignment horizontal="left" vertical="center"/>
    </xf>
    <xf numFmtId="165" fontId="11" fillId="0" borderId="0" xfId="2" applyNumberFormat="1" applyFont="1" applyBorder="1" applyAlignment="1">
      <alignment horizontal="center" vertical="center"/>
    </xf>
    <xf numFmtId="0" fontId="18" fillId="0" borderId="0" xfId="2" applyFont="1" applyAlignment="1">
      <alignment horizontal="center"/>
    </xf>
    <xf numFmtId="0" fontId="23" fillId="0" borderId="0" xfId="2" applyFont="1" applyAlignment="1">
      <alignment horizontal="center"/>
    </xf>
    <xf numFmtId="16" fontId="18" fillId="15" borderId="0" xfId="2" applyNumberFormat="1" applyFont="1" applyFill="1" applyBorder="1" applyAlignment="1">
      <alignment horizontal="center" vertical="center"/>
    </xf>
    <xf numFmtId="0" fontId="18" fillId="15" borderId="0" xfId="2" applyFont="1" applyFill="1" applyBorder="1" applyAlignment="1">
      <alignment horizontal="center" vertical="center"/>
    </xf>
    <xf numFmtId="164" fontId="18" fillId="15" borderId="0" xfId="2" applyNumberFormat="1" applyFont="1" applyFill="1" applyBorder="1" applyAlignment="1">
      <alignment horizontal="center" vertical="center"/>
    </xf>
    <xf numFmtId="0" fontId="18" fillId="15" borderId="0" xfId="2" applyNumberFormat="1" applyFont="1" applyFill="1" applyBorder="1" applyAlignment="1">
      <alignment horizontal="center" vertical="center" wrapText="1"/>
    </xf>
    <xf numFmtId="164" fontId="18" fillId="15" borderId="0" xfId="1" applyNumberFormat="1" applyFont="1" applyFill="1" applyBorder="1" applyAlignment="1">
      <alignment horizontal="center" vertical="center"/>
    </xf>
    <xf numFmtId="1" fontId="0" fillId="15" borderId="0" xfId="0" applyNumberFormat="1" applyFont="1" applyFill="1" applyBorder="1" applyAlignment="1">
      <alignment horizontal="center" vertical="center"/>
    </xf>
    <xf numFmtId="0" fontId="0" fillId="15" borderId="0" xfId="0" applyFont="1" applyFill="1" applyBorder="1" applyAlignment="1">
      <alignment horizontal="center" vertical="center"/>
    </xf>
    <xf numFmtId="1" fontId="15" fillId="15" borderId="0" xfId="2" applyNumberFormat="1" applyFont="1" applyFill="1" applyBorder="1" applyAlignment="1">
      <alignment horizontal="left" vertical="center"/>
    </xf>
    <xf numFmtId="0" fontId="15" fillId="15" borderId="0" xfId="1" applyNumberFormat="1" applyFont="1" applyFill="1" applyBorder="1" applyAlignment="1">
      <alignment horizontal="left" vertical="center"/>
    </xf>
    <xf numFmtId="1" fontId="15" fillId="15" borderId="10" xfId="2" applyNumberFormat="1" applyFont="1" applyFill="1" applyBorder="1" applyAlignment="1">
      <alignment horizontal="left" vertical="center"/>
    </xf>
    <xf numFmtId="0" fontId="15" fillId="15" borderId="12" xfId="1" applyNumberFormat="1" applyFont="1" applyFill="1" applyBorder="1" applyAlignment="1">
      <alignment horizontal="left" vertical="center"/>
    </xf>
    <xf numFmtId="1" fontId="15" fillId="15" borderId="14" xfId="2" applyNumberFormat="1" applyFont="1" applyFill="1" applyBorder="1" applyAlignment="1">
      <alignment horizontal="left" vertical="center"/>
    </xf>
    <xf numFmtId="1" fontId="19" fillId="15" borderId="11" xfId="2" applyNumberFormat="1" applyFont="1" applyFill="1" applyBorder="1" applyAlignment="1">
      <alignment horizontal="left" vertical="center"/>
    </xf>
    <xf numFmtId="0" fontId="15" fillId="15" borderId="13" xfId="1" applyNumberFormat="1" applyFont="1" applyFill="1" applyBorder="1" applyAlignment="1">
      <alignment horizontal="left" vertical="center"/>
    </xf>
    <xf numFmtId="1" fontId="15" fillId="15" borderId="15" xfId="2" applyNumberFormat="1" applyFont="1" applyFill="1" applyBorder="1" applyAlignment="1">
      <alignment horizontal="left" vertical="center"/>
    </xf>
    <xf numFmtId="0" fontId="0" fillId="15" borderId="0" xfId="0" applyFont="1" applyFill="1" applyBorder="1" applyAlignment="1">
      <alignment vertical="center"/>
    </xf>
    <xf numFmtId="0" fontId="0" fillId="0" borderId="25" xfId="0" applyFont="1" applyBorder="1" applyAlignment="1">
      <alignment horizontal="center" vertical="center" textRotation="90" wrapText="1"/>
    </xf>
    <xf numFmtId="0" fontId="18" fillId="0" borderId="25" xfId="2" applyFont="1" applyBorder="1" applyAlignment="1">
      <alignment horizontal="center" vertical="center" textRotation="90" wrapText="1"/>
    </xf>
    <xf numFmtId="0" fontId="0" fillId="0" borderId="25" xfId="0" applyFont="1" applyFill="1" applyBorder="1" applyAlignment="1">
      <alignment horizontal="center" vertical="center" textRotation="90" wrapText="1"/>
    </xf>
    <xf numFmtId="0" fontId="0" fillId="8" borderId="25" xfId="0" applyFont="1" applyFill="1" applyBorder="1" applyAlignment="1">
      <alignment horizontal="center" vertical="center" textRotation="90" wrapText="1"/>
    </xf>
    <xf numFmtId="0" fontId="18" fillId="8" borderId="25" xfId="2" applyNumberFormat="1" applyFont="1" applyFill="1" applyBorder="1" applyAlignment="1">
      <alignment horizontal="center" vertical="center" textRotation="90" wrapText="1"/>
    </xf>
    <xf numFmtId="0" fontId="18" fillId="11" borderId="25" xfId="2" applyNumberFormat="1" applyFont="1" applyFill="1" applyBorder="1" applyAlignment="1">
      <alignment horizontal="center" vertical="center" textRotation="90" wrapText="1"/>
    </xf>
    <xf numFmtId="0" fontId="18" fillId="2" borderId="25" xfId="2" applyNumberFormat="1" applyFont="1" applyFill="1" applyBorder="1" applyAlignment="1">
      <alignment horizontal="center" vertical="center" textRotation="90" wrapText="1"/>
    </xf>
    <xf numFmtId="0" fontId="18" fillId="6" borderId="25" xfId="2" applyNumberFormat="1" applyFont="1" applyFill="1" applyBorder="1" applyAlignment="1">
      <alignment horizontal="center" vertical="center" textRotation="90" wrapText="1"/>
    </xf>
    <xf numFmtId="0" fontId="18" fillId="0" borderId="25" xfId="2" applyNumberFormat="1" applyFont="1" applyBorder="1" applyAlignment="1">
      <alignment horizontal="center" vertical="center" textRotation="90" wrapText="1"/>
    </xf>
    <xf numFmtId="0" fontId="18" fillId="0" borderId="25" xfId="2" applyNumberFormat="1" applyFont="1" applyFill="1" applyBorder="1" applyAlignment="1">
      <alignment horizontal="center" vertical="center" textRotation="90" wrapText="1"/>
    </xf>
    <xf numFmtId="16" fontId="18" fillId="0" borderId="25" xfId="2" applyNumberFormat="1" applyFont="1" applyBorder="1" applyAlignment="1">
      <alignment horizontal="center" vertical="center"/>
    </xf>
    <xf numFmtId="0" fontId="18" fillId="0" borderId="25" xfId="2" applyFont="1" applyBorder="1" applyAlignment="1">
      <alignment horizontal="center" vertical="center"/>
    </xf>
    <xf numFmtId="16" fontId="18" fillId="0" borderId="25" xfId="2" applyNumberFormat="1" applyFont="1" applyFill="1" applyBorder="1" applyAlignment="1">
      <alignment horizontal="center" vertical="center"/>
    </xf>
    <xf numFmtId="0" fontId="18" fillId="8" borderId="25" xfId="1" applyNumberFormat="1" applyFont="1" applyFill="1" applyBorder="1" applyAlignment="1">
      <alignment horizontal="center" vertical="center"/>
    </xf>
    <xf numFmtId="164" fontId="18" fillId="0" borderId="25" xfId="2" applyNumberFormat="1" applyFont="1" applyFill="1" applyBorder="1" applyAlignment="1">
      <alignment horizontal="center" vertical="center"/>
    </xf>
    <xf numFmtId="0" fontId="18" fillId="8" borderId="25" xfId="2" applyNumberFormat="1" applyFont="1" applyFill="1" applyBorder="1" applyAlignment="1">
      <alignment horizontal="center" vertical="center" wrapText="1"/>
    </xf>
    <xf numFmtId="164" fontId="18" fillId="11" borderId="25" xfId="1" applyNumberFormat="1" applyFont="1" applyFill="1" applyBorder="1" applyAlignment="1">
      <alignment horizontal="center" vertical="center"/>
    </xf>
    <xf numFmtId="0" fontId="18" fillId="0" borderId="25" xfId="1" applyNumberFormat="1" applyFont="1" applyBorder="1" applyAlignment="1">
      <alignment horizontal="center" vertical="center"/>
    </xf>
    <xf numFmtId="1" fontId="0" fillId="6" borderId="25" xfId="0" applyNumberFormat="1" applyFont="1" applyFill="1" applyBorder="1" applyAlignment="1">
      <alignment horizontal="center" vertical="center"/>
    </xf>
    <xf numFmtId="1" fontId="0" fillId="2" borderId="25" xfId="0" applyNumberFormat="1" applyFont="1" applyFill="1" applyBorder="1" applyAlignment="1">
      <alignment horizontal="center" vertical="center"/>
    </xf>
    <xf numFmtId="1" fontId="0" fillId="0" borderId="25" xfId="0" applyNumberFormat="1" applyFont="1" applyFill="1" applyBorder="1" applyAlignment="1">
      <alignment horizontal="center" vertical="center"/>
    </xf>
    <xf numFmtId="1" fontId="0" fillId="0" borderId="25" xfId="0" applyNumberFormat="1" applyFont="1" applyBorder="1" applyAlignment="1">
      <alignment horizontal="center" vertical="center"/>
    </xf>
    <xf numFmtId="0" fontId="0" fillId="0" borderId="25" xfId="0" applyFont="1" applyBorder="1" applyAlignment="1">
      <alignment horizontal="center" vertical="center"/>
    </xf>
    <xf numFmtId="164" fontId="18" fillId="8" borderId="25" xfId="2" applyNumberFormat="1" applyFont="1" applyFill="1" applyBorder="1" applyAlignment="1">
      <alignment horizontal="center" vertical="center" wrapText="1"/>
    </xf>
    <xf numFmtId="16" fontId="18" fillId="0" borderId="25" xfId="2" applyNumberFormat="1" applyFont="1" applyFill="1" applyBorder="1" applyAlignment="1">
      <alignment horizontal="center" vertical="center" wrapText="1"/>
    </xf>
    <xf numFmtId="0" fontId="11" fillId="3" borderId="0" xfId="2" applyFont="1" applyFill="1" applyBorder="1" applyAlignment="1">
      <alignment vertical="center"/>
    </xf>
    <xf numFmtId="0" fontId="12" fillId="3" borderId="0" xfId="0" applyFont="1" applyFill="1" applyBorder="1" applyAlignment="1">
      <alignment horizontal="center" vertical="center"/>
    </xf>
    <xf numFmtId="16" fontId="24" fillId="0" borderId="1" xfId="0" applyNumberFormat="1" applyFont="1" applyBorder="1" applyAlignment="1">
      <alignment horizontal="center" vertical="center"/>
    </xf>
    <xf numFmtId="0" fontId="24" fillId="0" borderId="1" xfId="0" applyFont="1" applyBorder="1" applyAlignment="1">
      <alignment horizontal="center" vertical="center"/>
    </xf>
    <xf numFmtId="0" fontId="24" fillId="0" borderId="1" xfId="2" applyFont="1" applyBorder="1" applyAlignment="1">
      <alignment horizontal="center"/>
    </xf>
    <xf numFmtId="0" fontId="25" fillId="17" borderId="1" xfId="2" applyFont="1" applyFill="1" applyBorder="1" applyAlignment="1">
      <alignment horizontal="center" vertical="center"/>
    </xf>
    <xf numFmtId="0" fontId="25" fillId="17" borderId="1" xfId="2" applyFont="1" applyFill="1" applyBorder="1" applyAlignment="1">
      <alignment horizontal="center" vertical="center" wrapText="1"/>
    </xf>
    <xf numFmtId="1" fontId="18" fillId="15" borderId="0" xfId="1" applyNumberFormat="1" applyFont="1" applyFill="1" applyBorder="1" applyAlignment="1">
      <alignment horizontal="center" vertical="center"/>
    </xf>
    <xf numFmtId="164" fontId="18" fillId="8" borderId="25" xfId="1" applyNumberFormat="1" applyFont="1" applyFill="1" applyBorder="1" applyAlignment="1">
      <alignment horizontal="center" vertical="center"/>
    </xf>
    <xf numFmtId="16" fontId="18" fillId="0" borderId="1" xfId="2" applyNumberFormat="1" applyFont="1" applyBorder="1" applyAlignment="1">
      <alignment horizontal="center" vertical="center"/>
    </xf>
    <xf numFmtId="0" fontId="18" fillId="0" borderId="1" xfId="2" applyFont="1" applyBorder="1" applyAlignment="1">
      <alignment horizontal="center" vertical="center"/>
    </xf>
    <xf numFmtId="16" fontId="18" fillId="0" borderId="1" xfId="2" applyNumberFormat="1" applyFont="1" applyFill="1" applyBorder="1" applyAlignment="1">
      <alignment horizontal="center" vertical="center"/>
    </xf>
    <xf numFmtId="0" fontId="18" fillId="8" borderId="1" xfId="1" applyNumberFormat="1" applyFont="1" applyFill="1" applyBorder="1" applyAlignment="1">
      <alignment horizontal="center" vertical="center"/>
    </xf>
    <xf numFmtId="164" fontId="18" fillId="8" borderId="1" xfId="1" applyNumberFormat="1" applyFont="1" applyFill="1" applyBorder="1" applyAlignment="1">
      <alignment horizontal="center" vertical="center"/>
    </xf>
    <xf numFmtId="164" fontId="18" fillId="0" borderId="1" xfId="2" applyNumberFormat="1" applyFont="1" applyFill="1" applyBorder="1" applyAlignment="1">
      <alignment horizontal="center" vertical="center"/>
    </xf>
    <xf numFmtId="0" fontId="18" fillId="8" borderId="1" xfId="2" applyNumberFormat="1" applyFont="1" applyFill="1" applyBorder="1" applyAlignment="1">
      <alignment horizontal="center" vertical="center" wrapText="1"/>
    </xf>
    <xf numFmtId="164" fontId="18" fillId="11" borderId="1" xfId="1" applyNumberFormat="1" applyFont="1" applyFill="1" applyBorder="1" applyAlignment="1">
      <alignment horizontal="center" vertical="center"/>
    </xf>
    <xf numFmtId="0" fontId="18" fillId="0" borderId="1" xfId="1" applyNumberFormat="1" applyFont="1" applyBorder="1" applyAlignment="1">
      <alignment horizontal="center" vertical="center"/>
    </xf>
    <xf numFmtId="1" fontId="0" fillId="6" borderId="1" xfId="0" applyNumberFormat="1" applyFont="1" applyFill="1" applyBorder="1" applyAlignment="1">
      <alignment horizontal="center" vertical="center"/>
    </xf>
    <xf numFmtId="1" fontId="0" fillId="2" borderId="1" xfId="0" applyNumberFormat="1" applyFont="1" applyFill="1" applyBorder="1" applyAlignment="1">
      <alignment horizontal="center" vertical="center"/>
    </xf>
    <xf numFmtId="1" fontId="0" fillId="0" borderId="1" xfId="0" applyNumberFormat="1" applyFont="1" applyFill="1" applyBorder="1" applyAlignment="1">
      <alignment horizontal="center" vertical="center"/>
    </xf>
    <xf numFmtId="1"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22" fillId="17" borderId="1" xfId="0" applyFont="1" applyFill="1" applyBorder="1" applyAlignment="1">
      <alignment horizontal="left" vertical="center" wrapText="1"/>
    </xf>
    <xf numFmtId="0" fontId="22" fillId="17" borderId="1" xfId="0" applyFont="1" applyFill="1" applyBorder="1" applyAlignment="1">
      <alignment vertical="center" wrapText="1"/>
    </xf>
    <xf numFmtId="0" fontId="22" fillId="18" borderId="1" xfId="0" applyFont="1" applyFill="1" applyBorder="1" applyAlignment="1">
      <alignment vertical="center" wrapText="1"/>
    </xf>
    <xf numFmtId="0" fontId="22" fillId="17" borderId="1" xfId="0" applyFont="1" applyFill="1" applyBorder="1" applyAlignment="1">
      <alignment horizontal="center" vertical="center" wrapText="1"/>
    </xf>
    <xf numFmtId="0" fontId="22" fillId="17" borderId="1" xfId="0" applyFont="1" applyFill="1" applyBorder="1" applyAlignment="1">
      <alignment horizontal="left" vertical="center"/>
    </xf>
    <xf numFmtId="0" fontId="11" fillId="0" borderId="1" xfId="2" applyFont="1" applyBorder="1" applyAlignment="1">
      <alignment vertical="center"/>
    </xf>
    <xf numFmtId="0" fontId="11" fillId="0" borderId="1" xfId="2" applyFont="1" applyBorder="1" applyAlignment="1">
      <alignment horizontal="center" vertical="center"/>
    </xf>
    <xf numFmtId="0" fontId="11" fillId="0" borderId="1" xfId="0" applyFont="1" applyFill="1" applyBorder="1" applyAlignment="1">
      <alignment horizontal="left" vertical="center"/>
    </xf>
    <xf numFmtId="164" fontId="11" fillId="0" borderId="1" xfId="0" applyNumberFormat="1" applyFont="1" applyFill="1" applyBorder="1" applyAlignment="1">
      <alignment horizontal="center" vertical="center"/>
    </xf>
    <xf numFmtId="1" fontId="11" fillId="0" borderId="1" xfId="0" applyNumberFormat="1" applyFont="1" applyFill="1" applyBorder="1" applyAlignment="1">
      <alignment horizontal="center" vertical="center"/>
    </xf>
    <xf numFmtId="0" fontId="12" fillId="0" borderId="1" xfId="0" applyFont="1" applyFill="1" applyBorder="1" applyAlignment="1">
      <alignment horizontal="left" vertical="center"/>
    </xf>
    <xf numFmtId="0" fontId="11" fillId="3" borderId="1" xfId="2" applyFont="1" applyFill="1" applyBorder="1" applyAlignment="1">
      <alignment vertical="center"/>
    </xf>
    <xf numFmtId="0" fontId="11" fillId="3" borderId="1" xfId="2" applyFont="1" applyFill="1" applyBorder="1" applyAlignment="1">
      <alignment horizontal="center" vertical="center"/>
    </xf>
    <xf numFmtId="0" fontId="11" fillId="3" borderId="1" xfId="0" applyFont="1" applyFill="1" applyBorder="1" applyAlignment="1">
      <alignment horizontal="left" vertical="center"/>
    </xf>
    <xf numFmtId="164" fontId="11" fillId="3" borderId="1" xfId="0" applyNumberFormat="1" applyFont="1" applyFill="1" applyBorder="1" applyAlignment="1">
      <alignment horizontal="center" vertical="center"/>
    </xf>
    <xf numFmtId="1" fontId="11" fillId="3" borderId="1" xfId="0" applyNumberFormat="1" applyFont="1" applyFill="1" applyBorder="1" applyAlignment="1">
      <alignment horizontal="center" vertical="center"/>
    </xf>
    <xf numFmtId="0" fontId="12" fillId="3" borderId="1" xfId="0" applyFont="1" applyFill="1" applyBorder="1" applyAlignment="1">
      <alignment horizontal="left" vertical="center"/>
    </xf>
    <xf numFmtId="0" fontId="12" fillId="3" borderId="1" xfId="0" applyFont="1" applyFill="1" applyBorder="1" applyAlignment="1">
      <alignment horizontal="center" vertical="center"/>
    </xf>
    <xf numFmtId="1" fontId="14" fillId="8" borderId="1" xfId="0" applyNumberFormat="1" applyFont="1" applyFill="1" applyBorder="1" applyAlignment="1">
      <alignment horizontal="center" vertical="center"/>
    </xf>
    <xf numFmtId="0" fontId="22" fillId="17" borderId="1" xfId="0" applyFont="1" applyFill="1" applyBorder="1" applyAlignment="1">
      <alignment horizontal="center" vertical="center"/>
    </xf>
    <xf numFmtId="0" fontId="11" fillId="0" borderId="1" xfId="2" applyFont="1" applyFill="1" applyBorder="1" applyAlignment="1">
      <alignment vertical="center"/>
    </xf>
    <xf numFmtId="0" fontId="11" fillId="0" borderId="1" xfId="2"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vertical="center"/>
    </xf>
    <xf numFmtId="0" fontId="12" fillId="3" borderId="1" xfId="0" applyFont="1" applyFill="1" applyBorder="1" applyAlignment="1">
      <alignment vertical="center"/>
    </xf>
    <xf numFmtId="0" fontId="26" fillId="3" borderId="1" xfId="0" applyFont="1" applyFill="1" applyBorder="1" applyAlignment="1">
      <alignment horizontal="right" vertical="center"/>
    </xf>
    <xf numFmtId="0" fontId="26" fillId="3" borderId="1" xfId="0" applyFont="1" applyFill="1" applyBorder="1" applyAlignment="1">
      <alignment horizontal="left" vertical="center"/>
    </xf>
    <xf numFmtId="0" fontId="21" fillId="16" borderId="1" xfId="0" applyFont="1" applyFill="1" applyBorder="1" applyAlignment="1">
      <alignment horizontal="center" vertical="center"/>
    </xf>
    <xf numFmtId="164" fontId="21" fillId="16" borderId="1" xfId="0" applyNumberFormat="1" applyFont="1" applyFill="1" applyBorder="1" applyAlignment="1">
      <alignment horizontal="center" vertical="center"/>
    </xf>
    <xf numFmtId="0" fontId="12" fillId="0" borderId="1" xfId="0" applyFont="1" applyBorder="1" applyAlignment="1">
      <alignment horizontal="left" vertical="center"/>
    </xf>
    <xf numFmtId="1" fontId="11" fillId="14" borderId="1" xfId="0" applyNumberFormat="1" applyFont="1" applyFill="1" applyBorder="1" applyAlignment="1">
      <alignment horizontal="center" vertical="center"/>
    </xf>
    <xf numFmtId="164" fontId="11" fillId="14" borderId="1" xfId="0" applyNumberFormat="1" applyFont="1" applyFill="1" applyBorder="1" applyAlignment="1">
      <alignment horizontal="center" vertical="center"/>
    </xf>
    <xf numFmtId="0" fontId="27" fillId="19" borderId="29" xfId="0" applyFont="1" applyFill="1" applyBorder="1" applyAlignment="1">
      <alignment vertical="center"/>
    </xf>
    <xf numFmtId="0" fontId="27" fillId="19" borderId="30" xfId="0" applyFont="1" applyFill="1" applyBorder="1" applyAlignment="1">
      <alignment vertical="center"/>
    </xf>
    <xf numFmtId="0" fontId="27" fillId="19" borderId="31" xfId="0" applyFont="1" applyFill="1" applyBorder="1" applyAlignment="1">
      <alignment vertical="center"/>
    </xf>
    <xf numFmtId="0" fontId="27" fillId="20" borderId="0" xfId="0" applyFont="1" applyFill="1" applyBorder="1" applyAlignment="1">
      <alignment horizontal="center" vertical="center"/>
    </xf>
    <xf numFmtId="0" fontId="28" fillId="0" borderId="0" xfId="0" applyFont="1" applyAlignment="1">
      <alignment horizontal="center" vertical="center"/>
    </xf>
    <xf numFmtId="0" fontId="0" fillId="0" borderId="0" xfId="0" applyBorder="1" applyAlignment="1">
      <alignment vertical="center"/>
    </xf>
    <xf numFmtId="0" fontId="0" fillId="0" borderId="0" xfId="0" applyAlignment="1">
      <alignment vertical="center"/>
    </xf>
    <xf numFmtId="0" fontId="0" fillId="0" borderId="0" xfId="0" applyBorder="1"/>
    <xf numFmtId="0" fontId="0" fillId="0" borderId="0" xfId="0" applyFill="1" applyProtection="1">
      <protection hidden="1"/>
    </xf>
    <xf numFmtId="0" fontId="27" fillId="0" borderId="0" xfId="0" applyFont="1" applyFill="1" applyBorder="1" applyAlignment="1" applyProtection="1">
      <alignment horizontal="right" indent="1"/>
      <protection hidden="1"/>
    </xf>
    <xf numFmtId="0" fontId="33" fillId="0" borderId="0" xfId="0" applyFont="1" applyFill="1" applyBorder="1" applyAlignment="1" applyProtection="1">
      <alignment horizontal="center" vertical="center"/>
      <protection hidden="1"/>
    </xf>
    <xf numFmtId="0" fontId="33" fillId="0" borderId="39" xfId="0" applyFont="1" applyFill="1" applyBorder="1" applyAlignment="1" applyProtection="1">
      <alignment horizontal="center" vertical="center"/>
      <protection hidden="1"/>
    </xf>
    <xf numFmtId="14" fontId="35" fillId="0" borderId="40" xfId="0" applyNumberFormat="1" applyFont="1" applyFill="1" applyBorder="1" applyAlignment="1" applyProtection="1">
      <alignment horizontal="right" vertical="center"/>
      <protection hidden="1"/>
    </xf>
    <xf numFmtId="14" fontId="36" fillId="0" borderId="40" xfId="0" applyNumberFormat="1" applyFont="1" applyFill="1" applyBorder="1" applyAlignment="1" applyProtection="1">
      <alignment horizontal="right" vertical="center"/>
      <protection hidden="1"/>
    </xf>
    <xf numFmtId="14" fontId="36" fillId="21" borderId="40" xfId="0" applyNumberFormat="1" applyFont="1" applyFill="1" applyBorder="1" applyAlignment="1" applyProtection="1">
      <alignment horizontal="right" vertical="center"/>
      <protection hidden="1"/>
    </xf>
    <xf numFmtId="14" fontId="37" fillId="0" borderId="40" xfId="0" applyNumberFormat="1" applyFont="1" applyFill="1" applyBorder="1" applyAlignment="1" applyProtection="1">
      <alignment horizontal="right" vertical="center"/>
      <protection hidden="1"/>
    </xf>
    <xf numFmtId="0" fontId="27" fillId="0" borderId="0" xfId="0" applyFont="1" applyFill="1" applyBorder="1" applyAlignment="1" applyProtection="1">
      <alignment horizontal="right"/>
      <protection hidden="1"/>
    </xf>
    <xf numFmtId="14" fontId="35" fillId="0" borderId="41" xfId="0" applyNumberFormat="1" applyFont="1" applyFill="1" applyBorder="1" applyProtection="1">
      <protection hidden="1"/>
    </xf>
    <xf numFmtId="14" fontId="35" fillId="0" borderId="40" xfId="0" applyNumberFormat="1" applyFont="1" applyFill="1" applyBorder="1" applyProtection="1">
      <protection hidden="1"/>
    </xf>
    <xf numFmtId="14" fontId="35" fillId="0" borderId="39" xfId="0" applyNumberFormat="1" applyFont="1" applyFill="1" applyBorder="1" applyProtection="1">
      <protection hidden="1"/>
    </xf>
    <xf numFmtId="0" fontId="28" fillId="0" borderId="0" xfId="0" applyFont="1" applyAlignment="1">
      <alignment horizontal="center"/>
    </xf>
    <xf numFmtId="0" fontId="27" fillId="0" borderId="0" xfId="0" applyFont="1"/>
    <xf numFmtId="0" fontId="38" fillId="0" borderId="0" xfId="0" applyFont="1" applyAlignment="1">
      <alignment horizontal="left"/>
    </xf>
    <xf numFmtId="0" fontId="27" fillId="14" borderId="1" xfId="0" applyFont="1" applyFill="1" applyBorder="1" applyAlignment="1">
      <alignment horizontal="center"/>
    </xf>
    <xf numFmtId="0" fontId="39" fillId="14" borderId="1" xfId="0" applyFont="1" applyFill="1" applyBorder="1" applyAlignment="1">
      <alignment horizontal="center"/>
    </xf>
    <xf numFmtId="0" fontId="27" fillId="14" borderId="42" xfId="0" applyFont="1" applyFill="1" applyBorder="1" applyAlignment="1">
      <alignment horizontal="center"/>
    </xf>
    <xf numFmtId="0" fontId="27" fillId="19" borderId="1" xfId="0" applyFont="1" applyFill="1" applyBorder="1"/>
    <xf numFmtId="0" fontId="35" fillId="19" borderId="12" xfId="0" applyFont="1" applyFill="1" applyBorder="1" applyAlignment="1" applyProtection="1">
      <alignment horizontal="left"/>
    </xf>
    <xf numFmtId="41" fontId="27" fillId="0" borderId="1" xfId="0" applyNumberFormat="1" applyFont="1" applyBorder="1" applyAlignment="1">
      <alignment horizontal="center"/>
    </xf>
    <xf numFmtId="41" fontId="39" fillId="0" borderId="1" xfId="0" applyNumberFormat="1" applyFont="1" applyBorder="1" applyAlignment="1">
      <alignment horizontal="center"/>
    </xf>
    <xf numFmtId="41" fontId="27" fillId="0" borderId="1" xfId="0" applyNumberFormat="1" applyFont="1" applyBorder="1"/>
    <xf numFmtId="10" fontId="27" fillId="0" borderId="1" xfId="0" applyNumberFormat="1" applyFont="1" applyBorder="1"/>
    <xf numFmtId="0" fontId="27" fillId="3" borderId="1" xfId="0" applyFont="1" applyFill="1" applyBorder="1"/>
    <xf numFmtId="0" fontId="27" fillId="0" borderId="1" xfId="0" applyFont="1" applyFill="1" applyBorder="1"/>
    <xf numFmtId="10" fontId="27" fillId="0" borderId="1" xfId="0" applyNumberFormat="1" applyFont="1" applyFill="1" applyBorder="1"/>
    <xf numFmtId="0" fontId="40" fillId="3" borderId="1" xfId="0" applyFont="1" applyFill="1" applyBorder="1"/>
    <xf numFmtId="0" fontId="41" fillId="19" borderId="12" xfId="0" applyFont="1" applyFill="1" applyBorder="1" applyAlignment="1" applyProtection="1">
      <alignment horizontal="left"/>
    </xf>
    <xf numFmtId="41" fontId="40" fillId="0" borderId="1" xfId="0" applyNumberFormat="1" applyFont="1" applyBorder="1" applyAlignment="1">
      <alignment horizontal="center"/>
    </xf>
    <xf numFmtId="0" fontId="40" fillId="19" borderId="1" xfId="0" applyFont="1" applyFill="1" applyBorder="1"/>
    <xf numFmtId="0" fontId="37" fillId="19" borderId="12" xfId="0" applyFont="1" applyFill="1" applyBorder="1" applyAlignment="1" applyProtection="1">
      <alignment horizontal="left"/>
    </xf>
    <xf numFmtId="0" fontId="39" fillId="19" borderId="1" xfId="0" applyFont="1" applyFill="1" applyBorder="1"/>
    <xf numFmtId="41" fontId="39" fillId="0" borderId="1" xfId="0" applyNumberFormat="1" applyFont="1" applyBorder="1"/>
    <xf numFmtId="0" fontId="42" fillId="19" borderId="1" xfId="0" applyFont="1" applyFill="1" applyBorder="1"/>
    <xf numFmtId="0" fontId="27" fillId="19" borderId="0" xfId="0" applyFont="1" applyFill="1" applyBorder="1"/>
    <xf numFmtId="10" fontId="27" fillId="0" borderId="0" xfId="0" applyNumberFormat="1" applyFont="1" applyBorder="1"/>
    <xf numFmtId="0" fontId="43" fillId="0" borderId="0" xfId="0" applyFont="1"/>
    <xf numFmtId="10" fontId="0" fillId="0" borderId="0" xfId="0" applyNumberFormat="1"/>
    <xf numFmtId="0" fontId="27" fillId="0" borderId="0" xfId="0" applyFont="1" applyFill="1" applyBorder="1"/>
    <xf numFmtId="0" fontId="27" fillId="22" borderId="43" xfId="0" applyFont="1" applyFill="1" applyBorder="1" applyAlignment="1">
      <alignment horizontal="left"/>
    </xf>
    <xf numFmtId="0" fontId="27" fillId="22" borderId="1" xfId="0" applyFont="1" applyFill="1" applyBorder="1" applyAlignment="1">
      <alignment horizontal="left"/>
    </xf>
    <xf numFmtId="0" fontId="44" fillId="22" borderId="1" xfId="0" applyFont="1" applyFill="1" applyBorder="1" applyAlignment="1">
      <alignment horizontal="right" vertical="center"/>
    </xf>
    <xf numFmtId="1" fontId="44" fillId="22" borderId="1" xfId="0" applyNumberFormat="1" applyFont="1" applyFill="1" applyBorder="1" applyAlignment="1">
      <alignment horizontal="right" vertical="center"/>
    </xf>
    <xf numFmtId="1" fontId="39" fillId="22" borderId="1" xfId="0" applyNumberFormat="1" applyFont="1" applyFill="1" applyBorder="1" applyAlignment="1">
      <alignment horizontal="right" vertical="center"/>
    </xf>
    <xf numFmtId="0" fontId="0" fillId="0" borderId="0" xfId="0" applyFill="1" applyBorder="1"/>
    <xf numFmtId="0" fontId="27" fillId="23" borderId="43" xfId="0" applyFont="1" applyFill="1" applyBorder="1"/>
    <xf numFmtId="0" fontId="27" fillId="23" borderId="1" xfId="0" applyFont="1" applyFill="1" applyBorder="1"/>
    <xf numFmtId="0" fontId="27" fillId="23" borderId="1" xfId="0" applyFont="1" applyFill="1" applyBorder="1" applyProtection="1">
      <protection locked="0"/>
    </xf>
    <xf numFmtId="1" fontId="27" fillId="23" borderId="1" xfId="0" applyNumberFormat="1" applyFont="1" applyFill="1" applyBorder="1" applyProtection="1">
      <protection locked="0"/>
    </xf>
    <xf numFmtId="0" fontId="27" fillId="23" borderId="1" xfId="0" applyFont="1" applyFill="1" applyBorder="1" applyProtection="1"/>
    <xf numFmtId="1" fontId="39" fillId="23" borderId="1" xfId="0" applyNumberFormat="1" applyFont="1" applyFill="1" applyBorder="1" applyProtection="1">
      <protection locked="0"/>
    </xf>
    <xf numFmtId="0" fontId="27" fillId="0" borderId="44" xfId="0" applyFont="1" applyBorder="1"/>
    <xf numFmtId="0" fontId="27" fillId="0" borderId="1" xfId="0" applyFont="1" applyBorder="1"/>
    <xf numFmtId="0" fontId="27" fillId="0" borderId="45" xfId="0" applyFont="1" applyBorder="1"/>
    <xf numFmtId="1" fontId="27" fillId="0" borderId="45" xfId="0" applyNumberFormat="1" applyFont="1" applyBorder="1"/>
    <xf numFmtId="1" fontId="39" fillId="0" borderId="45" xfId="0" applyNumberFormat="1" applyFont="1" applyBorder="1"/>
    <xf numFmtId="41" fontId="0" fillId="0" borderId="0" xfId="0" applyNumberFormat="1"/>
    <xf numFmtId="0" fontId="27" fillId="0" borderId="45" xfId="0" applyFont="1" applyBorder="1" applyProtection="1">
      <protection locked="0"/>
    </xf>
    <xf numFmtId="1" fontId="27" fillId="0" borderId="45" xfId="0" applyNumberFormat="1" applyFont="1" applyBorder="1" applyProtection="1"/>
    <xf numFmtId="1" fontId="27" fillId="0" borderId="45" xfId="0" applyNumberFormat="1" applyFont="1" applyBorder="1" applyProtection="1">
      <protection locked="0"/>
    </xf>
    <xf numFmtId="1" fontId="39" fillId="0" borderId="45" xfId="0" applyNumberFormat="1" applyFont="1" applyBorder="1" applyProtection="1">
      <protection locked="0"/>
    </xf>
    <xf numFmtId="0" fontId="39" fillId="0" borderId="45" xfId="0" applyFont="1" applyBorder="1" applyProtection="1">
      <protection locked="0"/>
    </xf>
    <xf numFmtId="0" fontId="0" fillId="0" borderId="0" xfId="0" applyAlignment="1"/>
    <xf numFmtId="0" fontId="27" fillId="0" borderId="45" xfId="0" applyFont="1" applyFill="1" applyBorder="1" applyProtection="1">
      <protection locked="0"/>
    </xf>
    <xf numFmtId="1" fontId="45" fillId="0" borderId="45" xfId="0" applyNumberFormat="1" applyFont="1" applyFill="1" applyBorder="1" applyProtection="1"/>
    <xf numFmtId="1" fontId="27" fillId="0" borderId="45" xfId="0" applyNumberFormat="1" applyFont="1" applyFill="1" applyBorder="1" applyProtection="1"/>
    <xf numFmtId="1" fontId="39" fillId="0" borderId="45" xfId="0" applyNumberFormat="1" applyFont="1" applyBorder="1" applyProtection="1"/>
    <xf numFmtId="0" fontId="27" fillId="0" borderId="1" xfId="0" applyFont="1" applyBorder="1" applyProtection="1">
      <protection locked="0"/>
    </xf>
    <xf numFmtId="1" fontId="27" fillId="0" borderId="1" xfId="0" applyNumberFormat="1" applyFont="1" applyBorder="1" applyProtection="1"/>
    <xf numFmtId="1" fontId="39" fillId="0" borderId="1" xfId="0" applyNumberFormat="1" applyFont="1" applyBorder="1" applyProtection="1"/>
    <xf numFmtId="0" fontId="46" fillId="0" borderId="0" xfId="0" applyFont="1" applyFill="1" applyBorder="1" applyAlignment="1"/>
    <xf numFmtId="0" fontId="46" fillId="19" borderId="0" xfId="0" applyFont="1" applyFill="1" applyBorder="1" applyAlignment="1"/>
    <xf numFmtId="0" fontId="46" fillId="19" borderId="1" xfId="0" applyFont="1" applyFill="1" applyBorder="1" applyAlignment="1"/>
    <xf numFmtId="1" fontId="0" fillId="0" borderId="0" xfId="0" applyNumberFormat="1"/>
    <xf numFmtId="0" fontId="27" fillId="0" borderId="43" xfId="0" applyFont="1" applyBorder="1"/>
    <xf numFmtId="1" fontId="27" fillId="0" borderId="1" xfId="0" applyNumberFormat="1" applyFont="1" applyBorder="1"/>
    <xf numFmtId="1" fontId="39" fillId="0" borderId="1" xfId="0" applyNumberFormat="1" applyFont="1" applyBorder="1"/>
    <xf numFmtId="0" fontId="39" fillId="0" borderId="1" xfId="0" applyFont="1" applyBorder="1"/>
    <xf numFmtId="0" fontId="27" fillId="0" borderId="28" xfId="0" applyFont="1" applyBorder="1"/>
    <xf numFmtId="0" fontId="27" fillId="0" borderId="46" xfId="0" applyFont="1" applyBorder="1"/>
    <xf numFmtId="1" fontId="27" fillId="0" borderId="46" xfId="0" applyNumberFormat="1" applyFont="1" applyBorder="1"/>
    <xf numFmtId="0" fontId="39" fillId="0" borderId="46" xfId="0" applyFont="1" applyBorder="1"/>
    <xf numFmtId="0" fontId="27" fillId="24" borderId="45" xfId="0" applyFont="1" applyFill="1" applyBorder="1" applyProtection="1">
      <protection locked="0"/>
    </xf>
    <xf numFmtId="0" fontId="27" fillId="0" borderId="1" xfId="0" applyFont="1" applyFill="1" applyBorder="1" applyProtection="1">
      <protection locked="0"/>
    </xf>
    <xf numFmtId="1" fontId="27" fillId="0" borderId="1" xfId="0" applyNumberFormat="1" applyFont="1" applyFill="1" applyBorder="1" applyProtection="1">
      <protection locked="0"/>
    </xf>
    <xf numFmtId="0" fontId="39" fillId="0" borderId="1" xfId="0" applyFont="1" applyBorder="1" applyProtection="1">
      <protection locked="0"/>
    </xf>
    <xf numFmtId="10" fontId="27" fillId="0" borderId="46" xfId="0" applyNumberFormat="1" applyFont="1" applyBorder="1"/>
    <xf numFmtId="0" fontId="39" fillId="0" borderId="46" xfId="0" applyFont="1" applyBorder="1" applyProtection="1">
      <protection locked="0"/>
    </xf>
    <xf numFmtId="0" fontId="27" fillId="13" borderId="43" xfId="0" applyFont="1" applyFill="1" applyBorder="1"/>
    <xf numFmtId="0" fontId="27" fillId="13" borderId="1" xfId="0" applyFont="1" applyFill="1" applyBorder="1"/>
    <xf numFmtId="0" fontId="45" fillId="20" borderId="1" xfId="0" applyFont="1" applyFill="1" applyBorder="1"/>
    <xf numFmtId="1" fontId="45" fillId="20" borderId="1" xfId="0" applyNumberFormat="1" applyFont="1" applyFill="1" applyBorder="1"/>
    <xf numFmtId="1" fontId="39" fillId="20" borderId="1" xfId="0" applyNumberFormat="1" applyFont="1" applyFill="1" applyBorder="1"/>
    <xf numFmtId="3" fontId="45" fillId="20" borderId="1" xfId="0" applyNumberFormat="1" applyFont="1" applyFill="1" applyBorder="1"/>
    <xf numFmtId="10" fontId="45" fillId="20" borderId="1" xfId="0" applyNumberFormat="1" applyFont="1" applyFill="1" applyBorder="1"/>
    <xf numFmtId="166" fontId="0" fillId="0" borderId="0" xfId="0" applyNumberFormat="1"/>
    <xf numFmtId="0" fontId="12" fillId="0" borderId="1" xfId="0" applyFont="1" applyFill="1" applyBorder="1" applyAlignment="1">
      <alignment horizontal="left" vertical="center" wrapText="1"/>
    </xf>
    <xf numFmtId="0" fontId="14" fillId="3" borderId="1" xfId="2" applyFont="1" applyFill="1" applyBorder="1" applyAlignment="1">
      <alignment vertical="center"/>
    </xf>
    <xf numFmtId="0" fontId="14" fillId="3" borderId="1" xfId="2" applyFont="1" applyFill="1" applyBorder="1" applyAlignment="1">
      <alignment horizontal="center" vertical="center"/>
    </xf>
    <xf numFmtId="0" fontId="14" fillId="3" borderId="1" xfId="0" applyFont="1" applyFill="1" applyBorder="1" applyAlignment="1">
      <alignment horizontal="left" vertical="center"/>
    </xf>
    <xf numFmtId="164" fontId="14" fillId="14" borderId="1" xfId="0" applyNumberFormat="1" applyFont="1" applyFill="1" applyBorder="1" applyAlignment="1">
      <alignment horizontal="center" vertical="center"/>
    </xf>
    <xf numFmtId="1" fontId="14" fillId="14" borderId="1" xfId="0" applyNumberFormat="1" applyFont="1" applyFill="1" applyBorder="1" applyAlignment="1">
      <alignment horizontal="center" vertical="center"/>
    </xf>
    <xf numFmtId="164" fontId="13" fillId="3" borderId="1" xfId="0" applyNumberFormat="1" applyFont="1" applyFill="1" applyBorder="1" applyAlignment="1">
      <alignment horizontal="center" vertical="center"/>
    </xf>
    <xf numFmtId="0" fontId="14" fillId="0" borderId="1" xfId="2" applyFont="1" applyBorder="1" applyAlignment="1">
      <alignment vertical="center"/>
    </xf>
    <xf numFmtId="0" fontId="14" fillId="0" borderId="1" xfId="2" applyFont="1" applyBorder="1" applyAlignment="1">
      <alignment horizontal="center" vertical="center"/>
    </xf>
    <xf numFmtId="0" fontId="14" fillId="0" borderId="1" xfId="0" applyFont="1" applyFill="1" applyBorder="1" applyAlignment="1">
      <alignment horizontal="left" vertical="center"/>
    </xf>
    <xf numFmtId="164" fontId="14" fillId="0" borderId="1" xfId="0" applyNumberFormat="1" applyFont="1" applyFill="1" applyBorder="1" applyAlignment="1">
      <alignment horizontal="center" vertical="center"/>
    </xf>
    <xf numFmtId="1" fontId="11" fillId="25" borderId="1" xfId="0" applyNumberFormat="1" applyFont="1" applyFill="1" applyBorder="1" applyAlignment="1">
      <alignment horizontal="center" vertical="center"/>
    </xf>
    <xf numFmtId="0" fontId="14" fillId="0" borderId="1" xfId="2" applyFont="1" applyFill="1" applyBorder="1" applyAlignment="1">
      <alignment vertical="center"/>
    </xf>
    <xf numFmtId="0" fontId="13" fillId="0" borderId="1" xfId="0" applyFont="1" applyFill="1" applyBorder="1" applyAlignment="1">
      <alignment horizontal="center" vertical="center"/>
    </xf>
    <xf numFmtId="0" fontId="13" fillId="0" borderId="1" xfId="0" applyFont="1" applyFill="1" applyBorder="1" applyAlignment="1">
      <alignment vertical="center"/>
    </xf>
    <xf numFmtId="0" fontId="14" fillId="0" borderId="1" xfId="2" applyFont="1" applyFill="1" applyBorder="1" applyAlignment="1">
      <alignment horizontal="center" vertical="center"/>
    </xf>
    <xf numFmtId="164" fontId="13" fillId="0" borderId="1" xfId="0" applyNumberFormat="1" applyFont="1" applyFill="1" applyBorder="1" applyAlignment="1">
      <alignment horizontal="center" vertical="center"/>
    </xf>
    <xf numFmtId="16" fontId="18" fillId="0" borderId="0" xfId="2" applyNumberFormat="1" applyFont="1" applyBorder="1" applyAlignment="1">
      <alignment horizontal="center" vertical="center"/>
    </xf>
    <xf numFmtId="0" fontId="18" fillId="0" borderId="0" xfId="2" applyFont="1" applyBorder="1" applyAlignment="1">
      <alignment horizontal="center" vertical="center"/>
    </xf>
    <xf numFmtId="16" fontId="18" fillId="0" borderId="0" xfId="2" applyNumberFormat="1" applyFont="1" applyFill="1" applyBorder="1" applyAlignment="1">
      <alignment horizontal="center" vertical="center"/>
    </xf>
    <xf numFmtId="0" fontId="18" fillId="8" borderId="0" xfId="1" applyNumberFormat="1" applyFont="1" applyFill="1" applyBorder="1" applyAlignment="1">
      <alignment horizontal="center" vertical="center"/>
    </xf>
    <xf numFmtId="164" fontId="18" fillId="8" borderId="0" xfId="1" applyNumberFormat="1" applyFont="1" applyFill="1" applyBorder="1" applyAlignment="1">
      <alignment horizontal="center" vertical="center"/>
    </xf>
    <xf numFmtId="164" fontId="18" fillId="0" borderId="0" xfId="2" applyNumberFormat="1" applyFont="1" applyFill="1" applyBorder="1" applyAlignment="1">
      <alignment horizontal="center" vertical="center"/>
    </xf>
    <xf numFmtId="0" fontId="18" fillId="8" borderId="0" xfId="2" applyNumberFormat="1" applyFont="1" applyFill="1" applyBorder="1" applyAlignment="1">
      <alignment horizontal="center" vertical="center" wrapText="1"/>
    </xf>
    <xf numFmtId="164" fontId="18" fillId="11" borderId="0" xfId="1" applyNumberFormat="1" applyFont="1" applyFill="1" applyBorder="1" applyAlignment="1">
      <alignment horizontal="center" vertical="center"/>
    </xf>
    <xf numFmtId="0" fontId="18" fillId="0" borderId="0" xfId="1" applyNumberFormat="1" applyFont="1" applyBorder="1" applyAlignment="1">
      <alignment horizontal="center" vertical="center"/>
    </xf>
    <xf numFmtId="1" fontId="0" fillId="6" borderId="0" xfId="0" applyNumberFormat="1" applyFont="1" applyFill="1" applyBorder="1" applyAlignment="1">
      <alignment horizontal="center" vertical="center"/>
    </xf>
    <xf numFmtId="1" fontId="0" fillId="2" borderId="0" xfId="0" applyNumberFormat="1" applyFont="1" applyFill="1" applyBorder="1" applyAlignment="1">
      <alignment horizontal="center" vertical="center"/>
    </xf>
    <xf numFmtId="1" fontId="0" fillId="0" borderId="0" xfId="0" applyNumberFormat="1" applyFont="1" applyFill="1" applyBorder="1" applyAlignment="1">
      <alignment horizontal="center" vertical="center"/>
    </xf>
    <xf numFmtId="1" fontId="0" fillId="0" borderId="0" xfId="0" applyNumberFormat="1" applyFont="1" applyBorder="1" applyAlignment="1">
      <alignment horizontal="center" vertical="center"/>
    </xf>
    <xf numFmtId="0" fontId="0" fillId="0" borderId="0" xfId="0" applyFont="1" applyBorder="1" applyAlignment="1">
      <alignment horizontal="center" vertical="center"/>
    </xf>
    <xf numFmtId="1" fontId="11" fillId="0" borderId="0" xfId="2" applyNumberFormat="1" applyFont="1" applyBorder="1" applyAlignment="1">
      <alignment horizontal="center" vertical="center"/>
    </xf>
    <xf numFmtId="0" fontId="21" fillId="16" borderId="1" xfId="0" applyFont="1" applyFill="1" applyBorder="1" applyAlignment="1">
      <alignment vertical="center"/>
    </xf>
    <xf numFmtId="0" fontId="52" fillId="0" borderId="47" xfId="0" applyFont="1" applyBorder="1" applyAlignment="1">
      <alignment horizontal="center" vertical="center" textRotation="90" wrapText="1"/>
    </xf>
    <xf numFmtId="0" fontId="53" fillId="0" borderId="47" xfId="2" applyFont="1" applyBorder="1" applyAlignment="1">
      <alignment horizontal="center" vertical="center" textRotation="90" wrapText="1"/>
    </xf>
    <xf numFmtId="0" fontId="52" fillId="0" borderId="47" xfId="0" applyFont="1" applyFill="1" applyBorder="1" applyAlignment="1">
      <alignment horizontal="center" vertical="center" textRotation="90" wrapText="1"/>
    </xf>
    <xf numFmtId="0" fontId="52" fillId="8" borderId="47" xfId="0" applyFont="1" applyFill="1" applyBorder="1" applyAlignment="1">
      <alignment horizontal="center" vertical="center" textRotation="90" wrapText="1"/>
    </xf>
    <xf numFmtId="0" fontId="53" fillId="8" borderId="47" xfId="2" applyNumberFormat="1" applyFont="1" applyFill="1" applyBorder="1" applyAlignment="1">
      <alignment horizontal="center" vertical="center" textRotation="90" wrapText="1"/>
    </xf>
    <xf numFmtId="0" fontId="53" fillId="11" borderId="47" xfId="2" applyNumberFormat="1" applyFont="1" applyFill="1" applyBorder="1" applyAlignment="1">
      <alignment horizontal="center" vertical="center" textRotation="90" wrapText="1"/>
    </xf>
    <xf numFmtId="0" fontId="53" fillId="2" borderId="47" xfId="2" applyNumberFormat="1" applyFont="1" applyFill="1" applyBorder="1" applyAlignment="1">
      <alignment horizontal="center" vertical="center" textRotation="90" wrapText="1"/>
    </xf>
    <xf numFmtId="0" fontId="53" fillId="6" borderId="47" xfId="2" applyNumberFormat="1" applyFont="1" applyFill="1" applyBorder="1" applyAlignment="1">
      <alignment horizontal="center" vertical="center" textRotation="90" wrapText="1"/>
    </xf>
    <xf numFmtId="0" fontId="53" fillId="0" borderId="47" xfId="2" applyNumberFormat="1" applyFont="1" applyBorder="1" applyAlignment="1">
      <alignment horizontal="center" vertical="center" textRotation="90" wrapText="1"/>
    </xf>
    <xf numFmtId="0" fontId="53" fillId="0" borderId="47" xfId="2" applyNumberFormat="1" applyFont="1" applyFill="1" applyBorder="1" applyAlignment="1">
      <alignment horizontal="center" vertical="center" textRotation="90" wrapText="1"/>
    </xf>
    <xf numFmtId="0" fontId="52" fillId="15" borderId="47" xfId="0" applyFont="1" applyFill="1" applyBorder="1" applyAlignment="1">
      <alignment horizontal="center" vertical="center" textRotation="90"/>
    </xf>
    <xf numFmtId="16" fontId="23" fillId="15" borderId="0" xfId="2" applyNumberFormat="1" applyFont="1" applyFill="1" applyBorder="1" applyAlignment="1">
      <alignment horizontal="center" vertical="center"/>
    </xf>
    <xf numFmtId="0" fontId="23" fillId="15" borderId="0" xfId="2" applyFont="1" applyFill="1" applyBorder="1" applyAlignment="1">
      <alignment horizontal="center" vertical="center"/>
    </xf>
    <xf numFmtId="0" fontId="11" fillId="0" borderId="1" xfId="2" applyFont="1" applyBorder="1" applyAlignment="1">
      <alignment horizontal="left" vertical="center"/>
    </xf>
    <xf numFmtId="0" fontId="54" fillId="17" borderId="1" xfId="0" applyFont="1" applyFill="1" applyBorder="1" applyAlignment="1">
      <alignment horizontal="center" vertical="center" wrapText="1"/>
    </xf>
    <xf numFmtId="0" fontId="54" fillId="17" borderId="1" xfId="0" applyFont="1" applyFill="1" applyBorder="1" applyAlignment="1">
      <alignment horizontal="center" vertical="center"/>
    </xf>
    <xf numFmtId="0" fontId="55" fillId="0" borderId="1" xfId="2" applyFont="1" applyFill="1" applyBorder="1" applyAlignment="1">
      <alignment horizontal="center" vertical="center"/>
    </xf>
    <xf numFmtId="0" fontId="55" fillId="0" borderId="1" xfId="0" applyFont="1" applyFill="1" applyBorder="1" applyAlignment="1">
      <alignment horizontal="left" vertical="center"/>
    </xf>
    <xf numFmtId="164" fontId="55" fillId="0" borderId="1" xfId="0" applyNumberFormat="1" applyFont="1" applyFill="1" applyBorder="1" applyAlignment="1">
      <alignment horizontal="center" vertical="center"/>
    </xf>
    <xf numFmtId="1" fontId="55" fillId="0" borderId="1" xfId="0" applyNumberFormat="1" applyFont="1" applyFill="1" applyBorder="1" applyAlignment="1">
      <alignment horizontal="center" vertical="center"/>
    </xf>
    <xf numFmtId="0" fontId="56" fillId="0" borderId="1" xfId="0" applyFont="1" applyFill="1" applyBorder="1" applyAlignment="1">
      <alignment horizontal="left" vertical="center"/>
    </xf>
    <xf numFmtId="0" fontId="56" fillId="0" borderId="1" xfId="0" applyFont="1" applyFill="1" applyBorder="1" applyAlignment="1">
      <alignment horizontal="center" vertical="center"/>
    </xf>
    <xf numFmtId="0" fontId="56" fillId="0" borderId="1" xfId="0" applyFont="1" applyFill="1" applyBorder="1" applyAlignment="1">
      <alignment vertical="center"/>
    </xf>
    <xf numFmtId="0" fontId="57" fillId="16" borderId="1" xfId="0" applyFont="1" applyFill="1" applyBorder="1" applyAlignment="1">
      <alignment vertical="center"/>
    </xf>
    <xf numFmtId="0" fontId="56" fillId="0" borderId="1" xfId="0" applyFont="1" applyBorder="1" applyAlignment="1">
      <alignment horizontal="left" vertical="center"/>
    </xf>
    <xf numFmtId="1" fontId="57" fillId="16" borderId="1" xfId="0" applyNumberFormat="1" applyFont="1" applyFill="1" applyBorder="1" applyAlignment="1">
      <alignment horizontal="center" vertical="center"/>
    </xf>
    <xf numFmtId="0" fontId="55" fillId="0" borderId="0" xfId="2" applyFont="1" applyBorder="1"/>
    <xf numFmtId="0" fontId="55" fillId="0" borderId="0" xfId="2" applyFont="1" applyFill="1" applyBorder="1"/>
    <xf numFmtId="1" fontId="55" fillId="0" borderId="0" xfId="2" applyNumberFormat="1" applyFont="1" applyBorder="1"/>
    <xf numFmtId="0" fontId="54" fillId="18" borderId="1" xfId="0" applyFont="1" applyFill="1" applyBorder="1" applyAlignment="1">
      <alignment horizontal="center" vertical="center" wrapText="1"/>
    </xf>
    <xf numFmtId="0" fontId="55" fillId="0" borderId="0" xfId="2" applyFont="1" applyBorder="1" applyAlignment="1">
      <alignment horizontal="center"/>
    </xf>
    <xf numFmtId="16" fontId="18" fillId="0" borderId="48" xfId="2" applyNumberFormat="1" applyFont="1" applyBorder="1" applyAlignment="1">
      <alignment horizontal="center" vertical="center"/>
    </xf>
    <xf numFmtId="0" fontId="18" fillId="0" borderId="48" xfId="2" applyFont="1" applyBorder="1" applyAlignment="1">
      <alignment horizontal="center" vertical="center"/>
    </xf>
    <xf numFmtId="16" fontId="18" fillId="0" borderId="48" xfId="2" applyNumberFormat="1" applyFont="1" applyFill="1" applyBorder="1" applyAlignment="1">
      <alignment horizontal="center" vertical="center"/>
    </xf>
    <xf numFmtId="0" fontId="18" fillId="8" borderId="48" xfId="1" applyNumberFormat="1" applyFont="1" applyFill="1" applyBorder="1" applyAlignment="1">
      <alignment horizontal="center" vertical="center"/>
    </xf>
    <xf numFmtId="164" fontId="18" fillId="8" borderId="48" xfId="1" applyNumberFormat="1" applyFont="1" applyFill="1" applyBorder="1" applyAlignment="1">
      <alignment horizontal="center" vertical="center"/>
    </xf>
    <xf numFmtId="164" fontId="18" fillId="0" borderId="48" xfId="2" applyNumberFormat="1" applyFont="1" applyFill="1" applyBorder="1" applyAlignment="1">
      <alignment horizontal="center" vertical="center"/>
    </xf>
    <xf numFmtId="164" fontId="18" fillId="11" borderId="48" xfId="1" applyNumberFormat="1" applyFont="1" applyFill="1" applyBorder="1" applyAlignment="1">
      <alignment horizontal="center" vertical="center"/>
    </xf>
    <xf numFmtId="0" fontId="18" fillId="0" borderId="48" xfId="1" applyNumberFormat="1" applyFont="1" applyBorder="1" applyAlignment="1">
      <alignment horizontal="center" vertical="center"/>
    </xf>
    <xf numFmtId="1" fontId="0" fillId="6" borderId="48" xfId="0" applyNumberFormat="1" applyFont="1" applyFill="1" applyBorder="1" applyAlignment="1">
      <alignment horizontal="center" vertical="center"/>
    </xf>
    <xf numFmtId="1" fontId="0" fillId="2" borderId="48" xfId="0" applyNumberFormat="1" applyFont="1" applyFill="1" applyBorder="1" applyAlignment="1">
      <alignment horizontal="center" vertical="center"/>
    </xf>
    <xf numFmtId="1" fontId="0" fillId="0" borderId="48" xfId="0" applyNumberFormat="1" applyFont="1" applyFill="1" applyBorder="1" applyAlignment="1">
      <alignment horizontal="center" vertical="center"/>
    </xf>
    <xf numFmtId="1" fontId="0" fillId="0" borderId="48" xfId="0" applyNumberFormat="1" applyFont="1" applyBorder="1" applyAlignment="1">
      <alignment horizontal="center" vertical="center"/>
    </xf>
    <xf numFmtId="0" fontId="0" fillId="0" borderId="48" xfId="0" applyFont="1" applyBorder="1" applyAlignment="1">
      <alignment horizontal="center" vertical="center"/>
    </xf>
    <xf numFmtId="9" fontId="58" fillId="0" borderId="0" xfId="2" applyNumberFormat="1" applyFont="1" applyBorder="1" applyAlignment="1">
      <alignment horizontal="center"/>
    </xf>
    <xf numFmtId="2" fontId="55" fillId="0" borderId="0" xfId="2" applyNumberFormat="1" applyFont="1" applyBorder="1"/>
    <xf numFmtId="1" fontId="55" fillId="0" borderId="0" xfId="2" applyNumberFormat="1" applyFont="1" applyFill="1" applyBorder="1"/>
    <xf numFmtId="1" fontId="55" fillId="0" borderId="0" xfId="2" applyNumberFormat="1" applyFont="1" applyBorder="1" applyAlignment="1">
      <alignment horizontal="center"/>
    </xf>
    <xf numFmtId="1" fontId="59" fillId="0" borderId="1" xfId="0" applyNumberFormat="1" applyFont="1" applyFill="1" applyBorder="1" applyAlignment="1">
      <alignment horizontal="center" vertical="center"/>
    </xf>
    <xf numFmtId="167" fontId="55" fillId="0" borderId="0" xfId="2" applyNumberFormat="1" applyFont="1" applyFill="1" applyBorder="1"/>
    <xf numFmtId="0" fontId="56" fillId="0" borderId="49" xfId="0" applyFont="1" applyBorder="1" applyAlignment="1">
      <alignment horizontal="left" vertical="center"/>
    </xf>
    <xf numFmtId="0" fontId="54" fillId="17" borderId="49" xfId="0" applyFont="1" applyFill="1" applyBorder="1" applyAlignment="1">
      <alignment horizontal="center" vertical="center"/>
    </xf>
    <xf numFmtId="0" fontId="56" fillId="0" borderId="49" xfId="0" applyFont="1" applyFill="1" applyBorder="1" applyAlignment="1">
      <alignment horizontal="left" vertical="center"/>
    </xf>
    <xf numFmtId="0" fontId="54" fillId="17" borderId="0" xfId="0" applyFont="1" applyFill="1" applyBorder="1" applyAlignment="1">
      <alignment horizontal="center" vertical="center" wrapText="1"/>
    </xf>
    <xf numFmtId="0" fontId="55" fillId="0" borderId="0" xfId="2" applyFont="1" applyFill="1" applyBorder="1" applyAlignment="1">
      <alignment horizontal="left" vertical="center"/>
    </xf>
    <xf numFmtId="0" fontId="55" fillId="0" borderId="0" xfId="0" applyFont="1" applyFill="1" applyBorder="1" applyAlignment="1">
      <alignment horizontal="left" vertical="center"/>
    </xf>
    <xf numFmtId="1" fontId="55" fillId="0" borderId="0" xfId="0" applyNumberFormat="1" applyFont="1" applyFill="1" applyBorder="1" applyAlignment="1">
      <alignment horizontal="center" vertical="center"/>
    </xf>
    <xf numFmtId="164" fontId="55" fillId="0" borderId="0" xfId="0" applyNumberFormat="1" applyFont="1" applyFill="1" applyBorder="1" applyAlignment="1">
      <alignment horizontal="center" vertical="center"/>
    </xf>
    <xf numFmtId="0" fontId="57" fillId="0" borderId="0" xfId="0" applyFont="1" applyFill="1" applyBorder="1" applyAlignment="1">
      <alignment vertical="center"/>
    </xf>
    <xf numFmtId="1" fontId="55" fillId="0" borderId="50" xfId="0" applyNumberFormat="1" applyFont="1" applyFill="1" applyBorder="1" applyAlignment="1">
      <alignment horizontal="center" vertical="center"/>
    </xf>
    <xf numFmtId="0" fontId="58" fillId="0" borderId="0" xfId="2" applyFont="1" applyFill="1" applyBorder="1" applyAlignment="1">
      <alignment horizontal="center" vertical="center"/>
    </xf>
    <xf numFmtId="0" fontId="58" fillId="0" borderId="0" xfId="0" applyFont="1" applyFill="1" applyBorder="1" applyAlignment="1">
      <alignment horizontal="left" vertical="center"/>
    </xf>
    <xf numFmtId="0" fontId="54" fillId="17" borderId="51" xfId="0" applyFont="1" applyFill="1" applyBorder="1" applyAlignment="1">
      <alignment horizontal="center" vertical="center" wrapText="1"/>
    </xf>
    <xf numFmtId="0" fontId="55" fillId="0" borderId="51" xfId="2" applyFont="1" applyFill="1" applyBorder="1" applyAlignment="1">
      <alignment horizontal="left" vertical="center"/>
    </xf>
    <xf numFmtId="0" fontId="55" fillId="0" borderId="51" xfId="2" applyFont="1" applyFill="1" applyBorder="1" applyAlignment="1">
      <alignment horizontal="center" vertical="center"/>
    </xf>
    <xf numFmtId="0" fontId="55" fillId="0" borderId="51" xfId="0" applyFont="1" applyFill="1" applyBorder="1" applyAlignment="1">
      <alignment horizontal="left" vertical="center"/>
    </xf>
    <xf numFmtId="1" fontId="55" fillId="0" borderId="51" xfId="0" applyNumberFormat="1" applyFont="1" applyFill="1" applyBorder="1" applyAlignment="1">
      <alignment horizontal="center" vertical="center"/>
    </xf>
    <xf numFmtId="1" fontId="59" fillId="0" borderId="51" xfId="0" applyNumberFormat="1" applyFont="1" applyFill="1" applyBorder="1" applyAlignment="1">
      <alignment horizontal="center" vertical="center"/>
    </xf>
    <xf numFmtId="164" fontId="55" fillId="0" borderId="51" xfId="0" applyNumberFormat="1" applyFont="1" applyFill="1" applyBorder="1" applyAlignment="1">
      <alignment horizontal="center" vertical="center"/>
    </xf>
    <xf numFmtId="0" fontId="55" fillId="3" borderId="51" xfId="2" applyFont="1" applyFill="1" applyBorder="1" applyAlignment="1">
      <alignment horizontal="center" vertical="center"/>
    </xf>
    <xf numFmtId="0" fontId="55" fillId="3" borderId="51" xfId="0" applyFont="1" applyFill="1" applyBorder="1" applyAlignment="1">
      <alignment horizontal="left" vertical="center"/>
    </xf>
    <xf numFmtId="164" fontId="55" fillId="3" borderId="51" xfId="0" applyNumberFormat="1" applyFont="1" applyFill="1" applyBorder="1" applyAlignment="1">
      <alignment horizontal="center" vertical="center"/>
    </xf>
    <xf numFmtId="1" fontId="55" fillId="3" borderId="51" xfId="0" applyNumberFormat="1" applyFont="1" applyFill="1" applyBorder="1" applyAlignment="1">
      <alignment horizontal="center" vertical="center"/>
    </xf>
    <xf numFmtId="0" fontId="55" fillId="8" borderId="51" xfId="2" applyFont="1" applyFill="1" applyBorder="1" applyAlignment="1">
      <alignment horizontal="center" vertical="center"/>
    </xf>
    <xf numFmtId="0" fontId="55" fillId="8" borderId="51" xfId="0" applyFont="1" applyFill="1" applyBorder="1" applyAlignment="1">
      <alignment horizontal="left" vertical="center"/>
    </xf>
    <xf numFmtId="164" fontId="55" fillId="8" borderId="51" xfId="0" applyNumberFormat="1" applyFont="1" applyFill="1" applyBorder="1" applyAlignment="1">
      <alignment horizontal="center" vertical="center"/>
    </xf>
    <xf numFmtId="1" fontId="55" fillId="8" borderId="51" xfId="0" applyNumberFormat="1" applyFont="1" applyFill="1" applyBorder="1" applyAlignment="1">
      <alignment horizontal="center" vertical="center"/>
    </xf>
    <xf numFmtId="0" fontId="55" fillId="0" borderId="51" xfId="2" applyFont="1" applyFill="1" applyBorder="1" applyAlignment="1">
      <alignment vertical="center" wrapText="1"/>
    </xf>
    <xf numFmtId="1" fontId="57" fillId="0" borderId="51" xfId="0" applyNumberFormat="1" applyFont="1" applyFill="1" applyBorder="1" applyAlignment="1">
      <alignment horizontal="center" vertical="center"/>
    </xf>
    <xf numFmtId="0" fontId="55" fillId="0" borderId="0" xfId="2" applyFont="1" applyBorder="1" applyAlignment="1">
      <alignment vertical="center"/>
    </xf>
    <xf numFmtId="0" fontId="22" fillId="18" borderId="1" xfId="0" applyFont="1" applyFill="1" applyBorder="1" applyAlignment="1">
      <alignment horizontal="center" vertical="center" wrapText="1"/>
    </xf>
    <xf numFmtId="1" fontId="21" fillId="16" borderId="1" xfId="0" applyNumberFormat="1" applyFont="1" applyFill="1" applyBorder="1" applyAlignment="1">
      <alignment horizontal="center" vertical="center"/>
    </xf>
    <xf numFmtId="164" fontId="11" fillId="0" borderId="1" xfId="2" applyNumberFormat="1" applyFont="1" applyBorder="1" applyAlignment="1">
      <alignment vertical="center"/>
    </xf>
    <xf numFmtId="1" fontId="55" fillId="0" borderId="0" xfId="2" applyNumberFormat="1" applyFont="1" applyBorder="1" applyAlignment="1">
      <alignment vertical="center"/>
    </xf>
    <xf numFmtId="2" fontId="0" fillId="15" borderId="0" xfId="0" applyNumberFormat="1" applyFont="1" applyFill="1" applyAlignment="1">
      <alignment vertical="center"/>
    </xf>
    <xf numFmtId="1" fontId="0" fillId="15" borderId="0" xfId="0" applyNumberFormat="1" applyFont="1" applyFill="1" applyAlignment="1">
      <alignment vertical="center"/>
    </xf>
    <xf numFmtId="0" fontId="2" fillId="15" borderId="0" xfId="0" applyFont="1" applyFill="1" applyBorder="1" applyAlignment="1">
      <alignment vertical="center"/>
    </xf>
    <xf numFmtId="0" fontId="0" fillId="3" borderId="0" xfId="0" applyFont="1" applyFill="1" applyAlignment="1">
      <alignment vertical="center"/>
    </xf>
    <xf numFmtId="0" fontId="0" fillId="26" borderId="0" xfId="0" applyFont="1" applyFill="1" applyAlignment="1">
      <alignment vertical="center"/>
    </xf>
    <xf numFmtId="16" fontId="18" fillId="27" borderId="48" xfId="2" applyNumberFormat="1" applyFont="1" applyFill="1" applyBorder="1" applyAlignment="1">
      <alignment horizontal="center" vertical="center"/>
    </xf>
    <xf numFmtId="0" fontId="18" fillId="0" borderId="48" xfId="1" applyNumberFormat="1" applyFont="1" applyFill="1" applyBorder="1" applyAlignment="1">
      <alignment horizontal="center" vertical="center"/>
    </xf>
    <xf numFmtId="0" fontId="18" fillId="0" borderId="0" xfId="1" applyNumberFormat="1" applyFont="1" applyFill="1" applyBorder="1" applyAlignment="1">
      <alignment horizontal="center" vertical="center"/>
    </xf>
    <xf numFmtId="0" fontId="0" fillId="0" borderId="0" xfId="0" applyFont="1" applyFill="1" applyAlignment="1">
      <alignment vertical="center"/>
    </xf>
    <xf numFmtId="0" fontId="18" fillId="0" borderId="0" xfId="2" applyFont="1" applyFill="1" applyBorder="1" applyAlignment="1">
      <alignment horizontal="center" vertical="center"/>
    </xf>
    <xf numFmtId="164" fontId="18" fillId="0" borderId="0" xfId="1" applyNumberFormat="1" applyFont="1" applyFill="1" applyBorder="1" applyAlignment="1">
      <alignment horizontal="center" vertical="center"/>
    </xf>
    <xf numFmtId="0" fontId="0" fillId="0" borderId="0" xfId="0" applyFont="1" applyFill="1" applyBorder="1" applyAlignment="1">
      <alignment horizontal="center" vertical="center"/>
    </xf>
    <xf numFmtId="1" fontId="61" fillId="0" borderId="51" xfId="0" applyNumberFormat="1" applyFont="1" applyFill="1" applyBorder="1" applyAlignment="1">
      <alignment horizontal="center" vertical="center"/>
    </xf>
    <xf numFmtId="1" fontId="61" fillId="3" borderId="51" xfId="0" applyNumberFormat="1" applyFont="1" applyFill="1" applyBorder="1" applyAlignment="1">
      <alignment horizontal="center" vertical="center"/>
    </xf>
    <xf numFmtId="1" fontId="61" fillId="0" borderId="0" xfId="0" applyNumberFormat="1" applyFont="1" applyFill="1" applyBorder="1" applyAlignment="1">
      <alignment horizontal="center" vertical="center"/>
    </xf>
    <xf numFmtId="0" fontId="55" fillId="25" borderId="51" xfId="0" applyFont="1" applyFill="1" applyBorder="1" applyAlignment="1">
      <alignment horizontal="left" vertical="center"/>
    </xf>
    <xf numFmtId="0" fontId="58" fillId="0" borderId="51" xfId="2" applyFont="1" applyFill="1" applyBorder="1" applyAlignment="1">
      <alignment horizontal="center" vertical="center"/>
    </xf>
    <xf numFmtId="0" fontId="58" fillId="0" borderId="51" xfId="0" applyFont="1" applyFill="1" applyBorder="1" applyAlignment="1">
      <alignment horizontal="left" vertical="center"/>
    </xf>
    <xf numFmtId="0" fontId="55" fillId="25" borderId="51" xfId="2" applyFont="1" applyFill="1" applyBorder="1" applyAlignment="1">
      <alignment horizontal="center" vertical="center"/>
    </xf>
    <xf numFmtId="164" fontId="55" fillId="25" borderId="51" xfId="0" applyNumberFormat="1" applyFont="1" applyFill="1" applyBorder="1" applyAlignment="1">
      <alignment horizontal="center" vertical="center"/>
    </xf>
    <xf numFmtId="1" fontId="55" fillId="25" borderId="51" xfId="0" applyNumberFormat="1" applyFont="1" applyFill="1" applyBorder="1" applyAlignment="1">
      <alignment horizontal="center" vertical="center"/>
    </xf>
    <xf numFmtId="0" fontId="55" fillId="28" borderId="1" xfId="2" applyFont="1" applyFill="1" applyBorder="1" applyAlignment="1">
      <alignment horizontal="center" vertical="center"/>
    </xf>
    <xf numFmtId="0" fontId="55" fillId="28" borderId="1" xfId="0" applyFont="1" applyFill="1" applyBorder="1" applyAlignment="1">
      <alignment horizontal="left" vertical="center"/>
    </xf>
    <xf numFmtId="164" fontId="55" fillId="28" borderId="1" xfId="0" applyNumberFormat="1" applyFont="1" applyFill="1" applyBorder="1" applyAlignment="1">
      <alignment horizontal="center" vertical="center"/>
    </xf>
    <xf numFmtId="1" fontId="55" fillId="28" borderId="1" xfId="0" applyNumberFormat="1" applyFont="1" applyFill="1" applyBorder="1" applyAlignment="1">
      <alignment horizontal="center" vertical="center"/>
    </xf>
    <xf numFmtId="0" fontId="56" fillId="28" borderId="1" xfId="0" applyFont="1" applyFill="1" applyBorder="1" applyAlignment="1">
      <alignment horizontal="left" vertical="center"/>
    </xf>
    <xf numFmtId="0" fontId="58" fillId="0" borderId="1" xfId="2" applyFont="1" applyBorder="1"/>
    <xf numFmtId="1" fontId="57" fillId="0" borderId="0" xfId="0" applyNumberFormat="1" applyFont="1" applyFill="1" applyBorder="1" applyAlignment="1">
      <alignment horizontal="center" vertical="center"/>
    </xf>
    <xf numFmtId="0" fontId="56" fillId="0" borderId="0" xfId="0" applyFont="1" applyFill="1" applyBorder="1" applyAlignment="1">
      <alignment horizontal="left" vertical="center"/>
    </xf>
    <xf numFmtId="0" fontId="60" fillId="27" borderId="54" xfId="0" applyFont="1" applyFill="1" applyBorder="1" applyAlignment="1">
      <alignment horizontal="center" vertical="center"/>
    </xf>
    <xf numFmtId="0" fontId="55" fillId="29" borderId="1" xfId="2" applyFont="1" applyFill="1" applyBorder="1" applyAlignment="1">
      <alignment horizontal="center" vertical="center"/>
    </xf>
    <xf numFmtId="0" fontId="55" fillId="29" borderId="1" xfId="0" applyFont="1" applyFill="1" applyBorder="1" applyAlignment="1">
      <alignment horizontal="left" vertical="center"/>
    </xf>
    <xf numFmtId="164" fontId="55" fillId="29" borderId="1" xfId="0" applyNumberFormat="1" applyFont="1" applyFill="1" applyBorder="1" applyAlignment="1">
      <alignment horizontal="center" vertical="center"/>
    </xf>
    <xf numFmtId="1" fontId="55" fillId="29" borderId="1" xfId="0" applyNumberFormat="1" applyFont="1" applyFill="1" applyBorder="1" applyAlignment="1">
      <alignment horizontal="center" vertical="center"/>
    </xf>
    <xf numFmtId="0" fontId="56" fillId="29" borderId="1" xfId="0" applyFont="1" applyFill="1" applyBorder="1" applyAlignment="1">
      <alignment horizontal="center" vertical="center"/>
    </xf>
    <xf numFmtId="0" fontId="56" fillId="29" borderId="1" xfId="0" applyFont="1" applyFill="1" applyBorder="1" applyAlignment="1">
      <alignment horizontal="left" vertical="center"/>
    </xf>
    <xf numFmtId="0" fontId="54" fillId="30" borderId="1" xfId="0" applyFont="1" applyFill="1" applyBorder="1" applyAlignment="1">
      <alignment horizontal="center" vertical="center" wrapText="1"/>
    </xf>
    <xf numFmtId="1" fontId="56" fillId="0" borderId="1" xfId="0" applyNumberFormat="1" applyFont="1" applyFill="1" applyBorder="1" applyAlignment="1">
      <alignment horizontal="center" vertical="center"/>
    </xf>
    <xf numFmtId="1" fontId="56" fillId="29" borderId="1" xfId="0" applyNumberFormat="1" applyFont="1" applyFill="1" applyBorder="1" applyAlignment="1">
      <alignment horizontal="center" vertical="center"/>
    </xf>
    <xf numFmtId="1" fontId="56" fillId="28" borderId="1" xfId="0" applyNumberFormat="1" applyFont="1" applyFill="1" applyBorder="1" applyAlignment="1">
      <alignment horizontal="center" vertical="center"/>
    </xf>
    <xf numFmtId="0" fontId="62" fillId="3" borderId="1" xfId="0" applyFont="1" applyFill="1" applyBorder="1" applyAlignment="1">
      <alignment horizontal="center" vertical="center" wrapText="1"/>
    </xf>
    <xf numFmtId="0" fontId="58" fillId="0" borderId="1" xfId="2" applyFont="1" applyFill="1" applyBorder="1" applyAlignment="1">
      <alignment horizontal="center" vertical="center"/>
    </xf>
    <xf numFmtId="0" fontId="0" fillId="4" borderId="0" xfId="0" applyFont="1" applyFill="1" applyAlignment="1">
      <alignment vertical="center"/>
    </xf>
    <xf numFmtId="16" fontId="18" fillId="11" borderId="48" xfId="2" applyNumberFormat="1" applyFont="1" applyFill="1" applyBorder="1" applyAlignment="1">
      <alignment horizontal="center" vertical="center"/>
    </xf>
    <xf numFmtId="0" fontId="18" fillId="11" borderId="48" xfId="2" applyFont="1" applyFill="1" applyBorder="1" applyAlignment="1">
      <alignment horizontal="center" vertical="center"/>
    </xf>
    <xf numFmtId="0" fontId="18" fillId="11" borderId="48" xfId="1" applyNumberFormat="1" applyFont="1" applyFill="1" applyBorder="1" applyAlignment="1">
      <alignment horizontal="center" vertical="center"/>
    </xf>
    <xf numFmtId="164" fontId="18" fillId="11" borderId="48" xfId="2" applyNumberFormat="1" applyFont="1" applyFill="1" applyBorder="1" applyAlignment="1">
      <alignment horizontal="center" vertical="center"/>
    </xf>
    <xf numFmtId="1" fontId="0" fillId="11" borderId="48" xfId="0" applyNumberFormat="1" applyFont="1" applyFill="1" applyBorder="1" applyAlignment="1">
      <alignment horizontal="center" vertical="center"/>
    </xf>
    <xf numFmtId="0" fontId="0" fillId="11" borderId="48" xfId="0" applyFont="1" applyFill="1" applyBorder="1" applyAlignment="1">
      <alignment horizontal="center" vertical="center"/>
    </xf>
    <xf numFmtId="0" fontId="0" fillId="11" borderId="0" xfId="0" applyFont="1" applyFill="1" applyAlignment="1">
      <alignment vertical="center"/>
    </xf>
    <xf numFmtId="0" fontId="3" fillId="0" borderId="1" xfId="2" applyBorder="1" applyAlignment="1">
      <alignment vertical="top" wrapText="1"/>
    </xf>
    <xf numFmtId="0" fontId="3" fillId="0" borderId="0" xfId="2" applyAlignment="1">
      <alignment vertical="top" wrapText="1"/>
    </xf>
    <xf numFmtId="0" fontId="0" fillId="0" borderId="1" xfId="0" applyBorder="1" applyAlignment="1">
      <alignment vertical="top"/>
    </xf>
    <xf numFmtId="0" fontId="3" fillId="0" borderId="0" xfId="2" applyAlignment="1">
      <alignment vertical="top"/>
    </xf>
    <xf numFmtId="0" fontId="3" fillId="0" borderId="45" xfId="2" applyBorder="1" applyAlignment="1">
      <alignment vertical="top" wrapText="1"/>
    </xf>
    <xf numFmtId="0" fontId="0" fillId="0" borderId="0" xfId="0" applyBorder="1" applyAlignment="1">
      <alignment vertical="top"/>
    </xf>
    <xf numFmtId="0" fontId="18" fillId="0" borderId="0" xfId="2" applyFont="1" applyAlignment="1">
      <alignment horizontal="center"/>
    </xf>
    <xf numFmtId="0" fontId="21" fillId="16" borderId="52" xfId="0" applyFont="1" applyFill="1" applyBorder="1" applyAlignment="1">
      <alignment horizontal="center" vertical="center"/>
    </xf>
    <xf numFmtId="0" fontId="21" fillId="16" borderId="43" xfId="0" applyFont="1" applyFill="1" applyBorder="1" applyAlignment="1">
      <alignment horizontal="center" vertical="center"/>
    </xf>
    <xf numFmtId="0" fontId="55" fillId="0" borderId="51" xfId="2" applyFont="1" applyFill="1" applyBorder="1" applyAlignment="1">
      <alignment horizontal="center" vertical="center"/>
    </xf>
    <xf numFmtId="0" fontId="57" fillId="0" borderId="51" xfId="0" applyFont="1" applyFill="1" applyBorder="1" applyAlignment="1">
      <alignment horizontal="center" vertical="center"/>
    </xf>
    <xf numFmtId="0" fontId="55" fillId="3" borderId="51" xfId="2" applyFont="1" applyFill="1" applyBorder="1" applyAlignment="1">
      <alignment horizontal="center" vertical="center" wrapText="1"/>
    </xf>
    <xf numFmtId="0" fontId="55" fillId="8" borderId="51" xfId="2" applyFont="1" applyFill="1" applyBorder="1" applyAlignment="1">
      <alignment horizontal="center" vertical="center" wrapText="1"/>
    </xf>
    <xf numFmtId="0" fontId="14" fillId="8" borderId="0" xfId="0" applyFont="1" applyFill="1" applyBorder="1" applyAlignment="1">
      <alignment horizontal="center" vertical="center"/>
    </xf>
    <xf numFmtId="0" fontId="14" fillId="8" borderId="1" xfId="0" applyFont="1" applyFill="1" applyBorder="1" applyAlignment="1">
      <alignment horizontal="center" vertical="center"/>
    </xf>
    <xf numFmtId="0" fontId="32" fillId="20" borderId="10" xfId="0" applyFont="1" applyFill="1" applyBorder="1" applyAlignment="1">
      <alignment horizontal="center" vertical="center"/>
    </xf>
    <xf numFmtId="0" fontId="32" fillId="20" borderId="11" xfId="0" applyFont="1" applyFill="1" applyBorder="1" applyAlignment="1">
      <alignment horizontal="center" vertical="center"/>
    </xf>
    <xf numFmtId="0" fontId="27" fillId="12" borderId="26" xfId="0" applyFont="1" applyFill="1" applyBorder="1" applyAlignment="1">
      <alignment horizontal="center" vertical="center"/>
    </xf>
    <xf numFmtId="0" fontId="27" fillId="12" borderId="27" xfId="0" applyFont="1" applyFill="1" applyBorder="1" applyAlignment="1">
      <alignment horizontal="center" vertical="center"/>
    </xf>
    <xf numFmtId="0" fontId="27" fillId="12" borderId="28" xfId="0" applyFont="1" applyFill="1" applyBorder="1" applyAlignment="1">
      <alignment horizontal="center" vertical="center"/>
    </xf>
    <xf numFmtId="0" fontId="27" fillId="20" borderId="26" xfId="0" applyFont="1" applyFill="1" applyBorder="1" applyAlignment="1">
      <alignment horizontal="center" vertical="center"/>
    </xf>
    <xf numFmtId="0" fontId="27" fillId="20" borderId="27" xfId="0" applyFont="1" applyFill="1" applyBorder="1" applyAlignment="1">
      <alignment horizontal="center" vertical="center"/>
    </xf>
    <xf numFmtId="0" fontId="0" fillId="0" borderId="0" xfId="0" applyAlignment="1">
      <alignment horizontal="left" vertical="center"/>
    </xf>
    <xf numFmtId="0" fontId="0" fillId="0" borderId="21" xfId="0" applyBorder="1" applyAlignment="1">
      <alignment horizontal="left" vertical="center"/>
    </xf>
    <xf numFmtId="0" fontId="27" fillId="12" borderId="32" xfId="0" applyFont="1" applyFill="1" applyBorder="1" applyAlignment="1">
      <alignment horizontal="center" vertical="center"/>
    </xf>
    <xf numFmtId="0" fontId="27" fillId="12" borderId="33" xfId="0" applyFont="1" applyFill="1" applyBorder="1" applyAlignment="1">
      <alignment horizontal="center" vertical="center"/>
    </xf>
    <xf numFmtId="0" fontId="27" fillId="12" borderId="34" xfId="0" applyFont="1" applyFill="1" applyBorder="1" applyAlignment="1">
      <alignment horizontal="center" vertical="center"/>
    </xf>
    <xf numFmtId="0" fontId="30" fillId="12" borderId="34" xfId="0" applyFont="1" applyFill="1" applyBorder="1" applyAlignment="1">
      <alignment horizontal="center" vertical="center"/>
    </xf>
    <xf numFmtId="0" fontId="30" fillId="12" borderId="35" xfId="0" applyFont="1" applyFill="1" applyBorder="1" applyAlignment="1">
      <alignment horizontal="center" vertical="center"/>
    </xf>
    <xf numFmtId="0" fontId="31" fillId="19" borderId="10" xfId="0" applyFont="1" applyFill="1" applyBorder="1" applyAlignment="1">
      <alignment horizontal="center" vertical="center"/>
    </xf>
    <xf numFmtId="0" fontId="31" fillId="19" borderId="11" xfId="0" applyFont="1" applyFill="1" applyBorder="1" applyAlignment="1">
      <alignment horizontal="center" vertical="center"/>
    </xf>
    <xf numFmtId="0" fontId="30" fillId="19" borderId="10" xfId="0" applyFont="1" applyFill="1" applyBorder="1" applyAlignment="1">
      <alignment horizontal="center" vertical="center"/>
    </xf>
    <xf numFmtId="0" fontId="30" fillId="19" borderId="11" xfId="0" applyFont="1" applyFill="1" applyBorder="1" applyAlignment="1">
      <alignment horizontal="center" vertical="center"/>
    </xf>
    <xf numFmtId="0" fontId="30" fillId="20" borderId="10" xfId="0" applyFont="1" applyFill="1" applyBorder="1" applyAlignment="1">
      <alignment horizontal="center" vertical="center"/>
    </xf>
    <xf numFmtId="0" fontId="30" fillId="20" borderId="11" xfId="0" applyFont="1" applyFill="1" applyBorder="1" applyAlignment="1">
      <alignment horizontal="center" vertical="center"/>
    </xf>
    <xf numFmtId="0" fontId="29" fillId="0" borderId="14" xfId="0" applyFont="1" applyBorder="1" applyAlignment="1">
      <alignment horizontal="center" vertical="center"/>
    </xf>
    <xf numFmtId="0" fontId="29" fillId="0" borderId="15" xfId="0" applyFont="1" applyBorder="1" applyAlignment="1">
      <alignment horizontal="center" vertical="center"/>
    </xf>
    <xf numFmtId="0" fontId="31" fillId="20" borderId="10" xfId="0" applyFont="1" applyFill="1" applyBorder="1" applyAlignment="1">
      <alignment horizontal="center" vertical="center"/>
    </xf>
    <xf numFmtId="0" fontId="31" fillId="20" borderId="11" xfId="0" applyFont="1" applyFill="1" applyBorder="1" applyAlignment="1">
      <alignment horizontal="center" vertical="center"/>
    </xf>
    <xf numFmtId="0" fontId="33" fillId="0" borderId="14" xfId="0" applyFont="1" applyBorder="1" applyAlignment="1">
      <alignment horizontal="center" vertical="center"/>
    </xf>
    <xf numFmtId="0" fontId="33" fillId="0" borderId="36" xfId="0" applyFont="1" applyBorder="1" applyAlignment="1">
      <alignment horizontal="center" vertical="center"/>
    </xf>
    <xf numFmtId="0" fontId="29" fillId="0" borderId="36" xfId="0" applyFont="1" applyBorder="1" applyAlignment="1">
      <alignment horizontal="center" vertical="center"/>
    </xf>
    <xf numFmtId="0" fontId="29" fillId="0" borderId="29" xfId="0" applyFont="1" applyBorder="1" applyAlignment="1">
      <alignment horizontal="center" vertical="center"/>
    </xf>
    <xf numFmtId="0" fontId="34" fillId="0" borderId="37" xfId="0" applyFont="1" applyBorder="1" applyAlignment="1">
      <alignment horizontal="center" vertical="center"/>
    </xf>
    <xf numFmtId="0" fontId="34" fillId="0" borderId="38" xfId="0" applyFont="1" applyBorder="1" applyAlignment="1">
      <alignment horizontal="center" vertical="center"/>
    </xf>
    <xf numFmtId="0" fontId="34" fillId="0" borderId="14" xfId="0" applyFont="1" applyBorder="1" applyAlignment="1">
      <alignment horizontal="center" vertical="center"/>
    </xf>
    <xf numFmtId="0" fontId="34" fillId="0" borderId="15" xfId="0" applyFont="1" applyBorder="1" applyAlignment="1">
      <alignment horizontal="center" vertical="center"/>
    </xf>
    <xf numFmtId="0" fontId="25" fillId="27" borderId="53" xfId="0" applyFont="1" applyFill="1" applyBorder="1" applyAlignment="1">
      <alignment horizontal="center" vertical="center"/>
    </xf>
    <xf numFmtId="0" fontId="25" fillId="27" borderId="54" xfId="0" applyFont="1" applyFill="1" applyBorder="1" applyAlignment="1">
      <alignment horizontal="center" vertical="center"/>
    </xf>
    <xf numFmtId="0" fontId="7" fillId="9" borderId="0" xfId="3" applyFont="1" applyFill="1" applyBorder="1" applyAlignment="1">
      <alignment horizontal="center" vertical="center" wrapText="1"/>
    </xf>
    <xf numFmtId="0" fontId="7" fillId="10" borderId="0" xfId="3" applyFont="1" applyFill="1" applyBorder="1" applyAlignment="1">
      <alignment horizontal="center" vertical="center" wrapText="1"/>
    </xf>
    <xf numFmtId="0" fontId="12" fillId="0" borderId="0" xfId="0" applyFont="1" applyBorder="1" applyAlignment="1">
      <alignment horizontal="left" vertical="top"/>
    </xf>
    <xf numFmtId="0" fontId="0" fillId="4" borderId="0" xfId="0" applyFont="1" applyFill="1" applyAlignment="1">
      <alignment vertical="center" wrapText="1"/>
    </xf>
  </cellXfs>
  <cellStyles count="4">
    <cellStyle name="Normal" xfId="0" builtinId="0"/>
    <cellStyle name="Normal 2" xfId="2"/>
    <cellStyle name="Normal 3" xfId="3"/>
    <cellStyle name="Percent" xfId="1" builtinId="5"/>
  </cellStyles>
  <dxfs count="141">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rgb="FF9C0006"/>
      </font>
      <fill>
        <patternFill>
          <bgColor rgb="FFFFC7CE"/>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156</xdr:row>
      <xdr:rowOff>142422</xdr:rowOff>
    </xdr:from>
    <xdr:to>
      <xdr:col>11</xdr:col>
      <xdr:colOff>0</xdr:colOff>
      <xdr:row>164</xdr:row>
      <xdr:rowOff>104322</xdr:rowOff>
    </xdr:to>
    <xdr:sp macro="" textlink="">
      <xdr:nvSpPr>
        <xdr:cNvPr id="2" name="Rectangle 1"/>
        <xdr:cNvSpPr/>
      </xdr:nvSpPr>
      <xdr:spPr>
        <a:xfrm>
          <a:off x="0" y="24615322"/>
          <a:ext cx="8489950" cy="1435100"/>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US" sz="1200" b="1" baseline="0">
              <a:solidFill>
                <a:srgbClr val="000000"/>
              </a:solidFill>
            </a:rPr>
            <a:t>The maximum story points per sprint should be entered manually in the Maximum Total Points Per Sprint row.  Also enter the points reserved for Production enhancements in the Points Reserved for Prod Enhancements row.   These two data points will generate the Maximum Points Per Sprint for WorkItems.  (These cell values  are picked up by MaxPtsPerSprint1, MaxPtsPerSprint2, and so forth.  It is important not to type over the formula!)  </a:t>
          </a:r>
        </a:p>
        <a:p>
          <a:pPr algn="l"/>
          <a:endParaRPr lang="en-US" sz="1200" b="1" baseline="0">
            <a:solidFill>
              <a:srgbClr val="000000"/>
            </a:solidFill>
          </a:endParaRPr>
        </a:p>
        <a:p>
          <a:pPr algn="l"/>
          <a:r>
            <a:rPr lang="en-US" sz="1200" b="1" baseline="0">
              <a:solidFill>
                <a:srgbClr val="000000"/>
              </a:solidFill>
            </a:rPr>
            <a:t>The Total Sprint Allocation formula is designed to add up the columns but ignore "#N/A".  The formula should be =SUMPRODUCT(IFERROR(SUBTOTAL(9,OFFSET(C$2,ROW(C$2:C$26)-ROW(C$2),0,1)),0)) Remember that this is a Formula Array, so it must be entered by Shift + Control + Enter.  The whole formula will then appear inside { }</a:t>
          </a: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p>
      </xdr:txBody>
    </xdr:sp>
    <xdr:clientData/>
  </xdr:twoCellAnchor>
  <xdr:twoCellAnchor>
    <xdr:from>
      <xdr:col>0</xdr:col>
      <xdr:colOff>0</xdr:colOff>
      <xdr:row>143</xdr:row>
      <xdr:rowOff>108856</xdr:rowOff>
    </xdr:from>
    <xdr:to>
      <xdr:col>11</xdr:col>
      <xdr:colOff>0</xdr:colOff>
      <xdr:row>155</xdr:row>
      <xdr:rowOff>86178</xdr:rowOff>
    </xdr:to>
    <xdr:sp macro="" textlink="">
      <xdr:nvSpPr>
        <xdr:cNvPr id="3" name="Rectangle 2"/>
        <xdr:cNvSpPr/>
      </xdr:nvSpPr>
      <xdr:spPr>
        <a:xfrm>
          <a:off x="0" y="22187806"/>
          <a:ext cx="8489950" cy="2187122"/>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US" sz="1200" b="1" baseline="0">
              <a:solidFill>
                <a:srgbClr val="000000"/>
              </a:solidFill>
            </a:rPr>
            <a:t>PLEASE DO NOT type over the formula.  This WorkItems &amp; Sprint chart is generated automatically.</a:t>
          </a:r>
        </a:p>
        <a:p>
          <a:pPr algn="l"/>
          <a:endParaRPr lang="en-US" sz="1200" b="1" baseline="0">
            <a:solidFill>
              <a:srgbClr val="000000"/>
            </a:solidFill>
          </a:endParaRPr>
        </a:p>
        <a:p>
          <a:pPr algn="l"/>
          <a:r>
            <a:rPr lang="en-US" sz="1200" b="1" baseline="0">
              <a:solidFill>
                <a:srgbClr val="000000"/>
              </a:solidFill>
            </a:rPr>
            <a:t>The formula in the cells under WorkItems should be =INDEX(SourceData!A:A,ROW())</a:t>
          </a:r>
        </a:p>
        <a:p>
          <a:pPr algn="l"/>
          <a:r>
            <a:rPr lang="en-US" sz="1200" b="1" baseline="0">
              <a:solidFill>
                <a:srgbClr val="000000"/>
              </a:solidFill>
            </a:rPr>
            <a:t>If the WorkList is reordered on the SourceData tab, the WorkItems list will adjust automatically</a:t>
          </a:r>
        </a:p>
        <a:p>
          <a:pPr algn="l"/>
          <a:endParaRPr lang="en-US" sz="1200" b="1" baseline="0">
            <a:solidFill>
              <a:srgbClr val="000000"/>
            </a:solidFill>
          </a:endParaRPr>
        </a:p>
        <a:p>
          <a:pPr algn="l"/>
          <a:r>
            <a:rPr lang="en-US" sz="1200" b="1" baseline="0">
              <a:solidFill>
                <a:srgbClr val="000000"/>
              </a:solidFill>
            </a:rPr>
            <a:t>The formula in the cells under the Sprint headers should be =MIN((INDEX(SourceData!$B:$B, MATCH($B2,SourceData!$A:$A, 0))-SUM($B2:B2)),  (MaxPtsPerSprint1-SUM(C$1:C1)))   Note that each column needs to refer to the correct Field Nam:  MaxPtsPerSprint1, MaxPtsPerSprint2, etc.</a:t>
          </a:r>
        </a:p>
        <a:p>
          <a:pPr algn="l"/>
          <a:endParaRPr lang="en-US" sz="1200" b="1" baseline="0">
            <a:solidFill>
              <a:srgbClr val="000000"/>
            </a:solidFill>
          </a:endParaRPr>
        </a:p>
        <a:p>
          <a:pPr algn="l"/>
          <a:r>
            <a:rPr lang="en-US" sz="1200" b="1" baseline="0">
              <a:solidFill>
                <a:srgbClr val="000000"/>
              </a:solidFill>
            </a:rPr>
            <a:t>Hide the rows not in use, as they will show N/A, which is not pleasing to the eye</a:t>
          </a:r>
        </a:p>
        <a:p>
          <a:pPr algn="l"/>
          <a:endParaRPr lang="en-US" sz="1200" b="1" baseline="0">
            <a:solidFill>
              <a:srgbClr val="000000"/>
            </a:solidFill>
          </a:endParaRPr>
        </a:p>
        <a:p>
          <a:pPr algn="l"/>
          <a:r>
            <a:rPr lang="en-US" sz="1200" b="1" baseline="0">
              <a:solidFill>
                <a:srgbClr val="000000"/>
              </a:solidFill>
            </a:rPr>
            <a:t>Remember that this is a Formula Array, so it must be entered by Shift + Control + Enter.  </a:t>
          </a: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p>
      </xdr:txBody>
    </xdr:sp>
    <xdr:clientData/>
  </xdr:twoCellAnchor>
  <xdr:twoCellAnchor>
    <xdr:from>
      <xdr:col>3</xdr:col>
      <xdr:colOff>2500313</xdr:colOff>
      <xdr:row>3</xdr:row>
      <xdr:rowOff>11906</xdr:rowOff>
    </xdr:from>
    <xdr:to>
      <xdr:col>3</xdr:col>
      <xdr:colOff>6298407</xdr:colOff>
      <xdr:row>6</xdr:row>
      <xdr:rowOff>178594</xdr:rowOff>
    </xdr:to>
    <xdr:sp macro="" textlink="">
      <xdr:nvSpPr>
        <xdr:cNvPr id="4" name="TextBox 3"/>
        <xdr:cNvSpPr txBox="1"/>
      </xdr:nvSpPr>
      <xdr:spPr>
        <a:xfrm>
          <a:off x="3205163" y="837406"/>
          <a:ext cx="3798094" cy="865188"/>
        </a:xfrm>
        <a:prstGeom prst="rect">
          <a:avLst/>
        </a:prstGeom>
        <a:solidFill>
          <a:srgbClr val="FFF1C5"/>
        </a:solidFill>
        <a:ln w="12700" cmpd="sng">
          <a:solidFill>
            <a:schemeClr val="tx1">
              <a:lumMod val="50000"/>
              <a:lumOff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LEGEND</a:t>
          </a:r>
        </a:p>
        <a:p>
          <a:endParaRPr lang="en-US" sz="600"/>
        </a:p>
        <a:p>
          <a:r>
            <a:rPr lang="en-US" sz="1200" i="0">
              <a:solidFill>
                <a:sysClr val="windowText" lastClr="000000"/>
              </a:solidFill>
            </a:rPr>
            <a:t>Black Font	Approved scope</a:t>
          </a:r>
        </a:p>
        <a:p>
          <a:r>
            <a:rPr lang="en-US" sz="1200" i="1">
              <a:solidFill>
                <a:schemeClr val="tx1">
                  <a:lumMod val="50000"/>
                  <a:lumOff val="50000"/>
                </a:schemeClr>
              </a:solidFill>
            </a:rPr>
            <a:t>Gray Font</a:t>
          </a:r>
          <a:r>
            <a:rPr lang="en-US" sz="1200" i="1"/>
            <a:t>	Pending </a:t>
          </a:r>
          <a:r>
            <a:rPr lang="en-US" sz="1200" i="1" baseline="0">
              <a:solidFill>
                <a:schemeClr val="dk1"/>
              </a:solidFill>
              <a:effectLst/>
              <a:latin typeface="+mn-lt"/>
              <a:ea typeface="+mn-ea"/>
              <a:cs typeface="+mn-cs"/>
            </a:rPr>
            <a:t>further discussion</a:t>
          </a:r>
          <a:r>
            <a:rPr lang="en-US" sz="1200" i="1" baseline="0"/>
            <a:t> or final decision </a:t>
          </a:r>
          <a:r>
            <a:rPr lang="en-US" sz="1100"/>
            <a:t>	</a:t>
          </a:r>
        </a:p>
      </xdr:txBody>
    </xdr:sp>
    <xdr:clientData/>
  </xdr:twoCellAnchor>
  <xdr:twoCellAnchor>
    <xdr:from>
      <xdr:col>1</xdr:col>
      <xdr:colOff>182563</xdr:colOff>
      <xdr:row>3</xdr:row>
      <xdr:rowOff>134938</xdr:rowOff>
    </xdr:from>
    <xdr:to>
      <xdr:col>3</xdr:col>
      <xdr:colOff>1801812</xdr:colOff>
      <xdr:row>5</xdr:row>
      <xdr:rowOff>170656</xdr:rowOff>
    </xdr:to>
    <xdr:sp macro="" textlink="">
      <xdr:nvSpPr>
        <xdr:cNvPr id="5" name="TextBox 4"/>
        <xdr:cNvSpPr txBox="1"/>
      </xdr:nvSpPr>
      <xdr:spPr>
        <a:xfrm>
          <a:off x="182563" y="960438"/>
          <a:ext cx="2324099" cy="499268"/>
        </a:xfrm>
        <a:prstGeom prst="rect">
          <a:avLst/>
        </a:prstGeom>
        <a:solidFill>
          <a:srgbClr val="FFF1C5"/>
        </a:solidFill>
        <a:ln w="12700" cmpd="sng">
          <a:solidFill>
            <a:schemeClr val="tx1">
              <a:lumMod val="50000"/>
              <a:lumOff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b="1"/>
            <a:t>Sprint</a:t>
          </a:r>
          <a:r>
            <a:rPr lang="en-US" sz="1200" b="1" baseline="0"/>
            <a:t> Planning Tool V4.7 Final</a:t>
          </a:r>
          <a:endParaRPr lang="en-US" sz="1200" b="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ajpai/AppData/Local/Microsoft/Windows/INetCache/Content.Outlook/K622C0TU/New%20PAS07%20Burndown%20v%200%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hkabra/AppData/Local/Microsoft/Windows/INetCache/Content.Outlook/ARKLB7PY/Sprint%20Planning%20Tool%20v4%207%20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Scenario Plan (ACs)"/>
      <sheetName val="Sheet1"/>
      <sheetName val="Sheet2"/>
    </sheetNames>
    <sheetDataSet>
      <sheetData sheetId="0">
        <row r="15">
          <cell r="D15">
            <v>0.33333333333333331</v>
          </cell>
        </row>
        <row r="18">
          <cell r="D18">
            <v>0.3</v>
          </cell>
        </row>
        <row r="19">
          <cell r="D19">
            <v>0.2</v>
          </cell>
        </row>
        <row r="20">
          <cell r="D20">
            <v>0.1</v>
          </cell>
        </row>
        <row r="21">
          <cell r="D21">
            <v>5</v>
          </cell>
        </row>
        <row r="22">
          <cell r="D22">
            <v>45</v>
          </cell>
        </row>
      </sheetData>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Data"/>
      <sheetName val="Sprint Allocation By Item"/>
      <sheetName val="Revision Notes"/>
      <sheetName val="Work Item Vlookup"/>
      <sheetName val="Timeline Data"/>
      <sheetName val="Unplanned Earmarks"/>
      <sheetName val="PAS4 Earmarks"/>
      <sheetName val="PAS5 Earmarks"/>
      <sheetName val="PAS6 Earmarks"/>
      <sheetName val="Sprint Plan"/>
      <sheetName val="CR Reserve"/>
      <sheetName val="PAS7 Earmarks"/>
      <sheetName val="PAS8 Earmarks "/>
      <sheetName val="PAS9 Earmarks "/>
      <sheetName val="PAS10 Earmarks "/>
      <sheetName val="PAS11 Earmarks"/>
      <sheetName val="PAS12 Earmarks"/>
      <sheetName val="Capping Scope Tracker"/>
      <sheetName val="CA Property"/>
      <sheetName val="Prioritization Model"/>
    </sheetNames>
    <sheetDataSet>
      <sheetData sheetId="0">
        <row r="1">
          <cell r="A1" t="str">
            <v>WorkList</v>
          </cell>
          <cell r="B1" t="str">
            <v>StoryPoints</v>
          </cell>
        </row>
        <row r="2">
          <cell r="A2" t="str">
            <v>NCNU Agent Hierarchy Phase 2 of 2</v>
          </cell>
          <cell r="B2">
            <v>28</v>
          </cell>
        </row>
        <row r="3">
          <cell r="A3" t="str">
            <v>Utah Property, Sprint 1</v>
          </cell>
          <cell r="B3">
            <v>586</v>
          </cell>
        </row>
        <row r="4">
          <cell r="A4" t="str">
            <v>NCNU Agent Hierarchy, CR01 for Subproducers</v>
          </cell>
          <cell r="B4">
            <v>1</v>
          </cell>
        </row>
        <row r="5">
          <cell r="A5" t="str">
            <v>BP Fixes and Enhancements</v>
          </cell>
          <cell r="B5">
            <v>12.5</v>
          </cell>
        </row>
        <row r="6">
          <cell r="A6" t="str">
            <v>New 6/12 Plan, incl. Renewal Notice CR. Phase 1</v>
          </cell>
          <cell r="B6">
            <v>151</v>
          </cell>
        </row>
        <row r="7">
          <cell r="A7" t="str">
            <v>Other Prioritized Prod Enhancements</v>
          </cell>
          <cell r="B7">
            <v>53.5</v>
          </cell>
        </row>
        <row r="8">
          <cell r="A8" t="str">
            <v>Doc System Upgrade</v>
          </cell>
          <cell r="B8">
            <v>18</v>
          </cell>
        </row>
        <row r="9">
          <cell r="A9" t="str">
            <v>Utah Property, Sprint 2</v>
          </cell>
          <cell r="B9">
            <v>417</v>
          </cell>
        </row>
        <row r="10">
          <cell r="A10" t="str">
            <v>SAM Integration</v>
          </cell>
          <cell r="B10">
            <v>9</v>
          </cell>
        </row>
        <row r="11">
          <cell r="A11" t="str">
            <v>AZ Property, Sprint 3</v>
          </cell>
          <cell r="B11">
            <v>119</v>
          </cell>
        </row>
        <row r="12">
          <cell r="A12" t="str">
            <v>Utah Property, Sprint 3</v>
          </cell>
          <cell r="B12">
            <v>685</v>
          </cell>
        </row>
        <row r="13">
          <cell r="A13" t="str">
            <v>AZ Property, Sprint 4</v>
          </cell>
          <cell r="B13">
            <v>344</v>
          </cell>
        </row>
        <row r="14">
          <cell r="A14" t="str">
            <v>SFDC Integration</v>
          </cell>
          <cell r="B14">
            <v>5</v>
          </cell>
        </row>
        <row r="15">
          <cell r="A15" t="str">
            <v>Utah Property, Complete</v>
          </cell>
          <cell r="B15">
            <v>988</v>
          </cell>
        </row>
        <row r="16">
          <cell r="A16" t="str">
            <v>Utah Property, Deferred Scope</v>
          </cell>
          <cell r="B16">
            <v>45</v>
          </cell>
        </row>
        <row r="17">
          <cell r="A17" t="str">
            <v>AZ Property, Deferred Scope</v>
          </cell>
          <cell r="B17">
            <v>10</v>
          </cell>
        </row>
        <row r="18">
          <cell r="A18" t="str">
            <v>Structural Services for CAS</v>
          </cell>
          <cell r="B18">
            <v>40</v>
          </cell>
        </row>
        <row r="19">
          <cell r="A19" t="str">
            <v>CreateHomeQuote Service</v>
          </cell>
          <cell r="B19">
            <v>44</v>
          </cell>
        </row>
        <row r="20">
          <cell r="A20" t="str">
            <v>PAS Upgrade 5.2</v>
          </cell>
          <cell r="B20">
            <v>100</v>
          </cell>
        </row>
        <row r="21">
          <cell r="A21" t="str">
            <v>PA Property</v>
          </cell>
          <cell r="B21">
            <v>289</v>
          </cell>
        </row>
        <row r="22">
          <cell r="A22" t="str">
            <v>VA Property</v>
          </cell>
          <cell r="B22">
            <v>396</v>
          </cell>
        </row>
        <row r="23">
          <cell r="A23" t="str">
            <v>NJ Property</v>
          </cell>
          <cell r="B23">
            <v>620</v>
          </cell>
        </row>
        <row r="24">
          <cell r="A24" t="str">
            <v>Comparative Rater AZ</v>
          </cell>
          <cell r="B24">
            <v>21</v>
          </cell>
        </row>
        <row r="25">
          <cell r="A25" t="str">
            <v>CO Property</v>
          </cell>
          <cell r="B25">
            <v>286</v>
          </cell>
        </row>
        <row r="26">
          <cell r="A26" t="str">
            <v>IN Property</v>
          </cell>
          <cell r="B26">
            <v>181.25</v>
          </cell>
        </row>
        <row r="27">
          <cell r="A27" t="str">
            <v>UBI - Phase 1</v>
          </cell>
          <cell r="B27">
            <v>99</v>
          </cell>
        </row>
        <row r="28">
          <cell r="A28" t="str">
            <v xml:space="preserve">AMEX/Discover </v>
          </cell>
          <cell r="B28">
            <v>70.5</v>
          </cell>
        </row>
        <row r="29">
          <cell r="A29" t="str">
            <v>CA Property</v>
          </cell>
          <cell r="B29">
            <v>2208.5500000000002</v>
          </cell>
        </row>
        <row r="30">
          <cell r="A30" t="str">
            <v>CAS Delta Work for CA Property</v>
          </cell>
          <cell r="B30">
            <v>15</v>
          </cell>
        </row>
        <row r="31">
          <cell r="A31" t="str">
            <v>CA Property CRs</v>
          </cell>
          <cell r="B31">
            <v>89</v>
          </cell>
        </row>
        <row r="32">
          <cell r="A32" t="str">
            <v>CA Property Deferred Scope</v>
          </cell>
          <cell r="B32">
            <v>22.5</v>
          </cell>
        </row>
        <row r="33">
          <cell r="A33" t="str">
            <v>HO4 Service Agent CR</v>
          </cell>
          <cell r="B33">
            <v>65</v>
          </cell>
        </row>
        <row r="34">
          <cell r="A34" t="str">
            <v>DE Property</v>
          </cell>
          <cell r="B34">
            <v>207.5</v>
          </cell>
        </row>
        <row r="35">
          <cell r="A35" t="str">
            <v>CA HDES Conversion, Phase 1</v>
          </cell>
          <cell r="B35">
            <v>202.5</v>
          </cell>
        </row>
        <row r="36">
          <cell r="A36" t="str">
            <v>CEA Q4 2015 Rate Change</v>
          </cell>
          <cell r="B36">
            <v>106</v>
          </cell>
        </row>
        <row r="37">
          <cell r="A37" t="str">
            <v>SS Automated Renewal Rules, Phase 1</v>
          </cell>
          <cell r="B37">
            <v>14</v>
          </cell>
        </row>
        <row r="38">
          <cell r="A38" t="str">
            <v>UBI - Phase 2</v>
          </cell>
          <cell r="B38">
            <v>105</v>
          </cell>
        </row>
        <row r="39">
          <cell r="A39" t="str">
            <v>6/12 Bill Plan Property</v>
          </cell>
          <cell r="B39">
            <v>106</v>
          </cell>
        </row>
        <row r="40">
          <cell r="A40" t="str">
            <v>OK Property</v>
          </cell>
          <cell r="B40">
            <v>105</v>
          </cell>
        </row>
        <row r="41">
          <cell r="A41" t="str">
            <v>UBI - Phase 3</v>
          </cell>
          <cell r="B41">
            <v>18</v>
          </cell>
        </row>
        <row r="42">
          <cell r="A42" t="str">
            <v>Misc Prod Enhancements PAS7</v>
          </cell>
          <cell r="B42">
            <v>28</v>
          </cell>
        </row>
        <row r="43">
          <cell r="A43" t="str">
            <v>MD Property</v>
          </cell>
          <cell r="B43">
            <v>388.5</v>
          </cell>
        </row>
        <row r="44">
          <cell r="A44" t="str">
            <v>CA Auto Choice</v>
          </cell>
          <cell r="B44">
            <v>645</v>
          </cell>
        </row>
        <row r="45">
          <cell r="A45" t="str">
            <v>MD Auto Tiering (with new U/W companies)</v>
          </cell>
          <cell r="B45">
            <v>29</v>
          </cell>
        </row>
        <row r="46">
          <cell r="A46" t="str">
            <v>Manual CNV + Auto Capping (NJ, PA)</v>
          </cell>
          <cell r="B46">
            <v>183.5</v>
          </cell>
        </row>
        <row r="47">
          <cell r="A47" t="str">
            <v>CA Select Changes (DOI)</v>
          </cell>
          <cell r="B47">
            <v>146</v>
          </cell>
        </row>
        <row r="48">
          <cell r="A48" t="str">
            <v>CT Property</v>
          </cell>
          <cell r="B48">
            <v>216.5</v>
          </cell>
        </row>
        <row r="49">
          <cell r="A49" t="str">
            <v>OH Property</v>
          </cell>
          <cell r="B49">
            <v>99.5</v>
          </cell>
        </row>
        <row r="50">
          <cell r="A50" t="str">
            <v>SS Automated Renewal Rules, Phase 2</v>
          </cell>
          <cell r="B50">
            <v>69</v>
          </cell>
        </row>
        <row r="51">
          <cell r="A51" t="str">
            <v>KS Property</v>
          </cell>
          <cell r="B51">
            <v>73</v>
          </cell>
        </row>
        <row r="52">
          <cell r="A52" t="str">
            <v>Manual CNV + Auto Capping (DE, VA, MD)</v>
          </cell>
          <cell r="B52">
            <v>158</v>
          </cell>
        </row>
        <row r="53">
          <cell r="A53" t="str">
            <v>Document Trigger Changes for Choice (ProdEnh)</v>
          </cell>
          <cell r="B53">
            <v>136</v>
          </cell>
        </row>
        <row r="54">
          <cell r="A54" t="str">
            <v>UBI - Phase 4 (Prod Enh)</v>
          </cell>
          <cell r="B54">
            <v>40</v>
          </cell>
        </row>
        <row r="55">
          <cell r="A55" t="str">
            <v>Usability Improvements - SS Bundle Simplifications (ProdEnh)</v>
          </cell>
          <cell r="B55">
            <v>18</v>
          </cell>
        </row>
        <row r="56">
          <cell r="A56" t="str">
            <v>Production Defects Fixed in PAS6.1</v>
          </cell>
          <cell r="B56">
            <v>314</v>
          </cell>
        </row>
        <row r="57">
          <cell r="A57" t="str">
            <v>Document Redesign</v>
          </cell>
          <cell r="B57">
            <v>396.5</v>
          </cell>
        </row>
        <row r="58">
          <cell r="A58" t="str">
            <v>KY Property Comp Rater (Orig Scope)</v>
          </cell>
          <cell r="B58">
            <v>79.75</v>
          </cell>
        </row>
        <row r="59">
          <cell r="A59" t="str">
            <v>Production Defects Fixed in PAS8</v>
          </cell>
          <cell r="B59">
            <v>46.5</v>
          </cell>
        </row>
        <row r="60">
          <cell r="A60" t="str">
            <v>KY Property (Orig Scope)</v>
          </cell>
          <cell r="B60">
            <v>129</v>
          </cell>
        </row>
        <row r="61">
          <cell r="A61" t="str">
            <v>WV Property (Orig Scope)</v>
          </cell>
          <cell r="B61">
            <v>147</v>
          </cell>
        </row>
        <row r="62">
          <cell r="A62" t="str">
            <v>SD Property (Orig Scope)</v>
          </cell>
          <cell r="B62">
            <v>75</v>
          </cell>
        </row>
        <row r="63">
          <cell r="A63" t="str">
            <v>NV Property (Orig Scope)</v>
          </cell>
          <cell r="B63">
            <v>102</v>
          </cell>
        </row>
        <row r="64">
          <cell r="A64" t="str">
            <v>Property PAS Simplification Phase 1 (formerly CA Simplification) (ProdEnh)</v>
          </cell>
          <cell r="B64">
            <v>163</v>
          </cell>
        </row>
        <row r="65">
          <cell r="A65" t="str">
            <v>Manual Changes to Renewal Image (Orig Scope)</v>
          </cell>
          <cell r="B65">
            <v>202</v>
          </cell>
        </row>
        <row r="66">
          <cell r="A66" t="str">
            <v>WY Property (Orig Scope)</v>
          </cell>
          <cell r="B66">
            <v>28</v>
          </cell>
        </row>
        <row r="67">
          <cell r="A67" t="str">
            <v>MT Property (Orig Scope)</v>
          </cell>
          <cell r="B67">
            <v>157</v>
          </cell>
        </row>
        <row r="68">
          <cell r="A68" t="str">
            <v>ID Property Comp Rater(Orig Scope)</v>
          </cell>
          <cell r="B68">
            <v>19.080000000000002</v>
          </cell>
        </row>
        <row r="69">
          <cell r="A69" t="str">
            <v>OR Property Comp Rater (Orig Scope)</v>
          </cell>
          <cell r="B69">
            <v>44.52</v>
          </cell>
        </row>
        <row r="70">
          <cell r="A70" t="str">
            <v>NY Property (Orig Scope)</v>
          </cell>
          <cell r="B70">
            <v>283.02000000000004</v>
          </cell>
        </row>
        <row r="71">
          <cell r="A71" t="str">
            <v>MT Property (Orig Scope)- Dependency PAS10</v>
          </cell>
          <cell r="B71">
            <v>20</v>
          </cell>
        </row>
        <row r="72">
          <cell r="A72" t="str">
            <v>WY Property (Orig Scope)- Dependency PAS10</v>
          </cell>
          <cell r="B72">
            <v>20</v>
          </cell>
        </row>
        <row r="73">
          <cell r="A73" t="str">
            <v>ID Property (Orig Scope)</v>
          </cell>
          <cell r="B73">
            <v>23.729999999999997</v>
          </cell>
        </row>
        <row r="74">
          <cell r="A74" t="str">
            <v>OR Property (Orig Scope)</v>
          </cell>
          <cell r="B74">
            <v>16.95</v>
          </cell>
        </row>
        <row r="75">
          <cell r="A75" t="str">
            <v>DC Property (Orig Scope)</v>
          </cell>
          <cell r="B75">
            <v>108.47999999999999</v>
          </cell>
        </row>
        <row r="76">
          <cell r="A76" t="str">
            <v>CA HDES Conversion, Phase 2 (Orig Scope)</v>
          </cell>
          <cell r="B76">
            <v>200</v>
          </cell>
        </row>
        <row r="77">
          <cell r="A77" t="str">
            <v>CA Property Rate Change (Prod Enh)</v>
          </cell>
          <cell r="B77">
            <v>130</v>
          </cell>
        </row>
        <row r="78">
          <cell r="A78" t="str">
            <v>Technical Design: Manual Change to Renewal Image (Orig Scope)</v>
          </cell>
          <cell r="B78">
            <v>84.749999999999986</v>
          </cell>
        </row>
        <row r="79">
          <cell r="A79" t="str">
            <v>Property PAS Simplification Phase 2 (Prod Enh)</v>
          </cell>
          <cell r="B79">
            <v>40</v>
          </cell>
        </row>
        <row r="80">
          <cell r="A80" t="str">
            <v>CA Prop Conversion SIS (DP3) &amp; Foxpro (PUP) (Orig Scope)</v>
          </cell>
          <cell r="B80">
            <v>59.889999999999993</v>
          </cell>
        </row>
        <row r="81">
          <cell r="A81" t="str">
            <v>PAS System Controls (ProdEnh)</v>
          </cell>
          <cell r="B81">
            <v>100</v>
          </cell>
        </row>
        <row r="82">
          <cell r="A82" t="str">
            <v>PAS Upgrade x.x (Orig Scope)</v>
          </cell>
          <cell r="B82">
            <v>300</v>
          </cell>
        </row>
        <row r="83">
          <cell r="A83" t="str">
            <v>MVR Refactoring Phase 1 of 4 (Prod Enh)</v>
          </cell>
          <cell r="B83">
            <v>50</v>
          </cell>
        </row>
        <row r="84">
          <cell r="A84" t="str">
            <v>MVR Refactoring, Phase 2 of 4 (Prod Enh)</v>
          </cell>
          <cell r="B84">
            <v>52</v>
          </cell>
        </row>
        <row r="85">
          <cell r="A85" t="str">
            <v>Manual CNV + Auto Capping (NY, OR, ID, AZ-ACIC) (Orig Scope)</v>
          </cell>
          <cell r="B85">
            <v>81.359999999999985</v>
          </cell>
        </row>
        <row r="86">
          <cell r="A86" t="str">
            <v>Manual CNV + Auto Capping (CT, KS, KY,MT, SD, UT, WV, WY, DC)  (Orig Scope)</v>
          </cell>
          <cell r="B86">
            <v>219.21999999999997</v>
          </cell>
        </row>
        <row r="87">
          <cell r="A87" t="str">
            <v>Manual CNV + Prop Capping (DE, MD, NJ, PA, VA) (Orig Scope)</v>
          </cell>
          <cell r="B87">
            <v>259.89999999999998</v>
          </cell>
        </row>
        <row r="88">
          <cell r="A88" t="str">
            <v>Manual CNV + Prop Capping (SD, NV, NY, WV) (Orig Scope)</v>
          </cell>
          <cell r="B88">
            <v>302.83999999999997</v>
          </cell>
        </row>
        <row r="89">
          <cell r="A89" t="str">
            <v>Manual CNV + Prop Capping (UT, AZ, CO, IN, OK, CT, OH, KS, KY) (Orig Scope)</v>
          </cell>
          <cell r="B89">
            <v>681.39</v>
          </cell>
        </row>
        <row r="90">
          <cell r="A90" t="str">
            <v>CA Choice Conversion (Orig Scope)</v>
          </cell>
          <cell r="B90">
            <v>112.99999999999999</v>
          </cell>
        </row>
        <row r="91">
          <cell r="A91" t="str">
            <v>Manual CNV + Prop Capping (MT, ID, OR, WY, DC) (Orig Scope)</v>
          </cell>
          <cell r="B91">
            <v>378.54999999999995</v>
          </cell>
        </row>
        <row r="92">
          <cell r="B92">
            <v>0</v>
          </cell>
        </row>
        <row r="93">
          <cell r="B93">
            <v>0</v>
          </cell>
        </row>
        <row r="94">
          <cell r="B94">
            <v>0</v>
          </cell>
        </row>
        <row r="95">
          <cell r="B95">
            <v>0</v>
          </cell>
        </row>
        <row r="96">
          <cell r="B96">
            <v>0</v>
          </cell>
        </row>
        <row r="97">
          <cell r="B97">
            <v>0</v>
          </cell>
        </row>
      </sheetData>
      <sheetData sheetId="1"/>
      <sheetData sheetId="2"/>
      <sheetData sheetId="3">
        <row r="2">
          <cell r="A2" t="str">
            <v>NCNU Agent Hierarchy Phase 2 of 2</v>
          </cell>
          <cell r="B2" t="str">
            <v>WI0001</v>
          </cell>
        </row>
        <row r="3">
          <cell r="A3" t="str">
            <v>NCNU Agent Hierarchy, CR01 for Subproducers</v>
          </cell>
          <cell r="B3" t="str">
            <v>WI0001</v>
          </cell>
        </row>
        <row r="4">
          <cell r="A4" t="str">
            <v>Utah Property, Sprint 1</v>
          </cell>
          <cell r="B4" t="str">
            <v>WI0002</v>
          </cell>
        </row>
        <row r="5">
          <cell r="A5" t="str">
            <v>Utah Property, Sprint 2</v>
          </cell>
          <cell r="B5" t="str">
            <v>WI0002</v>
          </cell>
        </row>
        <row r="6">
          <cell r="A6" t="str">
            <v>Utah Property, Sprint 3</v>
          </cell>
          <cell r="B6" t="str">
            <v>WI0002</v>
          </cell>
        </row>
        <row r="7">
          <cell r="A7" t="str">
            <v>Utah Property, Complete</v>
          </cell>
          <cell r="B7" t="str">
            <v>WI0002</v>
          </cell>
        </row>
        <row r="8">
          <cell r="A8" t="str">
            <v>Utah Property, Deferred Scope</v>
          </cell>
          <cell r="B8" t="str">
            <v>WI0002</v>
          </cell>
        </row>
        <row r="9">
          <cell r="A9" t="str">
            <v>BP Fixes and Enhancements</v>
          </cell>
          <cell r="B9" t="str">
            <v>WI0003</v>
          </cell>
        </row>
        <row r="10">
          <cell r="A10" t="str">
            <v>New 6/12 Plan, incl. Renewal Notice CR. Phase 1</v>
          </cell>
          <cell r="B10" t="str">
            <v>WI0004</v>
          </cell>
        </row>
        <row r="11">
          <cell r="A11" t="str">
            <v>Other Prioritized Prod Enhancements</v>
          </cell>
          <cell r="B11" t="str">
            <v>WI0006</v>
          </cell>
        </row>
        <row r="12">
          <cell r="A12" t="str">
            <v>Doc System Upgrade</v>
          </cell>
          <cell r="B12" t="str">
            <v>WI0007</v>
          </cell>
        </row>
        <row r="13">
          <cell r="A13" t="str">
            <v>AZ Property, Sprint 3</v>
          </cell>
          <cell r="B13" t="str">
            <v>WI0011</v>
          </cell>
        </row>
        <row r="14">
          <cell r="A14" t="str">
            <v>AZ Property, Sprint 4</v>
          </cell>
          <cell r="B14" t="str">
            <v>WI0011</v>
          </cell>
        </row>
        <row r="15">
          <cell r="A15" t="str">
            <v>AZ Property, Deferred Scope</v>
          </cell>
          <cell r="B15" t="str">
            <v>WI0011</v>
          </cell>
        </row>
        <row r="16">
          <cell r="A16" t="str">
            <v>Structural Services for CAS</v>
          </cell>
          <cell r="B16" t="str">
            <v>WI0012</v>
          </cell>
        </row>
        <row r="17">
          <cell r="A17" t="str">
            <v>CreateHomeQuote Service</v>
          </cell>
          <cell r="B17" t="str">
            <v>WI0013</v>
          </cell>
        </row>
        <row r="18">
          <cell r="A18" t="str">
            <v>Comparative Rater AZ</v>
          </cell>
          <cell r="B18" t="str">
            <v>WI0014</v>
          </cell>
        </row>
        <row r="19">
          <cell r="A19" t="str">
            <v>PAS Upgrade 5.2</v>
          </cell>
          <cell r="B19" t="str">
            <v>WI0016</v>
          </cell>
        </row>
        <row r="20">
          <cell r="A20" t="str">
            <v>PA Property</v>
          </cell>
          <cell r="B20" t="str">
            <v>WI0017</v>
          </cell>
        </row>
        <row r="21">
          <cell r="A21" t="str">
            <v>VA Property</v>
          </cell>
          <cell r="B21" t="str">
            <v>WI0018</v>
          </cell>
        </row>
        <row r="22">
          <cell r="A22" t="str">
            <v>NJ Property</v>
          </cell>
          <cell r="B22" t="str">
            <v>WI0019</v>
          </cell>
        </row>
        <row r="23">
          <cell r="A23" t="str">
            <v>CA Property</v>
          </cell>
          <cell r="B23" t="str">
            <v>WI0021</v>
          </cell>
        </row>
        <row r="24">
          <cell r="A24" t="str">
            <v>CA Auto Choice</v>
          </cell>
          <cell r="B24" t="str">
            <v>WI0022</v>
          </cell>
        </row>
        <row r="25">
          <cell r="A25" t="str">
            <v>Auto Property Alignment &amp; Branding Standards Phase 1</v>
          </cell>
          <cell r="B25" t="str">
            <v>WI0023</v>
          </cell>
        </row>
        <row r="26">
          <cell r="A26" t="str">
            <v>Auto Property Alignment &amp; Branding Standards Phase 2</v>
          </cell>
          <cell r="B26" t="str">
            <v>WI0024</v>
          </cell>
        </row>
        <row r="27">
          <cell r="A27" t="str">
            <v>New 6/12 Plan, incl. Renewal Notice CR. Phase 2</v>
          </cell>
          <cell r="B27" t="str">
            <v>WI0026</v>
          </cell>
        </row>
        <row r="28">
          <cell r="A28" t="str">
            <v>Billing &amp; Payment Prod Defect Fixes Phase 2</v>
          </cell>
          <cell r="B28" t="str">
            <v>WI0027</v>
          </cell>
        </row>
        <row r="29">
          <cell r="A29" t="str">
            <v>Other Key BP Enhancements Phase 2</v>
          </cell>
          <cell r="B29" t="str">
            <v>WI0028</v>
          </cell>
        </row>
        <row r="30">
          <cell r="A30" t="str">
            <v>IN Property</v>
          </cell>
          <cell r="B30" t="str">
            <v>WI0029</v>
          </cell>
        </row>
        <row r="31">
          <cell r="A31" t="str">
            <v>Manual CNV + Prop Capping (DE, MD, NJ, PA, VA) (Orig Scope)</v>
          </cell>
          <cell r="B31" t="str">
            <v>WI0030</v>
          </cell>
        </row>
        <row r="32">
          <cell r="A32" t="str">
            <v>Implement Party Model</v>
          </cell>
          <cell r="B32" t="str">
            <v>WI0031</v>
          </cell>
        </row>
        <row r="33">
          <cell r="A33" t="str">
            <v>OK Property</v>
          </cell>
          <cell r="B33" t="str">
            <v>WI0032</v>
          </cell>
        </row>
        <row r="34">
          <cell r="A34" t="str">
            <v>OH Property</v>
          </cell>
          <cell r="B34" t="str">
            <v>WI0033</v>
          </cell>
        </row>
        <row r="35">
          <cell r="A35" t="str">
            <v>CO Property</v>
          </cell>
          <cell r="B35" t="str">
            <v>WI0034</v>
          </cell>
        </row>
        <row r="36">
          <cell r="A36" t="str">
            <v>KS Property</v>
          </cell>
          <cell r="B36" t="str">
            <v>WI0035</v>
          </cell>
        </row>
        <row r="37">
          <cell r="A37" t="str">
            <v>KY Property (Orig Scope)</v>
          </cell>
          <cell r="B37" t="str">
            <v>WI0036</v>
          </cell>
        </row>
        <row r="38">
          <cell r="A38" t="str">
            <v>PAS Upgrade x.x (Orig Scope)</v>
          </cell>
          <cell r="B38" t="str">
            <v>WI0037</v>
          </cell>
        </row>
        <row r="39">
          <cell r="A39" t="str">
            <v>SD Property (Orig Scope)</v>
          </cell>
          <cell r="B39" t="str">
            <v>WI0038</v>
          </cell>
        </row>
        <row r="40">
          <cell r="A40" t="str">
            <v>WV Property (Orig Scope)</v>
          </cell>
          <cell r="B40" t="str">
            <v>WI0039</v>
          </cell>
        </row>
        <row r="41">
          <cell r="A41" t="str">
            <v>NV Property (Orig Scope)</v>
          </cell>
          <cell r="B41" t="str">
            <v>WI0040</v>
          </cell>
        </row>
        <row r="42">
          <cell r="A42" t="str">
            <v>MT Property (Orig Scope)</v>
          </cell>
          <cell r="B42" t="str">
            <v>WI0041</v>
          </cell>
        </row>
        <row r="43">
          <cell r="A43" t="str">
            <v>ID Property (Orig Scope)</v>
          </cell>
          <cell r="B43" t="str">
            <v>WI0042</v>
          </cell>
        </row>
        <row r="44">
          <cell r="A44" t="str">
            <v>OR Property (Orig Scope)</v>
          </cell>
          <cell r="B44" t="str">
            <v>WI0043</v>
          </cell>
        </row>
        <row r="45">
          <cell r="A45" t="str">
            <v>WY Property (Orig Scope)</v>
          </cell>
          <cell r="B45" t="str">
            <v>WI0044</v>
          </cell>
        </row>
        <row r="46">
          <cell r="A46" t="str">
            <v>DE Property</v>
          </cell>
          <cell r="B46" t="str">
            <v>WI0045</v>
          </cell>
        </row>
        <row r="47">
          <cell r="A47" t="str">
            <v>NY Property (Orig Scope)</v>
          </cell>
          <cell r="B47" t="str">
            <v>WI0046</v>
          </cell>
        </row>
        <row r="48">
          <cell r="A48" t="str">
            <v>CT Property</v>
          </cell>
          <cell r="B48" t="str">
            <v>WI0047</v>
          </cell>
        </row>
        <row r="49">
          <cell r="A49" t="str">
            <v>MD Property</v>
          </cell>
          <cell r="B49" t="str">
            <v>WI0048</v>
          </cell>
        </row>
        <row r="50">
          <cell r="A50" t="str">
            <v>DC Property (Orig Scope)</v>
          </cell>
          <cell r="B50" t="str">
            <v>WI0049</v>
          </cell>
        </row>
        <row r="51">
          <cell r="A51" t="str">
            <v>Final item in scope:  PAS Upgrade x.x (Orig Scope)</v>
          </cell>
          <cell r="B51" t="str">
            <v>WI0051</v>
          </cell>
        </row>
        <row r="52">
          <cell r="A52" t="str">
            <v>SFDC Integration</v>
          </cell>
          <cell r="B52" t="str">
            <v>WI0079</v>
          </cell>
        </row>
        <row r="53">
          <cell r="A53" t="str">
            <v>SAM Integration</v>
          </cell>
          <cell r="B53" t="str">
            <v>WI0080</v>
          </cell>
        </row>
        <row r="54">
          <cell r="A54" t="str">
            <v>UBI - Phase 1</v>
          </cell>
          <cell r="B54" t="str">
            <v>WI0133</v>
          </cell>
        </row>
        <row r="55">
          <cell r="A55" t="str">
            <v xml:space="preserve">AMEX/Discover </v>
          </cell>
          <cell r="B55" t="str">
            <v>WI0134</v>
          </cell>
        </row>
        <row r="56">
          <cell r="A56" t="str">
            <v>HO4 Service Agent CR</v>
          </cell>
          <cell r="B56" t="str">
            <v>WI0138</v>
          </cell>
        </row>
        <row r="57">
          <cell r="A57" t="str">
            <v>Online Quote (CA)</v>
          </cell>
          <cell r="B57" t="str">
            <v>WI0141</v>
          </cell>
        </row>
        <row r="58">
          <cell r="A58" t="str">
            <v>Online Quote (MD, DE)</v>
          </cell>
          <cell r="B58" t="str">
            <v>WI0142</v>
          </cell>
        </row>
        <row r="59">
          <cell r="A59" t="str">
            <v>Online Quote (NV)</v>
          </cell>
          <cell r="B59" t="str">
            <v>WI0143</v>
          </cell>
        </row>
        <row r="60">
          <cell r="A60" t="str">
            <v>Online Quote (DC)</v>
          </cell>
          <cell r="B60" t="str">
            <v>WI0144</v>
          </cell>
        </row>
        <row r="61">
          <cell r="A61" t="str">
            <v>UBI - Phase 2</v>
          </cell>
          <cell r="B61" t="str">
            <v>WI0160</v>
          </cell>
        </row>
        <row r="62">
          <cell r="A62" t="str">
            <v>CA HDES Conversion, Phase 1</v>
          </cell>
          <cell r="B62" t="str">
            <v>WI0162</v>
          </cell>
        </row>
        <row r="63">
          <cell r="A63" t="str">
            <v>CA HDES Conversion, Phase 2 (Orig Scope)</v>
          </cell>
          <cell r="B63" t="str">
            <v>WI0162</v>
          </cell>
        </row>
        <row r="64">
          <cell r="A64" t="str">
            <v>Manual CNV + Auto Capping (NJ, PA)</v>
          </cell>
          <cell r="B64" t="str">
            <v>WI0196</v>
          </cell>
        </row>
        <row r="65">
          <cell r="A65" t="str">
            <v>MD Deviations and CL Story Updates</v>
          </cell>
          <cell r="B65" t="str">
            <v>WI0199</v>
          </cell>
        </row>
        <row r="66">
          <cell r="A66" t="str">
            <v>CAS Delta Work for CA Property</v>
          </cell>
          <cell r="B66" t="str">
            <v>WI0202</v>
          </cell>
        </row>
        <row r="67">
          <cell r="A67" t="str">
            <v>Manual CNV + Auto Capping (CT, KS, KY,MT, SD, UT, WV, WY, DC)  (Orig Scope)</v>
          </cell>
          <cell r="B67" t="str">
            <v>WI0203</v>
          </cell>
        </row>
        <row r="68">
          <cell r="A68" t="str">
            <v>MD Auto Tiering (with new U/W companies)</v>
          </cell>
          <cell r="B68" t="str">
            <v>WI0204</v>
          </cell>
        </row>
        <row r="69">
          <cell r="A69" t="str">
            <v>Document Redesign</v>
          </cell>
          <cell r="B69" t="str">
            <v>WI0205</v>
          </cell>
        </row>
        <row r="70">
          <cell r="A70" t="str">
            <v>6/12 Bill Plan Property</v>
          </cell>
          <cell r="B70" t="str">
            <v>WI0206</v>
          </cell>
        </row>
        <row r="71">
          <cell r="A71" t="str">
            <v>CA Prop Conversion SIS (DP3) &amp; Foxpro (PUP) (Orig Scope)</v>
          </cell>
          <cell r="B71" t="str">
            <v>WI0208</v>
          </cell>
        </row>
        <row r="72">
          <cell r="A72" t="str">
            <v>CA HDES Conversion Import Tool</v>
          </cell>
          <cell r="B72" t="str">
            <v>WI0257</v>
          </cell>
        </row>
        <row r="73">
          <cell r="A73" t="str">
            <v>UBI - Phase 3</v>
          </cell>
          <cell r="B73" t="str">
            <v>WI0269</v>
          </cell>
        </row>
        <row r="74">
          <cell r="A74" t="str">
            <v>CA Property CRs</v>
          </cell>
          <cell r="B74" t="str">
            <v>WI0270</v>
          </cell>
        </row>
        <row r="75">
          <cell r="A75" t="str">
            <v>CA Property Deferred Scope</v>
          </cell>
          <cell r="B75" t="str">
            <v>WI0272</v>
          </cell>
        </row>
        <row r="76">
          <cell r="A76" t="str">
            <v>6/12 Bill Plan Test Only (QA)</v>
          </cell>
          <cell r="B76" t="str">
            <v>WI0273</v>
          </cell>
        </row>
        <row r="77">
          <cell r="A77" t="str">
            <v>Manual CNV + Auto Capping (DE, VA, MD)</v>
          </cell>
          <cell r="B77" t="str">
            <v>WI0275</v>
          </cell>
        </row>
        <row r="78">
          <cell r="A78" t="str">
            <v>Manual CNV + Prop Capping (UT, AZ, CO, IN, OK, CT, OH, KS, KY) (Orig Scope)</v>
          </cell>
          <cell r="B78" t="str">
            <v>WI0276</v>
          </cell>
        </row>
        <row r="79">
          <cell r="A79" t="str">
            <v>CEA Q4 2015 Rate Change</v>
          </cell>
          <cell r="B79" t="str">
            <v>WI0281</v>
          </cell>
        </row>
        <row r="80">
          <cell r="A80" t="str">
            <v>SS Automated Renewal Rules, Phase 1</v>
          </cell>
          <cell r="B80" t="str">
            <v>WI0283</v>
          </cell>
        </row>
        <row r="81">
          <cell r="A81" t="str">
            <v>SS Automated Renewal Rules, Phase 2</v>
          </cell>
          <cell r="B81" t="str">
            <v>WI0283</v>
          </cell>
        </row>
        <row r="82">
          <cell r="A82" t="str">
            <v xml:space="preserve">DP3 Conversion Factory Tool Impacts </v>
          </cell>
          <cell r="B82" t="str">
            <v>WI0285</v>
          </cell>
        </row>
        <row r="83">
          <cell r="A83" t="str">
            <v>CA Select Changes (DOI)</v>
          </cell>
          <cell r="B83" t="str">
            <v>WI0291</v>
          </cell>
        </row>
        <row r="84">
          <cell r="A84" t="str">
            <v>CA Choice Conversion (Orig Scope)</v>
          </cell>
          <cell r="B84" t="str">
            <v>WI0299</v>
          </cell>
        </row>
        <row r="85">
          <cell r="A85" t="str">
            <v>Usability Improvements - SS Bundle Simplifications (ProdEnh)</v>
          </cell>
          <cell r="B85" t="str">
            <v>WI0300</v>
          </cell>
        </row>
        <row r="86">
          <cell r="A86" t="str">
            <v>PAS System Controls (ProdEnh)</v>
          </cell>
          <cell r="B86" t="str">
            <v>WI0301</v>
          </cell>
        </row>
        <row r="87">
          <cell r="A87" t="str">
            <v>Manual CNV + Prop Capping (SD, NV, NY, WV) (Orig Scope)</v>
          </cell>
          <cell r="B87" t="str">
            <v>WI0302</v>
          </cell>
        </row>
        <row r="88">
          <cell r="A88" t="str">
            <v>Manual CNV + Prop Capping (MT, ID, OR, WY, DC) (Orig Scope)</v>
          </cell>
          <cell r="B88" t="str">
            <v>WI0303</v>
          </cell>
        </row>
        <row r="89">
          <cell r="A89" t="str">
            <v>MVR Refactoring Phase 1 of 4 (Prod Enh)</v>
          </cell>
          <cell r="B89" t="str">
            <v>WI0304</v>
          </cell>
        </row>
        <row r="90">
          <cell r="A90" t="str">
            <v>MVR Refactoring, Phase 2 of 4 (Prod Enh)</v>
          </cell>
          <cell r="B90" t="str">
            <v>WI0305</v>
          </cell>
        </row>
        <row r="91">
          <cell r="A91" t="str">
            <v>MVR Refactoring (Prod Enh), Phase 3 of 4</v>
          </cell>
          <cell r="B91" t="str">
            <v>WI0306</v>
          </cell>
        </row>
        <row r="92">
          <cell r="A92" t="str">
            <v>MVR Refactoring (Prod Enh), Phase 4 of 4</v>
          </cell>
          <cell r="B92" t="str">
            <v>WI0307</v>
          </cell>
        </row>
        <row r="93">
          <cell r="A93" t="str">
            <v>Document Trigger Changes for Choice (ProdEnh)</v>
          </cell>
          <cell r="B93" t="str">
            <v>WI0308</v>
          </cell>
        </row>
        <row r="94">
          <cell r="A94" t="str">
            <v>Manual Changes to Renewal Image (Orig Scope)</v>
          </cell>
          <cell r="B94" t="str">
            <v>WI0309</v>
          </cell>
        </row>
        <row r="95">
          <cell r="A95" t="str">
            <v>CL Stories Clean-up, Phase 1</v>
          </cell>
          <cell r="B95" t="str">
            <v>WI0310</v>
          </cell>
        </row>
        <row r="96">
          <cell r="A96" t="str">
            <v>PAS 6.1 Defect Candidate list</v>
          </cell>
          <cell r="B96" t="str">
            <v>WI0311</v>
          </cell>
        </row>
        <row r="97">
          <cell r="A97" t="str">
            <v>Manual CNV + Auto Capping (NY, OR, ID, AZ-ACIC) (Orig Scope)</v>
          </cell>
          <cell r="B97" t="str">
            <v>WI0312</v>
          </cell>
        </row>
        <row r="98">
          <cell r="A98" t="str">
            <v>Property PAS Simplification Phase 1 (formerly CA Simplification) (ProdEnh)</v>
          </cell>
          <cell r="B98" t="str">
            <v>WI0315</v>
          </cell>
        </row>
        <row r="99">
          <cell r="A99" t="str">
            <v>SS Simplification (Field Removal)</v>
          </cell>
          <cell r="B99" t="str">
            <v>WI0316</v>
          </cell>
        </row>
        <row r="100">
          <cell r="A100" t="str">
            <v>PAS9 Vital Late-Breaking Production Enhancements (Prod Enh)</v>
          </cell>
          <cell r="B100" t="str">
            <v>WI0235</v>
          </cell>
        </row>
        <row r="101">
          <cell r="A101" t="str">
            <v>PAS10 Vital Late-Breaking Production Enhancements (Prod Enh)</v>
          </cell>
          <cell r="B101" t="str">
            <v>WI0235</v>
          </cell>
        </row>
        <row r="102">
          <cell r="A102" t="str">
            <v>PAS11 Vital Late-Breaking Production Enhancements (Prod Enh)</v>
          </cell>
          <cell r="B102" t="str">
            <v>WI0235</v>
          </cell>
        </row>
        <row r="103">
          <cell r="A103" t="str">
            <v>PAS12 Vital Late-Breaking Production Enhancements (Prod Enh)</v>
          </cell>
          <cell r="B103" t="str">
            <v>WI0235</v>
          </cell>
        </row>
        <row r="104">
          <cell r="A104" t="str">
            <v>PAS10 Minor Production Enhancements (ProdEnh)</v>
          </cell>
          <cell r="B104" t="str">
            <v>WI0235</v>
          </cell>
        </row>
        <row r="105">
          <cell r="A105" t="str">
            <v>PAS11 Minor Production Enhancements (Prod Enh)</v>
          </cell>
          <cell r="B105" t="str">
            <v>WI0235</v>
          </cell>
        </row>
        <row r="106">
          <cell r="A106" t="str">
            <v>PAS12 Minor Production Enhancements (Prod Enh)</v>
          </cell>
          <cell r="B106" t="str">
            <v>WI0235</v>
          </cell>
        </row>
        <row r="107">
          <cell r="A107" t="str">
            <v>Technical Design: Manual Change to Renewal Image (Orig Scope)</v>
          </cell>
          <cell r="B107" t="str">
            <v>WI0318</v>
          </cell>
        </row>
        <row r="108">
          <cell r="A108" t="str">
            <v>CA Property Rate Change (Prod Enh)</v>
          </cell>
          <cell r="B108" t="str">
            <v>WI0320</v>
          </cell>
        </row>
        <row r="109">
          <cell r="A109" t="str">
            <v>CA Automated Renewals (Prod Enh)</v>
          </cell>
          <cell r="B109" t="str">
            <v>WI0321</v>
          </cell>
        </row>
        <row r="110">
          <cell r="A110" t="str">
            <v>Property PAS Simplification Phase 2 (Prod Enh)</v>
          </cell>
          <cell r="B110" t="str">
            <v>WI0316</v>
          </cell>
        </row>
        <row r="111">
          <cell r="A111" t="str">
            <v>ID Property Comp Rater(Orig Scope)</v>
          </cell>
          <cell r="B111" t="str">
            <v>WI0325</v>
          </cell>
        </row>
        <row r="112">
          <cell r="A112" t="str">
            <v>OR Property Comp Rater (Orig Scope)</v>
          </cell>
          <cell r="B112" t="str">
            <v>WI0326</v>
          </cell>
        </row>
        <row r="113">
          <cell r="A113" t="str">
            <v>Production Defects Fixed in PAS6.1</v>
          </cell>
          <cell r="B113" t="str">
            <v>WI0311</v>
          </cell>
        </row>
        <row r="114">
          <cell r="A114" t="str">
            <v>UBI - Phase 4 (Prod Enh)</v>
          </cell>
          <cell r="B114" t="str">
            <v>WI0327</v>
          </cell>
        </row>
        <row r="115">
          <cell r="A115" t="str">
            <v>KY Property Comp Rater (Orig Scope)</v>
          </cell>
          <cell r="B115" t="str">
            <v>WI0328</v>
          </cell>
        </row>
        <row r="116">
          <cell r="A116" t="str">
            <v>MT Property (Orig Scope)- Dependency PAS10</v>
          </cell>
          <cell r="B116" t="str">
            <v>WI0041</v>
          </cell>
        </row>
        <row r="117">
          <cell r="A117" t="str">
            <v>WY Property (Orig Scope)- Dependency PAS10</v>
          </cell>
          <cell r="B117" t="str">
            <v>WI0044</v>
          </cell>
        </row>
        <row r="118">
          <cell r="A118" t="str">
            <v>Misc Prod Enhancements PAS7</v>
          </cell>
          <cell r="B118" t="str">
            <v>WI0191</v>
          </cell>
        </row>
        <row r="119">
          <cell r="A119" t="str">
            <v>Production Defects Fixed in PAS8</v>
          </cell>
          <cell r="B119" t="str">
            <v>WI0311</v>
          </cell>
        </row>
      </sheetData>
      <sheetData sheetId="4"/>
      <sheetData sheetId="5"/>
      <sheetData sheetId="6">
        <row r="29">
          <cell r="F29">
            <v>0</v>
          </cell>
          <cell r="G29">
            <v>45</v>
          </cell>
        </row>
        <row r="30">
          <cell r="F30">
            <v>51.75</v>
          </cell>
          <cell r="G30">
            <v>294.39999999999998</v>
          </cell>
        </row>
        <row r="31">
          <cell r="F31">
            <v>13</v>
          </cell>
          <cell r="G31">
            <v>5</v>
          </cell>
        </row>
      </sheetData>
      <sheetData sheetId="7">
        <row r="26">
          <cell r="F26">
            <v>0</v>
          </cell>
          <cell r="G26">
            <v>50</v>
          </cell>
        </row>
        <row r="27">
          <cell r="F27">
            <v>4</v>
          </cell>
          <cell r="G27">
            <v>40.5</v>
          </cell>
        </row>
        <row r="28">
          <cell r="F28">
            <v>0</v>
          </cell>
          <cell r="G28">
            <v>0</v>
          </cell>
        </row>
      </sheetData>
      <sheetData sheetId="8">
        <row r="50">
          <cell r="G50">
            <v>312.5</v>
          </cell>
          <cell r="H50">
            <v>533.5</v>
          </cell>
        </row>
        <row r="51">
          <cell r="G51">
            <v>0</v>
          </cell>
          <cell r="H51">
            <v>50</v>
          </cell>
        </row>
      </sheetData>
      <sheetData sheetId="9"/>
      <sheetData sheetId="10"/>
      <sheetData sheetId="11">
        <row r="6">
          <cell r="G6">
            <v>198.5</v>
          </cell>
          <cell r="H6">
            <v>172</v>
          </cell>
        </row>
      </sheetData>
      <sheetData sheetId="12">
        <row r="6">
          <cell r="H6">
            <v>21.5</v>
          </cell>
        </row>
      </sheetData>
      <sheetData sheetId="13">
        <row r="6">
          <cell r="G6">
            <v>0</v>
          </cell>
        </row>
      </sheetData>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E13" sqref="E13"/>
    </sheetView>
  </sheetViews>
  <sheetFormatPr defaultColWidth="8.453125" defaultRowHeight="14.5" x14ac:dyDescent="0.35"/>
  <cols>
    <col min="1" max="1" width="8" style="160" bestFit="1" customWidth="1"/>
    <col min="2" max="2" width="9.6328125" style="160" bestFit="1" customWidth="1"/>
    <col min="3" max="3" width="14.54296875" style="160" bestFit="1" customWidth="1"/>
    <col min="4" max="4" width="8.81640625" style="160" bestFit="1" customWidth="1"/>
    <col min="5" max="5" width="15.54296875" style="160" bestFit="1" customWidth="1"/>
    <col min="6" max="6" width="16" style="160" bestFit="1" customWidth="1"/>
    <col min="7" max="7" width="16.08984375" style="160" bestFit="1" customWidth="1"/>
    <col min="8" max="8" width="12.54296875" style="160" bestFit="1" customWidth="1"/>
    <col min="9" max="9" width="5" style="160" bestFit="1" customWidth="1"/>
    <col min="10" max="10" width="4.81640625" style="160" bestFit="1" customWidth="1"/>
    <col min="11" max="16384" width="8.453125" style="160"/>
  </cols>
  <sheetData>
    <row r="1" spans="1:10" s="161" customFormat="1" ht="43.5" x14ac:dyDescent="0.35">
      <c r="A1" s="208" t="s">
        <v>205</v>
      </c>
      <c r="B1" s="208" t="s">
        <v>301</v>
      </c>
      <c r="C1" s="208" t="s">
        <v>303</v>
      </c>
      <c r="D1" s="208" t="s">
        <v>302</v>
      </c>
      <c r="E1" s="208" t="s">
        <v>303</v>
      </c>
      <c r="F1" s="208" t="s">
        <v>74</v>
      </c>
      <c r="G1" s="209" t="s">
        <v>338</v>
      </c>
      <c r="H1" s="208" t="s">
        <v>304</v>
      </c>
      <c r="I1" s="208" t="s">
        <v>305</v>
      </c>
      <c r="J1" s="208" t="s">
        <v>306</v>
      </c>
    </row>
    <row r="2" spans="1:10" x14ac:dyDescent="0.35">
      <c r="A2" s="207" t="s">
        <v>204</v>
      </c>
      <c r="B2" s="205">
        <v>42391</v>
      </c>
      <c r="C2" s="206" t="s">
        <v>307</v>
      </c>
      <c r="D2" s="205">
        <v>42440</v>
      </c>
      <c r="E2" s="206" t="s">
        <v>339</v>
      </c>
      <c r="F2" s="207">
        <v>10</v>
      </c>
      <c r="G2" s="207">
        <v>9</v>
      </c>
      <c r="H2" s="207">
        <v>8</v>
      </c>
      <c r="I2" s="206">
        <v>523</v>
      </c>
      <c r="J2" s="206">
        <v>300</v>
      </c>
    </row>
    <row r="3" spans="1:10" x14ac:dyDescent="0.35">
      <c r="A3" s="207" t="s">
        <v>249</v>
      </c>
      <c r="B3" s="205">
        <v>42447</v>
      </c>
      <c r="C3" s="206" t="s">
        <v>335</v>
      </c>
      <c r="D3" s="205">
        <v>42503</v>
      </c>
      <c r="E3" s="206" t="s">
        <v>336</v>
      </c>
      <c r="F3" s="207">
        <v>7</v>
      </c>
      <c r="G3" s="207">
        <v>5.5</v>
      </c>
      <c r="H3" s="207">
        <v>9</v>
      </c>
      <c r="I3" s="206">
        <v>421</v>
      </c>
      <c r="J3" s="206">
        <v>306</v>
      </c>
    </row>
    <row r="4" spans="1:10" x14ac:dyDescent="0.35">
      <c r="A4" s="207" t="s">
        <v>260</v>
      </c>
      <c r="B4" s="205">
        <v>42510</v>
      </c>
      <c r="C4" s="206" t="s">
        <v>340</v>
      </c>
      <c r="D4" s="205">
        <v>42587</v>
      </c>
      <c r="E4" s="207" t="s">
        <v>337</v>
      </c>
      <c r="F4" s="207">
        <v>4</v>
      </c>
      <c r="G4" s="207">
        <v>2.5</v>
      </c>
      <c r="H4" s="207">
        <v>12</v>
      </c>
      <c r="I4" s="206">
        <v>230</v>
      </c>
      <c r="J4" s="206">
        <v>208</v>
      </c>
    </row>
    <row r="6" spans="1:10" x14ac:dyDescent="0.35">
      <c r="A6" s="536" t="s">
        <v>308</v>
      </c>
      <c r="B6" s="536"/>
      <c r="C6" s="536"/>
      <c r="E6" s="160" t="s">
        <v>309</v>
      </c>
    </row>
  </sheetData>
  <mergeCells count="1">
    <mergeCell ref="A6:C6"/>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7"/>
  <sheetViews>
    <sheetView zoomScale="85" zoomScaleNormal="85" workbookViewId="0">
      <selection activeCell="D26" sqref="D26"/>
    </sheetView>
  </sheetViews>
  <sheetFormatPr defaultColWidth="9.08984375" defaultRowHeight="13" x14ac:dyDescent="0.35"/>
  <cols>
    <col min="1" max="1" width="4.81640625" style="475" customWidth="1"/>
    <col min="2" max="2" width="9" style="475" bestFit="1" customWidth="1"/>
    <col min="3" max="3" width="50.6328125" style="475" bestFit="1" customWidth="1"/>
    <col min="4" max="4" width="20" style="475" customWidth="1"/>
    <col min="5" max="5" width="11.6328125" style="475" bestFit="1" customWidth="1"/>
    <col min="6" max="6" width="17.81640625" style="475" bestFit="1" customWidth="1"/>
    <col min="7" max="7" width="12.54296875" style="475" bestFit="1" customWidth="1"/>
    <col min="8" max="8" width="11.6328125" style="475" bestFit="1" customWidth="1"/>
    <col min="9" max="9" width="17.81640625" style="475" bestFit="1" customWidth="1"/>
    <col min="10" max="10" width="11.36328125" style="475" bestFit="1" customWidth="1"/>
    <col min="11" max="12" width="11.6328125" style="475" bestFit="1" customWidth="1"/>
    <col min="13" max="16384" width="9.08984375" style="475"/>
  </cols>
  <sheetData>
    <row r="1" spans="2:12" ht="28" x14ac:dyDescent="0.35">
      <c r="B1" s="229" t="s">
        <v>282</v>
      </c>
      <c r="C1" s="229" t="s">
        <v>283</v>
      </c>
      <c r="D1" s="229" t="s">
        <v>556</v>
      </c>
      <c r="E1" s="229" t="s">
        <v>544</v>
      </c>
      <c r="F1" s="229" t="s">
        <v>543</v>
      </c>
      <c r="G1" s="476" t="s">
        <v>570</v>
      </c>
      <c r="H1" s="476" t="s">
        <v>544</v>
      </c>
      <c r="I1" s="476" t="s">
        <v>543</v>
      </c>
      <c r="J1" s="231" t="s">
        <v>571</v>
      </c>
      <c r="K1" s="231" t="s">
        <v>572</v>
      </c>
      <c r="L1" s="231" t="s">
        <v>573</v>
      </c>
    </row>
    <row r="2" spans="2:12" ht="14" x14ac:dyDescent="0.35">
      <c r="B2" s="247" t="s">
        <v>504</v>
      </c>
      <c r="C2" s="233" t="s">
        <v>503</v>
      </c>
      <c r="D2" s="234">
        <v>150</v>
      </c>
      <c r="E2" s="235">
        <f>D2/2</f>
        <v>75</v>
      </c>
      <c r="F2" s="235">
        <v>75</v>
      </c>
      <c r="G2" s="234"/>
      <c r="H2" s="235"/>
      <c r="I2" s="235"/>
      <c r="J2" s="478">
        <f>(G2-D2)</f>
        <v>-150</v>
      </c>
      <c r="K2" s="479">
        <f>H2-E2</f>
        <v>-75</v>
      </c>
      <c r="L2" s="479">
        <f>I2-F2</f>
        <v>-75</v>
      </c>
    </row>
    <row r="3" spans="2:12" ht="14" x14ac:dyDescent="0.35">
      <c r="B3" s="248" t="s">
        <v>295</v>
      </c>
      <c r="C3" s="249" t="s">
        <v>482</v>
      </c>
      <c r="D3" s="248">
        <v>35</v>
      </c>
      <c r="E3" s="235">
        <f>D3/2</f>
        <v>17.5</v>
      </c>
      <c r="F3" s="235">
        <v>13</v>
      </c>
      <c r="G3" s="248">
        <v>29</v>
      </c>
      <c r="H3" s="235">
        <v>11</v>
      </c>
      <c r="I3" s="235">
        <v>8</v>
      </c>
      <c r="J3" s="478">
        <f t="shared" ref="J3:J16" si="0">(G3-D3)</f>
        <v>-6</v>
      </c>
      <c r="K3" s="479">
        <f t="shared" ref="K3:L16" si="1">H3-E3</f>
        <v>-6.5</v>
      </c>
      <c r="L3" s="479">
        <f t="shared" si="1"/>
        <v>-5</v>
      </c>
    </row>
    <row r="4" spans="2:12" ht="14" x14ac:dyDescent="0.35">
      <c r="B4" s="247" t="s">
        <v>506</v>
      </c>
      <c r="C4" s="233" t="s">
        <v>501</v>
      </c>
      <c r="D4" s="234">
        <v>15</v>
      </c>
      <c r="E4" s="235">
        <f>D4/2</f>
        <v>7.5</v>
      </c>
      <c r="F4" s="235">
        <v>8</v>
      </c>
      <c r="G4" s="234"/>
      <c r="H4" s="235"/>
      <c r="I4" s="235"/>
      <c r="J4" s="478">
        <f t="shared" si="0"/>
        <v>-15</v>
      </c>
      <c r="K4" s="479">
        <f t="shared" si="1"/>
        <v>-7.5</v>
      </c>
      <c r="L4" s="479">
        <f t="shared" si="1"/>
        <v>-8</v>
      </c>
    </row>
    <row r="5" spans="2:12" ht="14" x14ac:dyDescent="0.35">
      <c r="B5" s="247" t="s">
        <v>483</v>
      </c>
      <c r="C5" s="233" t="s">
        <v>484</v>
      </c>
      <c r="D5" s="248">
        <v>5</v>
      </c>
      <c r="E5" s="235">
        <f>D5/1.5</f>
        <v>3.3333333333333335</v>
      </c>
      <c r="F5" s="235">
        <v>3</v>
      </c>
      <c r="G5" s="248">
        <v>7</v>
      </c>
      <c r="H5" s="235">
        <v>2</v>
      </c>
      <c r="I5" s="235">
        <v>2</v>
      </c>
      <c r="J5" s="478">
        <f t="shared" si="0"/>
        <v>2</v>
      </c>
      <c r="K5" s="479">
        <f t="shared" si="1"/>
        <v>-1.3333333333333335</v>
      </c>
      <c r="L5" s="479">
        <f t="shared" si="1"/>
        <v>-1</v>
      </c>
    </row>
    <row r="6" spans="2:12" ht="14" x14ac:dyDescent="0.35">
      <c r="B6" s="247" t="s">
        <v>489</v>
      </c>
      <c r="C6" s="233" t="s">
        <v>490</v>
      </c>
      <c r="D6" s="234">
        <v>66</v>
      </c>
      <c r="E6" s="235">
        <f>D6/2</f>
        <v>33</v>
      </c>
      <c r="F6" s="235">
        <v>40</v>
      </c>
      <c r="G6" s="234">
        <v>30.5</v>
      </c>
      <c r="H6" s="235">
        <v>17</v>
      </c>
      <c r="I6" s="235">
        <v>20</v>
      </c>
      <c r="J6" s="478">
        <f t="shared" si="0"/>
        <v>-35.5</v>
      </c>
      <c r="K6" s="479">
        <f t="shared" si="1"/>
        <v>-16</v>
      </c>
      <c r="L6" s="479">
        <f t="shared" si="1"/>
        <v>-20</v>
      </c>
    </row>
    <row r="7" spans="2:12" ht="14" x14ac:dyDescent="0.35">
      <c r="B7" s="247" t="s">
        <v>505</v>
      </c>
      <c r="C7" s="233" t="s">
        <v>502</v>
      </c>
      <c r="D7" s="234">
        <v>15</v>
      </c>
      <c r="E7" s="235">
        <f>D7/2</f>
        <v>7.5</v>
      </c>
      <c r="F7" s="235">
        <v>8</v>
      </c>
      <c r="G7" s="234"/>
      <c r="H7" s="235"/>
      <c r="I7" s="235"/>
      <c r="J7" s="478">
        <f t="shared" si="0"/>
        <v>-15</v>
      </c>
      <c r="K7" s="479">
        <f t="shared" si="1"/>
        <v>-7.5</v>
      </c>
      <c r="L7" s="479">
        <f t="shared" si="1"/>
        <v>-8</v>
      </c>
    </row>
    <row r="8" spans="2:12" ht="14" x14ac:dyDescent="0.35">
      <c r="B8" s="247" t="s">
        <v>491</v>
      </c>
      <c r="C8" s="233" t="s">
        <v>492</v>
      </c>
      <c r="D8" s="234">
        <v>111</v>
      </c>
      <c r="E8" s="235">
        <f>D8/2</f>
        <v>55.5</v>
      </c>
      <c r="F8" s="235">
        <v>56</v>
      </c>
      <c r="G8" s="234">
        <v>76.25</v>
      </c>
      <c r="H8" s="235">
        <v>45</v>
      </c>
      <c r="I8" s="235">
        <v>45</v>
      </c>
      <c r="J8" s="478">
        <f t="shared" si="0"/>
        <v>-34.75</v>
      </c>
      <c r="K8" s="479">
        <f t="shared" si="1"/>
        <v>-10.5</v>
      </c>
      <c r="L8" s="479">
        <f t="shared" si="1"/>
        <v>-11</v>
      </c>
    </row>
    <row r="9" spans="2:12" ht="14" x14ac:dyDescent="0.35">
      <c r="B9" s="247" t="s">
        <v>493</v>
      </c>
      <c r="C9" s="233" t="s">
        <v>494</v>
      </c>
      <c r="D9" s="234">
        <v>93</v>
      </c>
      <c r="E9" s="235">
        <f>D9/2</f>
        <v>46.5</v>
      </c>
      <c r="F9" s="235">
        <v>35</v>
      </c>
      <c r="G9" s="234">
        <v>49</v>
      </c>
      <c r="H9" s="235">
        <v>21</v>
      </c>
      <c r="I9" s="235">
        <v>16</v>
      </c>
      <c r="J9" s="478">
        <f t="shared" si="0"/>
        <v>-44</v>
      </c>
      <c r="K9" s="479">
        <f t="shared" si="1"/>
        <v>-25.5</v>
      </c>
      <c r="L9" s="479">
        <f t="shared" si="1"/>
        <v>-19</v>
      </c>
    </row>
    <row r="10" spans="2:12" ht="14" x14ac:dyDescent="0.35">
      <c r="B10" s="247" t="s">
        <v>487</v>
      </c>
      <c r="C10" s="233" t="s">
        <v>488</v>
      </c>
      <c r="D10" s="234"/>
      <c r="E10" s="235"/>
      <c r="F10" s="235"/>
      <c r="G10" s="234"/>
      <c r="H10" s="235"/>
      <c r="I10" s="235"/>
      <c r="J10" s="478">
        <f t="shared" si="0"/>
        <v>0</v>
      </c>
      <c r="K10" s="479">
        <f t="shared" si="1"/>
        <v>0</v>
      </c>
      <c r="L10" s="479">
        <f t="shared" si="1"/>
        <v>0</v>
      </c>
    </row>
    <row r="11" spans="2:12" ht="14" x14ac:dyDescent="0.35">
      <c r="B11" s="247" t="s">
        <v>495</v>
      </c>
      <c r="C11" s="233" t="s">
        <v>496</v>
      </c>
      <c r="D11" s="234">
        <v>30</v>
      </c>
      <c r="E11" s="235">
        <f>D11/2</f>
        <v>15</v>
      </c>
      <c r="F11" s="235">
        <v>11</v>
      </c>
      <c r="G11" s="234">
        <v>36.5</v>
      </c>
      <c r="H11" s="235">
        <v>16</v>
      </c>
      <c r="I11" s="235">
        <v>12</v>
      </c>
      <c r="J11" s="478">
        <f t="shared" si="0"/>
        <v>6.5</v>
      </c>
      <c r="K11" s="479">
        <f t="shared" si="1"/>
        <v>1</v>
      </c>
      <c r="L11" s="479">
        <f t="shared" si="1"/>
        <v>1</v>
      </c>
    </row>
    <row r="12" spans="2:12" ht="14" x14ac:dyDescent="0.35">
      <c r="B12" s="247" t="s">
        <v>326</v>
      </c>
      <c r="C12" s="233" t="s">
        <v>481</v>
      </c>
      <c r="D12" s="234">
        <v>200</v>
      </c>
      <c r="E12" s="235">
        <f>D12/2</f>
        <v>100</v>
      </c>
      <c r="F12" s="235">
        <v>75</v>
      </c>
      <c r="G12" s="234">
        <v>160.5</v>
      </c>
      <c r="H12" s="235">
        <v>53</v>
      </c>
      <c r="I12" s="235">
        <v>40</v>
      </c>
      <c r="J12" s="478">
        <f t="shared" si="0"/>
        <v>-39.5</v>
      </c>
      <c r="K12" s="479">
        <f t="shared" si="1"/>
        <v>-47</v>
      </c>
      <c r="L12" s="479">
        <f t="shared" si="1"/>
        <v>-35</v>
      </c>
    </row>
    <row r="13" spans="2:12" ht="14" x14ac:dyDescent="0.35">
      <c r="B13" s="247" t="s">
        <v>499</v>
      </c>
      <c r="C13" s="233" t="s">
        <v>569</v>
      </c>
      <c r="D13" s="234">
        <v>15</v>
      </c>
      <c r="E13" s="235">
        <f>D13/2</f>
        <v>7.5</v>
      </c>
      <c r="F13" s="235">
        <v>6</v>
      </c>
      <c r="G13" s="234">
        <v>77.5</v>
      </c>
      <c r="H13" s="235">
        <v>47</v>
      </c>
      <c r="I13" s="235">
        <v>35</v>
      </c>
      <c r="J13" s="478">
        <f t="shared" si="0"/>
        <v>62.5</v>
      </c>
      <c r="K13" s="479">
        <f t="shared" si="1"/>
        <v>39.5</v>
      </c>
      <c r="L13" s="479">
        <f t="shared" si="1"/>
        <v>29</v>
      </c>
    </row>
    <row r="14" spans="2:12" ht="14" x14ac:dyDescent="0.35">
      <c r="B14" s="247" t="s">
        <v>498</v>
      </c>
      <c r="C14" s="233" t="s">
        <v>497</v>
      </c>
      <c r="D14" s="234">
        <v>30</v>
      </c>
      <c r="E14" s="235">
        <f>D14/2</f>
        <v>15</v>
      </c>
      <c r="F14" s="235">
        <v>11</v>
      </c>
      <c r="G14" s="234"/>
      <c r="H14" s="235"/>
      <c r="I14" s="235"/>
      <c r="J14" s="478">
        <f t="shared" si="0"/>
        <v>-30</v>
      </c>
      <c r="K14" s="479">
        <f t="shared" si="1"/>
        <v>-15</v>
      </c>
      <c r="L14" s="479">
        <f t="shared" si="1"/>
        <v>-11</v>
      </c>
    </row>
    <row r="15" spans="2:12" ht="14" x14ac:dyDescent="0.35">
      <c r="B15" s="247" t="s">
        <v>509</v>
      </c>
      <c r="C15" s="233"/>
      <c r="D15" s="234"/>
      <c r="E15" s="235"/>
      <c r="G15" s="234"/>
      <c r="H15" s="235"/>
      <c r="I15" s="235"/>
      <c r="J15" s="478">
        <f t="shared" si="0"/>
        <v>0</v>
      </c>
      <c r="K15" s="479">
        <f t="shared" si="1"/>
        <v>0</v>
      </c>
      <c r="L15" s="479">
        <f t="shared" si="1"/>
        <v>0</v>
      </c>
    </row>
    <row r="16" spans="2:12" ht="14" x14ac:dyDescent="0.35">
      <c r="B16" s="247" t="s">
        <v>485</v>
      </c>
      <c r="C16" s="233" t="s">
        <v>486</v>
      </c>
      <c r="D16" s="234">
        <v>27</v>
      </c>
      <c r="E16" s="235">
        <v>9</v>
      </c>
      <c r="F16" s="235"/>
      <c r="G16" s="234">
        <v>22</v>
      </c>
      <c r="H16" s="235">
        <v>9</v>
      </c>
      <c r="I16" s="235"/>
      <c r="J16" s="478">
        <f t="shared" si="0"/>
        <v>-5</v>
      </c>
      <c r="K16" s="479">
        <f t="shared" si="1"/>
        <v>0</v>
      </c>
      <c r="L16" s="479">
        <f t="shared" si="1"/>
        <v>0</v>
      </c>
    </row>
    <row r="17" spans="2:12" ht="14" x14ac:dyDescent="0.35">
      <c r="B17" s="537" t="s">
        <v>62</v>
      </c>
      <c r="C17" s="538"/>
      <c r="D17" s="477">
        <f>SUM(D2:D16)</f>
        <v>792</v>
      </c>
      <c r="E17" s="477">
        <f t="shared" ref="E17:J17" si="2">SUM(E2:E16)</f>
        <v>392.33333333333331</v>
      </c>
      <c r="F17" s="477">
        <f t="shared" si="2"/>
        <v>341</v>
      </c>
      <c r="G17" s="477">
        <f t="shared" si="2"/>
        <v>488.25</v>
      </c>
      <c r="H17" s="477">
        <f t="shared" si="2"/>
        <v>221</v>
      </c>
      <c r="I17" s="477">
        <f t="shared" si="2"/>
        <v>178</v>
      </c>
      <c r="J17" s="477">
        <f t="shared" si="2"/>
        <v>-303.75</v>
      </c>
      <c r="K17" s="477">
        <f t="shared" ref="K17" si="3">SUM(K2:K16)</f>
        <v>-171.33333333333331</v>
      </c>
      <c r="L17" s="477">
        <f t="shared" ref="L17" si="4">SUM(L2:L16)</f>
        <v>-163</v>
      </c>
    </row>
  </sheetData>
  <mergeCells count="1">
    <mergeCell ref="B17:C17"/>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zoomScale="85" zoomScaleNormal="85" workbookViewId="0">
      <selection activeCell="H20" sqref="H20"/>
    </sheetView>
  </sheetViews>
  <sheetFormatPr defaultColWidth="9.08984375" defaultRowHeight="13" x14ac:dyDescent="0.3"/>
  <cols>
    <col min="1" max="1" width="4.81640625" style="422" customWidth="1"/>
    <col min="2" max="2" width="5" style="422" bestFit="1" customWidth="1"/>
    <col min="3" max="3" width="16" style="422" customWidth="1"/>
    <col min="4" max="4" width="9" style="422" bestFit="1" customWidth="1"/>
    <col min="5" max="5" width="48.08984375" style="422" bestFit="1" customWidth="1"/>
    <col min="6" max="6" width="21.08984375" style="422" customWidth="1"/>
    <col min="7" max="7" width="10" style="422" customWidth="1"/>
    <col min="8" max="8" width="16.6328125" style="422" bestFit="1" customWidth="1"/>
    <col min="9" max="9" width="13.6328125" style="422" customWidth="1"/>
    <col min="10" max="10" width="10.81640625" style="422" customWidth="1"/>
    <col min="11" max="11" width="11.1796875" style="422" customWidth="1"/>
    <col min="12" max="12" width="14.81640625" style="422" customWidth="1"/>
    <col min="13" max="13" width="18.1796875" style="422" customWidth="1"/>
    <col min="14" max="14" width="186.54296875" style="422" bestFit="1" customWidth="1"/>
    <col min="15" max="18" width="9.08984375" style="422"/>
    <col min="19" max="19" width="8.54296875" style="422" hidden="1" customWidth="1"/>
    <col min="20" max="20" width="8.453125" style="422" hidden="1" customWidth="1"/>
    <col min="21" max="21" width="7.54296875" style="422" hidden="1" customWidth="1"/>
    <col min="22" max="22" width="8" style="422" hidden="1" customWidth="1"/>
    <col min="23" max="23" width="7.81640625" style="422" hidden="1" customWidth="1"/>
    <col min="24" max="24" width="8.08984375" style="422" hidden="1" customWidth="1"/>
    <col min="25" max="25" width="7.6328125" style="422" hidden="1" customWidth="1"/>
    <col min="26" max="28" width="0" style="422" hidden="1" customWidth="1"/>
    <col min="29" max="16384" width="9.08984375" style="422"/>
  </cols>
  <sheetData>
    <row r="1" spans="1:28" s="426" customFormat="1" ht="26" x14ac:dyDescent="0.3">
      <c r="B1" s="449" t="s">
        <v>507</v>
      </c>
      <c r="C1" s="458" t="s">
        <v>560</v>
      </c>
      <c r="D1" s="458" t="s">
        <v>282</v>
      </c>
      <c r="E1" s="458" t="s">
        <v>283</v>
      </c>
      <c r="F1" s="458" t="s">
        <v>556</v>
      </c>
      <c r="G1" s="458" t="s">
        <v>544</v>
      </c>
      <c r="H1" s="458" t="s">
        <v>543</v>
      </c>
      <c r="I1" s="458" t="s">
        <v>545</v>
      </c>
      <c r="J1" s="458" t="s">
        <v>480</v>
      </c>
      <c r="K1" s="458" t="s">
        <v>273</v>
      </c>
      <c r="L1" s="458" t="s">
        <v>546</v>
      </c>
      <c r="M1" s="458" t="s">
        <v>514</v>
      </c>
      <c r="N1" s="447" t="s">
        <v>10</v>
      </c>
      <c r="P1" s="410" t="s">
        <v>536</v>
      </c>
      <c r="Q1" s="410" t="s">
        <v>538</v>
      </c>
      <c r="R1" s="410" t="s">
        <v>537</v>
      </c>
      <c r="T1" s="425" t="s">
        <v>516</v>
      </c>
      <c r="U1" s="425" t="s">
        <v>520</v>
      </c>
      <c r="V1" s="425" t="s">
        <v>521</v>
      </c>
      <c r="W1" s="425" t="s">
        <v>522</v>
      </c>
      <c r="X1" s="425" t="s">
        <v>523</v>
      </c>
      <c r="Y1" s="425" t="s">
        <v>524</v>
      </c>
      <c r="Z1" s="425" t="s">
        <v>525</v>
      </c>
    </row>
    <row r="2" spans="1:28" s="423" customFormat="1" x14ac:dyDescent="0.3">
      <c r="B2" s="450"/>
      <c r="C2" s="459"/>
      <c r="D2" s="460"/>
      <c r="E2" s="461"/>
      <c r="F2" s="462"/>
      <c r="G2" s="462"/>
      <c r="H2" s="463" t="s">
        <v>547</v>
      </c>
      <c r="I2" s="463" t="s">
        <v>539</v>
      </c>
      <c r="J2" s="463" t="s">
        <v>540</v>
      </c>
      <c r="K2" s="463" t="s">
        <v>541</v>
      </c>
      <c r="L2" s="463" t="s">
        <v>542</v>
      </c>
      <c r="M2" s="463"/>
      <c r="N2" s="448"/>
    </row>
    <row r="3" spans="1:28" s="423" customFormat="1" x14ac:dyDescent="0.3">
      <c r="A3" s="445"/>
      <c r="B3" s="450"/>
      <c r="C3" s="539" t="s">
        <v>585</v>
      </c>
      <c r="D3" s="460" t="s">
        <v>295</v>
      </c>
      <c r="E3" s="461" t="s">
        <v>482</v>
      </c>
      <c r="F3" s="464">
        <v>29</v>
      </c>
      <c r="G3" s="492">
        <v>11</v>
      </c>
      <c r="H3" s="462">
        <f>ROUND(G3*0.75,0)</f>
        <v>8</v>
      </c>
      <c r="I3" s="462">
        <f>ROUND($H3*90%,0)</f>
        <v>7</v>
      </c>
      <c r="J3" s="462"/>
      <c r="K3" s="462">
        <f>ROUND($H3*10%,0)</f>
        <v>1</v>
      </c>
      <c r="L3" s="462"/>
      <c r="M3" s="462">
        <f>ROUND($H3*10%,0)</f>
        <v>1</v>
      </c>
      <c r="N3" s="448" t="s">
        <v>533</v>
      </c>
      <c r="P3" s="442">
        <f t="shared" ref="P3:P9" si="0">G3*40%</f>
        <v>4.4000000000000004</v>
      </c>
      <c r="Q3" s="442">
        <f t="shared" ref="Q3:Q9" si="1">G3*35%</f>
        <v>3.8499999999999996</v>
      </c>
      <c r="R3" s="442">
        <f t="shared" ref="R3:R9" si="2">G3*25%</f>
        <v>2.75</v>
      </c>
      <c r="S3" s="442">
        <f t="shared" ref="S3:S20" si="3">I3+J3+L3</f>
        <v>7</v>
      </c>
      <c r="T3" s="423">
        <f t="shared" ref="T3:T15" si="4">ROUND(S3/3,0)</f>
        <v>2</v>
      </c>
      <c r="U3" s="423">
        <v>1</v>
      </c>
      <c r="V3" s="423">
        <v>2</v>
      </c>
      <c r="W3" s="423">
        <v>1</v>
      </c>
      <c r="AA3" s="423">
        <f t="shared" ref="AA3:AA15" si="5">SUM(U3:Z3)</f>
        <v>4</v>
      </c>
      <c r="AB3" s="423" t="e">
        <f t="shared" ref="AB3:AB15" si="6">MATCH(AA3,T3,0)</f>
        <v>#N/A</v>
      </c>
    </row>
    <row r="4" spans="1:28" s="423" customFormat="1" x14ac:dyDescent="0.3">
      <c r="A4" s="445"/>
      <c r="B4" s="450"/>
      <c r="C4" s="539"/>
      <c r="D4" s="460" t="s">
        <v>483</v>
      </c>
      <c r="E4" s="461" t="s">
        <v>484</v>
      </c>
      <c r="F4" s="464">
        <v>7</v>
      </c>
      <c r="G4" s="492">
        <v>2</v>
      </c>
      <c r="H4" s="462">
        <f>ROUND(G4*0.75,0)</f>
        <v>2</v>
      </c>
      <c r="I4" s="462">
        <f>ROUND($H4*100%,0)</f>
        <v>2</v>
      </c>
      <c r="J4" s="462"/>
      <c r="K4" s="462"/>
      <c r="L4" s="462"/>
      <c r="M4" s="462">
        <f>ROUND($H4*20%,0)</f>
        <v>0</v>
      </c>
      <c r="N4" s="448" t="s">
        <v>551</v>
      </c>
      <c r="P4" s="442">
        <f>G4*10%</f>
        <v>0.2</v>
      </c>
      <c r="Q4" s="442">
        <f>G4*40%</f>
        <v>0.8</v>
      </c>
      <c r="R4" s="442">
        <f>G4*50%</f>
        <v>1</v>
      </c>
      <c r="S4" s="442">
        <f t="shared" si="3"/>
        <v>2</v>
      </c>
      <c r="T4" s="423">
        <f t="shared" si="4"/>
        <v>1</v>
      </c>
      <c r="U4" s="423">
        <v>1</v>
      </c>
      <c r="V4" s="423">
        <v>1</v>
      </c>
      <c r="AA4" s="423">
        <f t="shared" si="5"/>
        <v>2</v>
      </c>
      <c r="AB4" s="423" t="e">
        <f t="shared" si="6"/>
        <v>#N/A</v>
      </c>
    </row>
    <row r="5" spans="1:28" s="423" customFormat="1" x14ac:dyDescent="0.3">
      <c r="A5" s="445"/>
      <c r="B5" s="450"/>
      <c r="C5" s="539"/>
      <c r="D5" s="460" t="s">
        <v>489</v>
      </c>
      <c r="E5" s="461" t="s">
        <v>490</v>
      </c>
      <c r="F5" s="464">
        <v>30.5</v>
      </c>
      <c r="G5" s="492">
        <v>17</v>
      </c>
      <c r="H5" s="462">
        <f>ROUND(G5*1.2,0)</f>
        <v>20</v>
      </c>
      <c r="I5" s="462">
        <f>ROUND($H5*70%,0)</f>
        <v>14</v>
      </c>
      <c r="J5" s="462"/>
      <c r="K5" s="462">
        <f>ROUND($H5*10%,0)</f>
        <v>2</v>
      </c>
      <c r="L5" s="462">
        <f>ROUND($H5*20%,0)</f>
        <v>4</v>
      </c>
      <c r="M5" s="462">
        <f>ROUND($H5*10%,0)</f>
        <v>2</v>
      </c>
      <c r="N5" s="448" t="s">
        <v>552</v>
      </c>
      <c r="P5" s="442">
        <f>G5*35%</f>
        <v>5.9499999999999993</v>
      </c>
      <c r="Q5" s="442">
        <f>G5*35%</f>
        <v>5.9499999999999993</v>
      </c>
      <c r="R5" s="442">
        <f>G5*30%</f>
        <v>5.0999999999999996</v>
      </c>
      <c r="S5" s="442">
        <f t="shared" si="3"/>
        <v>18</v>
      </c>
      <c r="T5" s="423">
        <f t="shared" si="4"/>
        <v>6</v>
      </c>
      <c r="U5" s="423">
        <v>2</v>
      </c>
      <c r="V5" s="423">
        <v>3</v>
      </c>
      <c r="W5" s="423">
        <v>2</v>
      </c>
      <c r="X5" s="423">
        <v>2</v>
      </c>
      <c r="Y5" s="423">
        <v>2</v>
      </c>
      <c r="Z5" s="423">
        <v>1</v>
      </c>
      <c r="AA5" s="423">
        <f t="shared" si="5"/>
        <v>12</v>
      </c>
      <c r="AB5" s="423" t="e">
        <f t="shared" si="6"/>
        <v>#N/A</v>
      </c>
    </row>
    <row r="6" spans="1:28" s="423" customFormat="1" x14ac:dyDescent="0.3">
      <c r="A6" s="445"/>
      <c r="B6" s="450"/>
      <c r="C6" s="539"/>
      <c r="D6" s="460" t="s">
        <v>491</v>
      </c>
      <c r="E6" s="461" t="s">
        <v>492</v>
      </c>
      <c r="F6" s="464">
        <v>76.25</v>
      </c>
      <c r="G6" s="492">
        <v>45</v>
      </c>
      <c r="H6" s="462">
        <f>ROUND(G6*1,0)</f>
        <v>45</v>
      </c>
      <c r="I6" s="462">
        <f>ROUND($H6*70%,0)</f>
        <v>32</v>
      </c>
      <c r="J6" s="462">
        <f>ROUND($H6*10%,0)</f>
        <v>5</v>
      </c>
      <c r="K6" s="462"/>
      <c r="L6" s="462">
        <f>ROUND($H6*20%,0)</f>
        <v>9</v>
      </c>
      <c r="M6" s="462"/>
      <c r="N6" s="448" t="s">
        <v>554</v>
      </c>
      <c r="P6" s="442">
        <f>G6*35%</f>
        <v>15.749999999999998</v>
      </c>
      <c r="Q6" s="442">
        <f>G6*40%</f>
        <v>18</v>
      </c>
      <c r="R6" s="442">
        <f>G6*25%</f>
        <v>11.25</v>
      </c>
      <c r="S6" s="442">
        <f t="shared" si="3"/>
        <v>46</v>
      </c>
      <c r="T6" s="423">
        <f t="shared" si="4"/>
        <v>15</v>
      </c>
      <c r="U6" s="423">
        <v>5</v>
      </c>
      <c r="V6" s="423">
        <v>5</v>
      </c>
      <c r="W6" s="423">
        <v>2</v>
      </c>
      <c r="X6" s="423">
        <v>4</v>
      </c>
      <c r="Y6" s="423">
        <v>3</v>
      </c>
      <c r="Z6" s="423">
        <v>3</v>
      </c>
      <c r="AA6" s="423">
        <f t="shared" si="5"/>
        <v>22</v>
      </c>
      <c r="AB6" s="423" t="e">
        <f t="shared" si="6"/>
        <v>#N/A</v>
      </c>
    </row>
    <row r="7" spans="1:28" s="423" customFormat="1" x14ac:dyDescent="0.3">
      <c r="A7" s="445"/>
      <c r="B7" s="450"/>
      <c r="C7" s="539"/>
      <c r="D7" s="460" t="s">
        <v>493</v>
      </c>
      <c r="E7" s="461" t="s">
        <v>494</v>
      </c>
      <c r="F7" s="464">
        <v>49</v>
      </c>
      <c r="G7" s="492">
        <v>21</v>
      </c>
      <c r="H7" s="462">
        <f>ROUND(G7*0.75,0)</f>
        <v>16</v>
      </c>
      <c r="I7" s="462">
        <f>ROUND($H7*60%,0)</f>
        <v>10</v>
      </c>
      <c r="J7" s="462">
        <f>ROUND($H7*10%,0)</f>
        <v>2</v>
      </c>
      <c r="K7" s="462">
        <f>ROUND($H7*10%,0)</f>
        <v>2</v>
      </c>
      <c r="L7" s="462">
        <f>ROUND($H7*20%,0)</f>
        <v>3</v>
      </c>
      <c r="M7" s="462">
        <f>ROUND($H7*20%,0)</f>
        <v>3</v>
      </c>
      <c r="N7" s="448" t="s">
        <v>555</v>
      </c>
      <c r="P7" s="442">
        <f>G7*30%</f>
        <v>6.3</v>
      </c>
      <c r="Q7" s="442">
        <f>G7*40%</f>
        <v>8.4</v>
      </c>
      <c r="R7" s="442">
        <f>G7*30%</f>
        <v>6.3</v>
      </c>
      <c r="S7" s="442">
        <f t="shared" si="3"/>
        <v>15</v>
      </c>
      <c r="T7" s="423">
        <f t="shared" si="4"/>
        <v>5</v>
      </c>
      <c r="U7" s="423">
        <v>2</v>
      </c>
      <c r="V7" s="423">
        <v>4</v>
      </c>
      <c r="W7" s="423">
        <v>2</v>
      </c>
      <c r="X7" s="423">
        <v>1</v>
      </c>
      <c r="Y7" s="423">
        <v>1</v>
      </c>
      <c r="Z7" s="423">
        <v>1</v>
      </c>
      <c r="AA7" s="423">
        <f t="shared" si="5"/>
        <v>11</v>
      </c>
      <c r="AB7" s="423" t="e">
        <f t="shared" si="6"/>
        <v>#N/A</v>
      </c>
    </row>
    <row r="8" spans="1:28" s="423" customFormat="1" x14ac:dyDescent="0.3">
      <c r="A8" s="445"/>
      <c r="B8" s="450" t="s">
        <v>508</v>
      </c>
      <c r="C8" s="539"/>
      <c r="D8" s="460" t="s">
        <v>495</v>
      </c>
      <c r="E8" s="461" t="s">
        <v>558</v>
      </c>
      <c r="F8" s="464">
        <v>36.5</v>
      </c>
      <c r="G8" s="492">
        <v>16</v>
      </c>
      <c r="H8" s="462">
        <f>ROUND(G8*0.75,0)</f>
        <v>12</v>
      </c>
      <c r="I8" s="462">
        <f>ROUND($H8*80%,0)</f>
        <v>10</v>
      </c>
      <c r="J8" s="462">
        <f t="shared" ref="J8:K9" si="7">ROUND($H8*10%,0)</f>
        <v>1</v>
      </c>
      <c r="K8" s="462">
        <f t="shared" si="7"/>
        <v>1</v>
      </c>
      <c r="L8" s="462">
        <f>ROUND($H8*0%,0)</f>
        <v>0</v>
      </c>
      <c r="M8" s="462">
        <f>ROUND($H8*20%,0)</f>
        <v>2</v>
      </c>
      <c r="N8" s="448" t="s">
        <v>510</v>
      </c>
      <c r="P8" s="442">
        <f t="shared" si="0"/>
        <v>6.4</v>
      </c>
      <c r="Q8" s="442">
        <f t="shared" si="1"/>
        <v>5.6</v>
      </c>
      <c r="R8" s="442">
        <f t="shared" si="2"/>
        <v>4</v>
      </c>
      <c r="S8" s="442">
        <f t="shared" si="3"/>
        <v>11</v>
      </c>
      <c r="T8" s="423">
        <f t="shared" si="4"/>
        <v>4</v>
      </c>
      <c r="U8" s="423">
        <f t="shared" ref="U8:U15" si="8">ROUND(T8*0.4,0)</f>
        <v>2</v>
      </c>
      <c r="V8" s="423">
        <f t="shared" ref="V8:V15" si="9">ROUND(T8*0.4,0)</f>
        <v>2</v>
      </c>
      <c r="W8" s="423">
        <f t="shared" ref="W8:W15" si="10">ROUND(T8*0.2,0)</f>
        <v>1</v>
      </c>
      <c r="AA8" s="423">
        <f t="shared" si="5"/>
        <v>5</v>
      </c>
      <c r="AB8" s="423" t="e">
        <f t="shared" si="6"/>
        <v>#N/A</v>
      </c>
    </row>
    <row r="9" spans="1:28" s="423" customFormat="1" x14ac:dyDescent="0.3">
      <c r="A9" s="445"/>
      <c r="B9" s="450" t="s">
        <v>508</v>
      </c>
      <c r="C9" s="539"/>
      <c r="D9" s="460" t="s">
        <v>326</v>
      </c>
      <c r="E9" s="461" t="s">
        <v>481</v>
      </c>
      <c r="F9" s="464">
        <v>160.5</v>
      </c>
      <c r="G9" s="492">
        <v>59</v>
      </c>
      <c r="H9" s="462">
        <f>ROUND(G9*0.75,0)</f>
        <v>44</v>
      </c>
      <c r="I9" s="462">
        <f>ROUND($H9*80%,0)</f>
        <v>35</v>
      </c>
      <c r="J9" s="462">
        <f t="shared" si="7"/>
        <v>4</v>
      </c>
      <c r="K9" s="462">
        <f t="shared" si="7"/>
        <v>4</v>
      </c>
      <c r="L9" s="462">
        <f>ROUND($H9*0%,0)</f>
        <v>0</v>
      </c>
      <c r="M9" s="462">
        <f>ROUND($H9*20%,0)</f>
        <v>9</v>
      </c>
      <c r="N9" s="448" t="s">
        <v>510</v>
      </c>
      <c r="P9" s="442">
        <f t="shared" si="0"/>
        <v>23.6</v>
      </c>
      <c r="Q9" s="442">
        <f t="shared" si="1"/>
        <v>20.65</v>
      </c>
      <c r="R9" s="442">
        <f t="shared" si="2"/>
        <v>14.75</v>
      </c>
      <c r="S9" s="442">
        <f t="shared" si="3"/>
        <v>39</v>
      </c>
      <c r="T9" s="423">
        <f t="shared" si="4"/>
        <v>13</v>
      </c>
      <c r="U9" s="423">
        <f t="shared" si="8"/>
        <v>5</v>
      </c>
      <c r="V9" s="423">
        <f t="shared" si="9"/>
        <v>5</v>
      </c>
      <c r="W9" s="423">
        <f t="shared" si="10"/>
        <v>3</v>
      </c>
      <c r="AA9" s="423">
        <f t="shared" si="5"/>
        <v>13</v>
      </c>
      <c r="AB9" s="423">
        <f t="shared" si="6"/>
        <v>1</v>
      </c>
    </row>
    <row r="10" spans="1:28" s="423" customFormat="1" x14ac:dyDescent="0.3">
      <c r="A10" s="445"/>
      <c r="B10" s="450" t="s">
        <v>508</v>
      </c>
      <c r="C10" s="539"/>
      <c r="D10" s="460" t="s">
        <v>499</v>
      </c>
      <c r="E10" s="461" t="s">
        <v>557</v>
      </c>
      <c r="F10" s="464">
        <v>77.5</v>
      </c>
      <c r="G10" s="492">
        <v>44</v>
      </c>
      <c r="H10" s="462">
        <f>ROUND(G10*0.75,0)</f>
        <v>33</v>
      </c>
      <c r="I10" s="462">
        <f>ROUND($H10*80%,0)</f>
        <v>26</v>
      </c>
      <c r="J10" s="462">
        <f>ROUND($H10*10%,0)</f>
        <v>3</v>
      </c>
      <c r="K10" s="462">
        <f>ROUND($H10*10%,0)</f>
        <v>3</v>
      </c>
      <c r="L10" s="462">
        <f>ROUND($H10*0%,0)</f>
        <v>0</v>
      </c>
      <c r="M10" s="462">
        <f>ROUND($H10*20%,0)</f>
        <v>7</v>
      </c>
      <c r="N10" s="448" t="s">
        <v>510</v>
      </c>
      <c r="P10" s="442">
        <f>G10*40%</f>
        <v>17.600000000000001</v>
      </c>
      <c r="Q10" s="442">
        <f>G10*35%</f>
        <v>15.399999999999999</v>
      </c>
      <c r="R10" s="442">
        <f>G10*25%</f>
        <v>11</v>
      </c>
      <c r="S10" s="442">
        <f>I10+J10+L10</f>
        <v>29</v>
      </c>
      <c r="T10" s="423">
        <f>ROUND(S10/3,0)</f>
        <v>10</v>
      </c>
      <c r="U10" s="423">
        <f>ROUND(T10*0.4,0)</f>
        <v>4</v>
      </c>
      <c r="V10" s="423">
        <f>ROUND(T10*0.4,0)</f>
        <v>4</v>
      </c>
      <c r="W10" s="423">
        <f>ROUND(T10*0.2,0)</f>
        <v>2</v>
      </c>
      <c r="AA10" s="423">
        <f>SUM(U10:Z10)</f>
        <v>10</v>
      </c>
      <c r="AB10" s="423">
        <f>MATCH(AA10,T10,0)</f>
        <v>1</v>
      </c>
    </row>
    <row r="11" spans="1:28" s="423" customFormat="1" ht="13.75" customHeight="1" x14ac:dyDescent="0.3">
      <c r="A11" s="445"/>
      <c r="B11" s="450"/>
      <c r="C11" s="541" t="s">
        <v>562</v>
      </c>
      <c r="D11" s="498" t="s">
        <v>506</v>
      </c>
      <c r="E11" s="495" t="s">
        <v>501</v>
      </c>
      <c r="F11" s="499">
        <v>15</v>
      </c>
      <c r="G11" s="500">
        <f>F11/2</f>
        <v>7.5</v>
      </c>
      <c r="H11" s="500">
        <f>ROUND(G11*1,0)</f>
        <v>8</v>
      </c>
      <c r="I11" s="500">
        <f>ROUND($H11*90%,0)</f>
        <v>7</v>
      </c>
      <c r="J11" s="500"/>
      <c r="K11" s="500"/>
      <c r="L11" s="500">
        <f>ROUND($H11*10%,0)</f>
        <v>1</v>
      </c>
      <c r="M11" s="500"/>
      <c r="N11" s="448" t="s">
        <v>550</v>
      </c>
      <c r="P11" s="442">
        <f>G11*20%</f>
        <v>1.5</v>
      </c>
      <c r="Q11" s="442">
        <f>G11*40%</f>
        <v>3</v>
      </c>
      <c r="R11" s="442">
        <f>G11*40%</f>
        <v>3</v>
      </c>
      <c r="S11" s="442">
        <f>I11+J11+L11</f>
        <v>8</v>
      </c>
      <c r="T11" s="423">
        <f>ROUND(S11/3,0)</f>
        <v>3</v>
      </c>
      <c r="V11" s="423">
        <v>1</v>
      </c>
      <c r="Y11" s="423">
        <v>2</v>
      </c>
      <c r="Z11" s="423">
        <v>1</v>
      </c>
      <c r="AA11" s="423">
        <f>SUM(U11:Z11)</f>
        <v>4</v>
      </c>
      <c r="AB11" s="423" t="e">
        <f>MATCH(AA11,T11,0)</f>
        <v>#N/A</v>
      </c>
    </row>
    <row r="12" spans="1:28" s="423" customFormat="1" x14ac:dyDescent="0.3">
      <c r="A12" s="445"/>
      <c r="B12" s="450"/>
      <c r="C12" s="541"/>
      <c r="D12" s="498" t="s">
        <v>505</v>
      </c>
      <c r="E12" s="495" t="s">
        <v>502</v>
      </c>
      <c r="F12" s="499">
        <v>15</v>
      </c>
      <c r="G12" s="500">
        <f>F12/2</f>
        <v>7.5</v>
      </c>
      <c r="H12" s="500">
        <f>ROUND(G12*1,0)</f>
        <v>8</v>
      </c>
      <c r="I12" s="500">
        <f>ROUND($H12*80%,0)</f>
        <v>6</v>
      </c>
      <c r="J12" s="500">
        <f>ROUND($H12*10%,0)</f>
        <v>1</v>
      </c>
      <c r="K12" s="500"/>
      <c r="L12" s="500">
        <f>ROUND($H12*10%,0)</f>
        <v>1</v>
      </c>
      <c r="M12" s="500"/>
      <c r="N12" s="448" t="s">
        <v>553</v>
      </c>
      <c r="P12" s="442">
        <f>G12*30%</f>
        <v>2.25</v>
      </c>
      <c r="Q12" s="442">
        <f>G12*35%</f>
        <v>2.625</v>
      </c>
      <c r="R12" s="442">
        <f>G12*35%</f>
        <v>2.625</v>
      </c>
      <c r="S12" s="442">
        <f>I12+J12+L12</f>
        <v>8</v>
      </c>
      <c r="T12" s="423">
        <f>ROUND(S12/3,0)</f>
        <v>3</v>
      </c>
      <c r="U12" s="423">
        <v>1</v>
      </c>
      <c r="V12" s="423">
        <v>1</v>
      </c>
      <c r="W12" s="423">
        <v>1</v>
      </c>
      <c r="Y12" s="423">
        <v>1</v>
      </c>
      <c r="AA12" s="423">
        <f>SUM(U12:Z12)</f>
        <v>4</v>
      </c>
      <c r="AB12" s="423" t="e">
        <f>MATCH(AA12,T12,0)</f>
        <v>#N/A</v>
      </c>
    </row>
    <row r="13" spans="1:28" s="423" customFormat="1" x14ac:dyDescent="0.3">
      <c r="A13" s="445"/>
      <c r="B13" s="450"/>
      <c r="C13" s="541"/>
      <c r="D13" s="465" t="s">
        <v>504</v>
      </c>
      <c r="E13" s="466" t="s">
        <v>582</v>
      </c>
      <c r="F13" s="467">
        <v>150</v>
      </c>
      <c r="G13" s="493">
        <v>90</v>
      </c>
      <c r="H13" s="468">
        <f>ROUND(G13*1,0)</f>
        <v>90</v>
      </c>
      <c r="I13" s="468">
        <f>ROUND($H13*70%,0)</f>
        <v>63</v>
      </c>
      <c r="J13" s="468">
        <f>ROUND($H13*10%,0)</f>
        <v>9</v>
      </c>
      <c r="K13" s="468">
        <f>ROUND($H13*10%,0)</f>
        <v>9</v>
      </c>
      <c r="L13" s="468">
        <f>ROUND($H13*10%,0)</f>
        <v>9</v>
      </c>
      <c r="M13" s="468"/>
      <c r="N13" s="448" t="s">
        <v>549</v>
      </c>
      <c r="P13" s="442">
        <f>G13*40%</f>
        <v>36</v>
      </c>
      <c r="Q13" s="442">
        <f>G13*35%</f>
        <v>31.499999999999996</v>
      </c>
      <c r="R13" s="442">
        <f>G13*25%</f>
        <v>22.5</v>
      </c>
      <c r="S13" s="442">
        <f>I13+J13+L13</f>
        <v>81</v>
      </c>
      <c r="T13" s="423">
        <f>ROUND(S13/3,0)</f>
        <v>27</v>
      </c>
      <c r="U13" s="423">
        <f>ROUND(T13*0.3,0)</f>
        <v>8</v>
      </c>
      <c r="V13" s="423">
        <f>ROUND(T13*0.35,0)</f>
        <v>9</v>
      </c>
      <c r="W13" s="423">
        <f>ROUND(T13*0.25,0)</f>
        <v>7</v>
      </c>
      <c r="X13" s="423">
        <v>1</v>
      </c>
      <c r="Y13" s="423">
        <v>1</v>
      </c>
      <c r="Z13" s="423">
        <v>1</v>
      </c>
      <c r="AA13" s="423">
        <f>SUM(U13:Z13)</f>
        <v>27</v>
      </c>
      <c r="AB13" s="423">
        <f>MATCH(AA13,T13,0)</f>
        <v>1</v>
      </c>
    </row>
    <row r="14" spans="1:28" s="423" customFormat="1" x14ac:dyDescent="0.3">
      <c r="A14" s="445"/>
      <c r="C14" s="541"/>
      <c r="D14" s="465" t="s">
        <v>498</v>
      </c>
      <c r="E14" s="466" t="s">
        <v>497</v>
      </c>
      <c r="F14" s="467">
        <v>30</v>
      </c>
      <c r="G14" s="493">
        <v>29</v>
      </c>
      <c r="H14" s="468">
        <f>ROUND(G14*0.75,0)</f>
        <v>22</v>
      </c>
      <c r="I14" s="468">
        <f>ROUND($H14*80%,0)</f>
        <v>18</v>
      </c>
      <c r="J14" s="468">
        <f>ROUND($H14*10%,0)</f>
        <v>2</v>
      </c>
      <c r="K14" s="468">
        <f>ROUND($H14*10%,0)</f>
        <v>2</v>
      </c>
      <c r="L14" s="468">
        <f>ROUND($H14*0%,0)</f>
        <v>0</v>
      </c>
      <c r="M14" s="468">
        <f>ROUND($H14*20%,0)</f>
        <v>4</v>
      </c>
      <c r="N14" s="448"/>
      <c r="P14" s="442">
        <f>G19*40%</f>
        <v>0</v>
      </c>
      <c r="Q14" s="442">
        <f>G19*35%</f>
        <v>0</v>
      </c>
      <c r="R14" s="442">
        <f>G19*25%</f>
        <v>0</v>
      </c>
      <c r="S14" s="442">
        <f>I19+J19+L19</f>
        <v>0</v>
      </c>
      <c r="T14" s="423">
        <f>ROUND(S14/3,0)</f>
        <v>0</v>
      </c>
      <c r="AA14" s="423">
        <f>SUM(U14:Z14)</f>
        <v>0</v>
      </c>
      <c r="AB14" s="423">
        <f>MATCH(AA14,T14,0)</f>
        <v>1</v>
      </c>
    </row>
    <row r="15" spans="1:28" s="423" customFormat="1" x14ac:dyDescent="0.3">
      <c r="A15" s="445"/>
      <c r="B15" s="450" t="s">
        <v>508</v>
      </c>
      <c r="C15" s="542" t="s">
        <v>561</v>
      </c>
      <c r="D15" s="469" t="s">
        <v>326</v>
      </c>
      <c r="E15" s="470" t="s">
        <v>481</v>
      </c>
      <c r="F15" s="471">
        <f>200-F9</f>
        <v>39.5</v>
      </c>
      <c r="G15" s="472">
        <v>59</v>
      </c>
      <c r="H15" s="472">
        <f>ROUND(G15*0.75,0)</f>
        <v>44</v>
      </c>
      <c r="I15" s="472">
        <f>ROUND($H15*80%,0)</f>
        <v>35</v>
      </c>
      <c r="J15" s="472">
        <f t="shared" ref="J15:K15" si="11">ROUND($H15*10%,0)</f>
        <v>4</v>
      </c>
      <c r="K15" s="472">
        <f t="shared" si="11"/>
        <v>4</v>
      </c>
      <c r="L15" s="472">
        <f>ROUND($H15*0%,0)</f>
        <v>0</v>
      </c>
      <c r="M15" s="472">
        <f>ROUND($H15*20%,0)</f>
        <v>9</v>
      </c>
      <c r="N15" s="448" t="s">
        <v>510</v>
      </c>
      <c r="P15" s="442">
        <f>G14*40%</f>
        <v>11.600000000000001</v>
      </c>
      <c r="Q15" s="442">
        <f>G14*35%</f>
        <v>10.149999999999999</v>
      </c>
      <c r="R15" s="442">
        <f>G14*25%</f>
        <v>7.25</v>
      </c>
      <c r="S15" s="442">
        <f>I14+J14+L14</f>
        <v>20</v>
      </c>
      <c r="T15" s="423">
        <f t="shared" si="4"/>
        <v>7</v>
      </c>
      <c r="U15" s="423">
        <f t="shared" si="8"/>
        <v>3</v>
      </c>
      <c r="V15" s="423">
        <f t="shared" si="9"/>
        <v>3</v>
      </c>
      <c r="W15" s="423">
        <f t="shared" si="10"/>
        <v>1</v>
      </c>
      <c r="AA15" s="423">
        <f t="shared" si="5"/>
        <v>7</v>
      </c>
      <c r="AB15" s="423">
        <f t="shared" si="6"/>
        <v>1</v>
      </c>
    </row>
    <row r="16" spans="1:28" s="423" customFormat="1" x14ac:dyDescent="0.3">
      <c r="A16" s="445"/>
      <c r="B16" s="450"/>
      <c r="C16" s="542"/>
      <c r="D16" s="469" t="s">
        <v>295</v>
      </c>
      <c r="E16" s="470" t="s">
        <v>482</v>
      </c>
      <c r="F16" s="471">
        <f>35-F3</f>
        <v>6</v>
      </c>
      <c r="G16" s="472">
        <f>F16/2.64</f>
        <v>2.2727272727272725</v>
      </c>
      <c r="H16" s="472">
        <f>ROUND(G16*0.75,0)</f>
        <v>2</v>
      </c>
      <c r="I16" s="472">
        <f>ROUND($H16*90%,0)</f>
        <v>2</v>
      </c>
      <c r="J16" s="472"/>
      <c r="K16" s="472">
        <f>ROUND($H16*10%,0)</f>
        <v>0</v>
      </c>
      <c r="L16" s="472"/>
      <c r="M16" s="472">
        <f>ROUND($H16*10%,0)</f>
        <v>0</v>
      </c>
      <c r="N16" s="448" t="s">
        <v>533</v>
      </c>
      <c r="P16" s="442"/>
      <c r="Q16" s="442">
        <f>G15*35%</f>
        <v>20.65</v>
      </c>
      <c r="R16" s="442"/>
      <c r="S16" s="442"/>
    </row>
    <row r="17" spans="1:28" s="423" customFormat="1" x14ac:dyDescent="0.3">
      <c r="A17" s="445"/>
      <c r="B17" s="450"/>
      <c r="C17" s="542"/>
      <c r="D17" s="469" t="s">
        <v>489</v>
      </c>
      <c r="E17" s="470" t="s">
        <v>490</v>
      </c>
      <c r="F17" s="471">
        <f>66-F5</f>
        <v>35.5</v>
      </c>
      <c r="G17" s="472">
        <f>F17/1.79</f>
        <v>19.83240223463687</v>
      </c>
      <c r="H17" s="472">
        <f>ROUND(G17*1.2,0)</f>
        <v>24</v>
      </c>
      <c r="I17" s="472">
        <f>ROUND($H17*70%,0)</f>
        <v>17</v>
      </c>
      <c r="J17" s="472"/>
      <c r="K17" s="472">
        <f>ROUND($H17*10%,0)</f>
        <v>2</v>
      </c>
      <c r="L17" s="472">
        <f>ROUND($H17*20%,0)</f>
        <v>5</v>
      </c>
      <c r="M17" s="472">
        <f>ROUND($H17*10%,0)</f>
        <v>2</v>
      </c>
      <c r="N17" s="448" t="s">
        <v>552</v>
      </c>
      <c r="P17" s="442"/>
      <c r="Q17" s="442"/>
      <c r="R17" s="442"/>
      <c r="S17" s="442"/>
    </row>
    <row r="18" spans="1:28" s="423" customFormat="1" x14ac:dyDescent="0.3">
      <c r="A18" s="445"/>
      <c r="B18" s="450"/>
      <c r="C18" s="542"/>
      <c r="D18" s="469" t="s">
        <v>493</v>
      </c>
      <c r="E18" s="470" t="s">
        <v>494</v>
      </c>
      <c r="F18" s="471">
        <f>93-F7</f>
        <v>44</v>
      </c>
      <c r="G18" s="472">
        <f>F18/2.33</f>
        <v>18.884120171673818</v>
      </c>
      <c r="H18" s="472">
        <f>ROUND(G18*0.75,0)</f>
        <v>14</v>
      </c>
      <c r="I18" s="472">
        <f>ROUND($H18*60%,0)</f>
        <v>8</v>
      </c>
      <c r="J18" s="472">
        <f>ROUND($H18*10%,0)</f>
        <v>1</v>
      </c>
      <c r="K18" s="472">
        <f>ROUND($H18*10%,0)</f>
        <v>1</v>
      </c>
      <c r="L18" s="472">
        <f>ROUND($H18*20%,0)</f>
        <v>3</v>
      </c>
      <c r="M18" s="472">
        <f>ROUND($H18*20%,0)</f>
        <v>3</v>
      </c>
      <c r="N18" s="448" t="s">
        <v>555</v>
      </c>
      <c r="P18" s="442"/>
      <c r="Q18" s="442"/>
      <c r="R18" s="442"/>
      <c r="S18" s="442"/>
    </row>
    <row r="19" spans="1:28" s="423" customFormat="1" x14ac:dyDescent="0.3">
      <c r="A19" s="445"/>
      <c r="B19" s="450" t="s">
        <v>530</v>
      </c>
      <c r="C19" s="473"/>
      <c r="F19" s="464"/>
      <c r="G19" s="462"/>
      <c r="H19" s="462"/>
      <c r="I19" s="462"/>
      <c r="J19" s="462"/>
      <c r="K19" s="462"/>
      <c r="L19" s="462"/>
      <c r="M19" s="462"/>
      <c r="N19" s="448"/>
      <c r="P19" s="442"/>
      <c r="Q19" s="442"/>
      <c r="R19" s="442"/>
      <c r="S19" s="442"/>
    </row>
    <row r="20" spans="1:28" ht="15" customHeight="1" x14ac:dyDescent="0.3">
      <c r="B20" s="454"/>
      <c r="C20" s="540" t="s">
        <v>62</v>
      </c>
      <c r="D20" s="540"/>
      <c r="E20" s="540"/>
      <c r="F20" s="474">
        <f>SUM(F3:F19)</f>
        <v>801.25</v>
      </c>
      <c r="G20" s="474">
        <f>SUM(G3:G14)</f>
        <v>349</v>
      </c>
      <c r="H20" s="474">
        <f>SUM(H3:H14)</f>
        <v>308</v>
      </c>
      <c r="I20" s="474">
        <f t="shared" ref="I20:M20" si="12">SUM(I3:I14)</f>
        <v>230</v>
      </c>
      <c r="J20" s="474">
        <f t="shared" si="12"/>
        <v>27</v>
      </c>
      <c r="K20" s="474">
        <f t="shared" si="12"/>
        <v>24</v>
      </c>
      <c r="L20" s="474">
        <f t="shared" si="12"/>
        <v>27</v>
      </c>
      <c r="M20" s="474">
        <f t="shared" si="12"/>
        <v>28</v>
      </c>
      <c r="N20" s="446"/>
      <c r="P20" s="421">
        <f>SUM(P3:P19)</f>
        <v>131.54999999999998</v>
      </c>
      <c r="Q20" s="421">
        <f>SUM(Q3:Q19)</f>
        <v>146.57500000000002</v>
      </c>
      <c r="R20" s="421">
        <f>SUM(R3:R19)</f>
        <v>91.525000000000006</v>
      </c>
      <c r="S20" s="442">
        <f t="shared" si="3"/>
        <v>284</v>
      </c>
      <c r="T20" s="421">
        <f t="shared" ref="T20:Z20" si="13">SUM(T3:T19)</f>
        <v>96</v>
      </c>
      <c r="U20" s="421">
        <f t="shared" si="13"/>
        <v>34</v>
      </c>
      <c r="V20" s="421">
        <f t="shared" si="13"/>
        <v>40</v>
      </c>
      <c r="W20" s="421">
        <f t="shared" si="13"/>
        <v>22</v>
      </c>
      <c r="X20" s="421">
        <f t="shared" si="13"/>
        <v>8</v>
      </c>
      <c r="Y20" s="421">
        <f t="shared" si="13"/>
        <v>10</v>
      </c>
      <c r="Z20" s="421">
        <f t="shared" si="13"/>
        <v>7</v>
      </c>
      <c r="AB20" s="423"/>
    </row>
    <row r="21" spans="1:28" x14ac:dyDescent="0.3">
      <c r="E21" s="451"/>
      <c r="F21" s="453"/>
      <c r="G21" s="452"/>
      <c r="H21" s="453">
        <f>H20/G20</f>
        <v>0.88252148997134672</v>
      </c>
      <c r="I21" s="452"/>
      <c r="J21" s="452"/>
      <c r="K21" s="452"/>
      <c r="L21" s="452"/>
      <c r="M21" s="455"/>
      <c r="P21" s="443">
        <f>P20/G$20%</f>
        <v>37.693409742120338</v>
      </c>
      <c r="Q21" s="443">
        <f>Q20/G$20%</f>
        <v>41.998567335243557</v>
      </c>
      <c r="R21" s="443">
        <f>R20/G$20%</f>
        <v>26.224928366762178</v>
      </c>
      <c r="S21" s="442">
        <f>I26+J26+L26</f>
        <v>275.75912636505456</v>
      </c>
      <c r="U21" s="440">
        <f>U20/T20</f>
        <v>0.35416666666666669</v>
      </c>
      <c r="V21" s="440">
        <f>V20/T20</f>
        <v>0.41666666666666669</v>
      </c>
      <c r="W21" s="440">
        <f>W20/T20</f>
        <v>0.22916666666666666</v>
      </c>
      <c r="X21" s="440">
        <f>X20/T20</f>
        <v>8.3333333333333329E-2</v>
      </c>
      <c r="Y21" s="440">
        <f>Y20/T20</f>
        <v>0.10416666666666667</v>
      </c>
      <c r="Z21" s="440">
        <f>Z20/T20</f>
        <v>7.2916666666666671E-2</v>
      </c>
      <c r="AB21" s="423"/>
    </row>
    <row r="22" spans="1:28" x14ac:dyDescent="0.3">
      <c r="C22" s="456" t="s">
        <v>509</v>
      </c>
      <c r="D22" s="456" t="s">
        <v>485</v>
      </c>
      <c r="E22" s="457" t="s">
        <v>486</v>
      </c>
      <c r="F22" s="453">
        <v>22</v>
      </c>
      <c r="G22" s="494">
        <v>9</v>
      </c>
      <c r="H22" s="452"/>
      <c r="I22" s="452"/>
      <c r="J22" s="452"/>
      <c r="K22" s="452"/>
      <c r="L22" s="452"/>
      <c r="M22" s="455"/>
    </row>
    <row r="23" spans="1:28" x14ac:dyDescent="0.3">
      <c r="D23" s="456" t="s">
        <v>584</v>
      </c>
      <c r="E23" s="457" t="s">
        <v>583</v>
      </c>
      <c r="G23" s="494">
        <v>603</v>
      </c>
    </row>
    <row r="24" spans="1:28" x14ac:dyDescent="0.3">
      <c r="D24" s="496" t="s">
        <v>487</v>
      </c>
      <c r="E24" s="497" t="s">
        <v>488</v>
      </c>
      <c r="G24" s="494"/>
    </row>
    <row r="25" spans="1:28" x14ac:dyDescent="0.3">
      <c r="D25" s="456"/>
      <c r="E25" s="457"/>
      <c r="G25" s="494"/>
    </row>
    <row r="26" spans="1:28" x14ac:dyDescent="0.3">
      <c r="E26" s="422" t="s">
        <v>559</v>
      </c>
      <c r="F26" s="426">
        <f>800-22</f>
        <v>778</v>
      </c>
      <c r="G26" s="443">
        <f t="shared" ref="G26:M26" si="14">F26/F20*G20</f>
        <v>338.8730109204368</v>
      </c>
      <c r="H26" s="443">
        <f t="shared" si="14"/>
        <v>299.06271450858031</v>
      </c>
      <c r="I26" s="443">
        <f t="shared" si="14"/>
        <v>223.32605304212166</v>
      </c>
      <c r="J26" s="443">
        <f t="shared" si="14"/>
        <v>26.216536661466456</v>
      </c>
      <c r="K26" s="443">
        <f t="shared" si="14"/>
        <v>23.303588143525737</v>
      </c>
      <c r="L26" s="443">
        <f t="shared" si="14"/>
        <v>26.216536661466453</v>
      </c>
      <c r="M26" s="443">
        <f t="shared" si="14"/>
        <v>27.187519500780024</v>
      </c>
      <c r="V26" s="422" t="s">
        <v>528</v>
      </c>
      <c r="W26" s="422" t="s">
        <v>529</v>
      </c>
      <c r="X26" s="422" t="s">
        <v>285</v>
      </c>
      <c r="Y26" s="422" t="s">
        <v>534</v>
      </c>
    </row>
    <row r="27" spans="1:28" x14ac:dyDescent="0.3">
      <c r="T27" s="422" t="s">
        <v>526</v>
      </c>
      <c r="U27" s="422" t="s">
        <v>517</v>
      </c>
      <c r="V27" s="424">
        <f>U$20/T$20%</f>
        <v>35.416666666666671</v>
      </c>
      <c r="W27" s="424">
        <f>U20</f>
        <v>34</v>
      </c>
      <c r="X27" s="422">
        <f t="shared" ref="X27:X32" si="15">W27/T$20*H$32</f>
        <v>100.58333333333334</v>
      </c>
      <c r="Y27" s="422">
        <f>X27/W27</f>
        <v>2.9583333333333335</v>
      </c>
    </row>
    <row r="28" spans="1:28" x14ac:dyDescent="0.3">
      <c r="G28" s="441">
        <f>F20/G20</f>
        <v>2.2958452722063036</v>
      </c>
      <c r="H28" s="441"/>
      <c r="U28" s="422" t="s">
        <v>518</v>
      </c>
      <c r="V28" s="424">
        <f>V20/T20%</f>
        <v>41.666666666666671</v>
      </c>
      <c r="W28" s="424">
        <f>V20</f>
        <v>40</v>
      </c>
      <c r="X28" s="422">
        <f t="shared" si="15"/>
        <v>118.33333333333334</v>
      </c>
      <c r="Y28" s="422">
        <f t="shared" ref="Y28:Y32" si="16">X28/W28</f>
        <v>2.9583333333333335</v>
      </c>
    </row>
    <row r="29" spans="1:28" x14ac:dyDescent="0.3">
      <c r="G29" s="441">
        <f>G20/F20</f>
        <v>0.43556942277691107</v>
      </c>
      <c r="H29" s="441">
        <f>(I20+J20+L20)/G20</f>
        <v>0.81375358166189116</v>
      </c>
      <c r="U29" s="422" t="s">
        <v>519</v>
      </c>
      <c r="V29" s="424">
        <f>W20/T20%</f>
        <v>22.916666666666668</v>
      </c>
      <c r="W29" s="424">
        <f>W20</f>
        <v>22</v>
      </c>
      <c r="X29" s="422">
        <f t="shared" si="15"/>
        <v>65.083333333333329</v>
      </c>
      <c r="Y29" s="422">
        <f t="shared" si="16"/>
        <v>2.958333333333333</v>
      </c>
    </row>
    <row r="30" spans="1:28" x14ac:dyDescent="0.3">
      <c r="T30" s="422" t="s">
        <v>527</v>
      </c>
      <c r="U30" s="422" t="s">
        <v>517</v>
      </c>
      <c r="V30" s="424">
        <f>X20/T20%</f>
        <v>8.3333333333333339</v>
      </c>
      <c r="W30" s="424">
        <f>X20</f>
        <v>8</v>
      </c>
      <c r="X30" s="422">
        <f t="shared" si="15"/>
        <v>23.666666666666664</v>
      </c>
      <c r="Y30" s="422">
        <f t="shared" si="16"/>
        <v>2.958333333333333</v>
      </c>
    </row>
    <row r="31" spans="1:28" x14ac:dyDescent="0.3">
      <c r="G31" s="424"/>
      <c r="K31" s="422" t="s">
        <v>22</v>
      </c>
      <c r="L31" s="422" t="s">
        <v>535</v>
      </c>
      <c r="U31" s="422" t="s">
        <v>518</v>
      </c>
      <c r="V31" s="424">
        <f>Y20/T20%</f>
        <v>10.416666666666668</v>
      </c>
      <c r="W31" s="424">
        <f>Y20</f>
        <v>10</v>
      </c>
      <c r="X31" s="422">
        <f t="shared" si="15"/>
        <v>29.583333333333336</v>
      </c>
      <c r="Y31" s="422">
        <f t="shared" si="16"/>
        <v>2.9583333333333335</v>
      </c>
    </row>
    <row r="32" spans="1:28" x14ac:dyDescent="0.3">
      <c r="E32" s="422" t="s">
        <v>513</v>
      </c>
      <c r="F32" s="422" t="s">
        <v>511</v>
      </c>
      <c r="G32" s="424">
        <f>I20+L20</f>
        <v>257</v>
      </c>
      <c r="H32" s="424">
        <f>G32+G33</f>
        <v>284</v>
      </c>
      <c r="I32" s="422" t="s">
        <v>527</v>
      </c>
      <c r="J32" s="441">
        <f>36/H32%</f>
        <v>12.67605633802817</v>
      </c>
      <c r="K32" s="424">
        <f>L20</f>
        <v>27</v>
      </c>
      <c r="L32" s="441">
        <f>K32/3</f>
        <v>9</v>
      </c>
      <c r="U32" s="422" t="s">
        <v>519</v>
      </c>
      <c r="V32" s="424">
        <f>Z20/T20%</f>
        <v>7.291666666666667</v>
      </c>
      <c r="W32" s="424">
        <f>Z20</f>
        <v>7</v>
      </c>
      <c r="X32" s="422">
        <f t="shared" si="15"/>
        <v>20.708333333333336</v>
      </c>
      <c r="Y32" s="422">
        <f t="shared" si="16"/>
        <v>2.9583333333333335</v>
      </c>
    </row>
    <row r="33" spans="6:24" x14ac:dyDescent="0.3">
      <c r="F33" s="422" t="s">
        <v>512</v>
      </c>
      <c r="G33" s="424">
        <f>J20</f>
        <v>27</v>
      </c>
      <c r="I33" s="422" t="s">
        <v>526</v>
      </c>
      <c r="J33" s="441">
        <f>(H32-L20)/H32%</f>
        <v>90.492957746478879</v>
      </c>
      <c r="K33" s="424">
        <f>I20+J20</f>
        <v>257</v>
      </c>
      <c r="L33" s="441">
        <f>K33/3</f>
        <v>85.666666666666671</v>
      </c>
      <c r="V33" s="424">
        <f>SUM(V27:V32)</f>
        <v>126.04166666666669</v>
      </c>
      <c r="X33" s="422">
        <f>SUM(X27:X32)</f>
        <v>357.95833333333331</v>
      </c>
    </row>
  </sheetData>
  <mergeCells count="4">
    <mergeCell ref="C3:C10"/>
    <mergeCell ref="C20:E20"/>
    <mergeCell ref="C11:C14"/>
    <mergeCell ref="C15:C18"/>
  </mergeCells>
  <conditionalFormatting sqref="V33">
    <cfRule type="cellIs" dxfId="140" priority="1" operator="lessThan">
      <formula>99.99</formula>
    </cfRule>
    <cfRule type="cellIs" dxfId="139" priority="2" operator="equal">
      <formula>100</formula>
    </cfRule>
  </conditionalFormatting>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8"/>
  <sheetViews>
    <sheetView zoomScale="85" zoomScaleNormal="85" workbookViewId="0">
      <pane xSplit="3" topLeftCell="D1" activePane="topRight" state="frozen"/>
      <selection pane="topRight" activeCell="I18" sqref="I18"/>
    </sheetView>
  </sheetViews>
  <sheetFormatPr defaultColWidth="9.08984375" defaultRowHeight="13" x14ac:dyDescent="0.3"/>
  <cols>
    <col min="1" max="1" width="5" style="422" bestFit="1" customWidth="1"/>
    <col min="2" max="2" width="11.54296875" style="422" customWidth="1"/>
    <col min="3" max="3" width="44" style="422" customWidth="1"/>
    <col min="4" max="4" width="12.26953125" style="422" customWidth="1"/>
    <col min="5" max="5" width="12.08984375" style="422" customWidth="1"/>
    <col min="6" max="6" width="11.08984375" style="422" customWidth="1"/>
    <col min="7" max="7" width="12.453125" style="422" customWidth="1"/>
    <col min="8" max="8" width="12.36328125" style="422" bestFit="1" customWidth="1"/>
    <col min="9" max="9" width="14" style="422" customWidth="1"/>
    <col min="10" max="10" width="10.453125" style="422" customWidth="1"/>
    <col min="11" max="11" width="8.453125" style="422" customWidth="1"/>
    <col min="12" max="12" width="16.453125" style="422" customWidth="1"/>
    <col min="13" max="13" width="12" style="422" customWidth="1"/>
    <col min="14" max="14" width="10.08984375" style="422" bestFit="1" customWidth="1"/>
    <col min="15" max="15" width="96.90625" style="422" customWidth="1"/>
    <col min="16" max="19" width="9.08984375" style="422"/>
    <col min="20" max="20" width="8.54296875" style="422" hidden="1" customWidth="1"/>
    <col min="21" max="21" width="8.453125" style="422" hidden="1" customWidth="1"/>
    <col min="22" max="22" width="7.54296875" style="422" hidden="1" customWidth="1"/>
    <col min="23" max="23" width="8" style="422" hidden="1" customWidth="1"/>
    <col min="24" max="24" width="7.81640625" style="422" hidden="1" customWidth="1"/>
    <col min="25" max="25" width="8.08984375" style="422" hidden="1" customWidth="1"/>
    <col min="26" max="26" width="7.6328125" style="422" hidden="1" customWidth="1"/>
    <col min="27" max="29" width="0" style="422" hidden="1" customWidth="1"/>
    <col min="30" max="16384" width="9.08984375" style="422"/>
  </cols>
  <sheetData>
    <row r="1" spans="1:29" s="426" customFormat="1" ht="37.5" customHeight="1" x14ac:dyDescent="0.3">
      <c r="A1" s="410" t="s">
        <v>507</v>
      </c>
      <c r="B1" s="410" t="s">
        <v>282</v>
      </c>
      <c r="C1" s="410" t="s">
        <v>283</v>
      </c>
      <c r="D1" s="516" t="s">
        <v>515</v>
      </c>
      <c r="E1" s="516" t="s">
        <v>587</v>
      </c>
      <c r="F1" s="516" t="s">
        <v>588</v>
      </c>
      <c r="G1" s="520" t="s">
        <v>590</v>
      </c>
      <c r="H1" s="520" t="s">
        <v>591</v>
      </c>
      <c r="I1" s="425" t="s">
        <v>543</v>
      </c>
      <c r="J1" s="425" t="s">
        <v>545</v>
      </c>
      <c r="K1" s="425" t="s">
        <v>480</v>
      </c>
      <c r="L1" s="425" t="s">
        <v>273</v>
      </c>
      <c r="M1" s="425" t="s">
        <v>546</v>
      </c>
      <c r="N1" s="425" t="s">
        <v>514</v>
      </c>
      <c r="O1" s="411" t="s">
        <v>10</v>
      </c>
      <c r="Q1" s="410" t="s">
        <v>536</v>
      </c>
      <c r="R1" s="410" t="s">
        <v>538</v>
      </c>
      <c r="S1" s="410" t="s">
        <v>537</v>
      </c>
      <c r="U1" s="425" t="s">
        <v>516</v>
      </c>
      <c r="V1" s="425" t="s">
        <v>520</v>
      </c>
      <c r="W1" s="425" t="s">
        <v>521</v>
      </c>
      <c r="X1" s="425" t="s">
        <v>522</v>
      </c>
      <c r="Y1" s="425" t="s">
        <v>523</v>
      </c>
      <c r="Z1" s="425" t="s">
        <v>524</v>
      </c>
      <c r="AA1" s="425" t="s">
        <v>525</v>
      </c>
    </row>
    <row r="2" spans="1:29" s="423" customFormat="1" x14ac:dyDescent="0.3">
      <c r="A2" s="412"/>
      <c r="B2" s="412"/>
      <c r="C2" s="413"/>
      <c r="D2" s="414"/>
      <c r="E2" s="415"/>
      <c r="F2" s="444"/>
      <c r="G2" s="414"/>
      <c r="H2" s="415"/>
      <c r="I2" s="444" t="s">
        <v>547</v>
      </c>
      <c r="J2" s="444" t="s">
        <v>539</v>
      </c>
      <c r="K2" s="444" t="s">
        <v>540</v>
      </c>
      <c r="L2" s="444" t="s">
        <v>541</v>
      </c>
      <c r="M2" s="444" t="s">
        <v>542</v>
      </c>
      <c r="N2" s="444"/>
      <c r="O2" s="416"/>
    </row>
    <row r="3" spans="1:29" s="423" customFormat="1" x14ac:dyDescent="0.3">
      <c r="A3" s="412"/>
      <c r="B3" s="412" t="s">
        <v>504</v>
      </c>
      <c r="C3" s="413" t="s">
        <v>582</v>
      </c>
      <c r="D3" s="414">
        <v>150</v>
      </c>
      <c r="E3" s="415">
        <v>75</v>
      </c>
      <c r="F3" s="415">
        <v>75</v>
      </c>
      <c r="G3" s="414">
        <v>184</v>
      </c>
      <c r="H3" s="517">
        <v>90</v>
      </c>
      <c r="I3" s="415">
        <f>ROUND(H3*1,0)</f>
        <v>90</v>
      </c>
      <c r="J3" s="417">
        <f>ROUND($I3*70%,0)</f>
        <v>63</v>
      </c>
      <c r="K3" s="417">
        <f>ROUND($I3*10%,0)</f>
        <v>9</v>
      </c>
      <c r="L3" s="417">
        <f>ROUND($I3*10%,0)</f>
        <v>9</v>
      </c>
      <c r="M3" s="415">
        <f>ROUND($I3*10%,0)</f>
        <v>9</v>
      </c>
      <c r="N3" s="415"/>
      <c r="O3" s="416" t="s">
        <v>549</v>
      </c>
      <c r="Q3" s="442">
        <f>H3*40%</f>
        <v>36</v>
      </c>
      <c r="R3" s="442">
        <f>H3*35%</f>
        <v>31.499999999999996</v>
      </c>
      <c r="S3" s="442">
        <f>H3*25%</f>
        <v>22.5</v>
      </c>
      <c r="T3" s="442">
        <f>J3+K3+M3</f>
        <v>81</v>
      </c>
      <c r="U3" s="423">
        <f>ROUND(T3/3,0)</f>
        <v>27</v>
      </c>
      <c r="V3" s="423">
        <f>ROUND(U3*0.3,0)</f>
        <v>8</v>
      </c>
      <c r="W3" s="423">
        <f>ROUND(U3*0.35,0)</f>
        <v>9</v>
      </c>
      <c r="X3" s="423">
        <f>ROUND(U3*0.25,0)</f>
        <v>7</v>
      </c>
      <c r="Y3" s="423">
        <v>1</v>
      </c>
      <c r="Z3" s="423">
        <v>1</v>
      </c>
      <c r="AA3" s="423">
        <v>1</v>
      </c>
      <c r="AB3" s="423">
        <f>SUM(V3:AA3)</f>
        <v>27</v>
      </c>
      <c r="AC3" s="423">
        <f>MATCH(AB3,U3,0)</f>
        <v>1</v>
      </c>
    </row>
    <row r="4" spans="1:29" s="423" customFormat="1" x14ac:dyDescent="0.3">
      <c r="A4" s="417"/>
      <c r="B4" s="417" t="s">
        <v>295</v>
      </c>
      <c r="C4" s="418" t="s">
        <v>482</v>
      </c>
      <c r="D4" s="417">
        <v>35</v>
      </c>
      <c r="E4" s="415">
        <v>17.5</v>
      </c>
      <c r="F4" s="417">
        <v>13</v>
      </c>
      <c r="G4" s="417">
        <v>27</v>
      </c>
      <c r="H4" s="517">
        <v>11</v>
      </c>
      <c r="I4" s="417">
        <f>ROUND(H4*0.75,0)</f>
        <v>8</v>
      </c>
      <c r="J4" s="417">
        <f>ROUND($I4*90%,0)</f>
        <v>7</v>
      </c>
      <c r="K4" s="417"/>
      <c r="L4" s="417">
        <f>ROUND($I4*10%,0)</f>
        <v>1</v>
      </c>
      <c r="M4" s="417"/>
      <c r="N4" s="417">
        <f>ROUND($I4*10%,0)</f>
        <v>1</v>
      </c>
      <c r="O4" s="416" t="s">
        <v>533</v>
      </c>
      <c r="Q4" s="442">
        <f t="shared" ref="Q4:Q17" si="0">H4*40%</f>
        <v>4.4000000000000004</v>
      </c>
      <c r="R4" s="442">
        <f t="shared" ref="R4:R17" si="1">H4*35%</f>
        <v>3.8499999999999996</v>
      </c>
      <c r="S4" s="442">
        <f t="shared" ref="S4:S17" si="2">H4*25%</f>
        <v>2.75</v>
      </c>
      <c r="T4" s="442">
        <f t="shared" ref="T4:T18" si="3">J4+K4+M4</f>
        <v>7</v>
      </c>
      <c r="U4" s="423">
        <f t="shared" ref="U4:U17" si="4">ROUND(T4/3,0)</f>
        <v>2</v>
      </c>
      <c r="V4" s="423">
        <v>1</v>
      </c>
      <c r="W4" s="423">
        <v>2</v>
      </c>
      <c r="X4" s="423">
        <v>1</v>
      </c>
      <c r="AB4" s="423">
        <f t="shared" ref="AB4:AB17" si="5">SUM(V4:AA4)</f>
        <v>4</v>
      </c>
      <c r="AC4" s="423" t="e">
        <f t="shared" ref="AC4:AC17" si="6">MATCH(AB4,U4,0)</f>
        <v>#N/A</v>
      </c>
    </row>
    <row r="5" spans="1:29" s="423" customFormat="1" x14ac:dyDescent="0.3">
      <c r="A5" s="510"/>
      <c r="B5" s="510" t="s">
        <v>506</v>
      </c>
      <c r="C5" s="511" t="s">
        <v>501</v>
      </c>
      <c r="D5" s="512">
        <v>15</v>
      </c>
      <c r="E5" s="513">
        <v>7.5</v>
      </c>
      <c r="F5" s="514">
        <v>8</v>
      </c>
      <c r="G5" s="512">
        <v>0</v>
      </c>
      <c r="H5" s="518">
        <v>0</v>
      </c>
      <c r="I5" s="514">
        <f>ROUND(H5*1,0)</f>
        <v>0</v>
      </c>
      <c r="J5" s="514">
        <f>ROUND($I5*90%,0)</f>
        <v>0</v>
      </c>
      <c r="K5" s="513"/>
      <c r="L5" s="513"/>
      <c r="M5" s="513">
        <f>ROUND($I5*10%,0)</f>
        <v>0</v>
      </c>
      <c r="N5" s="513"/>
      <c r="O5" s="515" t="s">
        <v>550</v>
      </c>
      <c r="Q5" s="442">
        <f>H5*20%</f>
        <v>0</v>
      </c>
      <c r="R5" s="442">
        <f>H5*40%</f>
        <v>0</v>
      </c>
      <c r="S5" s="442">
        <f>H5*40%</f>
        <v>0</v>
      </c>
      <c r="T5" s="442">
        <f t="shared" si="3"/>
        <v>0</v>
      </c>
      <c r="U5" s="423">
        <f t="shared" si="4"/>
        <v>0</v>
      </c>
      <c r="W5" s="423">
        <v>1</v>
      </c>
      <c r="Z5" s="423">
        <v>2</v>
      </c>
      <c r="AA5" s="423">
        <v>1</v>
      </c>
      <c r="AB5" s="423">
        <f t="shared" si="5"/>
        <v>4</v>
      </c>
      <c r="AC5" s="423" t="e">
        <f t="shared" si="6"/>
        <v>#N/A</v>
      </c>
    </row>
    <row r="6" spans="1:29" s="423" customFormat="1" x14ac:dyDescent="0.3">
      <c r="A6" s="412"/>
      <c r="B6" s="412" t="s">
        <v>483</v>
      </c>
      <c r="C6" s="413" t="s">
        <v>484</v>
      </c>
      <c r="D6" s="417">
        <v>5</v>
      </c>
      <c r="E6" s="415">
        <v>3.3333333333333335</v>
      </c>
      <c r="F6" s="417">
        <v>3</v>
      </c>
      <c r="G6" s="417">
        <v>5</v>
      </c>
      <c r="H6" s="517">
        <v>2</v>
      </c>
      <c r="I6" s="417">
        <f>ROUND(H6*0.75,0)</f>
        <v>2</v>
      </c>
      <c r="J6" s="417">
        <f>ROUND($I6*100%,0)</f>
        <v>2</v>
      </c>
      <c r="K6" s="417"/>
      <c r="L6" s="417"/>
      <c r="M6" s="417"/>
      <c r="N6" s="417">
        <f>ROUND($I6*20%,0)</f>
        <v>0</v>
      </c>
      <c r="O6" s="416" t="s">
        <v>551</v>
      </c>
      <c r="Q6" s="442">
        <f>H6*10%</f>
        <v>0.2</v>
      </c>
      <c r="R6" s="442">
        <f>H6*40%</f>
        <v>0.8</v>
      </c>
      <c r="S6" s="442">
        <f>H6*50%</f>
        <v>1</v>
      </c>
      <c r="T6" s="442">
        <f t="shared" si="3"/>
        <v>2</v>
      </c>
      <c r="U6" s="423">
        <f t="shared" si="4"/>
        <v>1</v>
      </c>
      <c r="V6" s="423">
        <v>1</v>
      </c>
      <c r="W6" s="423">
        <v>1</v>
      </c>
      <c r="AB6" s="423">
        <f t="shared" si="5"/>
        <v>2</v>
      </c>
      <c r="AC6" s="423" t="e">
        <f t="shared" si="6"/>
        <v>#N/A</v>
      </c>
    </row>
    <row r="7" spans="1:29" s="423" customFormat="1" x14ac:dyDescent="0.3">
      <c r="A7" s="412"/>
      <c r="B7" s="412" t="s">
        <v>489</v>
      </c>
      <c r="C7" s="413" t="s">
        <v>490</v>
      </c>
      <c r="D7" s="414">
        <v>66</v>
      </c>
      <c r="E7" s="415">
        <v>33</v>
      </c>
      <c r="F7" s="417">
        <v>40</v>
      </c>
      <c r="G7" s="414">
        <v>30</v>
      </c>
      <c r="H7" s="517">
        <v>17</v>
      </c>
      <c r="I7" s="417">
        <f>ROUND(H7*1.2,0)</f>
        <v>20</v>
      </c>
      <c r="J7" s="417">
        <f>ROUND($I7*70%,0)</f>
        <v>14</v>
      </c>
      <c r="K7" s="415"/>
      <c r="L7" s="417">
        <f>ROUND($I7*10%,0)</f>
        <v>2</v>
      </c>
      <c r="M7" s="415">
        <f>ROUND($I7*20%,0)</f>
        <v>4</v>
      </c>
      <c r="N7" s="417">
        <f>ROUND($I7*10%,0)</f>
        <v>2</v>
      </c>
      <c r="O7" s="416" t="s">
        <v>552</v>
      </c>
      <c r="Q7" s="442">
        <f>H7*35%</f>
        <v>5.9499999999999993</v>
      </c>
      <c r="R7" s="442">
        <f>H7*35%</f>
        <v>5.9499999999999993</v>
      </c>
      <c r="S7" s="442">
        <f>H7*30%</f>
        <v>5.0999999999999996</v>
      </c>
      <c r="T7" s="442">
        <f t="shared" si="3"/>
        <v>18</v>
      </c>
      <c r="U7" s="423">
        <f t="shared" si="4"/>
        <v>6</v>
      </c>
      <c r="V7" s="423">
        <v>2</v>
      </c>
      <c r="W7" s="423">
        <v>3</v>
      </c>
      <c r="X7" s="423">
        <v>2</v>
      </c>
      <c r="Y7" s="423">
        <v>2</v>
      </c>
      <c r="Z7" s="423">
        <v>2</v>
      </c>
      <c r="AA7" s="423">
        <v>1</v>
      </c>
      <c r="AB7" s="423">
        <f t="shared" si="5"/>
        <v>12</v>
      </c>
      <c r="AC7" s="423" t="e">
        <f t="shared" si="6"/>
        <v>#N/A</v>
      </c>
    </row>
    <row r="8" spans="1:29" s="423" customFormat="1" x14ac:dyDescent="0.3">
      <c r="A8" s="510"/>
      <c r="B8" s="510" t="s">
        <v>505</v>
      </c>
      <c r="C8" s="511" t="s">
        <v>502</v>
      </c>
      <c r="D8" s="512">
        <v>15</v>
      </c>
      <c r="E8" s="513">
        <v>7.5</v>
      </c>
      <c r="F8" s="514">
        <v>8</v>
      </c>
      <c r="G8" s="512">
        <v>0</v>
      </c>
      <c r="H8" s="518">
        <v>0</v>
      </c>
      <c r="I8" s="514">
        <f>ROUND(H8*1,0)</f>
        <v>0</v>
      </c>
      <c r="J8" s="514">
        <f>ROUND($I8*80%,0)</f>
        <v>0</v>
      </c>
      <c r="K8" s="514">
        <f>ROUND($I8*10%,0)</f>
        <v>0</v>
      </c>
      <c r="L8" s="513"/>
      <c r="M8" s="513">
        <f>ROUND($I8*10%,0)</f>
        <v>0</v>
      </c>
      <c r="N8" s="513"/>
      <c r="O8" s="515" t="s">
        <v>553</v>
      </c>
      <c r="Q8" s="442">
        <f>H8*30%</f>
        <v>0</v>
      </c>
      <c r="R8" s="442">
        <f>H8*35%</f>
        <v>0</v>
      </c>
      <c r="S8" s="442">
        <f>H8*35%</f>
        <v>0</v>
      </c>
      <c r="T8" s="442">
        <f t="shared" si="3"/>
        <v>0</v>
      </c>
      <c r="U8" s="423">
        <f t="shared" si="4"/>
        <v>0</v>
      </c>
      <c r="V8" s="423">
        <v>1</v>
      </c>
      <c r="W8" s="423">
        <v>1</v>
      </c>
      <c r="X8" s="423">
        <v>1</v>
      </c>
      <c r="Z8" s="423">
        <v>1</v>
      </c>
      <c r="AB8" s="423">
        <f t="shared" si="5"/>
        <v>4</v>
      </c>
      <c r="AC8" s="423" t="e">
        <f t="shared" si="6"/>
        <v>#N/A</v>
      </c>
    </row>
    <row r="9" spans="1:29" s="423" customFormat="1" x14ac:dyDescent="0.3">
      <c r="A9" s="412"/>
      <c r="B9" s="412" t="s">
        <v>491</v>
      </c>
      <c r="C9" s="413" t="s">
        <v>492</v>
      </c>
      <c r="D9" s="414">
        <v>111</v>
      </c>
      <c r="E9" s="415">
        <v>55.5</v>
      </c>
      <c r="F9" s="417">
        <v>56</v>
      </c>
      <c r="G9" s="414">
        <v>67</v>
      </c>
      <c r="H9" s="517">
        <v>45</v>
      </c>
      <c r="I9" s="417">
        <f>ROUND(H9*1.3,0)</f>
        <v>59</v>
      </c>
      <c r="J9" s="417">
        <f>ROUND($I9*70%,0)</f>
        <v>41</v>
      </c>
      <c r="K9" s="417">
        <f>ROUND($I9*10%,0)</f>
        <v>6</v>
      </c>
      <c r="L9" s="415"/>
      <c r="M9" s="415">
        <f>ROUND($I9*20%,0)</f>
        <v>12</v>
      </c>
      <c r="N9" s="415"/>
      <c r="O9" s="416" t="s">
        <v>554</v>
      </c>
      <c r="Q9" s="442">
        <f>H9*35%</f>
        <v>15.749999999999998</v>
      </c>
      <c r="R9" s="442">
        <f>H9*40%</f>
        <v>18</v>
      </c>
      <c r="S9" s="442">
        <f>H9*25%</f>
        <v>11.25</v>
      </c>
      <c r="T9" s="442">
        <f t="shared" si="3"/>
        <v>59</v>
      </c>
      <c r="U9" s="423">
        <f t="shared" si="4"/>
        <v>20</v>
      </c>
      <c r="V9" s="423">
        <v>5</v>
      </c>
      <c r="W9" s="423">
        <v>5</v>
      </c>
      <c r="X9" s="423">
        <v>2</v>
      </c>
      <c r="Y9" s="423">
        <v>4</v>
      </c>
      <c r="Z9" s="423">
        <v>3</v>
      </c>
      <c r="AA9" s="423">
        <v>3</v>
      </c>
      <c r="AB9" s="423">
        <f t="shared" si="5"/>
        <v>22</v>
      </c>
      <c r="AC9" s="423" t="e">
        <f t="shared" si="6"/>
        <v>#N/A</v>
      </c>
    </row>
    <row r="10" spans="1:29" s="423" customFormat="1" x14ac:dyDescent="0.3">
      <c r="A10" s="412"/>
      <c r="B10" s="412" t="s">
        <v>493</v>
      </c>
      <c r="C10" s="413" t="s">
        <v>494</v>
      </c>
      <c r="D10" s="414">
        <v>93</v>
      </c>
      <c r="E10" s="415">
        <v>46.5</v>
      </c>
      <c r="F10" s="417">
        <v>35</v>
      </c>
      <c r="G10" s="414">
        <v>46</v>
      </c>
      <c r="H10" s="517">
        <v>21</v>
      </c>
      <c r="I10" s="417">
        <f>ROUND(H10*0.75,0)</f>
        <v>16</v>
      </c>
      <c r="J10" s="417">
        <f>ROUND($I10*60%,0)</f>
        <v>10</v>
      </c>
      <c r="K10" s="417">
        <f>ROUND($I10*10%,0)</f>
        <v>2</v>
      </c>
      <c r="L10" s="417">
        <f>ROUND($I10*10%,0)</f>
        <v>2</v>
      </c>
      <c r="M10" s="415">
        <f>ROUND($I10*20%,0)</f>
        <v>3</v>
      </c>
      <c r="N10" s="417">
        <f>ROUND($I10*20%,0)</f>
        <v>3</v>
      </c>
      <c r="O10" s="416" t="s">
        <v>555</v>
      </c>
      <c r="Q10" s="442">
        <f>H10*30%</f>
        <v>6.3</v>
      </c>
      <c r="R10" s="442">
        <f>H10*40%</f>
        <v>8.4</v>
      </c>
      <c r="S10" s="442">
        <f>H10*30%</f>
        <v>6.3</v>
      </c>
      <c r="T10" s="442">
        <f t="shared" si="3"/>
        <v>15</v>
      </c>
      <c r="U10" s="423">
        <f t="shared" si="4"/>
        <v>5</v>
      </c>
      <c r="V10" s="423">
        <v>2</v>
      </c>
      <c r="W10" s="423">
        <v>4</v>
      </c>
      <c r="X10" s="423">
        <v>2</v>
      </c>
      <c r="Y10" s="423">
        <v>1</v>
      </c>
      <c r="Z10" s="423">
        <v>1</v>
      </c>
      <c r="AA10" s="423">
        <v>1</v>
      </c>
      <c r="AB10" s="423">
        <f t="shared" si="5"/>
        <v>11</v>
      </c>
      <c r="AC10" s="423" t="e">
        <f t="shared" si="6"/>
        <v>#N/A</v>
      </c>
    </row>
    <row r="11" spans="1:29" s="423" customFormat="1" x14ac:dyDescent="0.3">
      <c r="A11" s="501" t="s">
        <v>530</v>
      </c>
      <c r="B11" s="501" t="s">
        <v>487</v>
      </c>
      <c r="C11" s="502" t="s">
        <v>488</v>
      </c>
      <c r="D11" s="503"/>
      <c r="E11" s="504"/>
      <c r="F11" s="504"/>
      <c r="G11" s="503"/>
      <c r="H11" s="519"/>
      <c r="I11" s="504"/>
      <c r="J11" s="504"/>
      <c r="K11" s="504"/>
      <c r="L11" s="504"/>
      <c r="M11" s="504"/>
      <c r="N11" s="504"/>
      <c r="O11" s="505"/>
      <c r="Q11" s="442">
        <f t="shared" si="0"/>
        <v>0</v>
      </c>
      <c r="R11" s="442">
        <f t="shared" si="1"/>
        <v>0</v>
      </c>
      <c r="S11" s="442">
        <f t="shared" si="2"/>
        <v>0</v>
      </c>
      <c r="T11" s="442">
        <f t="shared" si="3"/>
        <v>0</v>
      </c>
      <c r="U11" s="423">
        <f t="shared" si="4"/>
        <v>0</v>
      </c>
      <c r="AB11" s="423">
        <f t="shared" si="5"/>
        <v>0</v>
      </c>
      <c r="AC11" s="423">
        <f t="shared" si="6"/>
        <v>1</v>
      </c>
    </row>
    <row r="12" spans="1:29" s="423" customFormat="1" x14ac:dyDescent="0.3">
      <c r="A12" s="412" t="s">
        <v>508</v>
      </c>
      <c r="B12" s="412" t="s">
        <v>495</v>
      </c>
      <c r="C12" s="413" t="s">
        <v>586</v>
      </c>
      <c r="D12" s="414">
        <v>30</v>
      </c>
      <c r="E12" s="415">
        <v>15</v>
      </c>
      <c r="F12" s="415">
        <v>11</v>
      </c>
      <c r="G12" s="414">
        <f>32+4</f>
        <v>36</v>
      </c>
      <c r="H12" s="517">
        <v>16</v>
      </c>
      <c r="I12" s="415">
        <f>ROUND(H12*0.75,0)</f>
        <v>12</v>
      </c>
      <c r="J12" s="415">
        <f>ROUND($I12*80%,0)</f>
        <v>10</v>
      </c>
      <c r="K12" s="415">
        <f t="shared" ref="K12:L15" si="7">ROUND($I12*10%,0)</f>
        <v>1</v>
      </c>
      <c r="L12" s="415">
        <f t="shared" si="7"/>
        <v>1</v>
      </c>
      <c r="M12" s="415">
        <f>ROUND($I12*0%,0)</f>
        <v>0</v>
      </c>
      <c r="N12" s="415">
        <f>ROUND($I12*20%,0)</f>
        <v>2</v>
      </c>
      <c r="O12" s="416" t="s">
        <v>510</v>
      </c>
      <c r="Q12" s="442">
        <f t="shared" si="0"/>
        <v>6.4</v>
      </c>
      <c r="R12" s="442">
        <f t="shared" si="1"/>
        <v>5.6</v>
      </c>
      <c r="S12" s="442">
        <f t="shared" si="2"/>
        <v>4</v>
      </c>
      <c r="T12" s="442">
        <f t="shared" si="3"/>
        <v>11</v>
      </c>
      <c r="U12" s="423">
        <f t="shared" si="4"/>
        <v>4</v>
      </c>
      <c r="V12" s="423">
        <f t="shared" ref="V12:V15" si="8">ROUND(U12*0.4,0)</f>
        <v>2</v>
      </c>
      <c r="W12" s="423">
        <f t="shared" ref="W12:W15" si="9">ROUND(U12*0.4,0)</f>
        <v>2</v>
      </c>
      <c r="X12" s="423">
        <f t="shared" ref="X12:X15" si="10">ROUND(U12*0.2,0)</f>
        <v>1</v>
      </c>
      <c r="AB12" s="423">
        <f t="shared" si="5"/>
        <v>5</v>
      </c>
      <c r="AC12" s="423" t="e">
        <f t="shared" si="6"/>
        <v>#N/A</v>
      </c>
    </row>
    <row r="13" spans="1:29" s="423" customFormat="1" x14ac:dyDescent="0.3">
      <c r="A13" s="412" t="s">
        <v>508</v>
      </c>
      <c r="B13" s="412" t="s">
        <v>326</v>
      </c>
      <c r="C13" s="413" t="s">
        <v>481</v>
      </c>
      <c r="D13" s="414">
        <v>200</v>
      </c>
      <c r="E13" s="415">
        <v>100</v>
      </c>
      <c r="F13" s="415">
        <v>75</v>
      </c>
      <c r="G13" s="414">
        <f>158+0</f>
        <v>158</v>
      </c>
      <c r="H13" s="517">
        <v>59</v>
      </c>
      <c r="I13" s="415">
        <f>ROUND(H13*0.9,0)</f>
        <v>53</v>
      </c>
      <c r="J13" s="415">
        <f>ROUND($I13*80%,0)</f>
        <v>42</v>
      </c>
      <c r="K13" s="415">
        <f t="shared" si="7"/>
        <v>5</v>
      </c>
      <c r="L13" s="415">
        <f t="shared" si="7"/>
        <v>5</v>
      </c>
      <c r="M13" s="415">
        <f>ROUND($I13*0%,0)</f>
        <v>0</v>
      </c>
      <c r="N13" s="415">
        <f>ROUND($I13*20%,0)</f>
        <v>11</v>
      </c>
      <c r="O13" s="416" t="s">
        <v>510</v>
      </c>
      <c r="Q13" s="442">
        <f t="shared" si="0"/>
        <v>23.6</v>
      </c>
      <c r="R13" s="442">
        <f t="shared" si="1"/>
        <v>20.65</v>
      </c>
      <c r="S13" s="442">
        <f t="shared" si="2"/>
        <v>14.75</v>
      </c>
      <c r="T13" s="442">
        <f t="shared" si="3"/>
        <v>47</v>
      </c>
      <c r="U13" s="423">
        <f t="shared" si="4"/>
        <v>16</v>
      </c>
      <c r="V13" s="423">
        <f t="shared" si="8"/>
        <v>6</v>
      </c>
      <c r="W13" s="423">
        <f t="shared" si="9"/>
        <v>6</v>
      </c>
      <c r="X13" s="423">
        <f t="shared" si="10"/>
        <v>3</v>
      </c>
      <c r="AB13" s="423">
        <f t="shared" si="5"/>
        <v>15</v>
      </c>
      <c r="AC13" s="423" t="e">
        <f t="shared" si="6"/>
        <v>#N/A</v>
      </c>
    </row>
    <row r="14" spans="1:29" s="423" customFormat="1" x14ac:dyDescent="0.3">
      <c r="A14" s="412" t="s">
        <v>508</v>
      </c>
      <c r="B14" s="412" t="s">
        <v>499</v>
      </c>
      <c r="C14" s="413" t="s">
        <v>500</v>
      </c>
      <c r="D14" s="414">
        <v>15</v>
      </c>
      <c r="E14" s="415">
        <v>7.5</v>
      </c>
      <c r="F14" s="415">
        <v>6</v>
      </c>
      <c r="G14" s="414">
        <f>79.5+5</f>
        <v>84.5</v>
      </c>
      <c r="H14" s="517">
        <v>44</v>
      </c>
      <c r="I14" s="415">
        <f>ROUND(H14*0.75,0)</f>
        <v>33</v>
      </c>
      <c r="J14" s="415">
        <f>ROUND($I14*80%,0)</f>
        <v>26</v>
      </c>
      <c r="K14" s="415">
        <f t="shared" si="7"/>
        <v>3</v>
      </c>
      <c r="L14" s="415">
        <f t="shared" si="7"/>
        <v>3</v>
      </c>
      <c r="M14" s="415">
        <f>ROUND($I14*0%,0)</f>
        <v>0</v>
      </c>
      <c r="N14" s="415">
        <f>ROUND($I14*20%,0)</f>
        <v>7</v>
      </c>
      <c r="O14" s="416" t="s">
        <v>510</v>
      </c>
      <c r="Q14" s="442">
        <f t="shared" si="0"/>
        <v>17.600000000000001</v>
      </c>
      <c r="R14" s="442">
        <f t="shared" si="1"/>
        <v>15.399999999999999</v>
      </c>
      <c r="S14" s="442">
        <f t="shared" si="2"/>
        <v>11</v>
      </c>
      <c r="T14" s="442">
        <f t="shared" si="3"/>
        <v>29</v>
      </c>
      <c r="U14" s="423">
        <f t="shared" si="4"/>
        <v>10</v>
      </c>
      <c r="V14" s="423">
        <f t="shared" si="8"/>
        <v>4</v>
      </c>
      <c r="W14" s="423">
        <f t="shared" si="9"/>
        <v>4</v>
      </c>
      <c r="X14" s="423">
        <f t="shared" si="10"/>
        <v>2</v>
      </c>
      <c r="AB14" s="423">
        <f t="shared" si="5"/>
        <v>10</v>
      </c>
      <c r="AC14" s="423">
        <f t="shared" si="6"/>
        <v>1</v>
      </c>
    </row>
    <row r="15" spans="1:29" s="423" customFormat="1" x14ac:dyDescent="0.3">
      <c r="A15" s="412" t="s">
        <v>508</v>
      </c>
      <c r="B15" s="412" t="s">
        <v>498</v>
      </c>
      <c r="C15" s="413" t="s">
        <v>497</v>
      </c>
      <c r="D15" s="414">
        <v>30</v>
      </c>
      <c r="E15" s="415">
        <v>15</v>
      </c>
      <c r="F15" s="415">
        <v>11</v>
      </c>
      <c r="G15" s="414">
        <v>59.5</v>
      </c>
      <c r="H15" s="517">
        <v>29</v>
      </c>
      <c r="I15" s="415">
        <f>ROUND(H15*0.75,0)</f>
        <v>22</v>
      </c>
      <c r="J15" s="415">
        <f>ROUND($I15*80%,0)</f>
        <v>18</v>
      </c>
      <c r="K15" s="415">
        <f t="shared" si="7"/>
        <v>2</v>
      </c>
      <c r="L15" s="415">
        <f t="shared" si="7"/>
        <v>2</v>
      </c>
      <c r="M15" s="415">
        <f>ROUND($I15*0%,0)</f>
        <v>0</v>
      </c>
      <c r="N15" s="415">
        <f>ROUND($I15*20%,0)</f>
        <v>4</v>
      </c>
      <c r="O15" s="416" t="s">
        <v>510</v>
      </c>
      <c r="Q15" s="442">
        <f t="shared" si="0"/>
        <v>11.600000000000001</v>
      </c>
      <c r="R15" s="442">
        <f t="shared" si="1"/>
        <v>10.149999999999999</v>
      </c>
      <c r="S15" s="442">
        <f t="shared" si="2"/>
        <v>7.25</v>
      </c>
      <c r="T15" s="442">
        <f t="shared" si="3"/>
        <v>20</v>
      </c>
      <c r="U15" s="423">
        <f t="shared" si="4"/>
        <v>7</v>
      </c>
      <c r="V15" s="423">
        <f t="shared" si="8"/>
        <v>3</v>
      </c>
      <c r="W15" s="423">
        <f t="shared" si="9"/>
        <v>3</v>
      </c>
      <c r="X15" s="423">
        <f t="shared" si="10"/>
        <v>1</v>
      </c>
      <c r="AB15" s="423">
        <f t="shared" si="5"/>
        <v>7</v>
      </c>
      <c r="AC15" s="423">
        <f t="shared" si="6"/>
        <v>1</v>
      </c>
    </row>
    <row r="16" spans="1:29" s="423" customFormat="1" x14ac:dyDescent="0.3">
      <c r="A16" s="412"/>
      <c r="B16" s="521" t="s">
        <v>509</v>
      </c>
      <c r="C16" s="413"/>
      <c r="D16" s="414"/>
      <c r="E16" s="415"/>
      <c r="F16" s="415"/>
      <c r="G16" s="414"/>
      <c r="H16" s="517"/>
      <c r="I16" s="415"/>
      <c r="J16" s="415"/>
      <c r="K16" s="415"/>
      <c r="L16" s="415"/>
      <c r="M16" s="415"/>
      <c r="N16" s="415"/>
      <c r="O16" s="416"/>
      <c r="Q16" s="442">
        <f t="shared" si="0"/>
        <v>0</v>
      </c>
      <c r="R16" s="442">
        <f t="shared" si="1"/>
        <v>0</v>
      </c>
      <c r="S16" s="442">
        <f t="shared" si="2"/>
        <v>0</v>
      </c>
      <c r="T16" s="442">
        <f t="shared" si="3"/>
        <v>0</v>
      </c>
      <c r="U16" s="423">
        <f t="shared" si="4"/>
        <v>0</v>
      </c>
      <c r="AB16" s="423">
        <f t="shared" si="5"/>
        <v>0</v>
      </c>
      <c r="AC16" s="423">
        <f t="shared" si="6"/>
        <v>1</v>
      </c>
    </row>
    <row r="17" spans="1:37" s="423" customFormat="1" x14ac:dyDescent="0.3">
      <c r="A17" s="412"/>
      <c r="B17" s="412" t="s">
        <v>485</v>
      </c>
      <c r="C17" s="413" t="s">
        <v>486</v>
      </c>
      <c r="D17" s="414">
        <v>27</v>
      </c>
      <c r="E17" s="415"/>
      <c r="F17" s="415"/>
      <c r="G17" s="414">
        <v>18</v>
      </c>
      <c r="H17" s="517">
        <v>9</v>
      </c>
      <c r="I17" s="415"/>
      <c r="J17" s="415"/>
      <c r="K17" s="415"/>
      <c r="L17" s="415"/>
      <c r="M17" s="415"/>
      <c r="N17" s="415"/>
      <c r="O17" s="416"/>
      <c r="Q17" s="442">
        <f t="shared" si="0"/>
        <v>3.6</v>
      </c>
      <c r="R17" s="442">
        <f t="shared" si="1"/>
        <v>3.15</v>
      </c>
      <c r="S17" s="442">
        <f t="shared" si="2"/>
        <v>2.25</v>
      </c>
      <c r="T17" s="442">
        <f t="shared" si="3"/>
        <v>0</v>
      </c>
      <c r="U17" s="423">
        <f t="shared" si="4"/>
        <v>0</v>
      </c>
      <c r="AB17" s="423">
        <f t="shared" si="5"/>
        <v>0</v>
      </c>
      <c r="AC17" s="423">
        <f t="shared" si="6"/>
        <v>1</v>
      </c>
    </row>
    <row r="18" spans="1:37" x14ac:dyDescent="0.3">
      <c r="A18" s="419"/>
      <c r="B18" s="419" t="s">
        <v>62</v>
      </c>
      <c r="C18" s="419"/>
      <c r="D18" s="421">
        <f>SUM(D3:D17)</f>
        <v>792</v>
      </c>
      <c r="E18" s="421">
        <f>SUM(E3:E17)</f>
        <v>383.33333333333331</v>
      </c>
      <c r="F18" s="421">
        <f>SUM(F3:F17)</f>
        <v>341</v>
      </c>
      <c r="G18" s="421">
        <f>SUM(G3:G17)</f>
        <v>715</v>
      </c>
      <c r="H18" s="421">
        <f t="shared" ref="H18:N18" si="11">SUM(H3:H17)</f>
        <v>343</v>
      </c>
      <c r="I18" s="421">
        <f t="shared" si="11"/>
        <v>315</v>
      </c>
      <c r="J18" s="421">
        <f>SUM(J3:J17)</f>
        <v>233</v>
      </c>
      <c r="K18" s="421">
        <f>SUM(K3:K17)</f>
        <v>28</v>
      </c>
      <c r="L18" s="421">
        <f>SUM(L3:L17)</f>
        <v>25</v>
      </c>
      <c r="M18" s="421">
        <f>SUM(M3:M17)</f>
        <v>28</v>
      </c>
      <c r="N18" s="421">
        <f t="shared" si="11"/>
        <v>30</v>
      </c>
      <c r="O18" s="420"/>
      <c r="Q18" s="421">
        <f t="shared" ref="Q18:S18" si="12">SUM(Q3:Q17)</f>
        <v>131.39999999999998</v>
      </c>
      <c r="R18" s="421">
        <f t="shared" si="12"/>
        <v>123.45000000000002</v>
      </c>
      <c r="S18" s="421">
        <f t="shared" si="12"/>
        <v>88.15</v>
      </c>
      <c r="T18" s="442">
        <f t="shared" si="3"/>
        <v>289</v>
      </c>
      <c r="U18" s="421">
        <f t="shared" ref="U18:AA18" si="13">SUM(U3:U17)</f>
        <v>98</v>
      </c>
      <c r="V18" s="421">
        <f t="shared" si="13"/>
        <v>35</v>
      </c>
      <c r="W18" s="421">
        <f t="shared" si="13"/>
        <v>41</v>
      </c>
      <c r="X18" s="421">
        <f t="shared" si="13"/>
        <v>22</v>
      </c>
      <c r="Y18" s="421">
        <f t="shared" si="13"/>
        <v>8</v>
      </c>
      <c r="Z18" s="421">
        <f t="shared" si="13"/>
        <v>10</v>
      </c>
      <c r="AA18" s="421">
        <f t="shared" si="13"/>
        <v>7</v>
      </c>
      <c r="AC18" s="423"/>
    </row>
    <row r="19" spans="1:37" s="423" customFormat="1" x14ac:dyDescent="0.3">
      <c r="A19" s="454"/>
      <c r="B19" s="454"/>
      <c r="C19" s="454"/>
      <c r="D19" s="507"/>
      <c r="E19" s="507"/>
      <c r="F19" s="507"/>
      <c r="G19" s="507"/>
      <c r="H19" s="507"/>
      <c r="I19" s="507"/>
      <c r="J19" s="507"/>
      <c r="K19" s="507"/>
      <c r="L19" s="507"/>
      <c r="M19" s="507"/>
      <c r="N19" s="507"/>
      <c r="O19" s="508"/>
      <c r="Q19" s="507"/>
      <c r="R19" s="507"/>
      <c r="S19" s="507"/>
      <c r="T19" s="442"/>
      <c r="U19" s="507"/>
      <c r="V19" s="507"/>
      <c r="W19" s="507"/>
      <c r="X19" s="507"/>
      <c r="Y19" s="507"/>
      <c r="Z19" s="507"/>
      <c r="AA19" s="507"/>
    </row>
    <row r="20" spans="1:37" x14ac:dyDescent="0.3">
      <c r="M20" s="422">
        <f>G18/H18</f>
        <v>2.0845481049562684</v>
      </c>
      <c r="Q20" s="443">
        <f>Q18/H$18%</f>
        <v>38.309037900874628</v>
      </c>
      <c r="R20" s="443">
        <f>R18/H$18%</f>
        <v>35.991253644314874</v>
      </c>
      <c r="S20" s="443">
        <f>S18/H$18%</f>
        <v>25.699708454810494</v>
      </c>
      <c r="T20" s="442" t="e">
        <f>J20+K20+#REF!</f>
        <v>#REF!</v>
      </c>
      <c r="V20" s="440">
        <f>V18/U18</f>
        <v>0.35714285714285715</v>
      </c>
      <c r="W20" s="440">
        <f>W18/U18</f>
        <v>0.41836734693877553</v>
      </c>
      <c r="X20" s="440">
        <f>X18/U18</f>
        <v>0.22448979591836735</v>
      </c>
      <c r="Y20" s="440">
        <f>Y18/U18</f>
        <v>8.1632653061224483E-2</v>
      </c>
      <c r="Z20" s="440">
        <f>Z18/U18</f>
        <v>0.10204081632653061</v>
      </c>
      <c r="AA20" s="440">
        <f>AA18/U18</f>
        <v>7.1428571428571425E-2</v>
      </c>
      <c r="AC20" s="423"/>
    </row>
    <row r="21" spans="1:37" x14ac:dyDescent="0.3">
      <c r="M21" s="422">
        <f>H18/G18</f>
        <v>0.4797202797202797</v>
      </c>
      <c r="N21" s="422">
        <f>(J18+K18+M18)/H18</f>
        <v>0.8425655976676385</v>
      </c>
    </row>
    <row r="23" spans="1:37" x14ac:dyDescent="0.3">
      <c r="A23" s="506"/>
      <c r="B23" s="506" t="s">
        <v>584</v>
      </c>
      <c r="C23" s="506" t="s">
        <v>583</v>
      </c>
      <c r="D23" s="506"/>
      <c r="E23" s="506"/>
      <c r="F23" s="506"/>
      <c r="G23" s="506">
        <v>2</v>
      </c>
      <c r="H23" s="506">
        <v>603</v>
      </c>
    </row>
    <row r="24" spans="1:37" x14ac:dyDescent="0.3">
      <c r="W24" s="422" t="s">
        <v>528</v>
      </c>
      <c r="X24" s="422" t="s">
        <v>529</v>
      </c>
      <c r="Y24" s="422" t="s">
        <v>285</v>
      </c>
      <c r="Z24" s="422" t="s">
        <v>534</v>
      </c>
    </row>
    <row r="25" spans="1:37" x14ac:dyDescent="0.3">
      <c r="U25" s="422" t="s">
        <v>526</v>
      </c>
      <c r="V25" s="422" t="s">
        <v>517</v>
      </c>
      <c r="W25" s="424">
        <f>V$18/U$18%</f>
        <v>35.714285714285715</v>
      </c>
      <c r="X25" s="424">
        <f>V18</f>
        <v>35</v>
      </c>
      <c r="Y25" s="422">
        <f t="shared" ref="Y25:Y30" si="14">X25/U$18*AG$26</f>
        <v>103.21428571428572</v>
      </c>
      <c r="Z25" s="422">
        <f>Y25/X25</f>
        <v>2.9489795918367347</v>
      </c>
      <c r="AF25" s="424"/>
      <c r="AJ25" s="422" t="s">
        <v>22</v>
      </c>
      <c r="AK25" s="422" t="s">
        <v>535</v>
      </c>
    </row>
    <row r="26" spans="1:37" x14ac:dyDescent="0.3">
      <c r="V26" s="422" t="s">
        <v>518</v>
      </c>
      <c r="W26" s="424">
        <f>W18/U18%</f>
        <v>41.836734693877553</v>
      </c>
      <c r="X26" s="424">
        <f>W18</f>
        <v>41</v>
      </c>
      <c r="Y26" s="422">
        <f t="shared" si="14"/>
        <v>120.90816326530613</v>
      </c>
      <c r="Z26" s="422">
        <f t="shared" ref="Z26:Z30" si="15">Y26/X26</f>
        <v>2.9489795918367347</v>
      </c>
      <c r="AE26" s="422" t="s">
        <v>511</v>
      </c>
      <c r="AF26" s="424">
        <f>J18+M18</f>
        <v>261</v>
      </c>
      <c r="AG26" s="424">
        <f>AF26+AF27</f>
        <v>289</v>
      </c>
      <c r="AH26" s="422" t="s">
        <v>527</v>
      </c>
      <c r="AI26" s="441">
        <f>36/AG26%</f>
        <v>12.45674740484429</v>
      </c>
      <c r="AJ26" s="424">
        <f>M18</f>
        <v>28</v>
      </c>
      <c r="AK26" s="422">
        <f>AJ26/3</f>
        <v>9.3333333333333339</v>
      </c>
    </row>
    <row r="27" spans="1:37" x14ac:dyDescent="0.3">
      <c r="V27" s="422" t="s">
        <v>519</v>
      </c>
      <c r="W27" s="424">
        <f>X18/U18%</f>
        <v>22.448979591836736</v>
      </c>
      <c r="X27" s="424">
        <f>X18</f>
        <v>22</v>
      </c>
      <c r="Y27" s="422">
        <f t="shared" si="14"/>
        <v>64.877551020408163</v>
      </c>
      <c r="Z27" s="422">
        <f t="shared" si="15"/>
        <v>2.9489795918367347</v>
      </c>
      <c r="AE27" s="422" t="s">
        <v>512</v>
      </c>
      <c r="AF27" s="424">
        <f>K18</f>
        <v>28</v>
      </c>
      <c r="AH27" s="422" t="s">
        <v>526</v>
      </c>
      <c r="AI27" s="441">
        <f>(AG26-M18)/AG26%</f>
        <v>90.311418685121097</v>
      </c>
      <c r="AJ27" s="424">
        <f>J18+K18</f>
        <v>261</v>
      </c>
      <c r="AK27" s="422">
        <f>AJ27/3</f>
        <v>87</v>
      </c>
    </row>
    <row r="28" spans="1:37" x14ac:dyDescent="0.3">
      <c r="U28" s="422" t="s">
        <v>527</v>
      </c>
      <c r="V28" s="422" t="s">
        <v>517</v>
      </c>
      <c r="W28" s="424">
        <f>Y18/U18%</f>
        <v>8.1632653061224492</v>
      </c>
      <c r="X28" s="424">
        <f>Y18</f>
        <v>8</v>
      </c>
      <c r="Y28" s="422">
        <f t="shared" si="14"/>
        <v>23.591836734693874</v>
      </c>
      <c r="Z28" s="422">
        <f t="shared" si="15"/>
        <v>2.9489795918367343</v>
      </c>
      <c r="AF28" s="422">
        <f>G18/H18</f>
        <v>2.0845481049562684</v>
      </c>
    </row>
    <row r="29" spans="1:37" x14ac:dyDescent="0.3">
      <c r="V29" s="422" t="s">
        <v>518</v>
      </c>
      <c r="W29" s="424">
        <f>Z18/U18%</f>
        <v>10.204081632653061</v>
      </c>
      <c r="X29" s="424">
        <f>Z18</f>
        <v>10</v>
      </c>
      <c r="Y29" s="422">
        <f t="shared" si="14"/>
        <v>29.489795918367349</v>
      </c>
      <c r="Z29" s="422">
        <f t="shared" si="15"/>
        <v>2.9489795918367347</v>
      </c>
    </row>
    <row r="30" spans="1:37" x14ac:dyDescent="0.3">
      <c r="V30" s="422" t="s">
        <v>519</v>
      </c>
      <c r="W30" s="424">
        <f>AA18/U18%</f>
        <v>7.1428571428571432</v>
      </c>
      <c r="X30" s="424">
        <f>AA18</f>
        <v>7</v>
      </c>
      <c r="Y30" s="422">
        <f t="shared" si="14"/>
        <v>20.642857142857142</v>
      </c>
      <c r="Z30" s="422">
        <f t="shared" si="15"/>
        <v>2.9489795918367347</v>
      </c>
    </row>
    <row r="31" spans="1:37" ht="30.4" customHeight="1" x14ac:dyDescent="0.3">
      <c r="W31" s="424">
        <f>SUM(W25:W30)</f>
        <v>125.51020408163265</v>
      </c>
      <c r="Y31" s="422">
        <f>SUM(Y25:Y30)</f>
        <v>362.72448979591837</v>
      </c>
    </row>
    <row r="37" spans="2:2" x14ac:dyDescent="0.3">
      <c r="B37" s="422" t="s">
        <v>512</v>
      </c>
    </row>
    <row r="38" spans="2:2" x14ac:dyDescent="0.3">
      <c r="B38" s="422" t="s">
        <v>589</v>
      </c>
    </row>
  </sheetData>
  <conditionalFormatting sqref="W31">
    <cfRule type="cellIs" dxfId="138" priority="1" operator="lessThan">
      <formula>99.99</formula>
    </cfRule>
    <cfRule type="cellIs" dxfId="137" priority="2" operator="equal">
      <formula>100</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topLeftCell="A34" zoomScale="85" zoomScaleNormal="85" workbookViewId="0">
      <selection activeCell="K47" sqref="K47"/>
    </sheetView>
  </sheetViews>
  <sheetFormatPr defaultColWidth="8.6328125" defaultRowHeight="14" x14ac:dyDescent="0.35"/>
  <cols>
    <col min="1" max="1" width="3.54296875" style="134" customWidth="1"/>
    <col min="2" max="2" width="7.6328125" style="134" bestFit="1" customWidth="1"/>
    <col min="3" max="3" width="7.81640625" style="135" bestFit="1" customWidth="1"/>
    <col min="4" max="4" width="31.36328125" style="151" customWidth="1"/>
    <col min="5" max="14" width="7.54296875" style="135" customWidth="1"/>
    <col min="15" max="15" width="186.08984375" style="135" bestFit="1" customWidth="1"/>
    <col min="16" max="16" width="10.6328125" style="135" bestFit="1" customWidth="1"/>
    <col min="17" max="17" width="174.453125" style="135" bestFit="1" customWidth="1"/>
    <col min="18" max="16384" width="8.6328125" style="145"/>
  </cols>
  <sheetData>
    <row r="1" spans="2:17" x14ac:dyDescent="0.35">
      <c r="M1" s="136"/>
      <c r="N1" s="136"/>
      <c r="O1" s="136"/>
      <c r="P1" s="136"/>
    </row>
    <row r="2" spans="2:17" ht="55.5" customHeight="1" x14ac:dyDescent="0.35">
      <c r="B2" s="138" t="s">
        <v>205</v>
      </c>
      <c r="C2" s="138" t="s">
        <v>282</v>
      </c>
      <c r="D2" s="138" t="s">
        <v>217</v>
      </c>
      <c r="E2" s="149" t="s">
        <v>284</v>
      </c>
      <c r="F2" s="149"/>
      <c r="G2" s="149"/>
      <c r="H2" s="149"/>
      <c r="I2" s="149"/>
      <c r="J2" s="149"/>
      <c r="K2" s="149" t="s">
        <v>218</v>
      </c>
      <c r="L2" s="149" t="s">
        <v>285</v>
      </c>
      <c r="M2" s="139" t="s">
        <v>270</v>
      </c>
      <c r="N2" s="139" t="s">
        <v>271</v>
      </c>
      <c r="O2" s="139" t="s">
        <v>272</v>
      </c>
      <c r="P2" s="139" t="s">
        <v>273</v>
      </c>
      <c r="Q2" s="150" t="s">
        <v>10</v>
      </c>
    </row>
    <row r="3" spans="2:17" x14ac:dyDescent="0.35">
      <c r="B3" s="134" t="s">
        <v>204</v>
      </c>
      <c r="C3" s="143" t="s">
        <v>220</v>
      </c>
      <c r="D3" s="142" t="s">
        <v>219</v>
      </c>
      <c r="E3" s="143">
        <v>99</v>
      </c>
      <c r="F3" s="143"/>
      <c r="G3" s="143"/>
      <c r="H3" s="143"/>
      <c r="I3" s="143"/>
      <c r="J3" s="143"/>
      <c r="K3" s="143">
        <v>216.5</v>
      </c>
      <c r="L3" s="135">
        <f>ROUND(E3*0.75,0)</f>
        <v>74</v>
      </c>
      <c r="M3" s="141">
        <f>ROUND(L3*20%,0)</f>
        <v>15</v>
      </c>
      <c r="N3" s="141">
        <f>ROUND(L3*70%,0)</f>
        <v>52</v>
      </c>
      <c r="O3" s="141">
        <f>ROUND(L3*10%,0)</f>
        <v>7</v>
      </c>
      <c r="P3" s="141">
        <f>ROUND(L3*10%,0)</f>
        <v>7</v>
      </c>
      <c r="Q3" s="146" t="s">
        <v>312</v>
      </c>
    </row>
    <row r="4" spans="2:17" x14ac:dyDescent="0.35">
      <c r="B4" s="134" t="s">
        <v>204</v>
      </c>
      <c r="C4" s="143" t="s">
        <v>222</v>
      </c>
      <c r="D4" s="142" t="s">
        <v>221</v>
      </c>
      <c r="E4" s="143">
        <v>38</v>
      </c>
      <c r="F4" s="143"/>
      <c r="G4" s="143"/>
      <c r="H4" s="143"/>
      <c r="I4" s="143"/>
      <c r="J4" s="143"/>
      <c r="K4" s="143">
        <v>99.5</v>
      </c>
      <c r="L4" s="135">
        <f t="shared" ref="L4:L13" si="0">ROUND(E4*0.75,0)</f>
        <v>29</v>
      </c>
      <c r="M4" s="141">
        <f t="shared" ref="M4:M14" si="1">ROUND(L4*20%,0)</f>
        <v>6</v>
      </c>
      <c r="N4" s="141">
        <f t="shared" ref="N4:N14" si="2">ROUND(L4*70%,0)</f>
        <v>20</v>
      </c>
      <c r="O4" s="141">
        <f t="shared" ref="O4:O14" si="3">ROUND(L4*10%,0)</f>
        <v>3</v>
      </c>
      <c r="P4" s="141">
        <f t="shared" ref="P4:P14" si="4">ROUND(L4*10%,0)</f>
        <v>3</v>
      </c>
      <c r="Q4" s="146" t="s">
        <v>312</v>
      </c>
    </row>
    <row r="5" spans="2:17" x14ac:dyDescent="0.35">
      <c r="B5" s="134" t="s">
        <v>204</v>
      </c>
      <c r="C5" s="143" t="s">
        <v>224</v>
      </c>
      <c r="D5" s="142" t="s">
        <v>223</v>
      </c>
      <c r="E5" s="143">
        <v>65</v>
      </c>
      <c r="F5" s="143"/>
      <c r="G5" s="143"/>
      <c r="H5" s="143"/>
      <c r="I5" s="143"/>
      <c r="J5" s="143"/>
      <c r="K5" s="143">
        <v>69</v>
      </c>
      <c r="L5" s="141">
        <f>ROUND((E5-47)*0.75,0)</f>
        <v>14</v>
      </c>
      <c r="M5" s="141">
        <f t="shared" si="1"/>
        <v>3</v>
      </c>
      <c r="N5" s="141">
        <f t="shared" si="2"/>
        <v>10</v>
      </c>
      <c r="O5" s="141">
        <f t="shared" si="3"/>
        <v>1</v>
      </c>
      <c r="P5" s="141">
        <f t="shared" si="4"/>
        <v>1</v>
      </c>
      <c r="Q5" s="146" t="s">
        <v>311</v>
      </c>
    </row>
    <row r="6" spans="2:17" x14ac:dyDescent="0.35">
      <c r="B6" s="134" t="s">
        <v>204</v>
      </c>
      <c r="C6" s="143" t="s">
        <v>226</v>
      </c>
      <c r="D6" s="142" t="s">
        <v>225</v>
      </c>
      <c r="E6" s="143">
        <v>26</v>
      </c>
      <c r="F6" s="143"/>
      <c r="G6" s="143"/>
      <c r="H6" s="143"/>
      <c r="I6" s="143"/>
      <c r="J6" s="143"/>
      <c r="K6" s="143">
        <v>73</v>
      </c>
      <c r="L6" s="135">
        <f t="shared" si="0"/>
        <v>20</v>
      </c>
      <c r="M6" s="141">
        <f t="shared" si="1"/>
        <v>4</v>
      </c>
      <c r="N6" s="141">
        <f t="shared" si="2"/>
        <v>14</v>
      </c>
      <c r="O6" s="141">
        <f t="shared" si="3"/>
        <v>2</v>
      </c>
      <c r="P6" s="141">
        <f t="shared" si="4"/>
        <v>2</v>
      </c>
      <c r="Q6" s="146" t="s">
        <v>312</v>
      </c>
    </row>
    <row r="7" spans="2:17" ht="28" x14ac:dyDescent="0.35">
      <c r="B7" s="134" t="s">
        <v>204</v>
      </c>
      <c r="C7" s="143" t="s">
        <v>230</v>
      </c>
      <c r="D7" s="142" t="s">
        <v>229</v>
      </c>
      <c r="E7" s="143">
        <v>42</v>
      </c>
      <c r="F7" s="143"/>
      <c r="G7" s="143"/>
      <c r="H7" s="143"/>
      <c r="I7" s="143"/>
      <c r="J7" s="143"/>
      <c r="K7" s="143">
        <v>136</v>
      </c>
      <c r="L7" s="135">
        <f t="shared" si="0"/>
        <v>32</v>
      </c>
      <c r="M7" s="141">
        <f t="shared" si="1"/>
        <v>6</v>
      </c>
      <c r="N7" s="141">
        <f t="shared" si="2"/>
        <v>22</v>
      </c>
      <c r="O7" s="141">
        <f t="shared" si="3"/>
        <v>3</v>
      </c>
      <c r="P7" s="141">
        <f t="shared" si="4"/>
        <v>3</v>
      </c>
      <c r="Q7" s="146" t="s">
        <v>312</v>
      </c>
    </row>
    <row r="8" spans="2:17" ht="28" x14ac:dyDescent="0.35">
      <c r="B8" s="134" t="s">
        <v>204</v>
      </c>
      <c r="C8" s="143" t="s">
        <v>231</v>
      </c>
      <c r="D8" s="142" t="s">
        <v>310</v>
      </c>
      <c r="E8" s="143">
        <v>27</v>
      </c>
      <c r="F8" s="143"/>
      <c r="G8" s="143"/>
      <c r="H8" s="143"/>
      <c r="I8" s="143"/>
      <c r="J8" s="143"/>
      <c r="K8" s="143">
        <v>59</v>
      </c>
      <c r="L8" s="135">
        <f t="shared" si="0"/>
        <v>20</v>
      </c>
      <c r="M8" s="141">
        <f t="shared" si="1"/>
        <v>4</v>
      </c>
      <c r="N8" s="141">
        <f t="shared" si="2"/>
        <v>14</v>
      </c>
      <c r="O8" s="141">
        <f t="shared" si="3"/>
        <v>2</v>
      </c>
      <c r="P8" s="141">
        <f t="shared" si="4"/>
        <v>2</v>
      </c>
      <c r="Q8" s="146" t="s">
        <v>312</v>
      </c>
    </row>
    <row r="9" spans="2:17" ht="28" x14ac:dyDescent="0.35">
      <c r="B9" s="134" t="s">
        <v>204</v>
      </c>
      <c r="C9" s="143" t="s">
        <v>233</v>
      </c>
      <c r="D9" s="142" t="s">
        <v>232</v>
      </c>
      <c r="E9" s="143">
        <v>26</v>
      </c>
      <c r="F9" s="143"/>
      <c r="G9" s="143"/>
      <c r="H9" s="143"/>
      <c r="I9" s="143"/>
      <c r="J9" s="143"/>
      <c r="K9" s="143">
        <v>18</v>
      </c>
      <c r="L9" s="135">
        <f t="shared" si="0"/>
        <v>20</v>
      </c>
      <c r="M9" s="141">
        <f t="shared" si="1"/>
        <v>4</v>
      </c>
      <c r="N9" s="141">
        <f t="shared" si="2"/>
        <v>14</v>
      </c>
      <c r="O9" s="141">
        <f t="shared" si="3"/>
        <v>2</v>
      </c>
      <c r="P9" s="141">
        <f t="shared" si="4"/>
        <v>2</v>
      </c>
      <c r="Q9" s="146" t="s">
        <v>312</v>
      </c>
    </row>
    <row r="10" spans="2:17" x14ac:dyDescent="0.35">
      <c r="B10" s="134" t="s">
        <v>204</v>
      </c>
      <c r="C10" s="143" t="s">
        <v>235</v>
      </c>
      <c r="D10" s="142" t="s">
        <v>234</v>
      </c>
      <c r="E10" s="143">
        <v>163</v>
      </c>
      <c r="F10" s="143"/>
      <c r="G10" s="143"/>
      <c r="H10" s="143"/>
      <c r="I10" s="143"/>
      <c r="J10" s="143"/>
      <c r="K10" s="143">
        <v>396.5</v>
      </c>
      <c r="L10" s="141">
        <f>ROUND(E10*0.6,0)</f>
        <v>98</v>
      </c>
      <c r="M10" s="141">
        <f t="shared" si="1"/>
        <v>20</v>
      </c>
      <c r="N10" s="141">
        <f t="shared" si="2"/>
        <v>69</v>
      </c>
      <c r="O10" s="141">
        <f t="shared" si="3"/>
        <v>10</v>
      </c>
      <c r="P10" s="141">
        <f t="shared" si="4"/>
        <v>10</v>
      </c>
      <c r="Q10" s="146" t="s">
        <v>313</v>
      </c>
    </row>
    <row r="11" spans="2:17" x14ac:dyDescent="0.35">
      <c r="B11" s="134" t="s">
        <v>204</v>
      </c>
      <c r="C11" s="143" t="s">
        <v>237</v>
      </c>
      <c r="D11" s="142" t="s">
        <v>236</v>
      </c>
      <c r="E11" s="143">
        <v>30</v>
      </c>
      <c r="F11" s="143"/>
      <c r="G11" s="143"/>
      <c r="H11" s="143"/>
      <c r="I11" s="143"/>
      <c r="J11" s="143"/>
      <c r="K11" s="143">
        <v>79.75</v>
      </c>
      <c r="L11" s="135">
        <f t="shared" si="0"/>
        <v>23</v>
      </c>
      <c r="M11" s="141">
        <f t="shared" si="1"/>
        <v>5</v>
      </c>
      <c r="N11" s="141">
        <f t="shared" si="2"/>
        <v>16</v>
      </c>
      <c r="O11" s="141">
        <f t="shared" si="3"/>
        <v>2</v>
      </c>
      <c r="P11" s="141">
        <f t="shared" si="4"/>
        <v>2</v>
      </c>
      <c r="Q11" s="146" t="s">
        <v>312</v>
      </c>
    </row>
    <row r="12" spans="2:17" x14ac:dyDescent="0.35">
      <c r="B12" s="134" t="s">
        <v>204</v>
      </c>
      <c r="C12" s="143" t="s">
        <v>239</v>
      </c>
      <c r="D12" s="142" t="s">
        <v>238</v>
      </c>
      <c r="E12" s="143">
        <v>0</v>
      </c>
      <c r="F12" s="143"/>
      <c r="G12" s="143"/>
      <c r="H12" s="143"/>
      <c r="I12" s="143"/>
      <c r="J12" s="143"/>
      <c r="K12" s="143">
        <v>0</v>
      </c>
      <c r="L12" s="135">
        <f t="shared" si="0"/>
        <v>0</v>
      </c>
      <c r="M12" s="141">
        <f t="shared" si="1"/>
        <v>0</v>
      </c>
      <c r="N12" s="141">
        <f t="shared" si="2"/>
        <v>0</v>
      </c>
      <c r="O12" s="141">
        <f t="shared" si="3"/>
        <v>0</v>
      </c>
      <c r="P12" s="141">
        <f t="shared" si="4"/>
        <v>0</v>
      </c>
      <c r="Q12" s="146" t="s">
        <v>312</v>
      </c>
    </row>
    <row r="13" spans="2:17" x14ac:dyDescent="0.35">
      <c r="B13" s="134" t="s">
        <v>204</v>
      </c>
      <c r="C13" s="143" t="s">
        <v>241</v>
      </c>
      <c r="D13" s="142" t="s">
        <v>240</v>
      </c>
      <c r="E13" s="143">
        <v>7</v>
      </c>
      <c r="F13" s="143"/>
      <c r="G13" s="143"/>
      <c r="H13" s="143"/>
      <c r="I13" s="143"/>
      <c r="J13" s="143"/>
      <c r="K13" s="143">
        <v>0</v>
      </c>
      <c r="L13" s="135">
        <f t="shared" si="0"/>
        <v>5</v>
      </c>
      <c r="M13" s="141">
        <f t="shared" si="1"/>
        <v>1</v>
      </c>
      <c r="N13" s="141">
        <f t="shared" si="2"/>
        <v>4</v>
      </c>
      <c r="O13" s="141">
        <f t="shared" si="3"/>
        <v>1</v>
      </c>
      <c r="P13" s="141">
        <f t="shared" si="4"/>
        <v>1</v>
      </c>
      <c r="Q13" s="146"/>
    </row>
    <row r="14" spans="2:17" ht="28" x14ac:dyDescent="0.35">
      <c r="B14" s="134" t="s">
        <v>204</v>
      </c>
      <c r="C14" s="143" t="s">
        <v>228</v>
      </c>
      <c r="D14" s="142" t="s">
        <v>227</v>
      </c>
      <c r="E14" s="143">
        <v>56</v>
      </c>
      <c r="F14" s="143"/>
      <c r="G14" s="143"/>
      <c r="H14" s="143"/>
      <c r="I14" s="143"/>
      <c r="J14" s="143"/>
      <c r="K14" s="143">
        <v>158</v>
      </c>
      <c r="M14" s="141">
        <f t="shared" si="1"/>
        <v>0</v>
      </c>
      <c r="N14" s="141">
        <f t="shared" si="2"/>
        <v>0</v>
      </c>
      <c r="O14" s="141">
        <f t="shared" si="3"/>
        <v>0</v>
      </c>
      <c r="P14" s="141">
        <f t="shared" si="4"/>
        <v>0</v>
      </c>
      <c r="Q14" s="158" t="s">
        <v>314</v>
      </c>
    </row>
    <row r="15" spans="2:17" x14ac:dyDescent="0.35">
      <c r="B15" s="543" t="s">
        <v>315</v>
      </c>
      <c r="C15" s="543"/>
      <c r="D15" s="543"/>
      <c r="E15" s="140">
        <f>SUM(E3:E13)</f>
        <v>523</v>
      </c>
      <c r="F15" s="140"/>
      <c r="G15" s="140"/>
      <c r="H15" s="140"/>
      <c r="I15" s="140"/>
      <c r="J15" s="140"/>
      <c r="K15" s="140">
        <f t="shared" ref="K15:P15" si="5">SUM(K3:K14)</f>
        <v>1305.25</v>
      </c>
      <c r="L15" s="140">
        <f t="shared" si="5"/>
        <v>335</v>
      </c>
      <c r="M15" s="140">
        <f>SUM(M3:M14)</f>
        <v>68</v>
      </c>
      <c r="N15" s="140">
        <f t="shared" si="5"/>
        <v>235</v>
      </c>
      <c r="O15" s="140">
        <f t="shared" si="5"/>
        <v>33</v>
      </c>
      <c r="P15" s="140">
        <f t="shared" si="5"/>
        <v>33</v>
      </c>
    </row>
    <row r="18" spans="2:17" x14ac:dyDescent="0.35">
      <c r="E18" s="147"/>
      <c r="F18" s="147"/>
      <c r="G18" s="147"/>
      <c r="H18" s="147"/>
      <c r="I18" s="147"/>
      <c r="J18" s="147"/>
      <c r="K18" s="148"/>
      <c r="L18" s="137"/>
      <c r="M18" s="136"/>
      <c r="N18" s="136"/>
      <c r="O18" s="136"/>
      <c r="P18" s="136"/>
    </row>
    <row r="19" spans="2:17" ht="154" x14ac:dyDescent="0.35">
      <c r="B19" s="226" t="s">
        <v>205</v>
      </c>
      <c r="C19" s="226" t="s">
        <v>282</v>
      </c>
      <c r="D19" s="226" t="s">
        <v>217</v>
      </c>
      <c r="E19" s="227" t="s">
        <v>346</v>
      </c>
      <c r="F19" s="228" t="s">
        <v>344</v>
      </c>
      <c r="G19" s="227" t="s">
        <v>347</v>
      </c>
      <c r="H19" s="227" t="s">
        <v>343</v>
      </c>
      <c r="I19" s="228" t="s">
        <v>350</v>
      </c>
      <c r="J19" s="227" t="s">
        <v>348</v>
      </c>
      <c r="K19" s="229" t="s">
        <v>270</v>
      </c>
      <c r="L19" s="229" t="s">
        <v>271</v>
      </c>
      <c r="M19" s="229" t="s">
        <v>272</v>
      </c>
      <c r="N19" s="229" t="s">
        <v>273</v>
      </c>
      <c r="O19" s="230" t="s">
        <v>10</v>
      </c>
      <c r="P19" s="145"/>
      <c r="Q19" s="145"/>
    </row>
    <row r="20" spans="2:17" ht="15" customHeight="1" x14ac:dyDescent="0.35">
      <c r="B20" s="231" t="s">
        <v>249</v>
      </c>
      <c r="C20" s="232" t="s">
        <v>237</v>
      </c>
      <c r="D20" s="233" t="s">
        <v>236</v>
      </c>
      <c r="E20" s="256">
        <v>129</v>
      </c>
      <c r="F20" s="256">
        <v>43</v>
      </c>
      <c r="G20" s="256">
        <f t="shared" ref="G20:G32" si="6">ROUND(F20*0.75,0)</f>
        <v>32</v>
      </c>
      <c r="H20" s="234">
        <v>129</v>
      </c>
      <c r="I20" s="235">
        <f>H20/3</f>
        <v>43</v>
      </c>
      <c r="J20" s="235">
        <f t="shared" ref="J20:J32" si="7">ROUND(I20*0.75,0)</f>
        <v>32</v>
      </c>
      <c r="K20" s="235">
        <f t="shared" ref="K20:K28" si="8">ROUND($J20*20%,0)</f>
        <v>6</v>
      </c>
      <c r="L20" s="235">
        <f>ROUND($J20*70%,0)</f>
        <v>22</v>
      </c>
      <c r="M20" s="235">
        <f>ROUND($J20*20%,0)</f>
        <v>6</v>
      </c>
      <c r="N20" s="235">
        <f>ROUND($J20*10%,0)</f>
        <v>3</v>
      </c>
      <c r="O20" s="236" t="s">
        <v>345</v>
      </c>
      <c r="P20" s="145"/>
      <c r="Q20" s="145"/>
    </row>
    <row r="21" spans="2:17" ht="15" customHeight="1" x14ac:dyDescent="0.35">
      <c r="B21" s="231" t="s">
        <v>249</v>
      </c>
      <c r="C21" s="232" t="s">
        <v>327</v>
      </c>
      <c r="D21" s="233" t="s">
        <v>274</v>
      </c>
      <c r="E21" s="256">
        <v>147</v>
      </c>
      <c r="F21" s="256">
        <v>51</v>
      </c>
      <c r="G21" s="256">
        <f t="shared" si="6"/>
        <v>38</v>
      </c>
      <c r="H21" s="234">
        <v>147</v>
      </c>
      <c r="I21" s="235">
        <f>H21/3</f>
        <v>49</v>
      </c>
      <c r="J21" s="235">
        <f t="shared" si="7"/>
        <v>37</v>
      </c>
      <c r="K21" s="235">
        <f t="shared" si="8"/>
        <v>7</v>
      </c>
      <c r="L21" s="235">
        <f t="shared" ref="L21:L23" si="9">ROUND($J21*70%,0)</f>
        <v>26</v>
      </c>
      <c r="M21" s="235">
        <f t="shared" ref="M21:M23" si="10">ROUND($J21*20%,0)</f>
        <v>7</v>
      </c>
      <c r="N21" s="235">
        <f t="shared" ref="N21:N23" si="11">ROUND($J21*10%,0)</f>
        <v>4</v>
      </c>
      <c r="O21" s="236" t="s">
        <v>345</v>
      </c>
      <c r="P21" s="145"/>
      <c r="Q21" s="145"/>
    </row>
    <row r="22" spans="2:17" ht="15" customHeight="1" x14ac:dyDescent="0.35">
      <c r="B22" s="231" t="s">
        <v>249</v>
      </c>
      <c r="C22" s="232" t="s">
        <v>332</v>
      </c>
      <c r="D22" s="233" t="s">
        <v>276</v>
      </c>
      <c r="E22" s="256">
        <v>84</v>
      </c>
      <c r="F22" s="256">
        <v>28</v>
      </c>
      <c r="G22" s="256">
        <f t="shared" si="6"/>
        <v>21</v>
      </c>
      <c r="H22" s="234">
        <v>75</v>
      </c>
      <c r="I22" s="235">
        <f>H22/3</f>
        <v>25</v>
      </c>
      <c r="J22" s="235">
        <f t="shared" si="7"/>
        <v>19</v>
      </c>
      <c r="K22" s="235">
        <f t="shared" si="8"/>
        <v>4</v>
      </c>
      <c r="L22" s="235">
        <f t="shared" si="9"/>
        <v>13</v>
      </c>
      <c r="M22" s="235">
        <f t="shared" si="10"/>
        <v>4</v>
      </c>
      <c r="N22" s="235">
        <f t="shared" si="11"/>
        <v>2</v>
      </c>
      <c r="O22" s="236" t="s">
        <v>345</v>
      </c>
      <c r="P22" s="145"/>
      <c r="Q22" s="145"/>
    </row>
    <row r="23" spans="2:17" ht="15" customHeight="1" x14ac:dyDescent="0.35">
      <c r="B23" s="231" t="s">
        <v>249</v>
      </c>
      <c r="C23" s="232" t="s">
        <v>333</v>
      </c>
      <c r="D23" s="233" t="s">
        <v>277</v>
      </c>
      <c r="E23" s="256">
        <v>114</v>
      </c>
      <c r="F23" s="256">
        <v>38</v>
      </c>
      <c r="G23" s="256">
        <f t="shared" si="6"/>
        <v>29</v>
      </c>
      <c r="H23" s="234">
        <v>102</v>
      </c>
      <c r="I23" s="235">
        <f>H23/3</f>
        <v>34</v>
      </c>
      <c r="J23" s="235">
        <f t="shared" si="7"/>
        <v>26</v>
      </c>
      <c r="K23" s="235">
        <f t="shared" si="8"/>
        <v>5</v>
      </c>
      <c r="L23" s="235">
        <f t="shared" si="9"/>
        <v>18</v>
      </c>
      <c r="M23" s="235">
        <f t="shared" si="10"/>
        <v>5</v>
      </c>
      <c r="N23" s="235">
        <f t="shared" si="11"/>
        <v>3</v>
      </c>
      <c r="O23" s="236" t="s">
        <v>345</v>
      </c>
      <c r="P23" s="145"/>
      <c r="Q23" s="145"/>
    </row>
    <row r="24" spans="2:17" ht="15" customHeight="1" x14ac:dyDescent="0.35">
      <c r="B24" s="231" t="s">
        <v>249</v>
      </c>
      <c r="C24" s="232" t="s">
        <v>341</v>
      </c>
      <c r="D24" s="233" t="s">
        <v>275</v>
      </c>
      <c r="E24" s="256">
        <v>213</v>
      </c>
      <c r="F24" s="256">
        <v>99</v>
      </c>
      <c r="G24" s="256">
        <f t="shared" si="6"/>
        <v>74</v>
      </c>
      <c r="H24" s="234">
        <v>202</v>
      </c>
      <c r="I24" s="235">
        <f>H24/2</f>
        <v>101</v>
      </c>
      <c r="J24" s="374">
        <f>ROUND(I24*0.65*2,0)</f>
        <v>131</v>
      </c>
      <c r="K24" s="235">
        <v>0</v>
      </c>
      <c r="L24" s="235">
        <f>ROUND($J24*90%,0)</f>
        <v>118</v>
      </c>
      <c r="M24" s="235">
        <v>0</v>
      </c>
      <c r="N24" s="235">
        <f>ROUND($J24*10%,0)</f>
        <v>13</v>
      </c>
      <c r="O24" s="363" t="s">
        <v>459</v>
      </c>
      <c r="P24" s="145"/>
      <c r="Q24" s="145"/>
    </row>
    <row r="25" spans="2:17" ht="15" customHeight="1" x14ac:dyDescent="0.35">
      <c r="B25" s="370" t="s">
        <v>457</v>
      </c>
      <c r="C25" s="371"/>
      <c r="D25" s="372"/>
      <c r="E25" s="368"/>
      <c r="F25" s="368"/>
      <c r="G25" s="368"/>
      <c r="H25" s="373">
        <f>SUM(H20:H24)</f>
        <v>655</v>
      </c>
      <c r="I25" s="373">
        <f t="shared" ref="I25:J25" si="12">SUM(I20:I24)</f>
        <v>252</v>
      </c>
      <c r="J25" s="373">
        <f t="shared" si="12"/>
        <v>245</v>
      </c>
      <c r="K25" s="235"/>
      <c r="L25" s="235"/>
      <c r="M25" s="235"/>
      <c r="N25" s="235"/>
      <c r="O25" s="363"/>
      <c r="P25" s="145"/>
      <c r="Q25" s="145"/>
    </row>
    <row r="26" spans="2:17" ht="15" customHeight="1" x14ac:dyDescent="0.35">
      <c r="B26" s="231" t="s">
        <v>249</v>
      </c>
      <c r="C26" s="232" t="s">
        <v>334</v>
      </c>
      <c r="D26" s="233" t="s">
        <v>278</v>
      </c>
      <c r="E26" s="256">
        <v>198</v>
      </c>
      <c r="F26" s="256">
        <v>96</v>
      </c>
      <c r="G26" s="256">
        <f>ROUND(F26*0.75,0)</f>
        <v>72</v>
      </c>
      <c r="H26" s="234">
        <v>163</v>
      </c>
      <c r="I26" s="235">
        <v>0</v>
      </c>
      <c r="J26" s="235">
        <f>ROUND(I26*0.75,0)</f>
        <v>0</v>
      </c>
      <c r="K26" s="235">
        <f>ROUND($J26*20%,0)</f>
        <v>0</v>
      </c>
      <c r="L26" s="235">
        <f>ROUND($J26*70%,0)</f>
        <v>0</v>
      </c>
      <c r="M26" s="235">
        <f>ROUND($J26*10%,0)</f>
        <v>0</v>
      </c>
      <c r="N26" s="235">
        <f>ROUND($J26*10%,0)</f>
        <v>0</v>
      </c>
      <c r="O26" s="236" t="s">
        <v>349</v>
      </c>
      <c r="P26" s="145"/>
      <c r="Q26" s="145"/>
    </row>
    <row r="27" spans="2:17" ht="15" customHeight="1" x14ac:dyDescent="0.35">
      <c r="B27" s="237" t="s">
        <v>249</v>
      </c>
      <c r="C27" s="238" t="s">
        <v>329</v>
      </c>
      <c r="D27" s="239" t="s">
        <v>286</v>
      </c>
      <c r="E27" s="256">
        <v>57</v>
      </c>
      <c r="F27" s="256">
        <v>19</v>
      </c>
      <c r="G27" s="256">
        <f t="shared" si="6"/>
        <v>14</v>
      </c>
      <c r="H27" s="240">
        <v>28</v>
      </c>
      <c r="I27" s="241">
        <f t="shared" ref="I27:I32" si="13">H27/3</f>
        <v>9.3333333333333339</v>
      </c>
      <c r="J27" s="241">
        <f t="shared" si="7"/>
        <v>7</v>
      </c>
      <c r="K27" s="241">
        <f t="shared" si="8"/>
        <v>1</v>
      </c>
      <c r="L27" s="241">
        <f>ROUND($J27*70%,0)</f>
        <v>5</v>
      </c>
      <c r="M27" s="241">
        <f t="shared" ref="M27:M30" si="14">ROUND($J27*20%,0)</f>
        <v>1</v>
      </c>
      <c r="N27" s="241">
        <f t="shared" ref="N27:N30" si="15">ROUND($J27*10%,0)</f>
        <v>1</v>
      </c>
      <c r="O27" s="242" t="s">
        <v>345</v>
      </c>
      <c r="P27" s="145"/>
      <c r="Q27" s="145"/>
    </row>
    <row r="28" spans="2:17" ht="15" customHeight="1" x14ac:dyDescent="0.35">
      <c r="B28" s="237" t="s">
        <v>249</v>
      </c>
      <c r="C28" s="238" t="s">
        <v>331</v>
      </c>
      <c r="D28" s="239" t="s">
        <v>287</v>
      </c>
      <c r="E28" s="256">
        <v>177</v>
      </c>
      <c r="F28" s="256">
        <v>59</v>
      </c>
      <c r="G28" s="256">
        <f t="shared" si="6"/>
        <v>44</v>
      </c>
      <c r="H28" s="240">
        <v>157</v>
      </c>
      <c r="I28" s="241">
        <f t="shared" si="13"/>
        <v>52.333333333333336</v>
      </c>
      <c r="J28" s="241">
        <f t="shared" si="7"/>
        <v>39</v>
      </c>
      <c r="K28" s="241">
        <f t="shared" si="8"/>
        <v>8</v>
      </c>
      <c r="L28" s="241">
        <f>ROUND($J28*70%,0)</f>
        <v>27</v>
      </c>
      <c r="M28" s="241">
        <f t="shared" si="14"/>
        <v>8</v>
      </c>
      <c r="N28" s="241">
        <f t="shared" si="15"/>
        <v>4</v>
      </c>
      <c r="O28" s="242" t="s">
        <v>345</v>
      </c>
      <c r="P28" s="145"/>
      <c r="Q28" s="145"/>
    </row>
    <row r="29" spans="2:17" ht="15" customHeight="1" x14ac:dyDescent="0.35">
      <c r="B29" s="237" t="s">
        <v>249</v>
      </c>
      <c r="C29" s="238" t="s">
        <v>330</v>
      </c>
      <c r="D29" s="239" t="s">
        <v>324</v>
      </c>
      <c r="E29" s="256">
        <v>36</v>
      </c>
      <c r="F29" s="256">
        <v>12</v>
      </c>
      <c r="G29" s="256">
        <f t="shared" si="6"/>
        <v>9</v>
      </c>
      <c r="H29" s="240">
        <v>19</v>
      </c>
      <c r="I29" s="241">
        <f t="shared" si="13"/>
        <v>6.333333333333333</v>
      </c>
      <c r="J29" s="241">
        <f t="shared" si="7"/>
        <v>5</v>
      </c>
      <c r="K29" s="241">
        <f t="shared" ref="K29:K30" si="16">ROUND($J29*20%,0)</f>
        <v>1</v>
      </c>
      <c r="L29" s="241">
        <f t="shared" ref="L29:L30" si="17">ROUND($J29*70%,0)</f>
        <v>4</v>
      </c>
      <c r="M29" s="241">
        <f t="shared" si="14"/>
        <v>1</v>
      </c>
      <c r="N29" s="241">
        <f t="shared" si="15"/>
        <v>1</v>
      </c>
      <c r="O29" s="242" t="s">
        <v>345</v>
      </c>
      <c r="P29" s="145"/>
      <c r="Q29" s="145"/>
    </row>
    <row r="30" spans="2:17" ht="15" customHeight="1" x14ac:dyDescent="0.35">
      <c r="B30" s="237" t="s">
        <v>249</v>
      </c>
      <c r="C30" s="238" t="s">
        <v>328</v>
      </c>
      <c r="D30" s="239" t="s">
        <v>323</v>
      </c>
      <c r="E30" s="256">
        <v>54</v>
      </c>
      <c r="F30" s="256">
        <v>18</v>
      </c>
      <c r="G30" s="256">
        <f t="shared" si="6"/>
        <v>14</v>
      </c>
      <c r="H30" s="240">
        <v>45</v>
      </c>
      <c r="I30" s="241">
        <f t="shared" si="13"/>
        <v>15</v>
      </c>
      <c r="J30" s="241">
        <f t="shared" si="7"/>
        <v>11</v>
      </c>
      <c r="K30" s="241">
        <f t="shared" si="16"/>
        <v>2</v>
      </c>
      <c r="L30" s="241">
        <f t="shared" si="17"/>
        <v>8</v>
      </c>
      <c r="M30" s="241">
        <f t="shared" si="14"/>
        <v>2</v>
      </c>
      <c r="N30" s="241">
        <f t="shared" si="15"/>
        <v>1</v>
      </c>
      <c r="O30" s="242" t="s">
        <v>345</v>
      </c>
      <c r="P30" s="145"/>
      <c r="Q30" s="145"/>
    </row>
    <row r="31" spans="2:17" ht="15" customHeight="1" x14ac:dyDescent="0.35">
      <c r="B31" s="237" t="s">
        <v>249</v>
      </c>
      <c r="C31" s="238" t="s">
        <v>288</v>
      </c>
      <c r="D31" s="239" t="s">
        <v>322</v>
      </c>
      <c r="E31" s="256">
        <v>267</v>
      </c>
      <c r="F31" s="256">
        <v>89</v>
      </c>
      <c r="G31" s="256">
        <f t="shared" si="6"/>
        <v>67</v>
      </c>
      <c r="H31" s="240">
        <v>283</v>
      </c>
      <c r="I31" s="241">
        <f t="shared" si="13"/>
        <v>94.333333333333329</v>
      </c>
      <c r="J31" s="241">
        <f t="shared" si="7"/>
        <v>71</v>
      </c>
      <c r="K31" s="241">
        <f>ROUND($J31*20%,0)</f>
        <v>14</v>
      </c>
      <c r="L31" s="241">
        <f>ROUND($J31*70%,0)</f>
        <v>50</v>
      </c>
      <c r="M31" s="241">
        <f>ROUND($J31*20%,0)</f>
        <v>14</v>
      </c>
      <c r="N31" s="241">
        <f>ROUND($J31*10%,0)</f>
        <v>7</v>
      </c>
      <c r="O31" s="242" t="s">
        <v>345</v>
      </c>
      <c r="P31" s="145"/>
      <c r="Q31" s="145"/>
    </row>
    <row r="32" spans="2:17" ht="15" customHeight="1" x14ac:dyDescent="0.35">
      <c r="B32" s="237" t="s">
        <v>249</v>
      </c>
      <c r="C32" s="238"/>
      <c r="D32" s="239" t="s">
        <v>279</v>
      </c>
      <c r="E32" s="257">
        <v>20</v>
      </c>
      <c r="F32" s="256">
        <v>0</v>
      </c>
      <c r="G32" s="257">
        <f t="shared" si="6"/>
        <v>0</v>
      </c>
      <c r="H32" s="243">
        <v>0</v>
      </c>
      <c r="I32" s="241">
        <f t="shared" si="13"/>
        <v>0</v>
      </c>
      <c r="J32" s="243">
        <f t="shared" si="7"/>
        <v>0</v>
      </c>
      <c r="K32" s="241">
        <f>ROUND($J32*20%,0)</f>
        <v>0</v>
      </c>
      <c r="L32" s="241">
        <f>ROUND($J32*70%,0)</f>
        <v>0</v>
      </c>
      <c r="M32" s="241">
        <f>ROUND($J32*20%,0)</f>
        <v>0</v>
      </c>
      <c r="N32" s="241">
        <f>ROUND($J32*10%,0)</f>
        <v>0</v>
      </c>
      <c r="O32" s="242"/>
      <c r="P32" s="145"/>
      <c r="Q32" s="145"/>
    </row>
    <row r="33" spans="1:17" ht="15" customHeight="1" x14ac:dyDescent="0.35">
      <c r="B33" s="364" t="s">
        <v>458</v>
      </c>
      <c r="C33" s="365"/>
      <c r="D33" s="366"/>
      <c r="E33" s="367"/>
      <c r="F33" s="368"/>
      <c r="G33" s="367"/>
      <c r="H33" s="369">
        <f>SUM(H27:H32)</f>
        <v>532</v>
      </c>
      <c r="I33" s="369">
        <f t="shared" ref="I33:J33" si="18">SUM(I27:I32)</f>
        <v>177.33333333333331</v>
      </c>
      <c r="J33" s="369">
        <f t="shared" si="18"/>
        <v>133</v>
      </c>
      <c r="K33" s="241"/>
      <c r="L33" s="241"/>
      <c r="M33" s="241"/>
      <c r="N33" s="241"/>
      <c r="O33" s="242"/>
      <c r="P33" s="145"/>
      <c r="Q33" s="145"/>
    </row>
    <row r="34" spans="1:17" ht="15" customHeight="1" x14ac:dyDescent="0.35">
      <c r="B34" s="544" t="s">
        <v>280</v>
      </c>
      <c r="C34" s="544"/>
      <c r="D34" s="544"/>
      <c r="E34" s="244">
        <f>SUM(E20:E31)</f>
        <v>1476</v>
      </c>
      <c r="F34" s="244">
        <f>SUM(F20:F31)</f>
        <v>552</v>
      </c>
      <c r="G34" s="244">
        <f>SUM(G20:G31)</f>
        <v>414</v>
      </c>
      <c r="H34" s="244">
        <f t="shared" ref="H34:N34" si="19">SUM(H20:H24,H26:H32)</f>
        <v>1350</v>
      </c>
      <c r="I34" s="244">
        <f t="shared" si="19"/>
        <v>429.33333333333326</v>
      </c>
      <c r="J34" s="244">
        <f t="shared" si="19"/>
        <v>378</v>
      </c>
      <c r="K34" s="244">
        <f t="shared" si="19"/>
        <v>48</v>
      </c>
      <c r="L34" s="244">
        <f t="shared" si="19"/>
        <v>291</v>
      </c>
      <c r="M34" s="244">
        <f t="shared" si="19"/>
        <v>48</v>
      </c>
      <c r="N34" s="244">
        <f t="shared" si="19"/>
        <v>39</v>
      </c>
      <c r="O34" s="232"/>
      <c r="P34" s="145"/>
      <c r="Q34" s="145"/>
    </row>
    <row r="35" spans="1:17" ht="15.75" customHeight="1" x14ac:dyDescent="0.35">
      <c r="F35" s="394">
        <f>F34-F26</f>
        <v>456</v>
      </c>
      <c r="J35" s="394">
        <f>J34-N34</f>
        <v>339</v>
      </c>
      <c r="L35" s="394">
        <f>L34+SUM(L39:L43)</f>
        <v>325</v>
      </c>
      <c r="M35" s="394">
        <f>M34+SUM(M39:M43)</f>
        <v>57</v>
      </c>
    </row>
    <row r="36" spans="1:17" x14ac:dyDescent="0.35">
      <c r="K36" s="159"/>
      <c r="M36" s="135">
        <f>M35*70%</f>
        <v>39.9</v>
      </c>
    </row>
    <row r="37" spans="1:17" x14ac:dyDescent="0.35">
      <c r="M37" s="135">
        <f>L35+M36</f>
        <v>364.9</v>
      </c>
      <c r="N37" s="136"/>
      <c r="O37" s="136"/>
      <c r="P37" s="136"/>
    </row>
    <row r="38" spans="1:17" s="141" customFormat="1" ht="154" x14ac:dyDescent="0.35">
      <c r="A38" s="139" t="s">
        <v>281</v>
      </c>
      <c r="B38" s="229"/>
      <c r="C38" s="226" t="s">
        <v>282</v>
      </c>
      <c r="D38" s="229" t="s">
        <v>283</v>
      </c>
      <c r="E38" s="227" t="s">
        <v>346</v>
      </c>
      <c r="F38" s="228" t="s">
        <v>344</v>
      </c>
      <c r="G38" s="227" t="s">
        <v>347</v>
      </c>
      <c r="H38" s="227" t="s">
        <v>343</v>
      </c>
      <c r="I38" s="228" t="s">
        <v>350</v>
      </c>
      <c r="J38" s="227" t="s">
        <v>348</v>
      </c>
      <c r="K38" s="229" t="s">
        <v>270</v>
      </c>
      <c r="L38" s="229" t="s">
        <v>271</v>
      </c>
      <c r="M38" s="229" t="s">
        <v>272</v>
      </c>
      <c r="N38" s="229" t="s">
        <v>273</v>
      </c>
      <c r="O38" s="245" t="s">
        <v>10</v>
      </c>
    </row>
    <row r="39" spans="1:17" x14ac:dyDescent="0.35">
      <c r="A39" s="145"/>
      <c r="B39" s="246" t="s">
        <v>260</v>
      </c>
      <c r="C39" s="247" t="s">
        <v>331</v>
      </c>
      <c r="D39" s="233" t="s">
        <v>287</v>
      </c>
      <c r="E39" s="235"/>
      <c r="F39" s="235"/>
      <c r="G39" s="235"/>
      <c r="H39" s="234">
        <v>20</v>
      </c>
      <c r="I39" s="235">
        <f>H39/3</f>
        <v>6.666666666666667</v>
      </c>
      <c r="J39" s="235">
        <f>ROUND(I39*0.75,0)</f>
        <v>5</v>
      </c>
      <c r="K39" s="235">
        <f t="shared" ref="K39:K43" si="20">ROUND($J39*20%,0)</f>
        <v>1</v>
      </c>
      <c r="L39" s="235">
        <f>ROUND($J39*70%,0)</f>
        <v>4</v>
      </c>
      <c r="M39" s="235">
        <f t="shared" ref="M39:M43" si="21">ROUND($J39*20%,0)</f>
        <v>1</v>
      </c>
      <c r="N39" s="235">
        <f t="shared" ref="N39:N43" si="22">ROUND($J39*10%,0)</f>
        <v>1</v>
      </c>
      <c r="O39" s="236" t="s">
        <v>345</v>
      </c>
      <c r="P39" s="145"/>
      <c r="Q39" s="145"/>
    </row>
    <row r="40" spans="1:17" x14ac:dyDescent="0.35">
      <c r="A40" s="145"/>
      <c r="B40" s="246" t="s">
        <v>260</v>
      </c>
      <c r="C40" s="247" t="s">
        <v>329</v>
      </c>
      <c r="D40" s="233" t="s">
        <v>286</v>
      </c>
      <c r="E40" s="235"/>
      <c r="F40" s="235"/>
      <c r="G40" s="235"/>
      <c r="H40" s="234">
        <v>20</v>
      </c>
      <c r="I40" s="235">
        <f t="shared" ref="I40:I43" si="23">H40/3</f>
        <v>6.666666666666667</v>
      </c>
      <c r="J40" s="235">
        <f t="shared" ref="J40:J43" si="24">ROUND(I40*0.75,0)</f>
        <v>5</v>
      </c>
      <c r="K40" s="235">
        <f t="shared" si="20"/>
        <v>1</v>
      </c>
      <c r="L40" s="235">
        <f t="shared" ref="L40:L43" si="25">ROUND($J40*70%,0)</f>
        <v>4</v>
      </c>
      <c r="M40" s="235">
        <f t="shared" si="21"/>
        <v>1</v>
      </c>
      <c r="N40" s="235">
        <f t="shared" si="22"/>
        <v>1</v>
      </c>
      <c r="O40" s="236" t="s">
        <v>345</v>
      </c>
      <c r="P40" s="145"/>
      <c r="Q40" s="145"/>
    </row>
    <row r="41" spans="1:17" x14ac:dyDescent="0.35">
      <c r="A41" s="144"/>
      <c r="B41" s="246" t="s">
        <v>260</v>
      </c>
      <c r="C41" s="248" t="s">
        <v>289</v>
      </c>
      <c r="D41" s="249" t="s">
        <v>290</v>
      </c>
      <c r="E41" s="247"/>
      <c r="F41" s="248"/>
      <c r="G41" s="248"/>
      <c r="H41" s="248">
        <v>24</v>
      </c>
      <c r="I41" s="235">
        <f t="shared" si="23"/>
        <v>8</v>
      </c>
      <c r="J41" s="248">
        <f t="shared" si="24"/>
        <v>6</v>
      </c>
      <c r="K41" s="248">
        <f t="shared" si="20"/>
        <v>1</v>
      </c>
      <c r="L41" s="248">
        <f t="shared" si="25"/>
        <v>4</v>
      </c>
      <c r="M41" s="248">
        <f t="shared" si="21"/>
        <v>1</v>
      </c>
      <c r="N41" s="248">
        <f t="shared" si="22"/>
        <v>1</v>
      </c>
      <c r="O41" s="236" t="s">
        <v>345</v>
      </c>
      <c r="P41" s="145"/>
      <c r="Q41" s="145"/>
    </row>
    <row r="42" spans="1:17" x14ac:dyDescent="0.35">
      <c r="A42" s="144"/>
      <c r="B42" s="246" t="s">
        <v>260</v>
      </c>
      <c r="C42" s="248" t="s">
        <v>291</v>
      </c>
      <c r="D42" s="249" t="s">
        <v>292</v>
      </c>
      <c r="E42" s="247"/>
      <c r="F42" s="248"/>
      <c r="G42" s="248"/>
      <c r="H42" s="248">
        <v>17</v>
      </c>
      <c r="I42" s="235">
        <f t="shared" si="23"/>
        <v>5.666666666666667</v>
      </c>
      <c r="J42" s="248">
        <f t="shared" si="24"/>
        <v>4</v>
      </c>
      <c r="K42" s="248">
        <f t="shared" si="20"/>
        <v>1</v>
      </c>
      <c r="L42" s="248">
        <f t="shared" si="25"/>
        <v>3</v>
      </c>
      <c r="M42" s="248">
        <f t="shared" si="21"/>
        <v>1</v>
      </c>
      <c r="N42" s="248">
        <f t="shared" si="22"/>
        <v>0</v>
      </c>
      <c r="O42" s="236" t="s">
        <v>345</v>
      </c>
      <c r="P42" s="145"/>
      <c r="Q42" s="145"/>
    </row>
    <row r="43" spans="1:17" x14ac:dyDescent="0.35">
      <c r="A43" s="144"/>
      <c r="B43" s="246" t="s">
        <v>260</v>
      </c>
      <c r="C43" s="248" t="s">
        <v>293</v>
      </c>
      <c r="D43" s="249" t="s">
        <v>294</v>
      </c>
      <c r="E43" s="247"/>
      <c r="F43" s="248"/>
      <c r="G43" s="248"/>
      <c r="H43" s="248">
        <v>108</v>
      </c>
      <c r="I43" s="235">
        <f t="shared" si="23"/>
        <v>36</v>
      </c>
      <c r="J43" s="248">
        <f t="shared" si="24"/>
        <v>27</v>
      </c>
      <c r="K43" s="248">
        <f t="shared" si="20"/>
        <v>5</v>
      </c>
      <c r="L43" s="248">
        <f t="shared" si="25"/>
        <v>19</v>
      </c>
      <c r="M43" s="248">
        <f t="shared" si="21"/>
        <v>5</v>
      </c>
      <c r="N43" s="248">
        <f t="shared" si="22"/>
        <v>3</v>
      </c>
      <c r="O43" s="236" t="s">
        <v>345</v>
      </c>
      <c r="P43" s="145"/>
      <c r="Q43" s="145"/>
    </row>
    <row r="44" spans="1:17" x14ac:dyDescent="0.35">
      <c r="A44" s="144"/>
      <c r="B44" s="246" t="s">
        <v>260</v>
      </c>
      <c r="C44" s="248" t="s">
        <v>295</v>
      </c>
      <c r="D44" s="249" t="s">
        <v>296</v>
      </c>
      <c r="E44" s="247"/>
      <c r="F44" s="248"/>
      <c r="G44" s="248"/>
      <c r="H44" s="248">
        <v>130</v>
      </c>
      <c r="I44" s="235">
        <f>H44/2</f>
        <v>65</v>
      </c>
      <c r="J44" s="248">
        <f>ROUND(I44*0.75,0)</f>
        <v>49</v>
      </c>
      <c r="K44" s="248">
        <f>ROUND($J44*10%,0)</f>
        <v>5</v>
      </c>
      <c r="L44" s="248">
        <f>ROUND($J44*90%,0)</f>
        <v>44</v>
      </c>
      <c r="M44" s="248"/>
      <c r="N44" s="248">
        <f>ROUND($J44*10%,0)</f>
        <v>5</v>
      </c>
      <c r="O44" s="236" t="s">
        <v>342</v>
      </c>
      <c r="P44" s="145"/>
      <c r="Q44" s="145"/>
    </row>
    <row r="45" spans="1:17" x14ac:dyDescent="0.35">
      <c r="A45" s="144"/>
      <c r="B45" s="246" t="s">
        <v>260</v>
      </c>
      <c r="C45" s="248" t="s">
        <v>297</v>
      </c>
      <c r="D45" s="249" t="s">
        <v>298</v>
      </c>
      <c r="E45" s="247"/>
      <c r="F45" s="248"/>
      <c r="G45" s="248"/>
      <c r="H45" s="248">
        <v>85</v>
      </c>
      <c r="I45" s="235">
        <v>10</v>
      </c>
      <c r="J45" s="248">
        <v>30</v>
      </c>
      <c r="K45" s="248">
        <f>ROUND($J45*20%,0)</f>
        <v>6</v>
      </c>
      <c r="L45" s="248">
        <f>ROUND($J45*70%,0)</f>
        <v>21</v>
      </c>
      <c r="M45" s="248">
        <f>ROUND($J45*10%,0)</f>
        <v>3</v>
      </c>
      <c r="N45" s="248">
        <f>ROUND($J45*10%,0)</f>
        <v>3</v>
      </c>
      <c r="O45" s="236" t="s">
        <v>299</v>
      </c>
      <c r="P45" s="145"/>
      <c r="Q45" s="145"/>
    </row>
    <row r="46" spans="1:17" x14ac:dyDescent="0.35">
      <c r="A46" s="144"/>
      <c r="B46" s="375" t="s">
        <v>63</v>
      </c>
      <c r="C46" s="376"/>
      <c r="D46" s="377"/>
      <c r="E46" s="378"/>
      <c r="F46" s="376"/>
      <c r="G46" s="376"/>
      <c r="H46" s="379">
        <f>SUM(H39:H45)</f>
        <v>404</v>
      </c>
      <c r="I46" s="379">
        <f t="shared" ref="I46:J46" si="26">SUM(I39:I45)</f>
        <v>138</v>
      </c>
      <c r="J46" s="379">
        <f t="shared" si="26"/>
        <v>126</v>
      </c>
      <c r="K46" s="248"/>
      <c r="L46" s="248"/>
      <c r="M46" s="248"/>
      <c r="N46" s="248"/>
      <c r="O46" s="236"/>
      <c r="P46" s="145"/>
      <c r="Q46" s="145"/>
    </row>
    <row r="47" spans="1:17" s="203" customFormat="1" x14ac:dyDescent="0.35">
      <c r="A47" s="204"/>
      <c r="B47" s="237" t="s">
        <v>260</v>
      </c>
      <c r="C47" s="243" t="s">
        <v>326</v>
      </c>
      <c r="D47" s="250" t="s">
        <v>325</v>
      </c>
      <c r="E47" s="238"/>
      <c r="F47" s="243"/>
      <c r="G47" s="243"/>
      <c r="H47" s="243">
        <v>200</v>
      </c>
      <c r="I47" s="241">
        <f>H47/2</f>
        <v>100</v>
      </c>
      <c r="J47" s="243">
        <f>ROUND(I47*0.75,0)</f>
        <v>75</v>
      </c>
      <c r="K47" s="243">
        <f>ROUND($J47*20%,0)</f>
        <v>15</v>
      </c>
      <c r="L47" s="243">
        <f>ROUND($J47*90%,0)</f>
        <v>68</v>
      </c>
      <c r="M47" s="243">
        <f>ROUND($J47*0%,0)</f>
        <v>0</v>
      </c>
      <c r="N47" s="243">
        <f>ROUND($J47*10%,0)</f>
        <v>8</v>
      </c>
      <c r="O47" s="242" t="s">
        <v>351</v>
      </c>
    </row>
    <row r="48" spans="1:17" s="203" customFormat="1" x14ac:dyDescent="0.35">
      <c r="A48" s="204"/>
      <c r="B48" s="237" t="s">
        <v>260</v>
      </c>
      <c r="C48" s="251" t="s">
        <v>231</v>
      </c>
      <c r="D48" s="252" t="s">
        <v>352</v>
      </c>
      <c r="E48" s="238"/>
      <c r="F48" s="243"/>
      <c r="G48" s="243"/>
      <c r="H48" s="243">
        <v>0</v>
      </c>
      <c r="I48" s="241">
        <f>H48/2</f>
        <v>0</v>
      </c>
      <c r="J48" s="241">
        <f>ROUND(I48*0.75,0)</f>
        <v>0</v>
      </c>
      <c r="K48" s="241">
        <f>ROUND($J48*20%,0)</f>
        <v>0</v>
      </c>
      <c r="L48" s="241">
        <f>ROUND($J48*70%,0)</f>
        <v>0</v>
      </c>
      <c r="M48" s="241">
        <f>ROUND($J48*10%,0)</f>
        <v>0</v>
      </c>
      <c r="N48" s="241">
        <f>ROUND($J48*10%,0)</f>
        <v>0</v>
      </c>
      <c r="O48" s="242"/>
    </row>
    <row r="49" spans="1:17" s="203" customFormat="1" x14ac:dyDescent="0.35">
      <c r="A49" s="204"/>
      <c r="B49" s="237" t="s">
        <v>260</v>
      </c>
      <c r="C49" s="243" t="s">
        <v>231</v>
      </c>
      <c r="D49" s="250" t="s">
        <v>300</v>
      </c>
      <c r="E49" s="238"/>
      <c r="F49" s="243"/>
      <c r="G49" s="243"/>
      <c r="H49" s="243">
        <v>0</v>
      </c>
      <c r="I49" s="241">
        <f>H49/2</f>
        <v>0</v>
      </c>
      <c r="J49" s="241">
        <f>ROUND(I49*0.75,0)</f>
        <v>0</v>
      </c>
      <c r="K49" s="241">
        <f>ROUND($J49*20%,0)</f>
        <v>0</v>
      </c>
      <c r="L49" s="241">
        <f>ROUND($J49*70%,0)</f>
        <v>0</v>
      </c>
      <c r="M49" s="241">
        <f>ROUND($J49*10%,0)</f>
        <v>0</v>
      </c>
      <c r="N49" s="241">
        <f>ROUND($J49*10%,0)</f>
        <v>0</v>
      </c>
      <c r="O49" s="242"/>
    </row>
    <row r="50" spans="1:17" x14ac:dyDescent="0.35">
      <c r="B50" s="395" t="s">
        <v>62</v>
      </c>
      <c r="C50" s="395"/>
      <c r="D50" s="395"/>
      <c r="E50" s="253"/>
      <c r="F50" s="253"/>
      <c r="G50" s="253"/>
      <c r="H50" s="254">
        <f>SUM(H39:H45,H47:H49)</f>
        <v>604</v>
      </c>
      <c r="I50" s="254">
        <f t="shared" ref="I50" si="27">SUM(I39:I45,I47:I49)</f>
        <v>238</v>
      </c>
      <c r="J50" s="254">
        <f>SUM(J39:J45,J47:J49)</f>
        <v>201</v>
      </c>
      <c r="K50" s="253">
        <f>SUM(K39:K49)</f>
        <v>35</v>
      </c>
      <c r="L50" s="253">
        <f>SUM(L39:L49)</f>
        <v>167</v>
      </c>
      <c r="M50" s="253">
        <f>SUM(M39:M49)</f>
        <v>12</v>
      </c>
      <c r="N50" s="253">
        <f>SUM(N39:N49)</f>
        <v>22</v>
      </c>
      <c r="O50" s="255"/>
      <c r="P50" s="145"/>
      <c r="Q50" s="145"/>
    </row>
    <row r="51" spans="1:17" x14ac:dyDescent="0.35">
      <c r="I51" s="394">
        <f>I50-SUM(I39:I43)</f>
        <v>175</v>
      </c>
      <c r="J51" s="394">
        <f>J50-SUM(J39:J43)</f>
        <v>154</v>
      </c>
      <c r="L51" s="394">
        <f>L50-SUM(L39:L43)</f>
        <v>133</v>
      </c>
      <c r="M51" s="394">
        <f>M50-SUM(M39:M43)</f>
        <v>3</v>
      </c>
    </row>
    <row r="52" spans="1:17" x14ac:dyDescent="0.35">
      <c r="M52" s="135">
        <f>L50+M51</f>
        <v>170</v>
      </c>
    </row>
    <row r="53" spans="1:17" ht="154" x14ac:dyDescent="0.35">
      <c r="G53" s="232"/>
      <c r="H53" s="227" t="s">
        <v>478</v>
      </c>
      <c r="I53" s="228" t="s">
        <v>479</v>
      </c>
      <c r="J53" s="227" t="s">
        <v>348</v>
      </c>
      <c r="K53" s="229" t="s">
        <v>270</v>
      </c>
      <c r="L53" s="229" t="s">
        <v>271</v>
      </c>
      <c r="M53" s="229" t="s">
        <v>272</v>
      </c>
      <c r="N53" s="229" t="s">
        <v>273</v>
      </c>
    </row>
    <row r="54" spans="1:17" x14ac:dyDescent="0.35">
      <c r="G54" s="232" t="s">
        <v>260</v>
      </c>
      <c r="H54" s="232">
        <f>800</f>
        <v>800</v>
      </c>
      <c r="I54" s="232">
        <f>ROUND(H54/3,0)</f>
        <v>267</v>
      </c>
      <c r="J54" s="248">
        <f t="shared" ref="J54" si="28">ROUND(I54*0.75,0)</f>
        <v>200</v>
      </c>
      <c r="K54" s="235">
        <f t="shared" ref="K54" si="29">ROUND($J54*20%,0)</f>
        <v>40</v>
      </c>
      <c r="L54" s="235">
        <f>ROUND($J54*35%,0)</f>
        <v>70</v>
      </c>
      <c r="M54" s="235">
        <f>ROUND($J54*60%,0)</f>
        <v>120</v>
      </c>
      <c r="N54" s="235">
        <f>ROUND($J54*5%,0)</f>
        <v>10</v>
      </c>
    </row>
    <row r="55" spans="1:17" x14ac:dyDescent="0.35">
      <c r="G55" s="409" t="s">
        <v>475</v>
      </c>
      <c r="H55" s="232"/>
      <c r="I55" s="232"/>
      <c r="J55" s="232"/>
      <c r="K55" s="232"/>
      <c r="L55" s="232">
        <v>24</v>
      </c>
      <c r="M55" s="232">
        <f>M54/1.5</f>
        <v>80</v>
      </c>
      <c r="N55" s="232"/>
    </row>
    <row r="56" spans="1:17" x14ac:dyDescent="0.35">
      <c r="G56" s="232" t="s">
        <v>477</v>
      </c>
      <c r="H56" s="232"/>
      <c r="I56" s="232"/>
      <c r="J56" s="232"/>
      <c r="K56" s="232"/>
      <c r="L56" s="232"/>
      <c r="M56" s="232"/>
      <c r="N56" s="232"/>
    </row>
    <row r="57" spans="1:17" x14ac:dyDescent="0.35">
      <c r="G57" s="232" t="s">
        <v>476</v>
      </c>
      <c r="H57" s="232"/>
      <c r="I57" s="232"/>
      <c r="J57" s="232"/>
      <c r="K57" s="232"/>
      <c r="L57" s="232"/>
      <c r="M57" s="232"/>
      <c r="N57" s="232"/>
    </row>
    <row r="58" spans="1:17" x14ac:dyDescent="0.35">
      <c r="E58" s="135" t="s">
        <v>284</v>
      </c>
      <c r="F58" s="135" t="s">
        <v>285</v>
      </c>
    </row>
    <row r="59" spans="1:17" x14ac:dyDescent="0.35">
      <c r="D59" s="151" t="s">
        <v>249</v>
      </c>
      <c r="E59" s="135">
        <v>429</v>
      </c>
      <c r="F59" s="135">
        <v>339</v>
      </c>
    </row>
    <row r="60" spans="1:17" x14ac:dyDescent="0.35">
      <c r="D60" s="151" t="s">
        <v>260</v>
      </c>
      <c r="E60" s="135">
        <v>63</v>
      </c>
      <c r="F60" s="135">
        <v>47</v>
      </c>
    </row>
    <row r="61" spans="1:17" x14ac:dyDescent="0.35">
      <c r="D61" s="151" t="s">
        <v>468</v>
      </c>
      <c r="E61" s="135">
        <f>E59+E60</f>
        <v>492</v>
      </c>
      <c r="F61" s="135">
        <f>F59+F60</f>
        <v>386</v>
      </c>
    </row>
    <row r="65" spans="8:11" x14ac:dyDescent="0.35">
      <c r="H65" s="135" t="s">
        <v>471</v>
      </c>
      <c r="I65" s="135" t="s">
        <v>469</v>
      </c>
      <c r="J65" s="135" t="s">
        <v>470</v>
      </c>
      <c r="K65" s="135">
        <f>33/26</f>
        <v>1.2692307692307692</v>
      </c>
    </row>
    <row r="66" spans="8:11" x14ac:dyDescent="0.35">
      <c r="H66" s="135" t="s">
        <v>472</v>
      </c>
      <c r="J66" s="135" t="s">
        <v>473</v>
      </c>
      <c r="K66" s="135">
        <f>86/110</f>
        <v>0.78181818181818186</v>
      </c>
    </row>
  </sheetData>
  <mergeCells count="2">
    <mergeCell ref="B15:D15"/>
    <mergeCell ref="B34:D34"/>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78"/>
  <sheetViews>
    <sheetView topLeftCell="D87" zoomScale="55" zoomScaleNormal="55" workbookViewId="0">
      <selection activeCell="K47" sqref="K47"/>
    </sheetView>
  </sheetViews>
  <sheetFormatPr defaultColWidth="8.81640625" defaultRowHeight="14.5" outlineLevelRow="1" outlineLevelCol="1" x14ac:dyDescent="0.35"/>
  <cols>
    <col min="1" max="1" width="22.08984375" hidden="1" customWidth="1"/>
    <col min="2" max="2" width="9.6328125" customWidth="1"/>
    <col min="3" max="3" width="0.453125" customWidth="1"/>
    <col min="4" max="4" width="111.453125" customWidth="1"/>
    <col min="5" max="5" width="11.81640625" hidden="1" customWidth="1" outlineLevel="1"/>
    <col min="6" max="10" width="13.453125" hidden="1" customWidth="1" outlineLevel="1"/>
    <col min="11" max="13" width="13.54296875" hidden="1" customWidth="1" outlineLevel="1"/>
    <col min="14" max="14" width="15.08984375" hidden="1" customWidth="1" outlineLevel="1"/>
    <col min="15" max="15" width="12.453125" customWidth="1" collapsed="1"/>
    <col min="16" max="17" width="12.453125" customWidth="1"/>
    <col min="18" max="18" width="13.81640625" customWidth="1"/>
    <col min="19" max="19" width="14.453125" customWidth="1"/>
    <col min="20" max="20" width="13.54296875" customWidth="1"/>
    <col min="21" max="21" width="13.54296875" bestFit="1" customWidth="1"/>
    <col min="22" max="22" width="13.81640625" bestFit="1" customWidth="1"/>
    <col min="23" max="24" width="12.453125" bestFit="1" customWidth="1"/>
    <col min="25" max="25" width="12.453125" customWidth="1"/>
    <col min="26" max="27" width="13.81640625" customWidth="1"/>
    <col min="28" max="30" width="13.54296875" customWidth="1"/>
    <col min="31" max="31" width="11.453125" customWidth="1"/>
    <col min="32" max="32" width="12.08984375" hidden="1" customWidth="1"/>
  </cols>
  <sheetData>
    <row r="1" spans="1:32" ht="37" hidden="1" customHeight="1" x14ac:dyDescent="0.35">
      <c r="E1" s="547" t="s">
        <v>353</v>
      </c>
      <c r="F1" s="548"/>
      <c r="G1" s="548"/>
      <c r="H1" s="548"/>
      <c r="I1" s="548"/>
      <c r="J1" s="548"/>
      <c r="K1" s="548"/>
      <c r="L1" s="548"/>
      <c r="M1" s="549"/>
      <c r="N1" s="258" t="s">
        <v>354</v>
      </c>
      <c r="O1" s="259"/>
      <c r="P1" s="259"/>
      <c r="Q1" s="259"/>
      <c r="R1" s="259"/>
      <c r="S1" s="259"/>
      <c r="T1" s="259"/>
      <c r="U1" s="259"/>
      <c r="V1" s="260"/>
      <c r="W1" s="550" t="s">
        <v>355</v>
      </c>
      <c r="X1" s="551"/>
      <c r="Y1" s="551"/>
      <c r="Z1" s="551"/>
      <c r="AA1" s="551"/>
      <c r="AB1" s="551"/>
      <c r="AC1" s="261"/>
      <c r="AD1" s="261"/>
    </row>
    <row r="2" spans="1:32" s="264" customFormat="1" ht="31" customHeight="1" x14ac:dyDescent="0.35">
      <c r="A2" s="262"/>
      <c r="B2" s="552" t="s">
        <v>356</v>
      </c>
      <c r="C2" s="552"/>
      <c r="D2" s="553"/>
      <c r="E2" s="554" t="s">
        <v>357</v>
      </c>
      <c r="F2" s="555"/>
      <c r="G2" s="556" t="s">
        <v>358</v>
      </c>
      <c r="H2" s="555"/>
      <c r="I2" s="557" t="s">
        <v>359</v>
      </c>
      <c r="J2" s="558"/>
      <c r="K2" s="559" t="s">
        <v>360</v>
      </c>
      <c r="L2" s="560"/>
      <c r="M2" s="559" t="s">
        <v>361</v>
      </c>
      <c r="N2" s="560"/>
      <c r="O2" s="561" t="s">
        <v>362</v>
      </c>
      <c r="P2" s="562"/>
      <c r="Q2" s="563" t="s">
        <v>363</v>
      </c>
      <c r="R2" s="564"/>
      <c r="S2" s="563" t="s">
        <v>364</v>
      </c>
      <c r="T2" s="564"/>
      <c r="U2" s="567" t="s">
        <v>365</v>
      </c>
      <c r="V2" s="568"/>
      <c r="W2" s="563" t="s">
        <v>366</v>
      </c>
      <c r="X2" s="564"/>
      <c r="Y2" s="545" t="s">
        <v>367</v>
      </c>
      <c r="Z2" s="546"/>
      <c r="AA2" s="545" t="s">
        <v>368</v>
      </c>
      <c r="AB2" s="546"/>
      <c r="AC2" s="545" t="s">
        <v>369</v>
      </c>
      <c r="AD2" s="546"/>
      <c r="AE2" s="263"/>
    </row>
    <row r="3" spans="1:32" ht="34" thickBot="1" x14ac:dyDescent="0.4">
      <c r="B3" s="552"/>
      <c r="C3" s="552"/>
      <c r="D3" s="553"/>
      <c r="E3" s="569" t="s">
        <v>370</v>
      </c>
      <c r="F3" s="570"/>
      <c r="G3" s="570" t="s">
        <v>371</v>
      </c>
      <c r="H3" s="570"/>
      <c r="I3" s="571" t="s">
        <v>372</v>
      </c>
      <c r="J3" s="572"/>
      <c r="K3" s="565" t="s">
        <v>373</v>
      </c>
      <c r="L3" s="566"/>
      <c r="M3" s="565" t="s">
        <v>118</v>
      </c>
      <c r="N3" s="566"/>
      <c r="O3" s="565" t="s">
        <v>125</v>
      </c>
      <c r="P3" s="566"/>
      <c r="Q3" s="565" t="s">
        <v>41</v>
      </c>
      <c r="R3" s="566"/>
      <c r="S3" s="565" t="s">
        <v>204</v>
      </c>
      <c r="T3" s="566"/>
      <c r="U3" s="565" t="s">
        <v>249</v>
      </c>
      <c r="V3" s="566"/>
      <c r="W3" s="565" t="s">
        <v>260</v>
      </c>
      <c r="X3" s="566"/>
      <c r="Y3" s="575" t="s">
        <v>374</v>
      </c>
      <c r="Z3" s="576"/>
      <c r="AA3" s="573" t="s">
        <v>375</v>
      </c>
      <c r="AB3" s="574"/>
      <c r="AC3" s="573" t="s">
        <v>376</v>
      </c>
      <c r="AD3" s="574"/>
      <c r="AE3" s="265"/>
    </row>
    <row r="4" spans="1:32" s="266" customFormat="1" ht="18" customHeight="1" x14ac:dyDescent="0.45">
      <c r="D4" s="267" t="s">
        <v>377</v>
      </c>
      <c r="E4" s="268"/>
      <c r="F4" s="269"/>
      <c r="G4" s="269"/>
      <c r="H4" s="269"/>
      <c r="I4" s="269"/>
      <c r="J4" s="269"/>
      <c r="K4" s="270">
        <v>41852</v>
      </c>
      <c r="L4" s="270">
        <v>41901</v>
      </c>
      <c r="M4" s="270">
        <v>41950</v>
      </c>
      <c r="N4" s="270">
        <v>41985</v>
      </c>
      <c r="O4" s="270">
        <v>42027</v>
      </c>
      <c r="P4" s="270">
        <v>42083</v>
      </c>
      <c r="Q4" s="270">
        <v>42167</v>
      </c>
      <c r="R4" s="270">
        <v>42209</v>
      </c>
      <c r="S4" s="271">
        <v>42251</v>
      </c>
      <c r="T4" s="271">
        <v>42293</v>
      </c>
      <c r="U4" s="271">
        <v>42377</v>
      </c>
      <c r="V4" s="272">
        <v>42419</v>
      </c>
      <c r="W4" s="271">
        <v>42454</v>
      </c>
      <c r="X4" s="271">
        <v>42454</v>
      </c>
      <c r="Y4" s="273">
        <v>42538</v>
      </c>
      <c r="Z4" s="273">
        <v>42538</v>
      </c>
      <c r="AA4" s="273">
        <v>42622</v>
      </c>
      <c r="AB4" s="273">
        <v>42622</v>
      </c>
      <c r="AC4" s="273">
        <v>42706</v>
      </c>
      <c r="AD4" s="273">
        <v>42706</v>
      </c>
    </row>
    <row r="5" spans="1:32" s="266" customFormat="1" ht="18.5" x14ac:dyDescent="0.45">
      <c r="C5" s="274"/>
      <c r="D5" s="267" t="s">
        <v>378</v>
      </c>
      <c r="E5" s="275">
        <v>41645</v>
      </c>
      <c r="F5" s="275">
        <v>41680</v>
      </c>
      <c r="G5" s="275">
        <v>41722</v>
      </c>
      <c r="H5" s="275">
        <v>41757</v>
      </c>
      <c r="I5" s="275">
        <v>41813</v>
      </c>
      <c r="J5" s="275">
        <v>41848</v>
      </c>
      <c r="K5" s="275">
        <v>41904</v>
      </c>
      <c r="L5" s="276">
        <v>41946</v>
      </c>
      <c r="M5" s="276">
        <v>41988</v>
      </c>
      <c r="N5" s="276">
        <v>42030</v>
      </c>
      <c r="O5" s="276">
        <v>42079</v>
      </c>
      <c r="P5" s="276">
        <v>42121</v>
      </c>
      <c r="Q5" s="276">
        <v>42212</v>
      </c>
      <c r="R5" s="276">
        <v>42254</v>
      </c>
      <c r="S5" s="276">
        <v>42296</v>
      </c>
      <c r="T5" s="276">
        <v>42338</v>
      </c>
      <c r="U5" s="276">
        <v>42415</v>
      </c>
      <c r="V5" s="276">
        <v>42457</v>
      </c>
      <c r="W5" s="276">
        <v>42499</v>
      </c>
      <c r="X5" s="276">
        <v>42541</v>
      </c>
      <c r="Y5" s="273">
        <v>42583</v>
      </c>
      <c r="Z5" s="273">
        <v>42625</v>
      </c>
      <c r="AA5" s="273">
        <v>42667</v>
      </c>
      <c r="AB5" s="273">
        <v>42709</v>
      </c>
      <c r="AC5" s="273">
        <v>42758</v>
      </c>
      <c r="AD5" s="273">
        <v>42804</v>
      </c>
    </row>
    <row r="6" spans="1:32" s="266" customFormat="1" ht="18.5" x14ac:dyDescent="0.45">
      <c r="C6" s="274"/>
      <c r="D6" s="267" t="s">
        <v>379</v>
      </c>
      <c r="E6" s="277">
        <v>41677</v>
      </c>
      <c r="F6" s="277">
        <v>41719</v>
      </c>
      <c r="G6" s="277">
        <v>41754</v>
      </c>
      <c r="H6" s="277">
        <v>41810</v>
      </c>
      <c r="I6" s="277">
        <v>41845</v>
      </c>
      <c r="J6" s="277">
        <v>41887</v>
      </c>
      <c r="K6" s="277">
        <v>41943</v>
      </c>
      <c r="L6" s="277">
        <v>41985</v>
      </c>
      <c r="M6" s="276">
        <v>42027</v>
      </c>
      <c r="N6" s="276">
        <v>42083</v>
      </c>
      <c r="O6" s="276">
        <v>42118</v>
      </c>
      <c r="P6" s="276">
        <v>42167</v>
      </c>
      <c r="Q6" s="276">
        <v>42251</v>
      </c>
      <c r="R6" s="276">
        <v>42293</v>
      </c>
      <c r="S6" s="276">
        <v>42335</v>
      </c>
      <c r="T6" s="276">
        <v>42412</v>
      </c>
      <c r="U6" s="276">
        <v>42454</v>
      </c>
      <c r="V6" s="276">
        <v>42496</v>
      </c>
      <c r="W6" s="276">
        <v>42538</v>
      </c>
      <c r="X6" s="276">
        <v>42552</v>
      </c>
      <c r="Y6" s="273">
        <v>42622</v>
      </c>
      <c r="Z6" s="273">
        <v>42664</v>
      </c>
      <c r="AA6" s="273">
        <v>42706</v>
      </c>
      <c r="AB6" s="273">
        <v>42755</v>
      </c>
      <c r="AC6" s="273">
        <v>42797</v>
      </c>
      <c r="AD6" s="273">
        <v>42839</v>
      </c>
    </row>
    <row r="7" spans="1:32" ht="23.5" x14ac:dyDescent="0.55000000000000004">
      <c r="A7" s="278"/>
      <c r="B7" s="279" t="s">
        <v>380</v>
      </c>
      <c r="D7" s="280" t="s">
        <v>381</v>
      </c>
      <c r="E7" s="281" t="s">
        <v>382</v>
      </c>
      <c r="F7" s="281" t="s">
        <v>383</v>
      </c>
      <c r="G7" s="281" t="s">
        <v>384</v>
      </c>
      <c r="H7" s="281" t="s">
        <v>385</v>
      </c>
      <c r="I7" s="281" t="s">
        <v>386</v>
      </c>
      <c r="J7" s="281" t="s">
        <v>387</v>
      </c>
      <c r="K7" s="281" t="s">
        <v>388</v>
      </c>
      <c r="L7" s="281" t="s">
        <v>389</v>
      </c>
      <c r="M7" s="281" t="s">
        <v>390</v>
      </c>
      <c r="N7" s="281" t="s">
        <v>391</v>
      </c>
      <c r="O7" s="281" t="s">
        <v>392</v>
      </c>
      <c r="P7" s="281" t="s">
        <v>393</v>
      </c>
      <c r="Q7" s="281" t="s">
        <v>394</v>
      </c>
      <c r="R7" s="281" t="s">
        <v>395</v>
      </c>
      <c r="S7" s="281" t="s">
        <v>396</v>
      </c>
      <c r="T7" s="281" t="s">
        <v>397</v>
      </c>
      <c r="U7" s="281" t="s">
        <v>398</v>
      </c>
      <c r="V7" s="281" t="s">
        <v>399</v>
      </c>
      <c r="W7" s="281" t="s">
        <v>400</v>
      </c>
      <c r="X7" s="281" t="s">
        <v>401</v>
      </c>
      <c r="Y7" s="282" t="s">
        <v>402</v>
      </c>
      <c r="Z7" s="282" t="s">
        <v>403</v>
      </c>
      <c r="AA7" s="282" t="s">
        <v>404</v>
      </c>
      <c r="AB7" s="282" t="s">
        <v>405</v>
      </c>
      <c r="AC7" s="282" t="s">
        <v>406</v>
      </c>
      <c r="AD7" s="282" t="s">
        <v>407</v>
      </c>
      <c r="AE7" s="281" t="s">
        <v>408</v>
      </c>
      <c r="AF7" s="283" t="s">
        <v>409</v>
      </c>
    </row>
    <row r="8" spans="1:32" ht="18.5" hidden="1" outlineLevel="1" x14ac:dyDescent="0.45">
      <c r="A8" s="278"/>
      <c r="B8" s="284" t="str">
        <f>VLOOKUP(D8,'[2]Work Item Vlookup'!$A$2:$B$119,2,FALSE)</f>
        <v>WI0001</v>
      </c>
      <c r="C8" s="284" t="s">
        <v>410</v>
      </c>
      <c r="D8" s="285" t="str">
        <f>[2]SourceData!A2</f>
        <v>NCNU Agent Hierarchy Phase 2 of 2</v>
      </c>
      <c r="E8" s="286">
        <f t="array" ref="E8">MIN((INDEX([2]SourceData!$B:$B, MATCH($D8,[2]SourceData!$A:$A, 0))-SUM($D8:D8)),  (MaxPtsPerSprint1-SUM(E$7:E7)))</f>
        <v>28</v>
      </c>
      <c r="F8" s="286">
        <f t="array" ref="F8">MIN((INDEX([2]SourceData!$B:$B, MATCH($D8,[2]SourceData!$A:$A, 0))-SUM($D8:E8)),  (MaxPtsPerSprint2-SUM(F$7:F7)))</f>
        <v>0</v>
      </c>
      <c r="G8" s="286">
        <f t="array" ref="G8">MIN((INDEX([2]SourceData!$B:$B, MATCH($D8,[2]SourceData!$A:$A, 0))-SUM($D8:F8)),  (MaxPtsPerSprint3-SUM(G$7:G7)))</f>
        <v>0</v>
      </c>
      <c r="H8" s="286">
        <f t="array" ref="H8">MIN((INDEX([2]SourceData!$B:$B, MATCH($D8,[2]SourceData!$A:$A, 0))-SUM($D8:G8)),  (MaxPtsPerSprint4-SUM(H$7:H7)))</f>
        <v>0</v>
      </c>
      <c r="I8" s="286">
        <f t="array" ref="I8">MIN((INDEX([2]SourceData!$B:$B, MATCH($D8,[2]SourceData!$A:$A, 0))-SUM($D8:H8)),  (MaxPtsPerSprint5-SUM(I$7:I7)))</f>
        <v>0</v>
      </c>
      <c r="J8" s="286">
        <f t="array" ref="J8">MIN((INDEX([2]SourceData!$B:$B, MATCH($D8,[2]SourceData!$A:$A, 0))-SUM($D8:I8)),  (MaxPtsPerSprint6-SUM(J$7:J7)))</f>
        <v>0</v>
      </c>
      <c r="K8" s="286">
        <f t="array" ref="K8">MIN((INDEX([2]SourceData!$B:$B, MATCH($D8,[2]SourceData!$A:$A, 0))-SUM($D8:J8)),  (MaxPtsPerSprint7-SUM(K$7:K7)))</f>
        <v>0</v>
      </c>
      <c r="L8" s="286">
        <f t="array" ref="L8">MIN((INDEX([2]SourceData!$B:$B, MATCH($D8,[2]SourceData!$A:$A, 0))-SUM($D8:K8)),  (MaxPtsPerSprint8-SUM(L$7:L7)))</f>
        <v>0</v>
      </c>
      <c r="M8" s="286">
        <f t="array" ref="M8">MIN((INDEX([2]SourceData!$B:$B, MATCH($D8,[2]SourceData!$A:$A, 0))-SUM($D8:L8)),  (MaxPtsPerSprint9-SUM(M$7:M7)))</f>
        <v>0</v>
      </c>
      <c r="N8" s="286">
        <f t="array" ref="N8">MIN((INDEX([2]SourceData!$B:$B, MATCH($D8,[2]SourceData!$A:$A, 0))-SUM($D8:M8)),  (MaxPtsPerSprint10-SUM(N$7:N7)))</f>
        <v>0</v>
      </c>
      <c r="O8" s="286">
        <f t="array" ref="O8">MIN((INDEX([2]SourceData!$B:$B, MATCH($D8,[2]SourceData!$A:$A, 0))-SUM($D8:N8)),  (MaxPtsPerSprint11-SUM(O$7:O7)))</f>
        <v>0</v>
      </c>
      <c r="P8" s="286">
        <f t="array" ref="P8">MIN((INDEX([2]SourceData!$B:$B, MATCH($D8,[2]SourceData!$A:$A, 0))-SUM($D8:O8)),  (MaxPtsPerSprint12-SUM(P$7:P7)))</f>
        <v>0</v>
      </c>
      <c r="Q8" s="286">
        <f t="array" ref="Q8">MIN((INDEX([2]SourceData!$B:$B, MATCH($D8,[2]SourceData!$A:$A, 0))-SUM($D8:P8)),  (MaxPtsPerSprint13-SUM(Q$7:Q7)))</f>
        <v>0</v>
      </c>
      <c r="R8" s="286">
        <f t="array" ref="R8">MIN((INDEX([2]SourceData!$B:$B, MATCH($D8,[2]SourceData!$A:$A, 0))-SUM($D8:Q8)),  (MaxPtsPerSprint14-SUM(R$7:R7)))</f>
        <v>0</v>
      </c>
      <c r="S8" s="286">
        <f t="array" ref="S8">MIN((INDEX([2]SourceData!$B:$B, MATCH($D8,[2]SourceData!$A:$A, 0))-SUM($D8:R8)),  (MaxPtsPerSprint15-SUM(S$7:S7)))</f>
        <v>0</v>
      </c>
      <c r="T8" s="286">
        <f t="array" ref="T8">MIN((INDEX([2]SourceData!$B:$B, MATCH($D8,[2]SourceData!$A:$A, 0))-SUM($D8:S8)),  (MaxPtsPerSprint16-SUM(T$7:T7)))</f>
        <v>0</v>
      </c>
      <c r="U8" s="286">
        <f t="array" ref="U8">MIN((INDEX([2]SourceData!$B:$B, MATCH($D8,[2]SourceData!$A:$A, 0))-SUM($D8:T8)),  (MaxPtsPerSprint17-SUM(U$7:U7)))</f>
        <v>0</v>
      </c>
      <c r="V8" s="286">
        <f t="array" ref="V8">MIN((INDEX([2]SourceData!$B:$B, MATCH($D8,[2]SourceData!$A:$A, 0))-SUM($D8:U8)),  (MaxPtsPerSprint18-SUM(V$7:V7)))</f>
        <v>0</v>
      </c>
      <c r="W8" s="286">
        <f t="array" ref="W8">MIN((INDEX([2]SourceData!$B:$B, MATCH($D8,[2]SourceData!$A:$A, 0))-SUM($D8:V8)),  (MaxPtsPerSprint19-SUM(W$7:W7)))</f>
        <v>0</v>
      </c>
      <c r="X8" s="286">
        <f t="array" ref="X8">MIN((INDEX([2]SourceData!$B:$B, MATCH($D8,[2]SourceData!$A:$A, 0))-SUM($D8:W8)),  (MaxPtsPerSprint20-SUM(X$7:X7)))</f>
        <v>0</v>
      </c>
      <c r="Y8" s="287">
        <f t="array" ref="Y8">MIN((INDEX([2]SourceData!$B:$B, MATCH($D8,[2]SourceData!$A:$A, 0))-SUM($D8:X8)),  (MaxPtsPerSprint21-SUM(Y$7:Y7)))</f>
        <v>0</v>
      </c>
      <c r="Z8" s="287">
        <f t="array" ref="Z8">MIN((INDEX([2]SourceData!$B:$B, MATCH($D8,[2]SourceData!$A:$A, 0))-SUM($D8:Y8)),  (MaxPtsPerSprint22-SUM(Z$7:Z7)))</f>
        <v>0</v>
      </c>
      <c r="AA8" s="287">
        <f t="array" ref="AA8">MIN((INDEX([2]SourceData!$B:$B, MATCH($D8,[2]SourceData!$A:$A, 0))-SUM($D8:Z8)),  (MaxPtsPerSprint23-SUM(AA$7:AA7)))</f>
        <v>0</v>
      </c>
      <c r="AB8" s="287">
        <f t="array" ref="AB8">MIN((INDEX([2]SourceData!$B:$B, MATCH($D8,[2]SourceData!$A:$A, 0))-SUM($D8:AA8)),  (MaxPtsPerSprint24-SUM(AB$7:AB7)))</f>
        <v>0</v>
      </c>
      <c r="AC8" s="287"/>
      <c r="AD8" s="287"/>
      <c r="AE8" s="288">
        <f t="shared" ref="AE8:AE37" si="0">SUM(E8:AB8)</f>
        <v>28</v>
      </c>
      <c r="AF8" s="289">
        <f t="shared" ref="AF8:AF37" si="1">AE8/$AE$131</f>
        <v>1.3795312057349083E-3</v>
      </c>
    </row>
    <row r="9" spans="1:32" ht="18.5" hidden="1" outlineLevel="1" x14ac:dyDescent="0.45">
      <c r="A9" s="278"/>
      <c r="B9" s="284" t="str">
        <f>VLOOKUP(D9,'[2]Work Item Vlookup'!$A$2:$B$119,2,FALSE)</f>
        <v>WI0002</v>
      </c>
      <c r="C9" s="284" t="s">
        <v>411</v>
      </c>
      <c r="D9" s="285" t="str">
        <f>[2]SourceData!A3</f>
        <v>Utah Property, Sprint 1</v>
      </c>
      <c r="E9" s="286">
        <f t="array" ref="E9">MIN((INDEX([2]SourceData!$B:$B, MATCH($D9,[2]SourceData!$A:$A, 0))-SUM($D9:D9)),  (MaxPtsPerSprint1-SUM(E$7:E8)))</f>
        <v>586</v>
      </c>
      <c r="F9" s="286">
        <f t="array" ref="F9">MIN((INDEX([2]SourceData!$B:$B, MATCH($D9,[2]SourceData!$A:$A, 0))-SUM($D9:E9)),  (MaxPtsPerSprint2-SUM(F$7:F8)))</f>
        <v>0</v>
      </c>
      <c r="G9" s="286">
        <f t="array" ref="G9">MIN((INDEX([2]SourceData!$B:$B, MATCH($D9,[2]SourceData!$A:$A, 0))-SUM($D9:F9)),  (MaxPtsPerSprint3-SUM(G$7:G8)))</f>
        <v>0</v>
      </c>
      <c r="H9" s="286">
        <f t="array" ref="H9">MIN((INDEX([2]SourceData!$B:$B, MATCH($D9,[2]SourceData!$A:$A, 0))-SUM($D9:G9)),  (MaxPtsPerSprint4-SUM(H$7:H8)))</f>
        <v>0</v>
      </c>
      <c r="I9" s="286">
        <f t="array" ref="I9">MIN((INDEX([2]SourceData!$B:$B, MATCH($D9,[2]SourceData!$A:$A, 0))-SUM($D9:H9)),  (MaxPtsPerSprint5-SUM(I$7:I8)))</f>
        <v>0</v>
      </c>
      <c r="J9" s="286">
        <f t="array" ref="J9">MIN((INDEX([2]SourceData!$B:$B, MATCH($D9,[2]SourceData!$A:$A, 0))-SUM($D9:I9)),  (MaxPtsPerSprint6-SUM(J$7:J8)))</f>
        <v>0</v>
      </c>
      <c r="K9" s="286">
        <f t="array" ref="K9">MIN((INDEX([2]SourceData!$B:$B, MATCH($D9,[2]SourceData!$A:$A, 0))-SUM($D9:J9)),  (MaxPtsPerSprint7-SUM(K$7:K8)))</f>
        <v>0</v>
      </c>
      <c r="L9" s="286">
        <f t="array" ref="L9">MIN((INDEX([2]SourceData!$B:$B, MATCH($D9,[2]SourceData!$A:$A, 0))-SUM($D9:K9)),  (MaxPtsPerSprint8-SUM(L$7:L8)))</f>
        <v>0</v>
      </c>
      <c r="M9" s="286">
        <f t="array" ref="M9">MIN((INDEX([2]SourceData!$B:$B, MATCH($D9,[2]SourceData!$A:$A, 0))-SUM($D9:L9)),  (MaxPtsPerSprint9-SUM(M$7:M8)))</f>
        <v>0</v>
      </c>
      <c r="N9" s="286">
        <f t="array" ref="N9">MIN((INDEX([2]SourceData!$B:$B, MATCH($D9,[2]SourceData!$A:$A, 0))-SUM($D9:M9)),  (MaxPtsPerSprint10-SUM(N$7:N8)))</f>
        <v>0</v>
      </c>
      <c r="O9" s="286">
        <f t="array" ref="O9">MIN((INDEX([2]SourceData!$B:$B, MATCH($D9,[2]SourceData!$A:$A, 0))-SUM($D9:N9)),  (MaxPtsPerSprint11-SUM(O$7:O8)))</f>
        <v>0</v>
      </c>
      <c r="P9" s="286">
        <f t="array" ref="P9">MIN((INDEX([2]SourceData!$B:$B, MATCH($D9,[2]SourceData!$A:$A, 0))-SUM($D9:O9)),  (MaxPtsPerSprint12-SUM(P$7:P8)))</f>
        <v>0</v>
      </c>
      <c r="Q9" s="286">
        <f t="array" ref="Q9">MIN((INDEX([2]SourceData!$B:$B, MATCH($D9,[2]SourceData!$A:$A, 0))-SUM($D9:P9)),  (MaxPtsPerSprint13-SUM(Q$7:Q8)))</f>
        <v>0</v>
      </c>
      <c r="R9" s="286">
        <f t="array" ref="R9">MIN((INDEX([2]SourceData!$B:$B, MATCH($D9,[2]SourceData!$A:$A, 0))-SUM($D9:Q9)),  (MaxPtsPerSprint14-SUM(R$7:R8)))</f>
        <v>0</v>
      </c>
      <c r="S9" s="286">
        <f t="array" ref="S9">MIN((INDEX([2]SourceData!$B:$B, MATCH($D9,[2]SourceData!$A:$A, 0))-SUM($D9:R9)),  (MaxPtsPerSprint15-SUM(S$7:S8)))</f>
        <v>0</v>
      </c>
      <c r="T9" s="286">
        <f t="array" ref="T9">MIN((INDEX([2]SourceData!$B:$B, MATCH($D9,[2]SourceData!$A:$A, 0))-SUM($D9:S9)),  (MaxPtsPerSprint16-SUM(T$7:T8)))</f>
        <v>0</v>
      </c>
      <c r="U9" s="286">
        <f t="array" ref="U9">MIN((INDEX([2]SourceData!$B:$B, MATCH($D9,[2]SourceData!$A:$A, 0))-SUM($D9:T9)),  (MaxPtsPerSprint17-SUM(U$7:U8)))</f>
        <v>0</v>
      </c>
      <c r="V9" s="286">
        <f t="array" ref="V9">MIN((INDEX([2]SourceData!$B:$B, MATCH($D9,[2]SourceData!$A:$A, 0))-SUM($D9:U9)),  (MaxPtsPerSprint18-SUM(V$7:V8)))</f>
        <v>0</v>
      </c>
      <c r="W9" s="286">
        <f t="array" ref="W9">MIN((INDEX([2]SourceData!$B:$B, MATCH($D9,[2]SourceData!$A:$A, 0))-SUM($D9:V9)),  (MaxPtsPerSprint19-SUM(W$7:W8)))</f>
        <v>0</v>
      </c>
      <c r="X9" s="286">
        <f t="array" ref="X9">MIN((INDEX([2]SourceData!$B:$B, MATCH($D9,[2]SourceData!$A:$A, 0))-SUM($D9:W9)),  (MaxPtsPerSprint20-SUM(X$7:X8)))</f>
        <v>0</v>
      </c>
      <c r="Y9" s="287">
        <f t="array" ref="Y9">MIN((INDEX([2]SourceData!$B:$B, MATCH($D9,[2]SourceData!$A:$A, 0))-SUM($D9:X9)),  (MaxPtsPerSprint21-SUM(Y$7:Y8)))</f>
        <v>0</v>
      </c>
      <c r="Z9" s="287">
        <f t="array" ref="Z9">MIN((INDEX([2]SourceData!$B:$B, MATCH($D9,[2]SourceData!$A:$A, 0))-SUM($D9:Y9)),  (MaxPtsPerSprint22-SUM(Z$7:Z8)))</f>
        <v>0</v>
      </c>
      <c r="AA9" s="287">
        <f t="array" ref="AA9">MIN((INDEX([2]SourceData!$B:$B, MATCH($D9,[2]SourceData!$A:$A, 0))-SUM($D9:Z9)),  (MaxPtsPerSprint23-SUM(AA$7:AA8)))</f>
        <v>0</v>
      </c>
      <c r="AB9" s="287">
        <f t="array" ref="AB9">MIN((INDEX([2]SourceData!$B:$B, MATCH($D9,[2]SourceData!$A:$A, 0))-SUM($D9:AA9)),  (MaxPtsPerSprint24-SUM(AB$7:AB8)))</f>
        <v>0</v>
      </c>
      <c r="AC9" s="287"/>
      <c r="AD9" s="287"/>
      <c r="AE9" s="288">
        <f t="shared" si="0"/>
        <v>586</v>
      </c>
      <c r="AF9" s="289">
        <f t="shared" si="1"/>
        <v>2.8871617377166293E-2</v>
      </c>
    </row>
    <row r="10" spans="1:32" ht="18.5" hidden="1" outlineLevel="1" x14ac:dyDescent="0.45">
      <c r="A10" s="278"/>
      <c r="B10" s="284" t="str">
        <f>VLOOKUP(D10,'[2]Work Item Vlookup'!$A$2:$B$119,2,FALSE)</f>
        <v>WI0001</v>
      </c>
      <c r="C10" s="284" t="s">
        <v>412</v>
      </c>
      <c r="D10" s="285" t="str">
        <f>[2]SourceData!A4</f>
        <v>NCNU Agent Hierarchy, CR01 for Subproducers</v>
      </c>
      <c r="E10" s="286">
        <f t="array" ref="E10">MIN((INDEX([2]SourceData!$B:$B, MATCH($D10,[2]SourceData!$A:$A, 0))-SUM($D10:D10)),  (MaxPtsPerSprint1-SUM(E$7:E9)))</f>
        <v>0</v>
      </c>
      <c r="F10" s="286">
        <f t="array" ref="F10">MIN((INDEX([2]SourceData!$B:$B, MATCH($D10,[2]SourceData!$A:$A, 0))-SUM($D10:E10)),  (MaxPtsPerSprint2-SUM(F$7:F9)))</f>
        <v>1</v>
      </c>
      <c r="G10" s="286">
        <f t="array" ref="G10">MIN((INDEX([2]SourceData!$B:$B, MATCH($D10,[2]SourceData!$A:$A, 0))-SUM($D10:F10)),  (MaxPtsPerSprint3-SUM(G$7:G9)))</f>
        <v>0</v>
      </c>
      <c r="H10" s="286">
        <f t="array" ref="H10">MIN((INDEX([2]SourceData!$B:$B, MATCH($D10,[2]SourceData!$A:$A, 0))-SUM($D10:G10)),  (MaxPtsPerSprint4-SUM(H$7:H9)))</f>
        <v>0</v>
      </c>
      <c r="I10" s="286">
        <f t="array" ref="I10">MIN((INDEX([2]SourceData!$B:$B, MATCH($D10,[2]SourceData!$A:$A, 0))-SUM($D10:H10)),  (MaxPtsPerSprint5-SUM(I$7:I9)))</f>
        <v>0</v>
      </c>
      <c r="J10" s="286">
        <f t="array" ref="J10">MIN((INDEX([2]SourceData!$B:$B, MATCH($D10,[2]SourceData!$A:$A, 0))-SUM($D10:I10)),  (MaxPtsPerSprint6-SUM(J$7:J9)))</f>
        <v>0</v>
      </c>
      <c r="K10" s="286">
        <f t="array" ref="K10">MIN((INDEX([2]SourceData!$B:$B, MATCH($D10,[2]SourceData!$A:$A, 0))-SUM($D10:J10)),  (MaxPtsPerSprint7-SUM(K$7:K9)))</f>
        <v>0</v>
      </c>
      <c r="L10" s="286">
        <f t="array" ref="L10">MIN((INDEX([2]SourceData!$B:$B, MATCH($D10,[2]SourceData!$A:$A, 0))-SUM($D10:K10)),  (MaxPtsPerSprint8-SUM(L$7:L9)))</f>
        <v>0</v>
      </c>
      <c r="M10" s="286">
        <f t="array" ref="M10">MIN((INDEX([2]SourceData!$B:$B, MATCH($D10,[2]SourceData!$A:$A, 0))-SUM($D10:L10)),  (MaxPtsPerSprint9-SUM(M$7:M9)))</f>
        <v>0</v>
      </c>
      <c r="N10" s="286">
        <f t="array" ref="N10">MIN((INDEX([2]SourceData!$B:$B, MATCH($D10,[2]SourceData!$A:$A, 0))-SUM($D10:M10)),  (MaxPtsPerSprint10-SUM(N$7:N9)))</f>
        <v>0</v>
      </c>
      <c r="O10" s="286">
        <f t="array" ref="O10">MIN((INDEX([2]SourceData!$B:$B, MATCH($D10,[2]SourceData!$A:$A, 0))-SUM($D10:N10)),  (MaxPtsPerSprint11-SUM(O$7:O9)))</f>
        <v>0</v>
      </c>
      <c r="P10" s="286">
        <f t="array" ref="P10">MIN((INDEX([2]SourceData!$B:$B, MATCH($D10,[2]SourceData!$A:$A, 0))-SUM($D10:O10)),  (MaxPtsPerSprint12-SUM(P$7:P9)))</f>
        <v>0</v>
      </c>
      <c r="Q10" s="286">
        <f t="array" ref="Q10">MIN((INDEX([2]SourceData!$B:$B, MATCH($D10,[2]SourceData!$A:$A, 0))-SUM($D10:P10)),  (MaxPtsPerSprint13-SUM(Q$7:Q9)))</f>
        <v>0</v>
      </c>
      <c r="R10" s="286">
        <f t="array" ref="R10">MIN((INDEX([2]SourceData!$B:$B, MATCH($D10,[2]SourceData!$A:$A, 0))-SUM($D10:Q10)),  (MaxPtsPerSprint14-SUM(R$7:R9)))</f>
        <v>0</v>
      </c>
      <c r="S10" s="286">
        <f t="array" ref="S10">MIN((INDEX([2]SourceData!$B:$B, MATCH($D10,[2]SourceData!$A:$A, 0))-SUM($D10:R10)),  (MaxPtsPerSprint15-SUM(S$7:S9)))</f>
        <v>0</v>
      </c>
      <c r="T10" s="286">
        <f t="array" ref="T10">MIN((INDEX([2]SourceData!$B:$B, MATCH($D10,[2]SourceData!$A:$A, 0))-SUM($D10:S10)),  (MaxPtsPerSprint16-SUM(T$7:T9)))</f>
        <v>0</v>
      </c>
      <c r="U10" s="286">
        <f t="array" ref="U10">MIN((INDEX([2]SourceData!$B:$B, MATCH($D10,[2]SourceData!$A:$A, 0))-SUM($D10:T10)),  (MaxPtsPerSprint17-SUM(U$7:U9)))</f>
        <v>0</v>
      </c>
      <c r="V10" s="286">
        <f t="array" ref="V10">MIN((INDEX([2]SourceData!$B:$B, MATCH($D10,[2]SourceData!$A:$A, 0))-SUM($D10:U10)),  (MaxPtsPerSprint18-SUM(V$7:V9)))</f>
        <v>0</v>
      </c>
      <c r="W10" s="286">
        <f t="array" ref="W10">MIN((INDEX([2]SourceData!$B:$B, MATCH($D10,[2]SourceData!$A:$A, 0))-SUM($D10:V10)),  (MaxPtsPerSprint19-SUM(W$7:W9)))</f>
        <v>0</v>
      </c>
      <c r="X10" s="286">
        <f t="array" ref="X10">MIN((INDEX([2]SourceData!$B:$B, MATCH($D10,[2]SourceData!$A:$A, 0))-SUM($D10:W10)),  (MaxPtsPerSprint20-SUM(X$7:X9)))</f>
        <v>0</v>
      </c>
      <c r="Y10" s="287">
        <f t="array" ref="Y10">MIN((INDEX([2]SourceData!$B:$B, MATCH($D10,[2]SourceData!$A:$A, 0))-SUM($D10:X10)),  (MaxPtsPerSprint21-SUM(Y$7:Y9)))</f>
        <v>0</v>
      </c>
      <c r="Z10" s="287">
        <f t="array" ref="Z10">MIN((INDEX([2]SourceData!$B:$B, MATCH($D10,[2]SourceData!$A:$A, 0))-SUM($D10:Y10)),  (MaxPtsPerSprint22-SUM(Z$7:Z9)))</f>
        <v>0</v>
      </c>
      <c r="AA10" s="287">
        <f t="array" ref="AA10">MIN((INDEX([2]SourceData!$B:$B, MATCH($D10,[2]SourceData!$A:$A, 0))-SUM($D10:Z10)),  (MaxPtsPerSprint23-SUM(AA$7:AA9)))</f>
        <v>0</v>
      </c>
      <c r="AB10" s="287">
        <f t="array" ref="AB10">MIN((INDEX([2]SourceData!$B:$B, MATCH($D10,[2]SourceData!$A:$A, 0))-SUM($D10:AA10)),  (MaxPtsPerSprint24-SUM(AB$7:AB9)))</f>
        <v>0</v>
      </c>
      <c r="AC10" s="287"/>
      <c r="AD10" s="287"/>
      <c r="AE10" s="288">
        <f t="shared" si="0"/>
        <v>1</v>
      </c>
      <c r="AF10" s="289">
        <f t="shared" si="1"/>
        <v>4.926897163338958E-5</v>
      </c>
    </row>
    <row r="11" spans="1:32" ht="18.5" hidden="1" outlineLevel="1" x14ac:dyDescent="0.45">
      <c r="A11" s="278"/>
      <c r="B11" s="284" t="str">
        <f>VLOOKUP(D11,'[2]Work Item Vlookup'!$A$2:$B$119,2,FALSE)</f>
        <v>WI0003</v>
      </c>
      <c r="C11" s="284" t="s">
        <v>413</v>
      </c>
      <c r="D11" s="285" t="str">
        <f>[2]SourceData!A5</f>
        <v>BP Fixes and Enhancements</v>
      </c>
      <c r="E11" s="286">
        <f t="array" ref="E11">MIN((INDEX([2]SourceData!$B:$B, MATCH($D11,[2]SourceData!$A:$A, 0))-SUM($D11:D11)),  (MaxPtsPerSprint1-SUM(E$7:E10)))</f>
        <v>0</v>
      </c>
      <c r="F11" s="286">
        <f t="array" ref="F11">MIN((INDEX([2]SourceData!$B:$B, MATCH($D11,[2]SourceData!$A:$A, 0))-SUM($D11:E11)),  (MaxPtsPerSprint2-SUM(F$7:F10)))</f>
        <v>12.5</v>
      </c>
      <c r="G11" s="286">
        <f t="array" ref="G11">MIN((INDEX([2]SourceData!$B:$B, MATCH($D11,[2]SourceData!$A:$A, 0))-SUM($D11:F11)),  (MaxPtsPerSprint3-SUM(G$7:G10)))</f>
        <v>0</v>
      </c>
      <c r="H11" s="286">
        <f t="array" ref="H11">MIN((INDEX([2]SourceData!$B:$B, MATCH($D11,[2]SourceData!$A:$A, 0))-SUM($D11:G11)),  (MaxPtsPerSprint4-SUM(H$7:H10)))</f>
        <v>0</v>
      </c>
      <c r="I11" s="286">
        <f t="array" ref="I11">MIN((INDEX([2]SourceData!$B:$B, MATCH($D11,[2]SourceData!$A:$A, 0))-SUM($D11:H11)),  (MaxPtsPerSprint5-SUM(I$7:I10)))</f>
        <v>0</v>
      </c>
      <c r="J11" s="286">
        <f t="array" ref="J11">MIN((INDEX([2]SourceData!$B:$B, MATCH($D11,[2]SourceData!$A:$A, 0))-SUM($D11:I11)),  (MaxPtsPerSprint6-SUM(J$7:J10)))</f>
        <v>0</v>
      </c>
      <c r="K11" s="286">
        <f t="array" ref="K11">MIN((INDEX([2]SourceData!$B:$B, MATCH($D11,[2]SourceData!$A:$A, 0))-SUM($D11:J11)),  (MaxPtsPerSprint7-SUM(K$7:K10)))</f>
        <v>0</v>
      </c>
      <c r="L11" s="286">
        <f t="array" ref="L11">MIN((INDEX([2]SourceData!$B:$B, MATCH($D11,[2]SourceData!$A:$A, 0))-SUM($D11:K11)),  (MaxPtsPerSprint8-SUM(L$7:L10)))</f>
        <v>0</v>
      </c>
      <c r="M11" s="286">
        <f t="array" ref="M11">MIN((INDEX([2]SourceData!$B:$B, MATCH($D11,[2]SourceData!$A:$A, 0))-SUM($D11:L11)),  (MaxPtsPerSprint9-SUM(M$7:M10)))</f>
        <v>0</v>
      </c>
      <c r="N11" s="286">
        <f t="array" ref="N11">MIN((INDEX([2]SourceData!$B:$B, MATCH($D11,[2]SourceData!$A:$A, 0))-SUM($D11:M11)),  (MaxPtsPerSprint10-SUM(N$7:N10)))</f>
        <v>0</v>
      </c>
      <c r="O11" s="286">
        <f t="array" ref="O11">MIN((INDEX([2]SourceData!$B:$B, MATCH($D11,[2]SourceData!$A:$A, 0))-SUM($D11:N11)),  (MaxPtsPerSprint11-SUM(O$7:O10)))</f>
        <v>0</v>
      </c>
      <c r="P11" s="286">
        <f t="array" ref="P11">MIN((INDEX([2]SourceData!$B:$B, MATCH($D11,[2]SourceData!$A:$A, 0))-SUM($D11:O11)),  (MaxPtsPerSprint12-SUM(P$7:P10)))</f>
        <v>0</v>
      </c>
      <c r="Q11" s="286">
        <f t="array" ref="Q11">MIN((INDEX([2]SourceData!$B:$B, MATCH($D11,[2]SourceData!$A:$A, 0))-SUM($D11:P11)),  (MaxPtsPerSprint13-SUM(Q$7:Q10)))</f>
        <v>0</v>
      </c>
      <c r="R11" s="286">
        <f t="array" ref="R11">MIN((INDEX([2]SourceData!$B:$B, MATCH($D11,[2]SourceData!$A:$A, 0))-SUM($D11:Q11)),  (MaxPtsPerSprint14-SUM(R$7:R10)))</f>
        <v>0</v>
      </c>
      <c r="S11" s="286">
        <f t="array" ref="S11">MIN((INDEX([2]SourceData!$B:$B, MATCH($D11,[2]SourceData!$A:$A, 0))-SUM($D11:R11)),  (MaxPtsPerSprint15-SUM(S$7:S10)))</f>
        <v>0</v>
      </c>
      <c r="T11" s="286">
        <f t="array" ref="T11">MIN((INDEX([2]SourceData!$B:$B, MATCH($D11,[2]SourceData!$A:$A, 0))-SUM($D11:S11)),  (MaxPtsPerSprint16-SUM(T$7:T10)))</f>
        <v>0</v>
      </c>
      <c r="U11" s="286">
        <f t="array" ref="U11">MIN((INDEX([2]SourceData!$B:$B, MATCH($D11,[2]SourceData!$A:$A, 0))-SUM($D11:T11)),  (MaxPtsPerSprint17-SUM(U$7:U10)))</f>
        <v>0</v>
      </c>
      <c r="V11" s="286">
        <f t="array" ref="V11">MIN((INDEX([2]SourceData!$B:$B, MATCH($D11,[2]SourceData!$A:$A, 0))-SUM($D11:U11)),  (MaxPtsPerSprint18-SUM(V$7:V10)))</f>
        <v>0</v>
      </c>
      <c r="W11" s="286">
        <f t="array" ref="W11">MIN((INDEX([2]SourceData!$B:$B, MATCH($D11,[2]SourceData!$A:$A, 0))-SUM($D11:V11)),  (MaxPtsPerSprint19-SUM(W$7:W10)))</f>
        <v>0</v>
      </c>
      <c r="X11" s="286">
        <f t="array" ref="X11">MIN((INDEX([2]SourceData!$B:$B, MATCH($D11,[2]SourceData!$A:$A, 0))-SUM($D11:W11)),  (MaxPtsPerSprint20-SUM(X$7:X10)))</f>
        <v>0</v>
      </c>
      <c r="Y11" s="287">
        <f t="array" ref="Y11">MIN((INDEX([2]SourceData!$B:$B, MATCH($D11,[2]SourceData!$A:$A, 0))-SUM($D11:X11)),  (MaxPtsPerSprint21-SUM(Y$7:Y10)))</f>
        <v>0</v>
      </c>
      <c r="Z11" s="287">
        <f t="array" ref="Z11">MIN((INDEX([2]SourceData!$B:$B, MATCH($D11,[2]SourceData!$A:$A, 0))-SUM($D11:Y11)),  (MaxPtsPerSprint22-SUM(Z$7:Z10)))</f>
        <v>0</v>
      </c>
      <c r="AA11" s="287">
        <f t="array" ref="AA11">MIN((INDEX([2]SourceData!$B:$B, MATCH($D11,[2]SourceData!$A:$A, 0))-SUM($D11:Z11)),  (MaxPtsPerSprint23-SUM(AA$7:AA10)))</f>
        <v>0</v>
      </c>
      <c r="AB11" s="287">
        <f t="array" ref="AB11">MIN((INDEX([2]SourceData!$B:$B, MATCH($D11,[2]SourceData!$A:$A, 0))-SUM($D11:AA11)),  (MaxPtsPerSprint24-SUM(AB$7:AB10)))</f>
        <v>0</v>
      </c>
      <c r="AC11" s="287"/>
      <c r="AD11" s="287"/>
      <c r="AE11" s="288">
        <f t="shared" si="0"/>
        <v>12.5</v>
      </c>
      <c r="AF11" s="289">
        <f t="shared" si="1"/>
        <v>6.1586214541736978E-4</v>
      </c>
    </row>
    <row r="12" spans="1:32" ht="18.5" hidden="1" outlineLevel="1" x14ac:dyDescent="0.45">
      <c r="B12" s="284" t="str">
        <f>VLOOKUP(D12,'[2]Work Item Vlookup'!$A$2:$B$119,2,FALSE)</f>
        <v>WI0004</v>
      </c>
      <c r="C12" s="284" t="s">
        <v>414</v>
      </c>
      <c r="D12" s="285" t="str">
        <f>[2]SourceData!A6</f>
        <v>New 6/12 Plan, incl. Renewal Notice CR. Phase 1</v>
      </c>
      <c r="E12" s="286">
        <f t="array" ref="E12">MIN((INDEX([2]SourceData!$B:$B, MATCH($D12,[2]SourceData!$A:$A, 0))-SUM($D12:D12)),  (MaxPtsPerSprint1-SUM(E$7:E11)))</f>
        <v>0</v>
      </c>
      <c r="F12" s="286">
        <f t="array" ref="F12">MIN((INDEX([2]SourceData!$B:$B, MATCH($D12,[2]SourceData!$A:$A, 0))-SUM($D12:E12)),  (MaxPtsPerSprint2-SUM(F$7:F11)))</f>
        <v>151</v>
      </c>
      <c r="G12" s="286">
        <f t="array" ref="G12">MIN((INDEX([2]SourceData!$B:$B, MATCH($D12,[2]SourceData!$A:$A, 0))-SUM($D12:F12)),  (MaxPtsPerSprint3-SUM(G$7:G11)))</f>
        <v>0</v>
      </c>
      <c r="H12" s="286">
        <f t="array" ref="H12">MIN((INDEX([2]SourceData!$B:$B, MATCH($D12,[2]SourceData!$A:$A, 0))-SUM($D12:G12)),  (MaxPtsPerSprint4-SUM(H$7:H11)))</f>
        <v>0</v>
      </c>
      <c r="I12" s="286">
        <f t="array" ref="I12">MIN((INDEX([2]SourceData!$B:$B, MATCH($D12,[2]SourceData!$A:$A, 0))-SUM($D12:H12)),  (MaxPtsPerSprint5-SUM(I$7:I11)))</f>
        <v>0</v>
      </c>
      <c r="J12" s="286">
        <f t="array" ref="J12">MIN((INDEX([2]SourceData!$B:$B, MATCH($D12,[2]SourceData!$A:$A, 0))-SUM($D12:I12)),  (MaxPtsPerSprint6-SUM(J$7:J11)))</f>
        <v>0</v>
      </c>
      <c r="K12" s="286">
        <f t="array" ref="K12">MIN((INDEX([2]SourceData!$B:$B, MATCH($D12,[2]SourceData!$A:$A, 0))-SUM($D12:J12)),  (MaxPtsPerSprint7-SUM(K$7:K11)))</f>
        <v>0</v>
      </c>
      <c r="L12" s="286">
        <f t="array" ref="L12">MIN((INDEX([2]SourceData!$B:$B, MATCH($D12,[2]SourceData!$A:$A, 0))-SUM($D12:K12)),  (MaxPtsPerSprint8-SUM(L$7:L11)))</f>
        <v>0</v>
      </c>
      <c r="M12" s="286">
        <f t="array" ref="M12">MIN((INDEX([2]SourceData!$B:$B, MATCH($D12,[2]SourceData!$A:$A, 0))-SUM($D12:L12)),  (MaxPtsPerSprint9-SUM(M$7:M11)))</f>
        <v>0</v>
      </c>
      <c r="N12" s="286">
        <f t="array" ref="N12">MIN((INDEX([2]SourceData!$B:$B, MATCH($D12,[2]SourceData!$A:$A, 0))-SUM($D12:M12)),  (MaxPtsPerSprint10-SUM(N$7:N11)))</f>
        <v>0</v>
      </c>
      <c r="O12" s="286">
        <f t="array" ref="O12">MIN((INDEX([2]SourceData!$B:$B, MATCH($D12,[2]SourceData!$A:$A, 0))-SUM($D12:N12)),  (MaxPtsPerSprint11-SUM(O$7:O11)))</f>
        <v>0</v>
      </c>
      <c r="P12" s="286">
        <f t="array" ref="P12">MIN((INDEX([2]SourceData!$B:$B, MATCH($D12,[2]SourceData!$A:$A, 0))-SUM($D12:O12)),  (MaxPtsPerSprint12-SUM(P$7:P11)))</f>
        <v>0</v>
      </c>
      <c r="Q12" s="286">
        <f t="array" ref="Q12">MIN((INDEX([2]SourceData!$B:$B, MATCH($D12,[2]SourceData!$A:$A, 0))-SUM($D12:P12)),  (MaxPtsPerSprint13-SUM(Q$7:Q11)))</f>
        <v>0</v>
      </c>
      <c r="R12" s="286">
        <f t="array" ref="R12">MIN((INDEX([2]SourceData!$B:$B, MATCH($D12,[2]SourceData!$A:$A, 0))-SUM($D12:Q12)),  (MaxPtsPerSprint14-SUM(R$7:R11)))</f>
        <v>0</v>
      </c>
      <c r="S12" s="286">
        <f t="array" ref="S12">MIN((INDEX([2]SourceData!$B:$B, MATCH($D12,[2]SourceData!$A:$A, 0))-SUM($D12:R12)),  (MaxPtsPerSprint15-SUM(S$7:S11)))</f>
        <v>0</v>
      </c>
      <c r="T12" s="286">
        <f t="array" ref="T12">MIN((INDEX([2]SourceData!$B:$B, MATCH($D12,[2]SourceData!$A:$A, 0))-SUM($D12:S12)),  (MaxPtsPerSprint16-SUM(T$7:T11)))</f>
        <v>0</v>
      </c>
      <c r="U12" s="286">
        <f t="array" ref="U12">MIN((INDEX([2]SourceData!$B:$B, MATCH($D12,[2]SourceData!$A:$A, 0))-SUM($D12:T12)),  (MaxPtsPerSprint17-SUM(U$7:U11)))</f>
        <v>0</v>
      </c>
      <c r="V12" s="286">
        <f t="array" ref="V12">MIN((INDEX([2]SourceData!$B:$B, MATCH($D12,[2]SourceData!$A:$A, 0))-SUM($D12:U12)),  (MaxPtsPerSprint18-SUM(V$7:V11)))</f>
        <v>0</v>
      </c>
      <c r="W12" s="286">
        <f t="array" ref="W12">MIN((INDEX([2]SourceData!$B:$B, MATCH($D12,[2]SourceData!$A:$A, 0))-SUM($D12:V12)),  (MaxPtsPerSprint19-SUM(W$7:W11)))</f>
        <v>0</v>
      </c>
      <c r="X12" s="286">
        <f t="array" ref="X12">MIN((INDEX([2]SourceData!$B:$B, MATCH($D12,[2]SourceData!$A:$A, 0))-SUM($D12:W12)),  (MaxPtsPerSprint20-SUM(X$7:X11)))</f>
        <v>0</v>
      </c>
      <c r="Y12" s="287">
        <f t="array" ref="Y12">MIN((INDEX([2]SourceData!$B:$B, MATCH($D12,[2]SourceData!$A:$A, 0))-SUM($D12:X12)),  (MaxPtsPerSprint21-SUM(Y$7:Y11)))</f>
        <v>0</v>
      </c>
      <c r="Z12" s="287">
        <f t="array" ref="Z12">MIN((INDEX([2]SourceData!$B:$B, MATCH($D12,[2]SourceData!$A:$A, 0))-SUM($D12:Y12)),  (MaxPtsPerSprint22-SUM(Z$7:Z11)))</f>
        <v>0</v>
      </c>
      <c r="AA12" s="287">
        <f t="array" ref="AA12">MIN((INDEX([2]SourceData!$B:$B, MATCH($D12,[2]SourceData!$A:$A, 0))-SUM($D12:Z12)),  (MaxPtsPerSprint23-SUM(AA$7:AA11)))</f>
        <v>0</v>
      </c>
      <c r="AB12" s="287">
        <f t="array" ref="AB12">MIN((INDEX([2]SourceData!$B:$B, MATCH($D12,[2]SourceData!$A:$A, 0))-SUM($D12:AA12)),  (MaxPtsPerSprint24-SUM(AB$7:AB11)))</f>
        <v>0</v>
      </c>
      <c r="AC12" s="287"/>
      <c r="AD12" s="287"/>
      <c r="AE12" s="288">
        <f t="shared" si="0"/>
        <v>151</v>
      </c>
      <c r="AF12" s="289">
        <f t="shared" si="1"/>
        <v>7.4396147166418273E-3</v>
      </c>
    </row>
    <row r="13" spans="1:32" ht="18.5" hidden="1" outlineLevel="1" x14ac:dyDescent="0.45">
      <c r="B13" s="284" t="str">
        <f>VLOOKUP(D13,'[2]Work Item Vlookup'!$A$2:$B$119,2,FALSE)</f>
        <v>WI0006</v>
      </c>
      <c r="C13" s="284" t="s">
        <v>415</v>
      </c>
      <c r="D13" s="285" t="str">
        <f>[2]SourceData!A7</f>
        <v>Other Prioritized Prod Enhancements</v>
      </c>
      <c r="E13" s="286">
        <f t="array" ref="E13">MIN((INDEX([2]SourceData!$B:$B, MATCH($D13,[2]SourceData!$A:$A, 0))-SUM($D13:D13)),  (MaxPtsPerSprint1-SUM(E$7:E12)))</f>
        <v>0</v>
      </c>
      <c r="F13" s="286">
        <f t="array" ref="F13">MIN((INDEX([2]SourceData!$B:$B, MATCH($D13,[2]SourceData!$A:$A, 0))-SUM($D13:E13)),  (MaxPtsPerSprint2-SUM(F$7:F12)))</f>
        <v>53.5</v>
      </c>
      <c r="G13" s="286">
        <f t="array" ref="G13">MIN((INDEX([2]SourceData!$B:$B, MATCH($D13,[2]SourceData!$A:$A, 0))-SUM($D13:F13)),  (MaxPtsPerSprint3-SUM(G$7:G12)))</f>
        <v>0</v>
      </c>
      <c r="H13" s="286">
        <f t="array" ref="H13">MIN((INDEX([2]SourceData!$B:$B, MATCH($D13,[2]SourceData!$A:$A, 0))-SUM($D13:G13)),  (MaxPtsPerSprint4-SUM(H$7:H12)))</f>
        <v>0</v>
      </c>
      <c r="I13" s="286">
        <f t="array" ref="I13">MIN((INDEX([2]SourceData!$B:$B, MATCH($D13,[2]SourceData!$A:$A, 0))-SUM($D13:H13)),  (MaxPtsPerSprint5-SUM(I$7:I12)))</f>
        <v>0</v>
      </c>
      <c r="J13" s="286">
        <f t="array" ref="J13">MIN((INDEX([2]SourceData!$B:$B, MATCH($D13,[2]SourceData!$A:$A, 0))-SUM($D13:I13)),  (MaxPtsPerSprint6-SUM(J$7:J12)))</f>
        <v>0</v>
      </c>
      <c r="K13" s="286">
        <f t="array" ref="K13">MIN((INDEX([2]SourceData!$B:$B, MATCH($D13,[2]SourceData!$A:$A, 0))-SUM($D13:J13)),  (MaxPtsPerSprint7-SUM(K$7:K12)))</f>
        <v>0</v>
      </c>
      <c r="L13" s="286">
        <f t="array" ref="L13">MIN((INDEX([2]SourceData!$B:$B, MATCH($D13,[2]SourceData!$A:$A, 0))-SUM($D13:K13)),  (MaxPtsPerSprint8-SUM(L$7:L12)))</f>
        <v>0</v>
      </c>
      <c r="M13" s="286">
        <f t="array" ref="M13">MIN((INDEX([2]SourceData!$B:$B, MATCH($D13,[2]SourceData!$A:$A, 0))-SUM($D13:L13)),  (MaxPtsPerSprint9-SUM(M$7:M12)))</f>
        <v>0</v>
      </c>
      <c r="N13" s="286">
        <f t="array" ref="N13">MIN((INDEX([2]SourceData!$B:$B, MATCH($D13,[2]SourceData!$A:$A, 0))-SUM($D13:M13)),  (MaxPtsPerSprint10-SUM(N$7:N12)))</f>
        <v>0</v>
      </c>
      <c r="O13" s="286">
        <f t="array" ref="O13">MIN((INDEX([2]SourceData!$B:$B, MATCH($D13,[2]SourceData!$A:$A, 0))-SUM($D13:N13)),  (MaxPtsPerSprint11-SUM(O$7:O12)))</f>
        <v>0</v>
      </c>
      <c r="P13" s="286">
        <f t="array" ref="P13">MIN((INDEX([2]SourceData!$B:$B, MATCH($D13,[2]SourceData!$A:$A, 0))-SUM($D13:O13)),  (MaxPtsPerSprint12-SUM(P$7:P12)))</f>
        <v>0</v>
      </c>
      <c r="Q13" s="286">
        <f t="array" ref="Q13">MIN((INDEX([2]SourceData!$B:$B, MATCH($D13,[2]SourceData!$A:$A, 0))-SUM($D13:P13)),  (MaxPtsPerSprint13-SUM(Q$7:Q12)))</f>
        <v>0</v>
      </c>
      <c r="R13" s="286">
        <f t="array" ref="R13">MIN((INDEX([2]SourceData!$B:$B, MATCH($D13,[2]SourceData!$A:$A, 0))-SUM($D13:Q13)),  (MaxPtsPerSprint14-SUM(R$7:R12)))</f>
        <v>0</v>
      </c>
      <c r="S13" s="286">
        <f t="array" ref="S13">MIN((INDEX([2]SourceData!$B:$B, MATCH($D13,[2]SourceData!$A:$A, 0))-SUM($D13:R13)),  (MaxPtsPerSprint15-SUM(S$7:S12)))</f>
        <v>0</v>
      </c>
      <c r="T13" s="286">
        <f t="array" ref="T13">MIN((INDEX([2]SourceData!$B:$B, MATCH($D13,[2]SourceData!$A:$A, 0))-SUM($D13:S13)),  (MaxPtsPerSprint16-SUM(T$7:T12)))</f>
        <v>0</v>
      </c>
      <c r="U13" s="286">
        <f t="array" ref="U13">MIN((INDEX([2]SourceData!$B:$B, MATCH($D13,[2]SourceData!$A:$A, 0))-SUM($D13:T13)),  (MaxPtsPerSprint17-SUM(U$7:U12)))</f>
        <v>0</v>
      </c>
      <c r="V13" s="286">
        <f t="array" ref="V13">MIN((INDEX([2]SourceData!$B:$B, MATCH($D13,[2]SourceData!$A:$A, 0))-SUM($D13:U13)),  (MaxPtsPerSprint18-SUM(V$7:V12)))</f>
        <v>0</v>
      </c>
      <c r="W13" s="286">
        <f t="array" ref="W13">MIN((INDEX([2]SourceData!$B:$B, MATCH($D13,[2]SourceData!$A:$A, 0))-SUM($D13:V13)),  (MaxPtsPerSprint19-SUM(W$7:W12)))</f>
        <v>0</v>
      </c>
      <c r="X13" s="286">
        <f t="array" ref="X13">MIN((INDEX([2]SourceData!$B:$B, MATCH($D13,[2]SourceData!$A:$A, 0))-SUM($D13:W13)),  (MaxPtsPerSprint20-SUM(X$7:X12)))</f>
        <v>0</v>
      </c>
      <c r="Y13" s="287">
        <f t="array" ref="Y13">MIN((INDEX([2]SourceData!$B:$B, MATCH($D13,[2]SourceData!$A:$A, 0))-SUM($D13:X13)),  (MaxPtsPerSprint21-SUM(Y$7:Y12)))</f>
        <v>0</v>
      </c>
      <c r="Z13" s="287">
        <f t="array" ref="Z13">MIN((INDEX([2]SourceData!$B:$B, MATCH($D13,[2]SourceData!$A:$A, 0))-SUM($D13:Y13)),  (MaxPtsPerSprint22-SUM(Z$7:Z12)))</f>
        <v>0</v>
      </c>
      <c r="AA13" s="287">
        <f t="array" ref="AA13">MIN((INDEX([2]SourceData!$B:$B, MATCH($D13,[2]SourceData!$A:$A, 0))-SUM($D13:Z13)),  (MaxPtsPerSprint23-SUM(AA$7:AA12)))</f>
        <v>0</v>
      </c>
      <c r="AB13" s="287">
        <f t="array" ref="AB13">MIN((INDEX([2]SourceData!$B:$B, MATCH($D13,[2]SourceData!$A:$A, 0))-SUM($D13:AA13)),  (MaxPtsPerSprint24-SUM(AB$7:AB12)))</f>
        <v>0</v>
      </c>
      <c r="AC13" s="287"/>
      <c r="AD13" s="287"/>
      <c r="AE13" s="288">
        <f t="shared" si="0"/>
        <v>53.5</v>
      </c>
      <c r="AF13" s="289">
        <f t="shared" si="1"/>
        <v>2.6358899823863426E-3</v>
      </c>
    </row>
    <row r="14" spans="1:32" ht="18.5" hidden="1" outlineLevel="1" x14ac:dyDescent="0.45">
      <c r="B14" s="284" t="str">
        <f>VLOOKUP(D14,'[2]Work Item Vlookup'!$A$2:$B$119,2,FALSE)</f>
        <v>WI0007</v>
      </c>
      <c r="C14" s="284" t="s">
        <v>416</v>
      </c>
      <c r="D14" s="285" t="str">
        <f>[2]SourceData!A8</f>
        <v>Doc System Upgrade</v>
      </c>
      <c r="E14" s="286">
        <f t="array" ref="E14">MIN((INDEX([2]SourceData!$B:$B, MATCH($D14,[2]SourceData!$A:$A, 0))-SUM($D14:D14)),  (MaxPtsPerSprint1-SUM(E$7:E13)))</f>
        <v>0</v>
      </c>
      <c r="F14" s="286">
        <f t="array" ref="F14">MIN((INDEX([2]SourceData!$B:$B, MATCH($D14,[2]SourceData!$A:$A, 0))-SUM($D14:E14)),  (MaxPtsPerSprint2-SUM(F$7:F13)))</f>
        <v>18</v>
      </c>
      <c r="G14" s="286">
        <f t="array" ref="G14">MIN((INDEX([2]SourceData!$B:$B, MATCH($D14,[2]SourceData!$A:$A, 0))-SUM($D14:F14)),  (MaxPtsPerSprint3-SUM(G$7:G13)))</f>
        <v>0</v>
      </c>
      <c r="H14" s="286">
        <f t="array" ref="H14">MIN((INDEX([2]SourceData!$B:$B, MATCH($D14,[2]SourceData!$A:$A, 0))-SUM($D14:G14)),  (MaxPtsPerSprint4-SUM(H$7:H13)))</f>
        <v>0</v>
      </c>
      <c r="I14" s="286">
        <f t="array" ref="I14">MIN((INDEX([2]SourceData!$B:$B, MATCH($D14,[2]SourceData!$A:$A, 0))-SUM($D14:H14)),  (MaxPtsPerSprint5-SUM(I$7:I13)))</f>
        <v>0</v>
      </c>
      <c r="J14" s="286">
        <f t="array" ref="J14">MIN((INDEX([2]SourceData!$B:$B, MATCH($D14,[2]SourceData!$A:$A, 0))-SUM($D14:I14)),  (MaxPtsPerSprint6-SUM(J$7:J13)))</f>
        <v>0</v>
      </c>
      <c r="K14" s="286">
        <f t="array" ref="K14">MIN((INDEX([2]SourceData!$B:$B, MATCH($D14,[2]SourceData!$A:$A, 0))-SUM($D14:J14)),  (MaxPtsPerSprint7-SUM(K$7:K13)))</f>
        <v>0</v>
      </c>
      <c r="L14" s="286">
        <f t="array" ref="L14">MIN((INDEX([2]SourceData!$B:$B, MATCH($D14,[2]SourceData!$A:$A, 0))-SUM($D14:K14)),  (MaxPtsPerSprint8-SUM(L$7:L13)))</f>
        <v>0</v>
      </c>
      <c r="M14" s="286">
        <f t="array" ref="M14">MIN((INDEX([2]SourceData!$B:$B, MATCH($D14,[2]SourceData!$A:$A, 0))-SUM($D14:L14)),  (MaxPtsPerSprint9-SUM(M$7:M13)))</f>
        <v>0</v>
      </c>
      <c r="N14" s="286">
        <f t="array" ref="N14">MIN((INDEX([2]SourceData!$B:$B, MATCH($D14,[2]SourceData!$A:$A, 0))-SUM($D14:M14)),  (MaxPtsPerSprint10-SUM(N$7:N13)))</f>
        <v>0</v>
      </c>
      <c r="O14" s="286">
        <f t="array" ref="O14">MIN((INDEX([2]SourceData!$B:$B, MATCH($D14,[2]SourceData!$A:$A, 0))-SUM($D14:N14)),  (MaxPtsPerSprint11-SUM(O$7:O13)))</f>
        <v>0</v>
      </c>
      <c r="P14" s="286">
        <f t="array" ref="P14">MIN((INDEX([2]SourceData!$B:$B, MATCH($D14,[2]SourceData!$A:$A, 0))-SUM($D14:O14)),  (MaxPtsPerSprint12-SUM(P$7:P13)))</f>
        <v>0</v>
      </c>
      <c r="Q14" s="286">
        <f t="array" ref="Q14">MIN((INDEX([2]SourceData!$B:$B, MATCH($D14,[2]SourceData!$A:$A, 0))-SUM($D14:P14)),  (MaxPtsPerSprint13-SUM(Q$7:Q13)))</f>
        <v>0</v>
      </c>
      <c r="R14" s="286">
        <f t="array" ref="R14">MIN((INDEX([2]SourceData!$B:$B, MATCH($D14,[2]SourceData!$A:$A, 0))-SUM($D14:Q14)),  (MaxPtsPerSprint14-SUM(R$7:R13)))</f>
        <v>0</v>
      </c>
      <c r="S14" s="286">
        <f t="array" ref="S14">MIN((INDEX([2]SourceData!$B:$B, MATCH($D14,[2]SourceData!$A:$A, 0))-SUM($D14:R14)),  (MaxPtsPerSprint15-SUM(S$7:S13)))</f>
        <v>0</v>
      </c>
      <c r="T14" s="286">
        <f t="array" ref="T14">MIN((INDEX([2]SourceData!$B:$B, MATCH($D14,[2]SourceData!$A:$A, 0))-SUM($D14:S14)),  (MaxPtsPerSprint16-SUM(T$7:T13)))</f>
        <v>0</v>
      </c>
      <c r="U14" s="286">
        <f t="array" ref="U14">MIN((INDEX([2]SourceData!$B:$B, MATCH($D14,[2]SourceData!$A:$A, 0))-SUM($D14:T14)),  (MaxPtsPerSprint17-SUM(U$7:U13)))</f>
        <v>0</v>
      </c>
      <c r="V14" s="286">
        <f t="array" ref="V14">MIN((INDEX([2]SourceData!$B:$B, MATCH($D14,[2]SourceData!$A:$A, 0))-SUM($D14:U14)),  (MaxPtsPerSprint18-SUM(V$7:V13)))</f>
        <v>0</v>
      </c>
      <c r="W14" s="286">
        <f t="array" ref="W14">MIN((INDEX([2]SourceData!$B:$B, MATCH($D14,[2]SourceData!$A:$A, 0))-SUM($D14:V14)),  (MaxPtsPerSprint19-SUM(W$7:W13)))</f>
        <v>0</v>
      </c>
      <c r="X14" s="286">
        <f t="array" ref="X14">MIN((INDEX([2]SourceData!$B:$B, MATCH($D14,[2]SourceData!$A:$A, 0))-SUM($D14:W14)),  (MaxPtsPerSprint20-SUM(X$7:X13)))</f>
        <v>0</v>
      </c>
      <c r="Y14" s="287">
        <f t="array" ref="Y14">MIN((INDEX([2]SourceData!$B:$B, MATCH($D14,[2]SourceData!$A:$A, 0))-SUM($D14:X14)),  (MaxPtsPerSprint21-SUM(Y$7:Y13)))</f>
        <v>0</v>
      </c>
      <c r="Z14" s="287">
        <f t="array" ref="Z14">MIN((INDEX([2]SourceData!$B:$B, MATCH($D14,[2]SourceData!$A:$A, 0))-SUM($D14:Y14)),  (MaxPtsPerSprint22-SUM(Z$7:Z13)))</f>
        <v>0</v>
      </c>
      <c r="AA14" s="287">
        <f t="array" ref="AA14">MIN((INDEX([2]SourceData!$B:$B, MATCH($D14,[2]SourceData!$A:$A, 0))-SUM($D14:Z14)),  (MaxPtsPerSprint23-SUM(AA$7:AA13)))</f>
        <v>0</v>
      </c>
      <c r="AB14" s="287">
        <f t="array" ref="AB14">MIN((INDEX([2]SourceData!$B:$B, MATCH($D14,[2]SourceData!$A:$A, 0))-SUM($D14:AA14)),  (MaxPtsPerSprint24-SUM(AB$7:AB13)))</f>
        <v>0</v>
      </c>
      <c r="AC14" s="287"/>
      <c r="AD14" s="287"/>
      <c r="AE14" s="288">
        <f t="shared" si="0"/>
        <v>18</v>
      </c>
      <c r="AF14" s="289">
        <f t="shared" si="1"/>
        <v>8.8684148940101253E-4</v>
      </c>
    </row>
    <row r="15" spans="1:32" ht="18.5" hidden="1" outlineLevel="1" x14ac:dyDescent="0.45">
      <c r="B15" s="284" t="str">
        <f>VLOOKUP(D15,'[2]Work Item Vlookup'!$A$2:$B$119,2,FALSE)</f>
        <v>WI0002</v>
      </c>
      <c r="C15" s="284" t="s">
        <v>417</v>
      </c>
      <c r="D15" s="285" t="str">
        <f>[2]SourceData!A9</f>
        <v>Utah Property, Sprint 2</v>
      </c>
      <c r="E15" s="286">
        <f t="array" ref="E15">MIN((INDEX([2]SourceData!$B:$B, MATCH($D15,[2]SourceData!$A:$A, 0))-SUM($D15:D15)),  (MaxPtsPerSprint1-SUM(E$7:E14)))</f>
        <v>0</v>
      </c>
      <c r="F15" s="286">
        <f t="array" ref="F15">MIN((INDEX([2]SourceData!$B:$B, MATCH($D15,[2]SourceData!$A:$A, 0))-SUM($D15:E15)),  (MaxPtsPerSprint2-SUM(F$7:F14)))</f>
        <v>417</v>
      </c>
      <c r="G15" s="286">
        <f t="array" ref="G15">MIN((INDEX([2]SourceData!$B:$B, MATCH($D15,[2]SourceData!$A:$A, 0))-SUM($D15:F15)),  (MaxPtsPerSprint3-SUM(G$7:G14)))</f>
        <v>0</v>
      </c>
      <c r="H15" s="286">
        <f t="array" ref="H15">MIN((INDEX([2]SourceData!$B:$B, MATCH($D15,[2]SourceData!$A:$A, 0))-SUM($D15:G15)),  (MaxPtsPerSprint4-SUM(H$7:H14)))</f>
        <v>0</v>
      </c>
      <c r="I15" s="286">
        <f t="array" ref="I15">MIN((INDEX([2]SourceData!$B:$B, MATCH($D15,[2]SourceData!$A:$A, 0))-SUM($D15:H15)),  (MaxPtsPerSprint5-SUM(I$7:I14)))</f>
        <v>0</v>
      </c>
      <c r="J15" s="286">
        <f t="array" ref="J15">MIN((INDEX([2]SourceData!$B:$B, MATCH($D15,[2]SourceData!$A:$A, 0))-SUM($D15:I15)),  (MaxPtsPerSprint6-SUM(J$7:J14)))</f>
        <v>0</v>
      </c>
      <c r="K15" s="286">
        <f t="array" ref="K15">MIN((INDEX([2]SourceData!$B:$B, MATCH($D15,[2]SourceData!$A:$A, 0))-SUM($D15:J15)),  (MaxPtsPerSprint7-SUM(K$7:K14)))</f>
        <v>0</v>
      </c>
      <c r="L15" s="286">
        <f t="array" ref="L15">MIN((INDEX([2]SourceData!$B:$B, MATCH($D15,[2]SourceData!$A:$A, 0))-SUM($D15:K15)),  (MaxPtsPerSprint8-SUM(L$7:L14)))</f>
        <v>0</v>
      </c>
      <c r="M15" s="286">
        <f t="array" ref="M15">MIN((INDEX([2]SourceData!$B:$B, MATCH($D15,[2]SourceData!$A:$A, 0))-SUM($D15:L15)),  (MaxPtsPerSprint9-SUM(M$7:M14)))</f>
        <v>0</v>
      </c>
      <c r="N15" s="286">
        <f t="array" ref="N15">MIN((INDEX([2]SourceData!$B:$B, MATCH($D15,[2]SourceData!$A:$A, 0))-SUM($D15:M15)),  (MaxPtsPerSprint10-SUM(N$7:N14)))</f>
        <v>0</v>
      </c>
      <c r="O15" s="286">
        <f t="array" ref="O15">MIN((INDEX([2]SourceData!$B:$B, MATCH($D15,[2]SourceData!$A:$A, 0))-SUM($D15:N15)),  (MaxPtsPerSprint11-SUM(O$7:O14)))</f>
        <v>0</v>
      </c>
      <c r="P15" s="286">
        <f t="array" ref="P15">MIN((INDEX([2]SourceData!$B:$B, MATCH($D15,[2]SourceData!$A:$A, 0))-SUM($D15:O15)),  (MaxPtsPerSprint12-SUM(P$7:P14)))</f>
        <v>0</v>
      </c>
      <c r="Q15" s="286">
        <f t="array" ref="Q15">MIN((INDEX([2]SourceData!$B:$B, MATCH($D15,[2]SourceData!$A:$A, 0))-SUM($D15:P15)),  (MaxPtsPerSprint13-SUM(Q$7:Q14)))</f>
        <v>0</v>
      </c>
      <c r="R15" s="286">
        <f t="array" ref="R15">MIN((INDEX([2]SourceData!$B:$B, MATCH($D15,[2]SourceData!$A:$A, 0))-SUM($D15:Q15)),  (MaxPtsPerSprint14-SUM(R$7:R14)))</f>
        <v>0</v>
      </c>
      <c r="S15" s="286">
        <f t="array" ref="S15">MIN((INDEX([2]SourceData!$B:$B, MATCH($D15,[2]SourceData!$A:$A, 0))-SUM($D15:R15)),  (MaxPtsPerSprint15-SUM(S$7:S14)))</f>
        <v>0</v>
      </c>
      <c r="T15" s="286">
        <f t="array" ref="T15">MIN((INDEX([2]SourceData!$B:$B, MATCH($D15,[2]SourceData!$A:$A, 0))-SUM($D15:S15)),  (MaxPtsPerSprint16-SUM(T$7:T14)))</f>
        <v>0</v>
      </c>
      <c r="U15" s="286">
        <f t="array" ref="U15">MIN((INDEX([2]SourceData!$B:$B, MATCH($D15,[2]SourceData!$A:$A, 0))-SUM($D15:T15)),  (MaxPtsPerSprint17-SUM(U$7:U14)))</f>
        <v>0</v>
      </c>
      <c r="V15" s="286">
        <f t="array" ref="V15">MIN((INDEX([2]SourceData!$B:$B, MATCH($D15,[2]SourceData!$A:$A, 0))-SUM($D15:U15)),  (MaxPtsPerSprint18-SUM(V$7:V14)))</f>
        <v>0</v>
      </c>
      <c r="W15" s="286">
        <f t="array" ref="W15">MIN((INDEX([2]SourceData!$B:$B, MATCH($D15,[2]SourceData!$A:$A, 0))-SUM($D15:V15)),  (MaxPtsPerSprint19-SUM(W$7:W14)))</f>
        <v>0</v>
      </c>
      <c r="X15" s="286">
        <f t="array" ref="X15">MIN((INDEX([2]SourceData!$B:$B, MATCH($D15,[2]SourceData!$A:$A, 0))-SUM($D15:W15)),  (MaxPtsPerSprint20-SUM(X$7:X14)))</f>
        <v>0</v>
      </c>
      <c r="Y15" s="287">
        <f t="array" ref="Y15">MIN((INDEX([2]SourceData!$B:$B, MATCH($D15,[2]SourceData!$A:$A, 0))-SUM($D15:X15)),  (MaxPtsPerSprint21-SUM(Y$7:Y14)))</f>
        <v>0</v>
      </c>
      <c r="Z15" s="287">
        <f t="array" ref="Z15">MIN((INDEX([2]SourceData!$B:$B, MATCH($D15,[2]SourceData!$A:$A, 0))-SUM($D15:Y15)),  (MaxPtsPerSprint22-SUM(Z$7:Z14)))</f>
        <v>0</v>
      </c>
      <c r="AA15" s="287">
        <f t="array" ref="AA15">MIN((INDEX([2]SourceData!$B:$B, MATCH($D15,[2]SourceData!$A:$A, 0))-SUM($D15:Z15)),  (MaxPtsPerSprint23-SUM(AA$7:AA14)))</f>
        <v>0</v>
      </c>
      <c r="AB15" s="287">
        <f t="array" ref="AB15">MIN((INDEX([2]SourceData!$B:$B, MATCH($D15,[2]SourceData!$A:$A, 0))-SUM($D15:AA15)),  (MaxPtsPerSprint24-SUM(AB$7:AB14)))</f>
        <v>0</v>
      </c>
      <c r="AC15" s="287"/>
      <c r="AD15" s="287"/>
      <c r="AE15" s="288">
        <f t="shared" si="0"/>
        <v>417</v>
      </c>
      <c r="AF15" s="289">
        <f t="shared" si="1"/>
        <v>2.0545161171123455E-2</v>
      </c>
    </row>
    <row r="16" spans="1:32" ht="18.5" hidden="1" outlineLevel="1" x14ac:dyDescent="0.45">
      <c r="B16" s="284" t="str">
        <f>VLOOKUP(D16,'[2]Work Item Vlookup'!$A$2:$B$119,2,FALSE)</f>
        <v>WI0080</v>
      </c>
      <c r="C16" s="284" t="s">
        <v>418</v>
      </c>
      <c r="D16" s="285" t="str">
        <f>[2]SourceData!A10</f>
        <v>SAM Integration</v>
      </c>
      <c r="E16" s="286">
        <f t="array" ref="E16">MIN((INDEX([2]SourceData!$B:$B, MATCH($D16,[2]SourceData!$A:$A, 0))-SUM($D16:D16)),  (MaxPtsPerSprint1-SUM(E$7:E15)))</f>
        <v>0</v>
      </c>
      <c r="F16" s="286">
        <f t="array" ref="F16">MIN((INDEX([2]SourceData!$B:$B, MATCH($D16,[2]SourceData!$A:$A, 0))-SUM($D16:E16)),  (MaxPtsPerSprint2-SUM(F$7:F15)))</f>
        <v>0</v>
      </c>
      <c r="G16" s="286">
        <f t="array" ref="G16">MIN((INDEX([2]SourceData!$B:$B, MATCH($D16,[2]SourceData!$A:$A, 0))-SUM($D16:F16)),  (MaxPtsPerSprint3-SUM(G$7:G15)))</f>
        <v>9</v>
      </c>
      <c r="H16" s="286">
        <f t="array" ref="H16">MIN((INDEX([2]SourceData!$B:$B, MATCH($D16,[2]SourceData!$A:$A, 0))-SUM($D16:G16)),  (MaxPtsPerSprint4-SUM(H$7:H15)))</f>
        <v>0</v>
      </c>
      <c r="I16" s="286">
        <f t="array" ref="I16">MIN((INDEX([2]SourceData!$B:$B, MATCH($D16,[2]SourceData!$A:$A, 0))-SUM($D16:H16)),  (MaxPtsPerSprint5-SUM(I$7:I15)))</f>
        <v>0</v>
      </c>
      <c r="J16" s="286">
        <f t="array" ref="J16">MIN((INDEX([2]SourceData!$B:$B, MATCH($D16,[2]SourceData!$A:$A, 0))-SUM($D16:I16)),  (MaxPtsPerSprint6-SUM(J$7:J15)))</f>
        <v>0</v>
      </c>
      <c r="K16" s="286">
        <f t="array" ref="K16">MIN((INDEX([2]SourceData!$B:$B, MATCH($D16,[2]SourceData!$A:$A, 0))-SUM($D16:J16)),  (MaxPtsPerSprint7-SUM(K$7:K15)))</f>
        <v>0</v>
      </c>
      <c r="L16" s="286">
        <f t="array" ref="L16">MIN((INDEX([2]SourceData!$B:$B, MATCH($D16,[2]SourceData!$A:$A, 0))-SUM($D16:K16)),  (MaxPtsPerSprint8-SUM(L$7:L15)))</f>
        <v>0</v>
      </c>
      <c r="M16" s="286">
        <f t="array" ref="M16">MIN((INDEX([2]SourceData!$B:$B, MATCH($D16,[2]SourceData!$A:$A, 0))-SUM($D16:L16)),  (MaxPtsPerSprint9-SUM(M$7:M15)))</f>
        <v>0</v>
      </c>
      <c r="N16" s="286">
        <f t="array" ref="N16">MIN((INDEX([2]SourceData!$B:$B, MATCH($D16,[2]SourceData!$A:$A, 0))-SUM($D16:M16)),  (MaxPtsPerSprint10-SUM(N$7:N15)))</f>
        <v>0</v>
      </c>
      <c r="O16" s="286">
        <f t="array" ref="O16">MIN((INDEX([2]SourceData!$B:$B, MATCH($D16,[2]SourceData!$A:$A, 0))-SUM($D16:N16)),  (MaxPtsPerSprint11-SUM(O$7:O15)))</f>
        <v>0</v>
      </c>
      <c r="P16" s="286">
        <f t="array" ref="P16">MIN((INDEX([2]SourceData!$B:$B, MATCH($D16,[2]SourceData!$A:$A, 0))-SUM($D16:O16)),  (MaxPtsPerSprint12-SUM(P$7:P15)))</f>
        <v>0</v>
      </c>
      <c r="Q16" s="286">
        <f t="array" ref="Q16">MIN((INDEX([2]SourceData!$B:$B, MATCH($D16,[2]SourceData!$A:$A, 0))-SUM($D16:P16)),  (MaxPtsPerSprint13-SUM(Q$7:Q15)))</f>
        <v>0</v>
      </c>
      <c r="R16" s="286">
        <f t="array" ref="R16">MIN((INDEX([2]SourceData!$B:$B, MATCH($D16,[2]SourceData!$A:$A, 0))-SUM($D16:Q16)),  (MaxPtsPerSprint14-SUM(R$7:R15)))</f>
        <v>0</v>
      </c>
      <c r="S16" s="286">
        <f t="array" ref="S16">MIN((INDEX([2]SourceData!$B:$B, MATCH($D16,[2]SourceData!$A:$A, 0))-SUM($D16:R16)),  (MaxPtsPerSprint15-SUM(S$7:S15)))</f>
        <v>0</v>
      </c>
      <c r="T16" s="286">
        <f t="array" ref="T16">MIN((INDEX([2]SourceData!$B:$B, MATCH($D16,[2]SourceData!$A:$A, 0))-SUM($D16:S16)),  (MaxPtsPerSprint16-SUM(T$7:T15)))</f>
        <v>0</v>
      </c>
      <c r="U16" s="286">
        <f t="array" ref="U16">MIN((INDEX([2]SourceData!$B:$B, MATCH($D16,[2]SourceData!$A:$A, 0))-SUM($D16:T16)),  (MaxPtsPerSprint17-SUM(U$7:U15)))</f>
        <v>0</v>
      </c>
      <c r="V16" s="286">
        <f t="array" ref="V16">MIN((INDEX([2]SourceData!$B:$B, MATCH($D16,[2]SourceData!$A:$A, 0))-SUM($D16:U16)),  (MaxPtsPerSprint18-SUM(V$7:V15)))</f>
        <v>0</v>
      </c>
      <c r="W16" s="286">
        <f t="array" ref="W16">MIN((INDEX([2]SourceData!$B:$B, MATCH($D16,[2]SourceData!$A:$A, 0))-SUM($D16:V16)),  (MaxPtsPerSprint19-SUM(W$7:W15)))</f>
        <v>0</v>
      </c>
      <c r="X16" s="286">
        <f t="array" ref="X16">MIN((INDEX([2]SourceData!$B:$B, MATCH($D16,[2]SourceData!$A:$A, 0))-SUM($D16:W16)),  (MaxPtsPerSprint20-SUM(X$7:X15)))</f>
        <v>0</v>
      </c>
      <c r="Y16" s="287">
        <f t="array" ref="Y16">MIN((INDEX([2]SourceData!$B:$B, MATCH($D16,[2]SourceData!$A:$A, 0))-SUM($D16:X16)),  (MaxPtsPerSprint21-SUM(Y$7:Y15)))</f>
        <v>0</v>
      </c>
      <c r="Z16" s="287">
        <f t="array" ref="Z16">MIN((INDEX([2]SourceData!$B:$B, MATCH($D16,[2]SourceData!$A:$A, 0))-SUM($D16:Y16)),  (MaxPtsPerSprint22-SUM(Z$7:Z15)))</f>
        <v>0</v>
      </c>
      <c r="AA16" s="287">
        <f t="array" ref="AA16">MIN((INDEX([2]SourceData!$B:$B, MATCH($D16,[2]SourceData!$A:$A, 0))-SUM($D16:Z16)),  (MaxPtsPerSprint23-SUM(AA$7:AA15)))</f>
        <v>0</v>
      </c>
      <c r="AB16" s="287">
        <f t="array" ref="AB16">MIN((INDEX([2]SourceData!$B:$B, MATCH($D16,[2]SourceData!$A:$A, 0))-SUM($D16:AA16)),  (MaxPtsPerSprint24-SUM(AB$7:AB15)))</f>
        <v>0</v>
      </c>
      <c r="AC16" s="287"/>
      <c r="AD16" s="287"/>
      <c r="AE16" s="288">
        <f t="shared" si="0"/>
        <v>9</v>
      </c>
      <c r="AF16" s="289">
        <f t="shared" si="1"/>
        <v>4.4342074470050626E-4</v>
      </c>
    </row>
    <row r="17" spans="2:32" ht="18.5" hidden="1" outlineLevel="1" x14ac:dyDescent="0.45">
      <c r="B17" s="284" t="str">
        <f>VLOOKUP(D17,'[2]Work Item Vlookup'!$A$2:$B$119,2,FALSE)</f>
        <v>WI0011</v>
      </c>
      <c r="C17" s="284" t="s">
        <v>419</v>
      </c>
      <c r="D17" s="285" t="str">
        <f>[2]SourceData!A11</f>
        <v>AZ Property, Sprint 3</v>
      </c>
      <c r="E17" s="286">
        <f t="array" ref="E17">MIN((INDEX([2]SourceData!$B:$B, MATCH($D17,[2]SourceData!$A:$A, 0))-SUM($D17:D17)),  (MaxPtsPerSprint1-SUM(E$7:E16)))</f>
        <v>0</v>
      </c>
      <c r="F17" s="286">
        <f t="array" ref="F17">MIN((INDEX([2]SourceData!$B:$B, MATCH($D17,[2]SourceData!$A:$A, 0))-SUM($D17:E17)),  (MaxPtsPerSprint2-SUM(F$7:F16)))</f>
        <v>0</v>
      </c>
      <c r="G17" s="286">
        <f t="array" ref="G17">MIN((INDEX([2]SourceData!$B:$B, MATCH($D17,[2]SourceData!$A:$A, 0))-SUM($D17:F17)),  (MaxPtsPerSprint3-SUM(G$7:G16)))</f>
        <v>119</v>
      </c>
      <c r="H17" s="286">
        <f t="array" ref="H17">MIN((INDEX([2]SourceData!$B:$B, MATCH($D17,[2]SourceData!$A:$A, 0))-SUM($D17:G17)),  (MaxPtsPerSprint4-SUM(H$7:H16)))</f>
        <v>0</v>
      </c>
      <c r="I17" s="286">
        <f t="array" ref="I17">MIN((INDEX([2]SourceData!$B:$B, MATCH($D17,[2]SourceData!$A:$A, 0))-SUM($D17:H17)),  (MaxPtsPerSprint5-SUM(I$7:I16)))</f>
        <v>0</v>
      </c>
      <c r="J17" s="286">
        <f t="array" ref="J17">MIN((INDEX([2]SourceData!$B:$B, MATCH($D17,[2]SourceData!$A:$A, 0))-SUM($D17:I17)),  (MaxPtsPerSprint6-SUM(J$7:J16)))</f>
        <v>0</v>
      </c>
      <c r="K17" s="286">
        <f t="array" ref="K17">MIN((INDEX([2]SourceData!$B:$B, MATCH($D17,[2]SourceData!$A:$A, 0))-SUM($D17:J17)),  (MaxPtsPerSprint7-SUM(K$7:K16)))</f>
        <v>0</v>
      </c>
      <c r="L17" s="286">
        <f t="array" ref="L17">MIN((INDEX([2]SourceData!$B:$B, MATCH($D17,[2]SourceData!$A:$A, 0))-SUM($D17:K17)),  (MaxPtsPerSprint8-SUM(L$7:L16)))</f>
        <v>0</v>
      </c>
      <c r="M17" s="286">
        <f t="array" ref="M17">MIN((INDEX([2]SourceData!$B:$B, MATCH($D17,[2]SourceData!$A:$A, 0))-SUM($D17:L17)),  (MaxPtsPerSprint9-SUM(M$7:M16)))</f>
        <v>0</v>
      </c>
      <c r="N17" s="286">
        <f t="array" ref="N17">MIN((INDEX([2]SourceData!$B:$B, MATCH($D17,[2]SourceData!$A:$A, 0))-SUM($D17:M17)),  (MaxPtsPerSprint10-SUM(N$7:N16)))</f>
        <v>0</v>
      </c>
      <c r="O17" s="286">
        <f t="array" ref="O17">MIN((INDEX([2]SourceData!$B:$B, MATCH($D17,[2]SourceData!$A:$A, 0))-SUM($D17:N17)),  (MaxPtsPerSprint11-SUM(O$7:O16)))</f>
        <v>0</v>
      </c>
      <c r="P17" s="286">
        <f t="array" ref="P17">MIN((INDEX([2]SourceData!$B:$B, MATCH($D17,[2]SourceData!$A:$A, 0))-SUM($D17:O17)),  (MaxPtsPerSprint12-SUM(P$7:P16)))</f>
        <v>0</v>
      </c>
      <c r="Q17" s="286">
        <f t="array" ref="Q17">MIN((INDEX([2]SourceData!$B:$B, MATCH($D17,[2]SourceData!$A:$A, 0))-SUM($D17:P17)),  (MaxPtsPerSprint13-SUM(Q$7:Q16)))</f>
        <v>0</v>
      </c>
      <c r="R17" s="286">
        <f t="array" ref="R17">MIN((INDEX([2]SourceData!$B:$B, MATCH($D17,[2]SourceData!$A:$A, 0))-SUM($D17:Q17)),  (MaxPtsPerSprint14-SUM(R$7:R16)))</f>
        <v>0</v>
      </c>
      <c r="S17" s="286">
        <f t="array" ref="S17">MIN((INDEX([2]SourceData!$B:$B, MATCH($D17,[2]SourceData!$A:$A, 0))-SUM($D17:R17)),  (MaxPtsPerSprint15-SUM(S$7:S16)))</f>
        <v>0</v>
      </c>
      <c r="T17" s="286">
        <f t="array" ref="T17">MIN((INDEX([2]SourceData!$B:$B, MATCH($D17,[2]SourceData!$A:$A, 0))-SUM($D17:S17)),  (MaxPtsPerSprint16-SUM(T$7:T16)))</f>
        <v>0</v>
      </c>
      <c r="U17" s="286">
        <f t="array" ref="U17">MIN((INDEX([2]SourceData!$B:$B, MATCH($D17,[2]SourceData!$A:$A, 0))-SUM($D17:T17)),  (MaxPtsPerSprint17-SUM(U$7:U16)))</f>
        <v>0</v>
      </c>
      <c r="V17" s="286">
        <f t="array" ref="V17">MIN((INDEX([2]SourceData!$B:$B, MATCH($D17,[2]SourceData!$A:$A, 0))-SUM($D17:U17)),  (MaxPtsPerSprint18-SUM(V$7:V16)))</f>
        <v>0</v>
      </c>
      <c r="W17" s="286">
        <f t="array" ref="W17">MIN((INDEX([2]SourceData!$B:$B, MATCH($D17,[2]SourceData!$A:$A, 0))-SUM($D17:V17)),  (MaxPtsPerSprint19-SUM(W$7:W16)))</f>
        <v>0</v>
      </c>
      <c r="X17" s="286">
        <f t="array" ref="X17">MIN((INDEX([2]SourceData!$B:$B, MATCH($D17,[2]SourceData!$A:$A, 0))-SUM($D17:W17)),  (MaxPtsPerSprint20-SUM(X$7:X16)))</f>
        <v>0</v>
      </c>
      <c r="Y17" s="287">
        <f t="array" ref="Y17">MIN((INDEX([2]SourceData!$B:$B, MATCH($D17,[2]SourceData!$A:$A, 0))-SUM($D17:X17)),  (MaxPtsPerSprint21-SUM(Y$7:Y16)))</f>
        <v>0</v>
      </c>
      <c r="Z17" s="287">
        <f t="array" ref="Z17">MIN((INDEX([2]SourceData!$B:$B, MATCH($D17,[2]SourceData!$A:$A, 0))-SUM($D17:Y17)),  (MaxPtsPerSprint22-SUM(Z$7:Z16)))</f>
        <v>0</v>
      </c>
      <c r="AA17" s="287">
        <f t="array" ref="AA17">MIN((INDEX([2]SourceData!$B:$B, MATCH($D17,[2]SourceData!$A:$A, 0))-SUM($D17:Z17)),  (MaxPtsPerSprint23-SUM(AA$7:AA16)))</f>
        <v>0</v>
      </c>
      <c r="AB17" s="287">
        <f t="array" ref="AB17">MIN((INDEX([2]SourceData!$B:$B, MATCH($D17,[2]SourceData!$A:$A, 0))-SUM($D17:AA17)),  (MaxPtsPerSprint24-SUM(AB$7:AB16)))</f>
        <v>0</v>
      </c>
      <c r="AC17" s="287"/>
      <c r="AD17" s="287"/>
      <c r="AE17" s="288">
        <f t="shared" si="0"/>
        <v>119</v>
      </c>
      <c r="AF17" s="289">
        <f t="shared" si="1"/>
        <v>5.8630076243733602E-3</v>
      </c>
    </row>
    <row r="18" spans="2:32" ht="18.5" hidden="1" outlineLevel="1" x14ac:dyDescent="0.45">
      <c r="B18" s="284" t="str">
        <f>VLOOKUP(D18,'[2]Work Item Vlookup'!$A$2:$B$119,2,FALSE)</f>
        <v>WI0002</v>
      </c>
      <c r="C18" s="284" t="s">
        <v>420</v>
      </c>
      <c r="D18" s="285" t="str">
        <f>[2]SourceData!A12</f>
        <v>Utah Property, Sprint 3</v>
      </c>
      <c r="E18" s="286">
        <f t="array" ref="E18">MIN((INDEX([2]SourceData!$B:$B, MATCH($D18,[2]SourceData!$A:$A, 0))-SUM($D18:D18)),  (MaxPtsPerSprint1-SUM(E$7:E17)))</f>
        <v>0</v>
      </c>
      <c r="F18" s="286">
        <f t="array" ref="F18">MIN((INDEX([2]SourceData!$B:$B, MATCH($D18,[2]SourceData!$A:$A, 0))-SUM($D18:E18)),  (MaxPtsPerSprint2-SUM(F$7:F17)))</f>
        <v>0</v>
      </c>
      <c r="G18" s="286">
        <f t="array" ref="G18">MIN((INDEX([2]SourceData!$B:$B, MATCH($D18,[2]SourceData!$A:$A, 0))-SUM($D18:F18)),  (MaxPtsPerSprint3-SUM(G$7:G17)))</f>
        <v>685</v>
      </c>
      <c r="H18" s="286">
        <f t="array" ref="H18">MIN((INDEX([2]SourceData!$B:$B, MATCH($D18,[2]SourceData!$A:$A, 0))-SUM($D18:G18)),  (MaxPtsPerSprint4-SUM(H$7:H17)))</f>
        <v>0</v>
      </c>
      <c r="I18" s="286">
        <f t="array" ref="I18">MIN((INDEX([2]SourceData!$B:$B, MATCH($D18,[2]SourceData!$A:$A, 0))-SUM($D18:H18)),  (MaxPtsPerSprint5-SUM(I$7:I17)))</f>
        <v>0</v>
      </c>
      <c r="J18" s="286">
        <f t="array" ref="J18">MIN((INDEX([2]SourceData!$B:$B, MATCH($D18,[2]SourceData!$A:$A, 0))-SUM($D18:I18)),  (MaxPtsPerSprint6-SUM(J$7:J17)))</f>
        <v>0</v>
      </c>
      <c r="K18" s="286">
        <f t="array" ref="K18">MIN((INDEX([2]SourceData!$B:$B, MATCH($D18,[2]SourceData!$A:$A, 0))-SUM($D18:J18)),  (MaxPtsPerSprint7-SUM(K$7:K17)))</f>
        <v>0</v>
      </c>
      <c r="L18" s="286">
        <f t="array" ref="L18">MIN((INDEX([2]SourceData!$B:$B, MATCH($D18,[2]SourceData!$A:$A, 0))-SUM($D18:K18)),  (MaxPtsPerSprint8-SUM(L$7:L17)))</f>
        <v>0</v>
      </c>
      <c r="M18" s="286">
        <f t="array" ref="M18">MIN((INDEX([2]SourceData!$B:$B, MATCH($D18,[2]SourceData!$A:$A, 0))-SUM($D18:L18)),  (MaxPtsPerSprint9-SUM(M$7:M17)))</f>
        <v>0</v>
      </c>
      <c r="N18" s="286">
        <f t="array" ref="N18">MIN((INDEX([2]SourceData!$B:$B, MATCH($D18,[2]SourceData!$A:$A, 0))-SUM($D18:M18)),  (MaxPtsPerSprint10-SUM(N$7:N17)))</f>
        <v>0</v>
      </c>
      <c r="O18" s="286">
        <f t="array" ref="O18">MIN((INDEX([2]SourceData!$B:$B, MATCH($D18,[2]SourceData!$A:$A, 0))-SUM($D18:N18)),  (MaxPtsPerSprint11-SUM(O$7:O17)))</f>
        <v>0</v>
      </c>
      <c r="P18" s="286">
        <f t="array" ref="P18">MIN((INDEX([2]SourceData!$B:$B, MATCH($D18,[2]SourceData!$A:$A, 0))-SUM($D18:O18)),  (MaxPtsPerSprint12-SUM(P$7:P17)))</f>
        <v>0</v>
      </c>
      <c r="Q18" s="286">
        <f t="array" ref="Q18">MIN((INDEX([2]SourceData!$B:$B, MATCH($D18,[2]SourceData!$A:$A, 0))-SUM($D18:P18)),  (MaxPtsPerSprint13-SUM(Q$7:Q17)))</f>
        <v>0</v>
      </c>
      <c r="R18" s="286">
        <f t="array" ref="R18">MIN((INDEX([2]SourceData!$B:$B, MATCH($D18,[2]SourceData!$A:$A, 0))-SUM($D18:Q18)),  (MaxPtsPerSprint14-SUM(R$7:R17)))</f>
        <v>0</v>
      </c>
      <c r="S18" s="286">
        <f t="array" ref="S18">MIN((INDEX([2]SourceData!$B:$B, MATCH($D18,[2]SourceData!$A:$A, 0))-SUM($D18:R18)),  (MaxPtsPerSprint15-SUM(S$7:S17)))</f>
        <v>0</v>
      </c>
      <c r="T18" s="286">
        <f t="array" ref="T18">MIN((INDEX([2]SourceData!$B:$B, MATCH($D18,[2]SourceData!$A:$A, 0))-SUM($D18:S18)),  (MaxPtsPerSprint16-SUM(T$7:T17)))</f>
        <v>0</v>
      </c>
      <c r="U18" s="286">
        <f t="array" ref="U18">MIN((INDEX([2]SourceData!$B:$B, MATCH($D18,[2]SourceData!$A:$A, 0))-SUM($D18:T18)),  (MaxPtsPerSprint17-SUM(U$7:U17)))</f>
        <v>0</v>
      </c>
      <c r="V18" s="286">
        <f t="array" ref="V18">MIN((INDEX([2]SourceData!$B:$B, MATCH($D18,[2]SourceData!$A:$A, 0))-SUM($D18:U18)),  (MaxPtsPerSprint18-SUM(V$7:V17)))</f>
        <v>0</v>
      </c>
      <c r="W18" s="286">
        <f t="array" ref="W18">MIN((INDEX([2]SourceData!$B:$B, MATCH($D18,[2]SourceData!$A:$A, 0))-SUM($D18:V18)),  (MaxPtsPerSprint19-SUM(W$7:W17)))</f>
        <v>0</v>
      </c>
      <c r="X18" s="286">
        <f t="array" ref="X18">MIN((INDEX([2]SourceData!$B:$B, MATCH($D18,[2]SourceData!$A:$A, 0))-SUM($D18:W18)),  (MaxPtsPerSprint20-SUM(X$7:X17)))</f>
        <v>0</v>
      </c>
      <c r="Y18" s="287">
        <f t="array" ref="Y18">MIN((INDEX([2]SourceData!$B:$B, MATCH($D18,[2]SourceData!$A:$A, 0))-SUM($D18:X18)),  (MaxPtsPerSprint21-SUM(Y$7:Y17)))</f>
        <v>0</v>
      </c>
      <c r="Z18" s="287">
        <f t="array" ref="Z18">MIN((INDEX([2]SourceData!$B:$B, MATCH($D18,[2]SourceData!$A:$A, 0))-SUM($D18:Y18)),  (MaxPtsPerSprint22-SUM(Z$7:Z17)))</f>
        <v>0</v>
      </c>
      <c r="AA18" s="287">
        <f t="array" ref="AA18">MIN((INDEX([2]SourceData!$B:$B, MATCH($D18,[2]SourceData!$A:$A, 0))-SUM($D18:Z18)),  (MaxPtsPerSprint23-SUM(AA$7:AA17)))</f>
        <v>0</v>
      </c>
      <c r="AB18" s="287">
        <f t="array" ref="AB18">MIN((INDEX([2]SourceData!$B:$B, MATCH($D18,[2]SourceData!$A:$A, 0))-SUM($D18:AA18)),  (MaxPtsPerSprint24-SUM(AB$7:AB17)))</f>
        <v>0</v>
      </c>
      <c r="AC18" s="287"/>
      <c r="AD18" s="287"/>
      <c r="AE18" s="288">
        <f t="shared" si="0"/>
        <v>685</v>
      </c>
      <c r="AF18" s="289">
        <f t="shared" si="1"/>
        <v>3.3749245568871863E-2</v>
      </c>
    </row>
    <row r="19" spans="2:32" ht="18.5" hidden="1" outlineLevel="1" x14ac:dyDescent="0.45">
      <c r="B19" s="284" t="str">
        <f>VLOOKUP(D19,'[2]Work Item Vlookup'!$A$2:$B$119,2,FALSE)</f>
        <v>WI0011</v>
      </c>
      <c r="C19" s="284" t="s">
        <v>421</v>
      </c>
      <c r="D19" s="285" t="str">
        <f>[2]SourceData!A13</f>
        <v>AZ Property, Sprint 4</v>
      </c>
      <c r="E19" s="286">
        <f t="array" ref="E19">MIN((INDEX([2]SourceData!$B:$B, MATCH($D19,[2]SourceData!$A:$A, 0))-SUM($D19:D19)),  (MaxPtsPerSprint1-SUM(E$7:E18)))</f>
        <v>0</v>
      </c>
      <c r="F19" s="286">
        <f t="array" ref="F19">MIN((INDEX([2]SourceData!$B:$B, MATCH($D19,[2]SourceData!$A:$A, 0))-SUM($D19:E19)),  (MaxPtsPerSprint2-SUM(F$7:F18)))</f>
        <v>0</v>
      </c>
      <c r="G19" s="286">
        <f t="array" ref="G19">MIN((INDEX([2]SourceData!$B:$B, MATCH($D19,[2]SourceData!$A:$A, 0))-SUM($D19:F19)),  (MaxPtsPerSprint3-SUM(G$7:G18)))</f>
        <v>0</v>
      </c>
      <c r="H19" s="286">
        <f t="array" ref="H19">MIN((INDEX([2]SourceData!$B:$B, MATCH($D19,[2]SourceData!$A:$A, 0))-SUM($D19:G19)),  (MaxPtsPerSprint4-SUM(H$7:H18)))</f>
        <v>344</v>
      </c>
      <c r="I19" s="286">
        <f t="array" ref="I19">MIN((INDEX([2]SourceData!$B:$B, MATCH($D19,[2]SourceData!$A:$A, 0))-SUM($D19:H19)),  (MaxPtsPerSprint5-SUM(I$7:I18)))</f>
        <v>0</v>
      </c>
      <c r="J19" s="286">
        <f t="array" ref="J19">MIN((INDEX([2]SourceData!$B:$B, MATCH($D19,[2]SourceData!$A:$A, 0))-SUM($D19:I19)),  (MaxPtsPerSprint6-SUM(J$7:J18)))</f>
        <v>0</v>
      </c>
      <c r="K19" s="286">
        <f t="array" ref="K19">MIN((INDEX([2]SourceData!$B:$B, MATCH($D19,[2]SourceData!$A:$A, 0))-SUM($D19:J19)),  (MaxPtsPerSprint7-SUM(K$7:K18)))</f>
        <v>0</v>
      </c>
      <c r="L19" s="286">
        <f t="array" ref="L19">MIN((INDEX([2]SourceData!$B:$B, MATCH($D19,[2]SourceData!$A:$A, 0))-SUM($D19:K19)),  (MaxPtsPerSprint8-SUM(L$7:L18)))</f>
        <v>0</v>
      </c>
      <c r="M19" s="286">
        <f t="array" ref="M19">MIN((INDEX([2]SourceData!$B:$B, MATCH($D19,[2]SourceData!$A:$A, 0))-SUM($D19:L19)),  (MaxPtsPerSprint9-SUM(M$7:M18)))</f>
        <v>0</v>
      </c>
      <c r="N19" s="286">
        <f t="array" ref="N19">MIN((INDEX([2]SourceData!$B:$B, MATCH($D19,[2]SourceData!$A:$A, 0))-SUM($D19:M19)),  (MaxPtsPerSprint10-SUM(N$7:N18)))</f>
        <v>0</v>
      </c>
      <c r="O19" s="286">
        <f t="array" ref="O19">MIN((INDEX([2]SourceData!$B:$B, MATCH($D19,[2]SourceData!$A:$A, 0))-SUM($D19:N19)),  (MaxPtsPerSprint11-SUM(O$7:O18)))</f>
        <v>0</v>
      </c>
      <c r="P19" s="286">
        <f t="array" ref="P19">MIN((INDEX([2]SourceData!$B:$B, MATCH($D19,[2]SourceData!$A:$A, 0))-SUM($D19:O19)),  (MaxPtsPerSprint12-SUM(P$7:P18)))</f>
        <v>0</v>
      </c>
      <c r="Q19" s="286">
        <f t="array" ref="Q19">MIN((INDEX([2]SourceData!$B:$B, MATCH($D19,[2]SourceData!$A:$A, 0))-SUM($D19:P19)),  (MaxPtsPerSprint13-SUM(Q$7:Q18)))</f>
        <v>0</v>
      </c>
      <c r="R19" s="286">
        <f t="array" ref="R19">MIN((INDEX([2]SourceData!$B:$B, MATCH($D19,[2]SourceData!$A:$A, 0))-SUM($D19:Q19)),  (MaxPtsPerSprint14-SUM(R$7:R18)))</f>
        <v>0</v>
      </c>
      <c r="S19" s="286">
        <f t="array" ref="S19">MIN((INDEX([2]SourceData!$B:$B, MATCH($D19,[2]SourceData!$A:$A, 0))-SUM($D19:R19)),  (MaxPtsPerSprint15-SUM(S$7:S18)))</f>
        <v>0</v>
      </c>
      <c r="T19" s="286">
        <f t="array" ref="T19">MIN((INDEX([2]SourceData!$B:$B, MATCH($D19,[2]SourceData!$A:$A, 0))-SUM($D19:S19)),  (MaxPtsPerSprint16-SUM(T$7:T18)))</f>
        <v>0</v>
      </c>
      <c r="U19" s="286">
        <f t="array" ref="U19">MIN((INDEX([2]SourceData!$B:$B, MATCH($D19,[2]SourceData!$A:$A, 0))-SUM($D19:T19)),  (MaxPtsPerSprint17-SUM(U$7:U18)))</f>
        <v>0</v>
      </c>
      <c r="V19" s="286">
        <f t="array" ref="V19">MIN((INDEX([2]SourceData!$B:$B, MATCH($D19,[2]SourceData!$A:$A, 0))-SUM($D19:U19)),  (MaxPtsPerSprint18-SUM(V$7:V18)))</f>
        <v>0</v>
      </c>
      <c r="W19" s="286">
        <f t="array" ref="W19">MIN((INDEX([2]SourceData!$B:$B, MATCH($D19,[2]SourceData!$A:$A, 0))-SUM($D19:V19)),  (MaxPtsPerSprint19-SUM(W$7:W18)))</f>
        <v>0</v>
      </c>
      <c r="X19" s="286">
        <f t="array" ref="X19">MIN((INDEX([2]SourceData!$B:$B, MATCH($D19,[2]SourceData!$A:$A, 0))-SUM($D19:W19)),  (MaxPtsPerSprint20-SUM(X$7:X18)))</f>
        <v>0</v>
      </c>
      <c r="Y19" s="287">
        <f t="array" ref="Y19">MIN((INDEX([2]SourceData!$B:$B, MATCH($D19,[2]SourceData!$A:$A, 0))-SUM($D19:X19)),  (MaxPtsPerSprint21-SUM(Y$7:Y18)))</f>
        <v>0</v>
      </c>
      <c r="Z19" s="287">
        <f t="array" ref="Z19">MIN((INDEX([2]SourceData!$B:$B, MATCH($D19,[2]SourceData!$A:$A, 0))-SUM($D19:Y19)),  (MaxPtsPerSprint22-SUM(Z$7:Z18)))</f>
        <v>0</v>
      </c>
      <c r="AA19" s="287">
        <f t="array" ref="AA19">MIN((INDEX([2]SourceData!$B:$B, MATCH($D19,[2]SourceData!$A:$A, 0))-SUM($D19:Z19)),  (MaxPtsPerSprint23-SUM(AA$7:AA18)))</f>
        <v>0</v>
      </c>
      <c r="AB19" s="287">
        <f t="array" ref="AB19">MIN((INDEX([2]SourceData!$B:$B, MATCH($D19,[2]SourceData!$A:$A, 0))-SUM($D19:AA19)),  (MaxPtsPerSprint24-SUM(AB$7:AB18)))</f>
        <v>0</v>
      </c>
      <c r="AC19" s="287"/>
      <c r="AD19" s="287"/>
      <c r="AE19" s="288">
        <f t="shared" si="0"/>
        <v>344</v>
      </c>
      <c r="AF19" s="289">
        <f t="shared" si="1"/>
        <v>1.6948526241886017E-2</v>
      </c>
    </row>
    <row r="20" spans="2:32" ht="18.5" hidden="1" outlineLevel="1" x14ac:dyDescent="0.45">
      <c r="B20" s="284" t="str">
        <f>VLOOKUP(D20,'[2]Work Item Vlookup'!$A$2:$B$119,2,FALSE)</f>
        <v>WI0079</v>
      </c>
      <c r="C20" s="284" t="s">
        <v>422</v>
      </c>
      <c r="D20" s="285" t="str">
        <f>[2]SourceData!A14</f>
        <v>SFDC Integration</v>
      </c>
      <c r="E20" s="286">
        <f t="array" ref="E20">MIN((INDEX([2]SourceData!$B:$B, MATCH($D20,[2]SourceData!$A:$A, 0))-SUM($D20:D20)),  (MaxPtsPerSprint1-SUM(E$7:E19)))</f>
        <v>0</v>
      </c>
      <c r="F20" s="286">
        <f t="array" ref="F20">MIN((INDEX([2]SourceData!$B:$B, MATCH($D20,[2]SourceData!$A:$A, 0))-SUM($D20:E20)),  (MaxPtsPerSprint2-SUM(F$7:F19)))</f>
        <v>0</v>
      </c>
      <c r="G20" s="286">
        <f t="array" ref="G20">MIN((INDEX([2]SourceData!$B:$B, MATCH($D20,[2]SourceData!$A:$A, 0))-SUM($D20:F20)),  (MaxPtsPerSprint3-SUM(G$7:G19)))</f>
        <v>0</v>
      </c>
      <c r="H20" s="286">
        <f t="array" ref="H20">MIN((INDEX([2]SourceData!$B:$B, MATCH($D20,[2]SourceData!$A:$A, 0))-SUM($D20:G20)),  (MaxPtsPerSprint4-SUM(H$7:H19)))</f>
        <v>5</v>
      </c>
      <c r="I20" s="286">
        <f t="array" ref="I20">MIN((INDEX([2]SourceData!$B:$B, MATCH($D20,[2]SourceData!$A:$A, 0))-SUM($D20:H20)),  (MaxPtsPerSprint5-SUM(I$7:I19)))</f>
        <v>0</v>
      </c>
      <c r="J20" s="286">
        <f t="array" ref="J20">MIN((INDEX([2]SourceData!$B:$B, MATCH($D20,[2]SourceData!$A:$A, 0))-SUM($D20:I20)),  (MaxPtsPerSprint6-SUM(J$7:J19)))</f>
        <v>0</v>
      </c>
      <c r="K20" s="286">
        <f t="array" ref="K20">MIN((INDEX([2]SourceData!$B:$B, MATCH($D20,[2]SourceData!$A:$A, 0))-SUM($D20:J20)),  (MaxPtsPerSprint7-SUM(K$7:K19)))</f>
        <v>0</v>
      </c>
      <c r="L20" s="286">
        <f t="array" ref="L20">MIN((INDEX([2]SourceData!$B:$B, MATCH($D20,[2]SourceData!$A:$A, 0))-SUM($D20:K20)),  (MaxPtsPerSprint8-SUM(L$7:L19)))</f>
        <v>0</v>
      </c>
      <c r="M20" s="286">
        <f t="array" ref="M20">MIN((INDEX([2]SourceData!$B:$B, MATCH($D20,[2]SourceData!$A:$A, 0))-SUM($D20:L20)),  (MaxPtsPerSprint9-SUM(M$7:M19)))</f>
        <v>0</v>
      </c>
      <c r="N20" s="286">
        <f t="array" ref="N20">MIN((INDEX([2]SourceData!$B:$B, MATCH($D20,[2]SourceData!$A:$A, 0))-SUM($D20:M20)),  (MaxPtsPerSprint10-SUM(N$7:N19)))</f>
        <v>0</v>
      </c>
      <c r="O20" s="286">
        <f t="array" ref="O20">MIN((INDEX([2]SourceData!$B:$B, MATCH($D20,[2]SourceData!$A:$A, 0))-SUM($D20:N20)),  (MaxPtsPerSprint11-SUM(O$7:O19)))</f>
        <v>0</v>
      </c>
      <c r="P20" s="286">
        <f t="array" ref="P20">MIN((INDEX([2]SourceData!$B:$B, MATCH($D20,[2]SourceData!$A:$A, 0))-SUM($D20:O20)),  (MaxPtsPerSprint12-SUM(P$7:P19)))</f>
        <v>0</v>
      </c>
      <c r="Q20" s="286">
        <f t="array" ref="Q20">MIN((INDEX([2]SourceData!$B:$B, MATCH($D20,[2]SourceData!$A:$A, 0))-SUM($D20:P20)),  (MaxPtsPerSprint13-SUM(Q$7:Q19)))</f>
        <v>0</v>
      </c>
      <c r="R20" s="286">
        <f t="array" ref="R20">MIN((INDEX([2]SourceData!$B:$B, MATCH($D20,[2]SourceData!$A:$A, 0))-SUM($D20:Q20)),  (MaxPtsPerSprint14-SUM(R$7:R19)))</f>
        <v>0</v>
      </c>
      <c r="S20" s="286">
        <f t="array" ref="S20">MIN((INDEX([2]SourceData!$B:$B, MATCH($D20,[2]SourceData!$A:$A, 0))-SUM($D20:R20)),  (MaxPtsPerSprint15-SUM(S$7:S19)))</f>
        <v>0</v>
      </c>
      <c r="T20" s="286">
        <f t="array" ref="T20">MIN((INDEX([2]SourceData!$B:$B, MATCH($D20,[2]SourceData!$A:$A, 0))-SUM($D20:S20)),  (MaxPtsPerSprint16-SUM(T$7:T19)))</f>
        <v>0</v>
      </c>
      <c r="U20" s="286">
        <f t="array" ref="U20">MIN((INDEX([2]SourceData!$B:$B, MATCH($D20,[2]SourceData!$A:$A, 0))-SUM($D20:T20)),  (MaxPtsPerSprint17-SUM(U$7:U19)))</f>
        <v>0</v>
      </c>
      <c r="V20" s="286">
        <f t="array" ref="V20">MIN((INDEX([2]SourceData!$B:$B, MATCH($D20,[2]SourceData!$A:$A, 0))-SUM($D20:U20)),  (MaxPtsPerSprint18-SUM(V$7:V19)))</f>
        <v>0</v>
      </c>
      <c r="W20" s="286">
        <f t="array" ref="W20">MIN((INDEX([2]SourceData!$B:$B, MATCH($D20,[2]SourceData!$A:$A, 0))-SUM($D20:V20)),  (MaxPtsPerSprint19-SUM(W$7:W19)))</f>
        <v>0</v>
      </c>
      <c r="X20" s="286">
        <f t="array" ref="X20">MIN((INDEX([2]SourceData!$B:$B, MATCH($D20,[2]SourceData!$A:$A, 0))-SUM($D20:W20)),  (MaxPtsPerSprint20-SUM(X$7:X19)))</f>
        <v>0</v>
      </c>
      <c r="Y20" s="287">
        <f t="array" ref="Y20">MIN((INDEX([2]SourceData!$B:$B, MATCH($D20,[2]SourceData!$A:$A, 0))-SUM($D20:X20)),  (MaxPtsPerSprint21-SUM(Y$7:Y19)))</f>
        <v>0</v>
      </c>
      <c r="Z20" s="287">
        <f t="array" ref="Z20">MIN((INDEX([2]SourceData!$B:$B, MATCH($D20,[2]SourceData!$A:$A, 0))-SUM($D20:Y20)),  (MaxPtsPerSprint22-SUM(Z$7:Z19)))</f>
        <v>0</v>
      </c>
      <c r="AA20" s="287">
        <f t="array" ref="AA20">MIN((INDEX([2]SourceData!$B:$B, MATCH($D20,[2]SourceData!$A:$A, 0))-SUM($D20:Z20)),  (MaxPtsPerSprint23-SUM(AA$7:AA19)))</f>
        <v>0</v>
      </c>
      <c r="AB20" s="287">
        <f t="array" ref="AB20">MIN((INDEX([2]SourceData!$B:$B, MATCH($D20,[2]SourceData!$A:$A, 0))-SUM($D20:AA20)),  (MaxPtsPerSprint24-SUM(AB$7:AB19)))</f>
        <v>0</v>
      </c>
      <c r="AC20" s="287"/>
      <c r="AD20" s="287"/>
      <c r="AE20" s="288">
        <f t="shared" si="0"/>
        <v>5</v>
      </c>
      <c r="AF20" s="289">
        <f t="shared" si="1"/>
        <v>2.4634485816694789E-4</v>
      </c>
    </row>
    <row r="21" spans="2:32" ht="18.5" hidden="1" outlineLevel="1" x14ac:dyDescent="0.45">
      <c r="B21" s="284" t="str">
        <f>VLOOKUP(D21,'[2]Work Item Vlookup'!$A$2:$B$119,2,FALSE)</f>
        <v>WI0002</v>
      </c>
      <c r="C21" s="284" t="s">
        <v>423</v>
      </c>
      <c r="D21" s="285" t="str">
        <f>[2]SourceData!A15</f>
        <v>Utah Property, Complete</v>
      </c>
      <c r="E21" s="286">
        <f t="array" ref="E21">MIN((INDEX([2]SourceData!$B:$B, MATCH($D21,[2]SourceData!$A:$A, 0))-SUM($D21:D21)),  (MaxPtsPerSprint1-SUM(E$7:E20)))</f>
        <v>0</v>
      </c>
      <c r="F21" s="286">
        <f t="array" ref="F21">MIN((INDEX([2]SourceData!$B:$B, MATCH($D21,[2]SourceData!$A:$A, 0))-SUM($D21:E21)),  (MaxPtsPerSprint2-SUM(F$7:F20)))</f>
        <v>0</v>
      </c>
      <c r="G21" s="286">
        <f t="array" ref="G21">MIN((INDEX([2]SourceData!$B:$B, MATCH($D21,[2]SourceData!$A:$A, 0))-SUM($D21:F21)),  (MaxPtsPerSprint3-SUM(G$7:G20)))</f>
        <v>0</v>
      </c>
      <c r="H21" s="286">
        <f t="array" ref="H21">MIN((INDEX([2]SourceData!$B:$B, MATCH($D21,[2]SourceData!$A:$A, 0))-SUM($D21:G21)),  (MaxPtsPerSprint4-SUM(H$7:H20)))</f>
        <v>988</v>
      </c>
      <c r="I21" s="286">
        <f t="array" ref="I21">MIN((INDEX([2]SourceData!$B:$B, MATCH($D21,[2]SourceData!$A:$A, 0))-SUM($D21:H21)),  (MaxPtsPerSprint5-SUM(I$7:I20)))</f>
        <v>0</v>
      </c>
      <c r="J21" s="286">
        <f t="array" ref="J21">MIN((INDEX([2]SourceData!$B:$B, MATCH($D21,[2]SourceData!$A:$A, 0))-SUM($D21:I21)),  (MaxPtsPerSprint6-SUM(J$7:J20)))</f>
        <v>0</v>
      </c>
      <c r="K21" s="286">
        <f t="array" ref="K21">MIN((INDEX([2]SourceData!$B:$B, MATCH($D21,[2]SourceData!$A:$A, 0))-SUM($D21:J21)),  (MaxPtsPerSprint7-SUM(K$7:K20)))</f>
        <v>0</v>
      </c>
      <c r="L21" s="286">
        <f t="array" ref="L21">MIN((INDEX([2]SourceData!$B:$B, MATCH($D21,[2]SourceData!$A:$A, 0))-SUM($D21:K21)),  (MaxPtsPerSprint8-SUM(L$7:L20)))</f>
        <v>0</v>
      </c>
      <c r="M21" s="286">
        <f t="array" ref="M21">MIN((INDEX([2]SourceData!$B:$B, MATCH($D21,[2]SourceData!$A:$A, 0))-SUM($D21:L21)),  (MaxPtsPerSprint9-SUM(M$7:M20)))</f>
        <v>0</v>
      </c>
      <c r="N21" s="286">
        <f t="array" ref="N21">MIN((INDEX([2]SourceData!$B:$B, MATCH($D21,[2]SourceData!$A:$A, 0))-SUM($D21:M21)),  (MaxPtsPerSprint10-SUM(N$7:N20)))</f>
        <v>0</v>
      </c>
      <c r="O21" s="286">
        <f t="array" ref="O21">MIN((INDEX([2]SourceData!$B:$B, MATCH($D21,[2]SourceData!$A:$A, 0))-SUM($D21:N21)),  (MaxPtsPerSprint11-SUM(O$7:O20)))</f>
        <v>0</v>
      </c>
      <c r="P21" s="286">
        <f t="array" ref="P21">MIN((INDEX([2]SourceData!$B:$B, MATCH($D21,[2]SourceData!$A:$A, 0))-SUM($D21:O21)),  (MaxPtsPerSprint12-SUM(P$7:P20)))</f>
        <v>0</v>
      </c>
      <c r="Q21" s="286">
        <f t="array" ref="Q21">MIN((INDEX([2]SourceData!$B:$B, MATCH($D21,[2]SourceData!$A:$A, 0))-SUM($D21:P21)),  (MaxPtsPerSprint13-SUM(Q$7:Q20)))</f>
        <v>0</v>
      </c>
      <c r="R21" s="286">
        <f t="array" ref="R21">MIN((INDEX([2]SourceData!$B:$B, MATCH($D21,[2]SourceData!$A:$A, 0))-SUM($D21:Q21)),  (MaxPtsPerSprint14-SUM(R$7:R20)))</f>
        <v>0</v>
      </c>
      <c r="S21" s="286">
        <f t="array" ref="S21">MIN((INDEX([2]SourceData!$B:$B, MATCH($D21,[2]SourceData!$A:$A, 0))-SUM($D21:R21)),  (MaxPtsPerSprint15-SUM(S$7:S20)))</f>
        <v>0</v>
      </c>
      <c r="T21" s="286">
        <f t="array" ref="T21">MIN((INDEX([2]SourceData!$B:$B, MATCH($D21,[2]SourceData!$A:$A, 0))-SUM($D21:S21)),  (MaxPtsPerSprint16-SUM(T$7:T20)))</f>
        <v>0</v>
      </c>
      <c r="U21" s="286">
        <f t="array" ref="U21">MIN((INDEX([2]SourceData!$B:$B, MATCH($D21,[2]SourceData!$A:$A, 0))-SUM($D21:T21)),  (MaxPtsPerSprint17-SUM(U$7:U20)))</f>
        <v>0</v>
      </c>
      <c r="V21" s="286">
        <f t="array" ref="V21">MIN((INDEX([2]SourceData!$B:$B, MATCH($D21,[2]SourceData!$A:$A, 0))-SUM($D21:U21)),  (MaxPtsPerSprint18-SUM(V$7:V20)))</f>
        <v>0</v>
      </c>
      <c r="W21" s="286">
        <f t="array" ref="W21">MIN((INDEX([2]SourceData!$B:$B, MATCH($D21,[2]SourceData!$A:$A, 0))-SUM($D21:V21)),  (MaxPtsPerSprint19-SUM(W$7:W20)))</f>
        <v>0</v>
      </c>
      <c r="X21" s="286">
        <f t="array" ref="X21">MIN((INDEX([2]SourceData!$B:$B, MATCH($D21,[2]SourceData!$A:$A, 0))-SUM($D21:W21)),  (MaxPtsPerSprint20-SUM(X$7:X20)))</f>
        <v>0</v>
      </c>
      <c r="Y21" s="287">
        <f t="array" ref="Y21">MIN((INDEX([2]SourceData!$B:$B, MATCH($D21,[2]SourceData!$A:$A, 0))-SUM($D21:X21)),  (MaxPtsPerSprint21-SUM(Y$7:Y20)))</f>
        <v>0</v>
      </c>
      <c r="Z21" s="287">
        <f t="array" ref="Z21">MIN((INDEX([2]SourceData!$B:$B, MATCH($D21,[2]SourceData!$A:$A, 0))-SUM($D21:Y21)),  (MaxPtsPerSprint22-SUM(Z$7:Z20)))</f>
        <v>0</v>
      </c>
      <c r="AA21" s="287">
        <f t="array" ref="AA21">MIN((INDEX([2]SourceData!$B:$B, MATCH($D21,[2]SourceData!$A:$A, 0))-SUM($D21:Z21)),  (MaxPtsPerSprint23-SUM(AA$7:AA20)))</f>
        <v>0</v>
      </c>
      <c r="AB21" s="287">
        <f t="array" ref="AB21">MIN((INDEX([2]SourceData!$B:$B, MATCH($D21,[2]SourceData!$A:$A, 0))-SUM($D21:AA21)),  (MaxPtsPerSprint24-SUM(AB$7:AB20)))</f>
        <v>0</v>
      </c>
      <c r="AC21" s="287"/>
      <c r="AD21" s="287"/>
      <c r="AE21" s="288">
        <f t="shared" si="0"/>
        <v>988</v>
      </c>
      <c r="AF21" s="289">
        <f t="shared" si="1"/>
        <v>4.8677743973788906E-2</v>
      </c>
    </row>
    <row r="22" spans="2:32" ht="18.5" hidden="1" outlineLevel="1" x14ac:dyDescent="0.45">
      <c r="B22" s="284" t="str">
        <f>VLOOKUP(D22,'[2]Work Item Vlookup'!$A$2:$B$119,2,FALSE)</f>
        <v>WI0002</v>
      </c>
      <c r="C22" s="284" t="s">
        <v>424</v>
      </c>
      <c r="D22" s="285" t="str">
        <f>[2]SourceData!A16</f>
        <v>Utah Property, Deferred Scope</v>
      </c>
      <c r="E22" s="286">
        <f t="array" ref="E22">MIN((INDEX([2]SourceData!$B:$B, MATCH($D22,[2]SourceData!$A:$A, 0))-SUM($D22:D22)),  (MaxPtsPerSprint1-SUM(E$7:E21)))</f>
        <v>0</v>
      </c>
      <c r="F22" s="286">
        <f t="array" ref="F22">MIN((INDEX([2]SourceData!$B:$B, MATCH($D22,[2]SourceData!$A:$A, 0))-SUM($D22:E22)),  (MaxPtsPerSprint2-SUM(F$7:F21)))</f>
        <v>0</v>
      </c>
      <c r="G22" s="286">
        <f t="array" ref="G22">MIN((INDEX([2]SourceData!$B:$B, MATCH($D22,[2]SourceData!$A:$A, 0))-SUM($D22:F22)),  (MaxPtsPerSprint3-SUM(G$7:G21)))</f>
        <v>0</v>
      </c>
      <c r="H22" s="286">
        <f t="array" ref="H22">MIN((INDEX([2]SourceData!$B:$B, MATCH($D22,[2]SourceData!$A:$A, 0))-SUM($D22:G22)),  (MaxPtsPerSprint4-SUM(H$7:H21)))</f>
        <v>0</v>
      </c>
      <c r="I22" s="286">
        <f t="array" ref="I22">MIN((INDEX([2]SourceData!$B:$B, MATCH($D22,[2]SourceData!$A:$A, 0))-SUM($D22:H22)),  (MaxPtsPerSprint5-SUM(I$7:I21)))</f>
        <v>45</v>
      </c>
      <c r="J22" s="286">
        <f t="array" ref="J22">MIN((INDEX([2]SourceData!$B:$B, MATCH($D22,[2]SourceData!$A:$A, 0))-SUM($D22:I22)),  (MaxPtsPerSprint6-SUM(J$7:J21)))</f>
        <v>0</v>
      </c>
      <c r="K22" s="286">
        <f t="array" ref="K22">MIN((INDEX([2]SourceData!$B:$B, MATCH($D22,[2]SourceData!$A:$A, 0))-SUM($D22:J22)),  (MaxPtsPerSprint7-SUM(K$7:K21)))</f>
        <v>0</v>
      </c>
      <c r="L22" s="286">
        <f t="array" ref="L22">MIN((INDEX([2]SourceData!$B:$B, MATCH($D22,[2]SourceData!$A:$A, 0))-SUM($D22:K22)),  (MaxPtsPerSprint8-SUM(L$7:L21)))</f>
        <v>0</v>
      </c>
      <c r="M22" s="286">
        <f t="array" ref="M22">MIN((INDEX([2]SourceData!$B:$B, MATCH($D22,[2]SourceData!$A:$A, 0))-SUM($D22:L22)),  (MaxPtsPerSprint9-SUM(M$7:M21)))</f>
        <v>0</v>
      </c>
      <c r="N22" s="286">
        <f t="array" ref="N22">MIN((INDEX([2]SourceData!$B:$B, MATCH($D22,[2]SourceData!$A:$A, 0))-SUM($D22:M22)),  (MaxPtsPerSprint10-SUM(N$7:N21)))</f>
        <v>0</v>
      </c>
      <c r="O22" s="286">
        <f t="array" ref="O22">MIN((INDEX([2]SourceData!$B:$B, MATCH($D22,[2]SourceData!$A:$A, 0))-SUM($D22:N22)),  (MaxPtsPerSprint11-SUM(O$7:O21)))</f>
        <v>0</v>
      </c>
      <c r="P22" s="286">
        <f t="array" ref="P22">MIN((INDEX([2]SourceData!$B:$B, MATCH($D22,[2]SourceData!$A:$A, 0))-SUM($D22:O22)),  (MaxPtsPerSprint12-SUM(P$7:P21)))</f>
        <v>0</v>
      </c>
      <c r="Q22" s="286">
        <f t="array" ref="Q22">MIN((INDEX([2]SourceData!$B:$B, MATCH($D22,[2]SourceData!$A:$A, 0))-SUM($D22:P22)),  (MaxPtsPerSprint13-SUM(Q$7:Q21)))</f>
        <v>0</v>
      </c>
      <c r="R22" s="286">
        <f t="array" ref="R22">MIN((INDEX([2]SourceData!$B:$B, MATCH($D22,[2]SourceData!$A:$A, 0))-SUM($D22:Q22)),  (MaxPtsPerSprint14-SUM(R$7:R21)))</f>
        <v>0</v>
      </c>
      <c r="S22" s="286">
        <f t="array" ref="S22">MIN((INDEX([2]SourceData!$B:$B, MATCH($D22,[2]SourceData!$A:$A, 0))-SUM($D22:R22)),  (MaxPtsPerSprint15-SUM(S$7:S21)))</f>
        <v>0</v>
      </c>
      <c r="T22" s="286">
        <f t="array" ref="T22">MIN((INDEX([2]SourceData!$B:$B, MATCH($D22,[2]SourceData!$A:$A, 0))-SUM($D22:S22)),  (MaxPtsPerSprint16-SUM(T$7:T21)))</f>
        <v>0</v>
      </c>
      <c r="U22" s="286">
        <f t="array" ref="U22">MIN((INDEX([2]SourceData!$B:$B, MATCH($D22,[2]SourceData!$A:$A, 0))-SUM($D22:T22)),  (MaxPtsPerSprint17-SUM(U$7:U21)))</f>
        <v>0</v>
      </c>
      <c r="V22" s="286">
        <f t="array" ref="V22">MIN((INDEX([2]SourceData!$B:$B, MATCH($D22,[2]SourceData!$A:$A, 0))-SUM($D22:U22)),  (MaxPtsPerSprint18-SUM(V$7:V21)))</f>
        <v>0</v>
      </c>
      <c r="W22" s="286">
        <f t="array" ref="W22">MIN((INDEX([2]SourceData!$B:$B, MATCH($D22,[2]SourceData!$A:$A, 0))-SUM($D22:V22)),  (MaxPtsPerSprint19-SUM(W$7:W21)))</f>
        <v>0</v>
      </c>
      <c r="X22" s="286">
        <f t="array" ref="X22">MIN((INDEX([2]SourceData!$B:$B, MATCH($D22,[2]SourceData!$A:$A, 0))-SUM($D22:W22)),  (MaxPtsPerSprint20-SUM(X$7:X21)))</f>
        <v>0</v>
      </c>
      <c r="Y22" s="287">
        <f t="array" ref="Y22">MIN((INDEX([2]SourceData!$B:$B, MATCH($D22,[2]SourceData!$A:$A, 0))-SUM($D22:X22)),  (MaxPtsPerSprint21-SUM(Y$7:Y21)))</f>
        <v>0</v>
      </c>
      <c r="Z22" s="287">
        <f t="array" ref="Z22">MIN((INDEX([2]SourceData!$B:$B, MATCH($D22,[2]SourceData!$A:$A, 0))-SUM($D22:Y22)),  (MaxPtsPerSprint22-SUM(Z$7:Z21)))</f>
        <v>0</v>
      </c>
      <c r="AA22" s="287">
        <f t="array" ref="AA22">MIN((INDEX([2]SourceData!$B:$B, MATCH($D22,[2]SourceData!$A:$A, 0))-SUM($D22:Z22)),  (MaxPtsPerSprint23-SUM(AA$7:AA21)))</f>
        <v>0</v>
      </c>
      <c r="AB22" s="287">
        <f t="array" ref="AB22">MIN((INDEX([2]SourceData!$B:$B, MATCH($D22,[2]SourceData!$A:$A, 0))-SUM($D22:AA22)),  (MaxPtsPerSprint24-SUM(AB$7:AB21)))</f>
        <v>0</v>
      </c>
      <c r="AC22" s="287"/>
      <c r="AD22" s="287"/>
      <c r="AE22" s="288">
        <f t="shared" si="0"/>
        <v>45</v>
      </c>
      <c r="AF22" s="289">
        <f t="shared" si="1"/>
        <v>2.2171037235025311E-3</v>
      </c>
    </row>
    <row r="23" spans="2:32" ht="18.5" hidden="1" outlineLevel="1" x14ac:dyDescent="0.45">
      <c r="B23" s="284" t="str">
        <f>VLOOKUP(D23,'[2]Work Item Vlookup'!$A$2:$B$119,2,FALSE)</f>
        <v>WI0011</v>
      </c>
      <c r="C23" s="284" t="s">
        <v>425</v>
      </c>
      <c r="D23" s="285" t="str">
        <f>[2]SourceData!A17</f>
        <v>AZ Property, Deferred Scope</v>
      </c>
      <c r="E23" s="286">
        <f t="array" ref="E23">MIN((INDEX([2]SourceData!$B:$B, MATCH($D23,[2]SourceData!$A:$A, 0))-SUM($D23:D23)),  (MaxPtsPerSprint1-SUM(E$7:E22)))</f>
        <v>0</v>
      </c>
      <c r="F23" s="286">
        <f t="array" ref="F23">MIN((INDEX([2]SourceData!$B:$B, MATCH($D23,[2]SourceData!$A:$A, 0))-SUM($D23:E23)),  (MaxPtsPerSprint2-SUM(F$7:F22)))</f>
        <v>0</v>
      </c>
      <c r="G23" s="286">
        <f t="array" ref="G23">MIN((INDEX([2]SourceData!$B:$B, MATCH($D23,[2]SourceData!$A:$A, 0))-SUM($D23:F23)),  (MaxPtsPerSprint3-SUM(G$7:G22)))</f>
        <v>0</v>
      </c>
      <c r="H23" s="286">
        <f t="array" ref="H23">MIN((INDEX([2]SourceData!$B:$B, MATCH($D23,[2]SourceData!$A:$A, 0))-SUM($D23:G23)),  (MaxPtsPerSprint4-SUM(H$7:H22)))</f>
        <v>0</v>
      </c>
      <c r="I23" s="286">
        <f t="array" ref="I23">MIN((INDEX([2]SourceData!$B:$B, MATCH($D23,[2]SourceData!$A:$A, 0))-SUM($D23:H23)),  (MaxPtsPerSprint5-SUM(I$7:I22)))</f>
        <v>10</v>
      </c>
      <c r="J23" s="286">
        <f t="array" ref="J23">MIN((INDEX([2]SourceData!$B:$B, MATCH($D23,[2]SourceData!$A:$A, 0))-SUM($D23:I23)),  (MaxPtsPerSprint6-SUM(J$7:J22)))</f>
        <v>0</v>
      </c>
      <c r="K23" s="286">
        <f t="array" ref="K23">MIN((INDEX([2]SourceData!$B:$B, MATCH($D23,[2]SourceData!$A:$A, 0))-SUM($D23:J23)),  (MaxPtsPerSprint7-SUM(K$7:K22)))</f>
        <v>0</v>
      </c>
      <c r="L23" s="286">
        <f t="array" ref="L23">MIN((INDEX([2]SourceData!$B:$B, MATCH($D23,[2]SourceData!$A:$A, 0))-SUM($D23:K23)),  (MaxPtsPerSprint8-SUM(L$7:L22)))</f>
        <v>0</v>
      </c>
      <c r="M23" s="286">
        <f t="array" ref="M23">MIN((INDEX([2]SourceData!$B:$B, MATCH($D23,[2]SourceData!$A:$A, 0))-SUM($D23:L23)),  (MaxPtsPerSprint9-SUM(M$7:M22)))</f>
        <v>0</v>
      </c>
      <c r="N23" s="286">
        <f t="array" ref="N23">MIN((INDEX([2]SourceData!$B:$B, MATCH($D23,[2]SourceData!$A:$A, 0))-SUM($D23:M23)),  (MaxPtsPerSprint10-SUM(N$7:N22)))</f>
        <v>0</v>
      </c>
      <c r="O23" s="286">
        <f t="array" ref="O23">MIN((INDEX([2]SourceData!$B:$B, MATCH($D23,[2]SourceData!$A:$A, 0))-SUM($D23:N23)),  (MaxPtsPerSprint11-SUM(O$7:O22)))</f>
        <v>0</v>
      </c>
      <c r="P23" s="286">
        <f t="array" ref="P23">MIN((INDEX([2]SourceData!$B:$B, MATCH($D23,[2]SourceData!$A:$A, 0))-SUM($D23:O23)),  (MaxPtsPerSprint12-SUM(P$7:P22)))</f>
        <v>0</v>
      </c>
      <c r="Q23" s="286">
        <f t="array" ref="Q23">MIN((INDEX([2]SourceData!$B:$B, MATCH($D23,[2]SourceData!$A:$A, 0))-SUM($D23:P23)),  (MaxPtsPerSprint13-SUM(Q$7:Q22)))</f>
        <v>0</v>
      </c>
      <c r="R23" s="286">
        <f t="array" ref="R23">MIN((INDEX([2]SourceData!$B:$B, MATCH($D23,[2]SourceData!$A:$A, 0))-SUM($D23:Q23)),  (MaxPtsPerSprint14-SUM(R$7:R22)))</f>
        <v>0</v>
      </c>
      <c r="S23" s="286">
        <f t="array" ref="S23">MIN((INDEX([2]SourceData!$B:$B, MATCH($D23,[2]SourceData!$A:$A, 0))-SUM($D23:R23)),  (MaxPtsPerSprint15-SUM(S$7:S22)))</f>
        <v>0</v>
      </c>
      <c r="T23" s="286">
        <f t="array" ref="T23">MIN((INDEX([2]SourceData!$B:$B, MATCH($D23,[2]SourceData!$A:$A, 0))-SUM($D23:S23)),  (MaxPtsPerSprint16-SUM(T$7:T22)))</f>
        <v>0</v>
      </c>
      <c r="U23" s="286">
        <f t="array" ref="U23">MIN((INDEX([2]SourceData!$B:$B, MATCH($D23,[2]SourceData!$A:$A, 0))-SUM($D23:T23)),  (MaxPtsPerSprint17-SUM(U$7:U22)))</f>
        <v>0</v>
      </c>
      <c r="V23" s="286">
        <f t="array" ref="V23">MIN((INDEX([2]SourceData!$B:$B, MATCH($D23,[2]SourceData!$A:$A, 0))-SUM($D23:U23)),  (MaxPtsPerSprint18-SUM(V$7:V22)))</f>
        <v>0</v>
      </c>
      <c r="W23" s="286">
        <f t="array" ref="W23">MIN((INDEX([2]SourceData!$B:$B, MATCH($D23,[2]SourceData!$A:$A, 0))-SUM($D23:V23)),  (MaxPtsPerSprint19-SUM(W$7:W22)))</f>
        <v>0</v>
      </c>
      <c r="X23" s="286">
        <f t="array" ref="X23">MIN((INDEX([2]SourceData!$B:$B, MATCH($D23,[2]SourceData!$A:$A, 0))-SUM($D23:W23)),  (MaxPtsPerSprint20-SUM(X$7:X22)))</f>
        <v>0</v>
      </c>
      <c r="Y23" s="287">
        <f t="array" ref="Y23">MIN((INDEX([2]SourceData!$B:$B, MATCH($D23,[2]SourceData!$A:$A, 0))-SUM($D23:X23)),  (MaxPtsPerSprint21-SUM(Y$7:Y22)))</f>
        <v>0</v>
      </c>
      <c r="Z23" s="287">
        <f t="array" ref="Z23">MIN((INDEX([2]SourceData!$B:$B, MATCH($D23,[2]SourceData!$A:$A, 0))-SUM($D23:Y23)),  (MaxPtsPerSprint22-SUM(Z$7:Z22)))</f>
        <v>0</v>
      </c>
      <c r="AA23" s="287">
        <f t="array" ref="AA23">MIN((INDEX([2]SourceData!$B:$B, MATCH($D23,[2]SourceData!$A:$A, 0))-SUM($D23:Z23)),  (MaxPtsPerSprint23-SUM(AA$7:AA22)))</f>
        <v>0</v>
      </c>
      <c r="AB23" s="287">
        <f t="array" ref="AB23">MIN((INDEX([2]SourceData!$B:$B, MATCH($D23,[2]SourceData!$A:$A, 0))-SUM($D23:AA23)),  (MaxPtsPerSprint24-SUM(AB$7:AB22)))</f>
        <v>0</v>
      </c>
      <c r="AC23" s="287"/>
      <c r="AD23" s="287"/>
      <c r="AE23" s="288">
        <f t="shared" si="0"/>
        <v>10</v>
      </c>
      <c r="AF23" s="289">
        <f t="shared" si="1"/>
        <v>4.9268971633389578E-4</v>
      </c>
    </row>
    <row r="24" spans="2:32" ht="18.5" hidden="1" outlineLevel="1" x14ac:dyDescent="0.45">
      <c r="B24" s="284" t="str">
        <f>VLOOKUP(D24,'[2]Work Item Vlookup'!$A$2:$B$119,2,FALSE)</f>
        <v>WI0012</v>
      </c>
      <c r="C24" s="284" t="s">
        <v>426</v>
      </c>
      <c r="D24" s="285" t="str">
        <f>[2]SourceData!A18</f>
        <v>Structural Services for CAS</v>
      </c>
      <c r="E24" s="286">
        <f t="array" ref="E24">MIN((INDEX([2]SourceData!$B:$B, MATCH($D24,[2]SourceData!$A:$A, 0))-SUM($D24:D24)),  (MaxPtsPerSprint1-SUM(E$7:E23)))</f>
        <v>0</v>
      </c>
      <c r="F24" s="286">
        <f t="array" ref="F24">MIN((INDEX([2]SourceData!$B:$B, MATCH($D24,[2]SourceData!$A:$A, 0))-SUM($D24:E24)),  (MaxPtsPerSprint2-SUM(F$7:F23)))</f>
        <v>0</v>
      </c>
      <c r="G24" s="286">
        <f t="array" ref="G24">MIN((INDEX([2]SourceData!$B:$B, MATCH($D24,[2]SourceData!$A:$A, 0))-SUM($D24:F24)),  (MaxPtsPerSprint3-SUM(G$7:G23)))</f>
        <v>0</v>
      </c>
      <c r="H24" s="286">
        <f t="array" ref="H24">MIN((INDEX([2]SourceData!$B:$B, MATCH($D24,[2]SourceData!$A:$A, 0))-SUM($D24:G24)),  (MaxPtsPerSprint4-SUM(H$7:H23)))</f>
        <v>0</v>
      </c>
      <c r="I24" s="286">
        <f t="array" ref="I24">MIN((INDEX([2]SourceData!$B:$B, MATCH($D24,[2]SourceData!$A:$A, 0))-SUM($D24:H24)),  (MaxPtsPerSprint5-SUM(I$7:I23)))</f>
        <v>40</v>
      </c>
      <c r="J24" s="286">
        <f t="array" ref="J24">MIN((INDEX([2]SourceData!$B:$B, MATCH($D24,[2]SourceData!$A:$A, 0))-SUM($D24:I24)),  (MaxPtsPerSprint6-SUM(J$7:J23)))</f>
        <v>0</v>
      </c>
      <c r="K24" s="286">
        <f t="array" ref="K24">MIN((INDEX([2]SourceData!$B:$B, MATCH($D24,[2]SourceData!$A:$A, 0))-SUM($D24:J24)),  (MaxPtsPerSprint7-SUM(K$7:K23)))</f>
        <v>0</v>
      </c>
      <c r="L24" s="286">
        <f t="array" ref="L24">MIN((INDEX([2]SourceData!$B:$B, MATCH($D24,[2]SourceData!$A:$A, 0))-SUM($D24:K24)),  (MaxPtsPerSprint8-SUM(L$7:L23)))</f>
        <v>0</v>
      </c>
      <c r="M24" s="286">
        <f t="array" ref="M24">MIN((INDEX([2]SourceData!$B:$B, MATCH($D24,[2]SourceData!$A:$A, 0))-SUM($D24:L24)),  (MaxPtsPerSprint9-SUM(M$7:M23)))</f>
        <v>0</v>
      </c>
      <c r="N24" s="286">
        <f t="array" ref="N24">MIN((INDEX([2]SourceData!$B:$B, MATCH($D24,[2]SourceData!$A:$A, 0))-SUM($D24:M24)),  (MaxPtsPerSprint10-SUM(N$7:N23)))</f>
        <v>0</v>
      </c>
      <c r="O24" s="286">
        <f t="array" ref="O24">MIN((INDEX([2]SourceData!$B:$B, MATCH($D24,[2]SourceData!$A:$A, 0))-SUM($D24:N24)),  (MaxPtsPerSprint11-SUM(O$7:O23)))</f>
        <v>0</v>
      </c>
      <c r="P24" s="286">
        <f t="array" ref="P24">MIN((INDEX([2]SourceData!$B:$B, MATCH($D24,[2]SourceData!$A:$A, 0))-SUM($D24:O24)),  (MaxPtsPerSprint12-SUM(P$7:P23)))</f>
        <v>0</v>
      </c>
      <c r="Q24" s="286">
        <f t="array" ref="Q24">MIN((INDEX([2]SourceData!$B:$B, MATCH($D24,[2]SourceData!$A:$A, 0))-SUM($D24:P24)),  (MaxPtsPerSprint13-SUM(Q$7:Q23)))</f>
        <v>0</v>
      </c>
      <c r="R24" s="286">
        <f t="array" ref="R24">MIN((INDEX([2]SourceData!$B:$B, MATCH($D24,[2]SourceData!$A:$A, 0))-SUM($D24:Q24)),  (MaxPtsPerSprint14-SUM(R$7:R23)))</f>
        <v>0</v>
      </c>
      <c r="S24" s="286">
        <f t="array" ref="S24">MIN((INDEX([2]SourceData!$B:$B, MATCH($D24,[2]SourceData!$A:$A, 0))-SUM($D24:R24)),  (MaxPtsPerSprint15-SUM(S$7:S23)))</f>
        <v>0</v>
      </c>
      <c r="T24" s="286">
        <f t="array" ref="T24">MIN((INDEX([2]SourceData!$B:$B, MATCH($D24,[2]SourceData!$A:$A, 0))-SUM($D24:S24)),  (MaxPtsPerSprint16-SUM(T$7:T23)))</f>
        <v>0</v>
      </c>
      <c r="U24" s="286">
        <f t="array" ref="U24">MIN((INDEX([2]SourceData!$B:$B, MATCH($D24,[2]SourceData!$A:$A, 0))-SUM($D24:T24)),  (MaxPtsPerSprint17-SUM(U$7:U23)))</f>
        <v>0</v>
      </c>
      <c r="V24" s="286">
        <f t="array" ref="V24">MIN((INDEX([2]SourceData!$B:$B, MATCH($D24,[2]SourceData!$A:$A, 0))-SUM($D24:U24)),  (MaxPtsPerSprint18-SUM(V$7:V23)))</f>
        <v>0</v>
      </c>
      <c r="W24" s="286">
        <f t="array" ref="W24">MIN((INDEX([2]SourceData!$B:$B, MATCH($D24,[2]SourceData!$A:$A, 0))-SUM($D24:V24)),  (MaxPtsPerSprint19-SUM(W$7:W23)))</f>
        <v>0</v>
      </c>
      <c r="X24" s="286">
        <f t="array" ref="X24">MIN((INDEX([2]SourceData!$B:$B, MATCH($D24,[2]SourceData!$A:$A, 0))-SUM($D24:W24)),  (MaxPtsPerSprint20-SUM(X$7:X23)))</f>
        <v>0</v>
      </c>
      <c r="Y24" s="287">
        <f t="array" ref="Y24">MIN((INDEX([2]SourceData!$B:$B, MATCH($D24,[2]SourceData!$A:$A, 0))-SUM($D24:X24)),  (MaxPtsPerSprint21-SUM(Y$7:Y23)))</f>
        <v>0</v>
      </c>
      <c r="Z24" s="287">
        <f t="array" ref="Z24">MIN((INDEX([2]SourceData!$B:$B, MATCH($D24,[2]SourceData!$A:$A, 0))-SUM($D24:Y24)),  (MaxPtsPerSprint22-SUM(Z$7:Z23)))</f>
        <v>0</v>
      </c>
      <c r="AA24" s="287">
        <f t="array" ref="AA24">MIN((INDEX([2]SourceData!$B:$B, MATCH($D24,[2]SourceData!$A:$A, 0))-SUM($D24:Z24)),  (MaxPtsPerSprint23-SUM(AA$7:AA23)))</f>
        <v>0</v>
      </c>
      <c r="AB24" s="287">
        <f t="array" ref="AB24">MIN((INDEX([2]SourceData!$B:$B, MATCH($D24,[2]SourceData!$A:$A, 0))-SUM($D24:AA24)),  (MaxPtsPerSprint24-SUM(AB$7:AB23)))</f>
        <v>0</v>
      </c>
      <c r="AC24" s="287"/>
      <c r="AD24" s="287"/>
      <c r="AE24" s="288">
        <f t="shared" si="0"/>
        <v>40</v>
      </c>
      <c r="AF24" s="289">
        <f t="shared" si="1"/>
        <v>1.9707588653355831E-3</v>
      </c>
    </row>
    <row r="25" spans="2:32" ht="18.5" hidden="1" outlineLevel="1" x14ac:dyDescent="0.45">
      <c r="B25" s="284" t="str">
        <f>VLOOKUP(D25,'[2]Work Item Vlookup'!$A$2:$B$119,2,FALSE)</f>
        <v>WI0013</v>
      </c>
      <c r="C25" s="284" t="s">
        <v>427</v>
      </c>
      <c r="D25" s="285" t="str">
        <f>[2]SourceData!A19</f>
        <v>CreateHomeQuote Service</v>
      </c>
      <c r="E25" s="286">
        <f t="array" ref="E25">MIN((INDEX([2]SourceData!$B:$B, MATCH($D25,[2]SourceData!$A:$A, 0))-SUM($D25:D25)),  (MaxPtsPerSprint1-SUM(E$7:E24)))</f>
        <v>0</v>
      </c>
      <c r="F25" s="286">
        <f t="array" ref="F25">MIN((INDEX([2]SourceData!$B:$B, MATCH($D25,[2]SourceData!$A:$A, 0))-SUM($D25:E25)),  (MaxPtsPerSprint2-SUM(F$7:F24)))</f>
        <v>0</v>
      </c>
      <c r="G25" s="286">
        <f t="array" ref="G25">MIN((INDEX([2]SourceData!$B:$B, MATCH($D25,[2]SourceData!$A:$A, 0))-SUM($D25:F25)),  (MaxPtsPerSprint3-SUM(G$7:G24)))</f>
        <v>0</v>
      </c>
      <c r="H25" s="286">
        <f t="array" ref="H25">MIN((INDEX([2]SourceData!$B:$B, MATCH($D25,[2]SourceData!$A:$A, 0))-SUM($D25:G25)),  (MaxPtsPerSprint4-SUM(H$7:H24)))</f>
        <v>0</v>
      </c>
      <c r="I25" s="286">
        <f t="array" ref="I25">MIN((INDEX([2]SourceData!$B:$B, MATCH($D25,[2]SourceData!$A:$A, 0))-SUM($D25:H25)),  (MaxPtsPerSprint5-SUM(I$7:I24)))</f>
        <v>44</v>
      </c>
      <c r="J25" s="286">
        <f t="array" ref="J25">MIN((INDEX([2]SourceData!$B:$B, MATCH($D25,[2]SourceData!$A:$A, 0))-SUM($D25:I25)),  (MaxPtsPerSprint6-SUM(J$7:J24)))</f>
        <v>0</v>
      </c>
      <c r="K25" s="286">
        <f t="array" ref="K25">MIN((INDEX([2]SourceData!$B:$B, MATCH($D25,[2]SourceData!$A:$A, 0))-SUM($D25:J25)),  (MaxPtsPerSprint7-SUM(K$7:K24)))</f>
        <v>0</v>
      </c>
      <c r="L25" s="286">
        <f t="array" ref="L25">MIN((INDEX([2]SourceData!$B:$B, MATCH($D25,[2]SourceData!$A:$A, 0))-SUM($D25:K25)),  (MaxPtsPerSprint8-SUM(L$7:L24)))</f>
        <v>0</v>
      </c>
      <c r="M25" s="286">
        <f t="array" ref="M25">MIN((INDEX([2]SourceData!$B:$B, MATCH($D25,[2]SourceData!$A:$A, 0))-SUM($D25:L25)),  (MaxPtsPerSprint9-SUM(M$7:M24)))</f>
        <v>0</v>
      </c>
      <c r="N25" s="286">
        <f t="array" ref="N25">MIN((INDEX([2]SourceData!$B:$B, MATCH($D25,[2]SourceData!$A:$A, 0))-SUM($D25:M25)),  (MaxPtsPerSprint10-SUM(N$7:N24)))</f>
        <v>0</v>
      </c>
      <c r="O25" s="286">
        <f t="array" ref="O25">MIN((INDEX([2]SourceData!$B:$B, MATCH($D25,[2]SourceData!$A:$A, 0))-SUM($D25:N25)),  (MaxPtsPerSprint11-SUM(O$7:O24)))</f>
        <v>0</v>
      </c>
      <c r="P25" s="286">
        <f t="array" ref="P25">MIN((INDEX([2]SourceData!$B:$B, MATCH($D25,[2]SourceData!$A:$A, 0))-SUM($D25:O25)),  (MaxPtsPerSprint12-SUM(P$7:P24)))</f>
        <v>0</v>
      </c>
      <c r="Q25" s="286">
        <f t="array" ref="Q25">MIN((INDEX([2]SourceData!$B:$B, MATCH($D25,[2]SourceData!$A:$A, 0))-SUM($D25:P25)),  (MaxPtsPerSprint13-SUM(Q$7:Q24)))</f>
        <v>0</v>
      </c>
      <c r="R25" s="286">
        <f t="array" ref="R25">MIN((INDEX([2]SourceData!$B:$B, MATCH($D25,[2]SourceData!$A:$A, 0))-SUM($D25:Q25)),  (MaxPtsPerSprint14-SUM(R$7:R24)))</f>
        <v>0</v>
      </c>
      <c r="S25" s="286">
        <f t="array" ref="S25">MIN((INDEX([2]SourceData!$B:$B, MATCH($D25,[2]SourceData!$A:$A, 0))-SUM($D25:R25)),  (MaxPtsPerSprint15-SUM(S$7:S24)))</f>
        <v>0</v>
      </c>
      <c r="T25" s="286">
        <f t="array" ref="T25">MIN((INDEX([2]SourceData!$B:$B, MATCH($D25,[2]SourceData!$A:$A, 0))-SUM($D25:S25)),  (MaxPtsPerSprint16-SUM(T$7:T24)))</f>
        <v>0</v>
      </c>
      <c r="U25" s="286">
        <f t="array" ref="U25">MIN((INDEX([2]SourceData!$B:$B, MATCH($D25,[2]SourceData!$A:$A, 0))-SUM($D25:T25)),  (MaxPtsPerSprint17-SUM(U$7:U24)))</f>
        <v>0</v>
      </c>
      <c r="V25" s="286">
        <f t="array" ref="V25">MIN((INDEX([2]SourceData!$B:$B, MATCH($D25,[2]SourceData!$A:$A, 0))-SUM($D25:U25)),  (MaxPtsPerSprint18-SUM(V$7:V24)))</f>
        <v>0</v>
      </c>
      <c r="W25" s="286">
        <f t="array" ref="W25">MIN((INDEX([2]SourceData!$B:$B, MATCH($D25,[2]SourceData!$A:$A, 0))-SUM($D25:V25)),  (MaxPtsPerSprint19-SUM(W$7:W24)))</f>
        <v>0</v>
      </c>
      <c r="X25" s="286">
        <f t="array" ref="X25">MIN((INDEX([2]SourceData!$B:$B, MATCH($D25,[2]SourceData!$A:$A, 0))-SUM($D25:W25)),  (MaxPtsPerSprint20-SUM(X$7:X24)))</f>
        <v>0</v>
      </c>
      <c r="Y25" s="287">
        <f t="array" ref="Y25">MIN((INDEX([2]SourceData!$B:$B, MATCH($D25,[2]SourceData!$A:$A, 0))-SUM($D25:X25)),  (MaxPtsPerSprint21-SUM(Y$7:Y24)))</f>
        <v>0</v>
      </c>
      <c r="Z25" s="287">
        <f t="array" ref="Z25">MIN((INDEX([2]SourceData!$B:$B, MATCH($D25,[2]SourceData!$A:$A, 0))-SUM($D25:Y25)),  (MaxPtsPerSprint22-SUM(Z$7:Z24)))</f>
        <v>0</v>
      </c>
      <c r="AA25" s="287">
        <f t="array" ref="AA25">MIN((INDEX([2]SourceData!$B:$B, MATCH($D25,[2]SourceData!$A:$A, 0))-SUM($D25:Z25)),  (MaxPtsPerSprint23-SUM(AA$7:AA24)))</f>
        <v>0</v>
      </c>
      <c r="AB25" s="287">
        <f t="array" ref="AB25">MIN((INDEX([2]SourceData!$B:$B, MATCH($D25,[2]SourceData!$A:$A, 0))-SUM($D25:AA25)),  (MaxPtsPerSprint24-SUM(AB$7:AB24)))</f>
        <v>0</v>
      </c>
      <c r="AC25" s="287"/>
      <c r="AD25" s="287"/>
      <c r="AE25" s="288">
        <f t="shared" si="0"/>
        <v>44</v>
      </c>
      <c r="AF25" s="289">
        <f t="shared" si="1"/>
        <v>2.1678347518691416E-3</v>
      </c>
    </row>
    <row r="26" spans="2:32" ht="18.5" hidden="1" outlineLevel="1" x14ac:dyDescent="0.45">
      <c r="B26" s="284" t="str">
        <f>VLOOKUP(D26,'[2]Work Item Vlookup'!$A$2:$B$119,2,FALSE)</f>
        <v>WI0016</v>
      </c>
      <c r="C26" s="284" t="s">
        <v>428</v>
      </c>
      <c r="D26" s="285" t="str">
        <f>[2]SourceData!A20</f>
        <v>PAS Upgrade 5.2</v>
      </c>
      <c r="E26" s="286">
        <f t="array" ref="E26">MIN((INDEX([2]SourceData!$B:$B, MATCH($D26,[2]SourceData!$A:$A, 0))-SUM($D26:D26)),  (MaxPtsPerSprint1-SUM(E$7:E25)))</f>
        <v>0</v>
      </c>
      <c r="F26" s="286">
        <f t="array" ref="F26">MIN((INDEX([2]SourceData!$B:$B, MATCH($D26,[2]SourceData!$A:$A, 0))-SUM($D26:E26)),  (MaxPtsPerSprint2-SUM(F$7:F25)))</f>
        <v>0</v>
      </c>
      <c r="G26" s="286">
        <f t="array" ref="G26">MIN((INDEX([2]SourceData!$B:$B, MATCH($D26,[2]SourceData!$A:$A, 0))-SUM($D26:F26)),  (MaxPtsPerSprint3-SUM(G$7:G25)))</f>
        <v>0</v>
      </c>
      <c r="H26" s="286">
        <f t="array" ref="H26">MIN((INDEX([2]SourceData!$B:$B, MATCH($D26,[2]SourceData!$A:$A, 0))-SUM($D26:G26)),  (MaxPtsPerSprint4-SUM(H$7:H25)))</f>
        <v>0</v>
      </c>
      <c r="I26" s="286">
        <f t="array" ref="I26">MIN((INDEX([2]SourceData!$B:$B, MATCH($D26,[2]SourceData!$A:$A, 0))-SUM($D26:H26)),  (MaxPtsPerSprint5-SUM(I$7:I25)))</f>
        <v>100</v>
      </c>
      <c r="J26" s="286">
        <f t="array" ref="J26">MIN((INDEX([2]SourceData!$B:$B, MATCH($D26,[2]SourceData!$A:$A, 0))-SUM($D26:I26)),  (MaxPtsPerSprint6-SUM(J$7:J25)))</f>
        <v>0</v>
      </c>
      <c r="K26" s="286">
        <f t="array" ref="K26">MIN((INDEX([2]SourceData!$B:$B, MATCH($D26,[2]SourceData!$A:$A, 0))-SUM($D26:J26)),  (MaxPtsPerSprint7-SUM(K$7:K25)))</f>
        <v>0</v>
      </c>
      <c r="L26" s="286">
        <f t="array" ref="L26">MIN((INDEX([2]SourceData!$B:$B, MATCH($D26,[2]SourceData!$A:$A, 0))-SUM($D26:K26)),  (MaxPtsPerSprint8-SUM(L$7:L25)))</f>
        <v>0</v>
      </c>
      <c r="M26" s="286">
        <f t="array" ref="M26">MIN((INDEX([2]SourceData!$B:$B, MATCH($D26,[2]SourceData!$A:$A, 0))-SUM($D26:L26)),  (MaxPtsPerSprint9-SUM(M$7:M25)))</f>
        <v>0</v>
      </c>
      <c r="N26" s="286">
        <f t="array" ref="N26">MIN((INDEX([2]SourceData!$B:$B, MATCH($D26,[2]SourceData!$A:$A, 0))-SUM($D26:M26)),  (MaxPtsPerSprint10-SUM(N$7:N25)))</f>
        <v>0</v>
      </c>
      <c r="O26" s="286">
        <f t="array" ref="O26">MIN((INDEX([2]SourceData!$B:$B, MATCH($D26,[2]SourceData!$A:$A, 0))-SUM($D26:N26)),  (MaxPtsPerSprint11-SUM(O$7:O25)))</f>
        <v>0</v>
      </c>
      <c r="P26" s="286">
        <f t="array" ref="P26">MIN((INDEX([2]SourceData!$B:$B, MATCH($D26,[2]SourceData!$A:$A, 0))-SUM($D26:O26)),  (MaxPtsPerSprint12-SUM(P$7:P25)))</f>
        <v>0</v>
      </c>
      <c r="Q26" s="286">
        <f t="array" ref="Q26">MIN((INDEX([2]SourceData!$B:$B, MATCH($D26,[2]SourceData!$A:$A, 0))-SUM($D26:P26)),  (MaxPtsPerSprint13-SUM(Q$7:Q25)))</f>
        <v>0</v>
      </c>
      <c r="R26" s="286">
        <f t="array" ref="R26">MIN((INDEX([2]SourceData!$B:$B, MATCH($D26,[2]SourceData!$A:$A, 0))-SUM($D26:Q26)),  (MaxPtsPerSprint14-SUM(R$7:R25)))</f>
        <v>0</v>
      </c>
      <c r="S26" s="286">
        <f t="array" ref="S26">MIN((INDEX([2]SourceData!$B:$B, MATCH($D26,[2]SourceData!$A:$A, 0))-SUM($D26:R26)),  (MaxPtsPerSprint15-SUM(S$7:S25)))</f>
        <v>0</v>
      </c>
      <c r="T26" s="286">
        <f t="array" ref="T26">MIN((INDEX([2]SourceData!$B:$B, MATCH($D26,[2]SourceData!$A:$A, 0))-SUM($D26:S26)),  (MaxPtsPerSprint16-SUM(T$7:T25)))</f>
        <v>0</v>
      </c>
      <c r="U26" s="286">
        <f t="array" ref="U26">MIN((INDEX([2]SourceData!$B:$B, MATCH($D26,[2]SourceData!$A:$A, 0))-SUM($D26:T26)),  (MaxPtsPerSprint17-SUM(U$7:U25)))</f>
        <v>0</v>
      </c>
      <c r="V26" s="286">
        <f t="array" ref="V26">MIN((INDEX([2]SourceData!$B:$B, MATCH($D26,[2]SourceData!$A:$A, 0))-SUM($D26:U26)),  (MaxPtsPerSprint18-SUM(V$7:V25)))</f>
        <v>0</v>
      </c>
      <c r="W26" s="286">
        <f t="array" ref="W26">MIN((INDEX([2]SourceData!$B:$B, MATCH($D26,[2]SourceData!$A:$A, 0))-SUM($D26:V26)),  (MaxPtsPerSprint19-SUM(W$7:W25)))</f>
        <v>0</v>
      </c>
      <c r="X26" s="286">
        <f t="array" ref="X26">MIN((INDEX([2]SourceData!$B:$B, MATCH($D26,[2]SourceData!$A:$A, 0))-SUM($D26:W26)),  (MaxPtsPerSprint20-SUM(X$7:X25)))</f>
        <v>0</v>
      </c>
      <c r="Y26" s="287">
        <f t="array" ref="Y26">MIN((INDEX([2]SourceData!$B:$B, MATCH($D26,[2]SourceData!$A:$A, 0))-SUM($D26:X26)),  (MaxPtsPerSprint21-SUM(Y$7:Y25)))</f>
        <v>0</v>
      </c>
      <c r="Z26" s="287">
        <f t="array" ref="Z26">MIN((INDEX([2]SourceData!$B:$B, MATCH($D26,[2]SourceData!$A:$A, 0))-SUM($D26:Y26)),  (MaxPtsPerSprint22-SUM(Z$7:Z25)))</f>
        <v>0</v>
      </c>
      <c r="AA26" s="287">
        <f t="array" ref="AA26">MIN((INDEX([2]SourceData!$B:$B, MATCH($D26,[2]SourceData!$A:$A, 0))-SUM($D26:Z26)),  (MaxPtsPerSprint23-SUM(AA$7:AA25)))</f>
        <v>0</v>
      </c>
      <c r="AB26" s="287">
        <f t="array" ref="AB26">MIN((INDEX([2]SourceData!$B:$B, MATCH($D26,[2]SourceData!$A:$A, 0))-SUM($D26:AA26)),  (MaxPtsPerSprint24-SUM(AB$7:AB25)))</f>
        <v>0</v>
      </c>
      <c r="AC26" s="287"/>
      <c r="AD26" s="287"/>
      <c r="AE26" s="288">
        <f t="shared" si="0"/>
        <v>100</v>
      </c>
      <c r="AF26" s="289">
        <f t="shared" si="1"/>
        <v>4.9268971633389582E-3</v>
      </c>
    </row>
    <row r="27" spans="2:32" ht="18.5" hidden="1" outlineLevel="1" x14ac:dyDescent="0.45">
      <c r="B27" s="284" t="str">
        <f>VLOOKUP(D27,'[2]Work Item Vlookup'!$A$2:$B$119,2,FALSE)</f>
        <v>WI0017</v>
      </c>
      <c r="C27" s="284" t="s">
        <v>429</v>
      </c>
      <c r="D27" s="285" t="str">
        <f>[2]SourceData!A21</f>
        <v>PA Property</v>
      </c>
      <c r="E27" s="286">
        <f t="array" ref="E27">MIN((INDEX([2]SourceData!$B:$B, MATCH($D27,[2]SourceData!$A:$A, 0))-SUM($D27:D27)),  (MaxPtsPerSprint1-SUM(E$7:E26)))</f>
        <v>0</v>
      </c>
      <c r="F27" s="286">
        <f t="array" ref="F27">MIN((INDEX([2]SourceData!$B:$B, MATCH($D27,[2]SourceData!$A:$A, 0))-SUM($D27:E27)),  (MaxPtsPerSprint2-SUM(F$7:F26)))</f>
        <v>0</v>
      </c>
      <c r="G27" s="286">
        <f t="array" ref="G27">MIN((INDEX([2]SourceData!$B:$B, MATCH($D27,[2]SourceData!$A:$A, 0))-SUM($D27:F27)),  (MaxPtsPerSprint3-SUM(G$7:G26)))</f>
        <v>0</v>
      </c>
      <c r="H27" s="286">
        <f t="array" ref="H27">MIN((INDEX([2]SourceData!$B:$B, MATCH($D27,[2]SourceData!$A:$A, 0))-SUM($D27:G27)),  (MaxPtsPerSprint4-SUM(H$7:H26)))</f>
        <v>0</v>
      </c>
      <c r="I27" s="286">
        <f t="array" ref="I27">MIN((INDEX([2]SourceData!$B:$B, MATCH($D27,[2]SourceData!$A:$A, 0))-SUM($D27:H27)),  (MaxPtsPerSprint5-SUM(I$7:I26)))</f>
        <v>289</v>
      </c>
      <c r="J27" s="286">
        <f t="array" ref="J27">MIN((INDEX([2]SourceData!$B:$B, MATCH($D27,[2]SourceData!$A:$A, 0))-SUM($D27:I27)),  (MaxPtsPerSprint6-SUM(J$7:J26)))</f>
        <v>0</v>
      </c>
      <c r="K27" s="286">
        <f t="array" ref="K27">MIN((INDEX([2]SourceData!$B:$B, MATCH($D27,[2]SourceData!$A:$A, 0))-SUM($D27:J27)),  (MaxPtsPerSprint7-SUM(K$7:K26)))</f>
        <v>0</v>
      </c>
      <c r="L27" s="286">
        <f t="array" ref="L27">MIN((INDEX([2]SourceData!$B:$B, MATCH($D27,[2]SourceData!$A:$A, 0))-SUM($D27:K27)),  (MaxPtsPerSprint8-SUM(L$7:L26)))</f>
        <v>0</v>
      </c>
      <c r="M27" s="286">
        <f t="array" ref="M27">MIN((INDEX([2]SourceData!$B:$B, MATCH($D27,[2]SourceData!$A:$A, 0))-SUM($D27:L27)),  (MaxPtsPerSprint9-SUM(M$7:M26)))</f>
        <v>0</v>
      </c>
      <c r="N27" s="286">
        <f t="array" ref="N27">MIN((INDEX([2]SourceData!$B:$B, MATCH($D27,[2]SourceData!$A:$A, 0))-SUM($D27:M27)),  (MaxPtsPerSprint10-SUM(N$7:N26)))</f>
        <v>0</v>
      </c>
      <c r="O27" s="286">
        <f t="array" ref="O27">MIN((INDEX([2]SourceData!$B:$B, MATCH($D27,[2]SourceData!$A:$A, 0))-SUM($D27:N27)),  (MaxPtsPerSprint11-SUM(O$7:O26)))</f>
        <v>0</v>
      </c>
      <c r="P27" s="286">
        <f t="array" ref="P27">MIN((INDEX([2]SourceData!$B:$B, MATCH($D27,[2]SourceData!$A:$A, 0))-SUM($D27:O27)),  (MaxPtsPerSprint12-SUM(P$7:P26)))</f>
        <v>0</v>
      </c>
      <c r="Q27" s="286">
        <f t="array" ref="Q27">MIN((INDEX([2]SourceData!$B:$B, MATCH($D27,[2]SourceData!$A:$A, 0))-SUM($D27:P27)),  (MaxPtsPerSprint13-SUM(Q$7:Q26)))</f>
        <v>0</v>
      </c>
      <c r="R27" s="286">
        <f t="array" ref="R27">MIN((INDEX([2]SourceData!$B:$B, MATCH($D27,[2]SourceData!$A:$A, 0))-SUM($D27:Q27)),  (MaxPtsPerSprint14-SUM(R$7:R26)))</f>
        <v>0</v>
      </c>
      <c r="S27" s="286">
        <f t="array" ref="S27">MIN((INDEX([2]SourceData!$B:$B, MATCH($D27,[2]SourceData!$A:$A, 0))-SUM($D27:R27)),  (MaxPtsPerSprint15-SUM(S$7:S26)))</f>
        <v>0</v>
      </c>
      <c r="T27" s="286">
        <f t="array" ref="T27">MIN((INDEX([2]SourceData!$B:$B, MATCH($D27,[2]SourceData!$A:$A, 0))-SUM($D27:S27)),  (MaxPtsPerSprint16-SUM(T$7:T26)))</f>
        <v>0</v>
      </c>
      <c r="U27" s="286">
        <f t="array" ref="U27">MIN((INDEX([2]SourceData!$B:$B, MATCH($D27,[2]SourceData!$A:$A, 0))-SUM($D27:T27)),  (MaxPtsPerSprint17-SUM(U$7:U26)))</f>
        <v>0</v>
      </c>
      <c r="V27" s="286">
        <f t="array" ref="V27">MIN((INDEX([2]SourceData!$B:$B, MATCH($D27,[2]SourceData!$A:$A, 0))-SUM($D27:U27)),  (MaxPtsPerSprint18-SUM(V$7:V26)))</f>
        <v>0</v>
      </c>
      <c r="W27" s="286">
        <f t="array" ref="W27">MIN((INDEX([2]SourceData!$B:$B, MATCH($D27,[2]SourceData!$A:$A, 0))-SUM($D27:V27)),  (MaxPtsPerSprint19-SUM(W$7:W26)))</f>
        <v>0</v>
      </c>
      <c r="X27" s="286">
        <f t="array" ref="X27">MIN((INDEX([2]SourceData!$B:$B, MATCH($D27,[2]SourceData!$A:$A, 0))-SUM($D27:W27)),  (MaxPtsPerSprint20-SUM(X$7:X26)))</f>
        <v>0</v>
      </c>
      <c r="Y27" s="287">
        <f t="array" ref="Y27">MIN((INDEX([2]SourceData!$B:$B, MATCH($D27,[2]SourceData!$A:$A, 0))-SUM($D27:X27)),  (MaxPtsPerSprint21-SUM(Y$7:Y26)))</f>
        <v>0</v>
      </c>
      <c r="Z27" s="287">
        <f t="array" ref="Z27">MIN((INDEX([2]SourceData!$B:$B, MATCH($D27,[2]SourceData!$A:$A, 0))-SUM($D27:Y27)),  (MaxPtsPerSprint22-SUM(Z$7:Z26)))</f>
        <v>0</v>
      </c>
      <c r="AA27" s="287">
        <f t="array" ref="AA27">MIN((INDEX([2]SourceData!$B:$B, MATCH($D27,[2]SourceData!$A:$A, 0))-SUM($D27:Z27)),  (MaxPtsPerSprint23-SUM(AA$7:AA26)))</f>
        <v>0</v>
      </c>
      <c r="AB27" s="287">
        <f t="array" ref="AB27">MIN((INDEX([2]SourceData!$B:$B, MATCH($D27,[2]SourceData!$A:$A, 0))-SUM($D27:AA27)),  (MaxPtsPerSprint24-SUM(AB$7:AB26)))</f>
        <v>0</v>
      </c>
      <c r="AC27" s="287"/>
      <c r="AD27" s="287"/>
      <c r="AE27" s="288">
        <f t="shared" si="0"/>
        <v>289</v>
      </c>
      <c r="AF27" s="289">
        <f t="shared" si="1"/>
        <v>1.4238732802049589E-2</v>
      </c>
    </row>
    <row r="28" spans="2:32" ht="18.5" hidden="1" outlineLevel="1" x14ac:dyDescent="0.45">
      <c r="B28" s="284" t="str">
        <f>VLOOKUP(D28,'[2]Work Item Vlookup'!$A$2:$B$119,2,FALSE)</f>
        <v>WI0018</v>
      </c>
      <c r="C28" s="284" t="s">
        <v>430</v>
      </c>
      <c r="D28" s="285" t="str">
        <f>[2]SourceData!A22</f>
        <v>VA Property</v>
      </c>
      <c r="E28" s="286">
        <f t="array" ref="E28">MIN((INDEX([2]SourceData!$B:$B, MATCH($D28,[2]SourceData!$A:$A, 0))-SUM($D28:D28)),  (MaxPtsPerSprint1-SUM(E$7:E27)))</f>
        <v>0</v>
      </c>
      <c r="F28" s="286">
        <f t="array" ref="F28">MIN((INDEX([2]SourceData!$B:$B, MATCH($D28,[2]SourceData!$A:$A, 0))-SUM($D28:E28)),  (MaxPtsPerSprint2-SUM(F$7:F27)))</f>
        <v>0</v>
      </c>
      <c r="G28" s="286">
        <f t="array" ref="G28">MIN((INDEX([2]SourceData!$B:$B, MATCH($D28,[2]SourceData!$A:$A, 0))-SUM($D28:F28)),  (MaxPtsPerSprint3-SUM(G$7:G27)))</f>
        <v>0</v>
      </c>
      <c r="H28" s="286">
        <f t="array" ref="H28">MIN((INDEX([2]SourceData!$B:$B, MATCH($D28,[2]SourceData!$A:$A, 0))-SUM($D28:G28)),  (MaxPtsPerSprint4-SUM(H$7:H27)))</f>
        <v>0</v>
      </c>
      <c r="I28" s="286">
        <f t="array" ref="I28">MIN((INDEX([2]SourceData!$B:$B, MATCH($D28,[2]SourceData!$A:$A, 0))-SUM($D28:H28)),  (MaxPtsPerSprint5-SUM(I$7:I27)))</f>
        <v>308</v>
      </c>
      <c r="J28" s="286">
        <f t="array" ref="J28">MIN((INDEX([2]SourceData!$B:$B, MATCH($D28,[2]SourceData!$A:$A, 0))-SUM($D28:I28)),  (MaxPtsPerSprint6-SUM(J$7:J27)))</f>
        <v>88</v>
      </c>
      <c r="K28" s="286">
        <f t="array" ref="K28">MIN((INDEX([2]SourceData!$B:$B, MATCH($D28,[2]SourceData!$A:$A, 0))-SUM($D28:J28)),  (MaxPtsPerSprint7-SUM(K$7:K27)))</f>
        <v>0</v>
      </c>
      <c r="L28" s="286">
        <f t="array" ref="L28">MIN((INDEX([2]SourceData!$B:$B, MATCH($D28,[2]SourceData!$A:$A, 0))-SUM($D28:K28)),  (MaxPtsPerSprint8-SUM(L$7:L27)))</f>
        <v>0</v>
      </c>
      <c r="M28" s="286">
        <f t="array" ref="M28">MIN((INDEX([2]SourceData!$B:$B, MATCH($D28,[2]SourceData!$A:$A, 0))-SUM($D28:L28)),  (MaxPtsPerSprint9-SUM(M$7:M27)))</f>
        <v>0</v>
      </c>
      <c r="N28" s="286">
        <f t="array" ref="N28">MIN((INDEX([2]SourceData!$B:$B, MATCH($D28,[2]SourceData!$A:$A, 0))-SUM($D28:M28)),  (MaxPtsPerSprint10-SUM(N$7:N27)))</f>
        <v>0</v>
      </c>
      <c r="O28" s="286">
        <f t="array" ref="O28">MIN((INDEX([2]SourceData!$B:$B, MATCH($D28,[2]SourceData!$A:$A, 0))-SUM($D28:N28)),  (MaxPtsPerSprint11-SUM(O$7:O27)))</f>
        <v>0</v>
      </c>
      <c r="P28" s="286">
        <f t="array" ref="P28">MIN((INDEX([2]SourceData!$B:$B, MATCH($D28,[2]SourceData!$A:$A, 0))-SUM($D28:O28)),  (MaxPtsPerSprint12-SUM(P$7:P27)))</f>
        <v>0</v>
      </c>
      <c r="Q28" s="286">
        <f t="array" ref="Q28">MIN((INDEX([2]SourceData!$B:$B, MATCH($D28,[2]SourceData!$A:$A, 0))-SUM($D28:P28)),  (MaxPtsPerSprint13-SUM(Q$7:Q27)))</f>
        <v>0</v>
      </c>
      <c r="R28" s="286">
        <f t="array" ref="R28">MIN((INDEX([2]SourceData!$B:$B, MATCH($D28,[2]SourceData!$A:$A, 0))-SUM($D28:Q28)),  (MaxPtsPerSprint14-SUM(R$7:R27)))</f>
        <v>0</v>
      </c>
      <c r="S28" s="286">
        <f t="array" ref="S28">MIN((INDEX([2]SourceData!$B:$B, MATCH($D28,[2]SourceData!$A:$A, 0))-SUM($D28:R28)),  (MaxPtsPerSprint15-SUM(S$7:S27)))</f>
        <v>0</v>
      </c>
      <c r="T28" s="286">
        <f t="array" ref="T28">MIN((INDEX([2]SourceData!$B:$B, MATCH($D28,[2]SourceData!$A:$A, 0))-SUM($D28:S28)),  (MaxPtsPerSprint16-SUM(T$7:T27)))</f>
        <v>0</v>
      </c>
      <c r="U28" s="286">
        <f t="array" ref="U28">MIN((INDEX([2]SourceData!$B:$B, MATCH($D28,[2]SourceData!$A:$A, 0))-SUM($D28:T28)),  (MaxPtsPerSprint17-SUM(U$7:U27)))</f>
        <v>0</v>
      </c>
      <c r="V28" s="286">
        <f t="array" ref="V28">MIN((INDEX([2]SourceData!$B:$B, MATCH($D28,[2]SourceData!$A:$A, 0))-SUM($D28:U28)),  (MaxPtsPerSprint18-SUM(V$7:V27)))</f>
        <v>0</v>
      </c>
      <c r="W28" s="286">
        <f t="array" ref="W28">MIN((INDEX([2]SourceData!$B:$B, MATCH($D28,[2]SourceData!$A:$A, 0))-SUM($D28:V28)),  (MaxPtsPerSprint19-SUM(W$7:W27)))</f>
        <v>0</v>
      </c>
      <c r="X28" s="286">
        <f t="array" ref="X28">MIN((INDEX([2]SourceData!$B:$B, MATCH($D28,[2]SourceData!$A:$A, 0))-SUM($D28:W28)),  (MaxPtsPerSprint20-SUM(X$7:X27)))</f>
        <v>0</v>
      </c>
      <c r="Y28" s="287">
        <f t="array" ref="Y28">MIN((INDEX([2]SourceData!$B:$B, MATCH($D28,[2]SourceData!$A:$A, 0))-SUM($D28:X28)),  (MaxPtsPerSprint21-SUM(Y$7:Y27)))</f>
        <v>0</v>
      </c>
      <c r="Z28" s="287">
        <f t="array" ref="Z28">MIN((INDEX([2]SourceData!$B:$B, MATCH($D28,[2]SourceData!$A:$A, 0))-SUM($D28:Y28)),  (MaxPtsPerSprint22-SUM(Z$7:Z27)))</f>
        <v>0</v>
      </c>
      <c r="AA28" s="287">
        <f t="array" ref="AA28">MIN((INDEX([2]SourceData!$B:$B, MATCH($D28,[2]SourceData!$A:$A, 0))-SUM($D28:Z28)),  (MaxPtsPerSprint23-SUM(AA$7:AA27)))</f>
        <v>0</v>
      </c>
      <c r="AB28" s="287">
        <f t="array" ref="AB28">MIN((INDEX([2]SourceData!$B:$B, MATCH($D28,[2]SourceData!$A:$A, 0))-SUM($D28:AA28)),  (MaxPtsPerSprint24-SUM(AB$7:AB27)))</f>
        <v>0</v>
      </c>
      <c r="AC28" s="287"/>
      <c r="AD28" s="287"/>
      <c r="AE28" s="288">
        <f t="shared" si="0"/>
        <v>396</v>
      </c>
      <c r="AF28" s="289">
        <f t="shared" si="1"/>
        <v>1.9510512766822273E-2</v>
      </c>
    </row>
    <row r="29" spans="2:32" ht="18.5" hidden="1" outlineLevel="1" x14ac:dyDescent="0.45">
      <c r="B29" s="284" t="str">
        <f>VLOOKUP(D29,'[2]Work Item Vlookup'!$A$2:$B$119,2,FALSE)</f>
        <v>WI0019</v>
      </c>
      <c r="C29" s="284" t="s">
        <v>431</v>
      </c>
      <c r="D29" s="285" t="str">
        <f>[2]SourceData!A23</f>
        <v>NJ Property</v>
      </c>
      <c r="E29" s="286">
        <f t="array" ref="E29">MIN((INDEX([2]SourceData!$B:$B, MATCH($D29,[2]SourceData!$A:$A, 0))-SUM($D29:D29)),  (MaxPtsPerSprint1-SUM(E$7:E28)))</f>
        <v>0</v>
      </c>
      <c r="F29" s="286">
        <f t="array" ref="F29">MIN((INDEX([2]SourceData!$B:$B, MATCH($D29,[2]SourceData!$A:$A, 0))-SUM($D29:E29)),  (MaxPtsPerSprint2-SUM(F$7:F28)))</f>
        <v>0</v>
      </c>
      <c r="G29" s="286">
        <f t="array" ref="G29">MIN((INDEX([2]SourceData!$B:$B, MATCH($D29,[2]SourceData!$A:$A, 0))-SUM($D29:F29)),  (MaxPtsPerSprint3-SUM(G$7:G28)))</f>
        <v>0</v>
      </c>
      <c r="H29" s="286">
        <f t="array" ref="H29">MIN((INDEX([2]SourceData!$B:$B, MATCH($D29,[2]SourceData!$A:$A, 0))-SUM($D29:G29)),  (MaxPtsPerSprint4-SUM(H$7:H28)))</f>
        <v>0</v>
      </c>
      <c r="I29" s="286">
        <f t="array" ref="I29">MIN((INDEX([2]SourceData!$B:$B, MATCH($D29,[2]SourceData!$A:$A, 0))-SUM($D29:H29)),  (MaxPtsPerSprint5-SUM(I$7:I28)))</f>
        <v>0</v>
      </c>
      <c r="J29" s="286">
        <f t="array" ref="J29">MIN((INDEX([2]SourceData!$B:$B, MATCH($D29,[2]SourceData!$A:$A, 0))-SUM($D29:I29)),  (MaxPtsPerSprint6-SUM(J$7:J28)))</f>
        <v>620</v>
      </c>
      <c r="K29" s="286">
        <f t="array" ref="K29">MIN((INDEX([2]SourceData!$B:$B, MATCH($D29,[2]SourceData!$A:$A, 0))-SUM($D29:J29)),  (MaxPtsPerSprint7-SUM(K$7:K28)))</f>
        <v>0</v>
      </c>
      <c r="L29" s="286">
        <f t="array" ref="L29">MIN((INDEX([2]SourceData!$B:$B, MATCH($D29,[2]SourceData!$A:$A, 0))-SUM($D29:K29)),  (MaxPtsPerSprint8-SUM(L$7:L28)))</f>
        <v>0</v>
      </c>
      <c r="M29" s="286">
        <f t="array" ref="M29">MIN((INDEX([2]SourceData!$B:$B, MATCH($D29,[2]SourceData!$A:$A, 0))-SUM($D29:L29)),  (MaxPtsPerSprint9-SUM(M$7:M28)))</f>
        <v>0</v>
      </c>
      <c r="N29" s="286">
        <f t="array" ref="N29">MIN((INDEX([2]SourceData!$B:$B, MATCH($D29,[2]SourceData!$A:$A, 0))-SUM($D29:M29)),  (MaxPtsPerSprint10-SUM(N$7:N28)))</f>
        <v>0</v>
      </c>
      <c r="O29" s="286">
        <f t="array" ref="O29">MIN((INDEX([2]SourceData!$B:$B, MATCH($D29,[2]SourceData!$A:$A, 0))-SUM($D29:N29)),  (MaxPtsPerSprint11-SUM(O$7:O28)))</f>
        <v>0</v>
      </c>
      <c r="P29" s="286">
        <f t="array" ref="P29">MIN((INDEX([2]SourceData!$B:$B, MATCH($D29,[2]SourceData!$A:$A, 0))-SUM($D29:O29)),  (MaxPtsPerSprint12-SUM(P$7:P28)))</f>
        <v>0</v>
      </c>
      <c r="Q29" s="286">
        <f t="array" ref="Q29">MIN((INDEX([2]SourceData!$B:$B, MATCH($D29,[2]SourceData!$A:$A, 0))-SUM($D29:P29)),  (MaxPtsPerSprint13-SUM(Q$7:Q28)))</f>
        <v>0</v>
      </c>
      <c r="R29" s="286">
        <f t="array" ref="R29">MIN((INDEX([2]SourceData!$B:$B, MATCH($D29,[2]SourceData!$A:$A, 0))-SUM($D29:Q29)),  (MaxPtsPerSprint14-SUM(R$7:R28)))</f>
        <v>0</v>
      </c>
      <c r="S29" s="286">
        <f t="array" ref="S29">MIN((INDEX([2]SourceData!$B:$B, MATCH($D29,[2]SourceData!$A:$A, 0))-SUM($D29:R29)),  (MaxPtsPerSprint15-SUM(S$7:S28)))</f>
        <v>0</v>
      </c>
      <c r="T29" s="286">
        <f t="array" ref="T29">MIN((INDEX([2]SourceData!$B:$B, MATCH($D29,[2]SourceData!$A:$A, 0))-SUM($D29:S29)),  (MaxPtsPerSprint16-SUM(T$7:T28)))</f>
        <v>0</v>
      </c>
      <c r="U29" s="286">
        <f t="array" ref="U29">MIN((INDEX([2]SourceData!$B:$B, MATCH($D29,[2]SourceData!$A:$A, 0))-SUM($D29:T29)),  (MaxPtsPerSprint17-SUM(U$7:U28)))</f>
        <v>0</v>
      </c>
      <c r="V29" s="286">
        <f t="array" ref="V29">MIN((INDEX([2]SourceData!$B:$B, MATCH($D29,[2]SourceData!$A:$A, 0))-SUM($D29:U29)),  (MaxPtsPerSprint18-SUM(V$7:V28)))</f>
        <v>0</v>
      </c>
      <c r="W29" s="286">
        <f t="array" ref="W29">MIN((INDEX([2]SourceData!$B:$B, MATCH($D29,[2]SourceData!$A:$A, 0))-SUM($D29:V29)),  (MaxPtsPerSprint19-SUM(W$7:W28)))</f>
        <v>0</v>
      </c>
      <c r="X29" s="286">
        <f t="array" ref="X29">MIN((INDEX([2]SourceData!$B:$B, MATCH($D29,[2]SourceData!$A:$A, 0))-SUM($D29:W29)),  (MaxPtsPerSprint20-SUM(X$7:X28)))</f>
        <v>0</v>
      </c>
      <c r="Y29" s="287">
        <f t="array" ref="Y29">MIN((INDEX([2]SourceData!$B:$B, MATCH($D29,[2]SourceData!$A:$A, 0))-SUM($D29:X29)),  (MaxPtsPerSprint21-SUM(Y$7:Y28)))</f>
        <v>0</v>
      </c>
      <c r="Z29" s="287">
        <f t="array" ref="Z29">MIN((INDEX([2]SourceData!$B:$B, MATCH($D29,[2]SourceData!$A:$A, 0))-SUM($D29:Y29)),  (MaxPtsPerSprint22-SUM(Z$7:Z28)))</f>
        <v>0</v>
      </c>
      <c r="AA29" s="287">
        <f t="array" ref="AA29">MIN((INDEX([2]SourceData!$B:$B, MATCH($D29,[2]SourceData!$A:$A, 0))-SUM($D29:Z29)),  (MaxPtsPerSprint23-SUM(AA$7:AA28)))</f>
        <v>0</v>
      </c>
      <c r="AB29" s="287">
        <f t="array" ref="AB29">MIN((INDEX([2]SourceData!$B:$B, MATCH($D29,[2]SourceData!$A:$A, 0))-SUM($D29:AA29)),  (MaxPtsPerSprint24-SUM(AB$7:AB28)))</f>
        <v>0</v>
      </c>
      <c r="AC29" s="287"/>
      <c r="AD29" s="287"/>
      <c r="AE29" s="288">
        <f t="shared" si="0"/>
        <v>620</v>
      </c>
      <c r="AF29" s="289">
        <f t="shared" si="1"/>
        <v>3.0546762412701541E-2</v>
      </c>
    </row>
    <row r="30" spans="2:32" ht="18.5" hidden="1" outlineLevel="1" x14ac:dyDescent="0.45">
      <c r="B30" s="284" t="str">
        <f>VLOOKUP(D30,'[2]Work Item Vlookup'!$A$2:$B$119,2,FALSE)</f>
        <v>WI0014</v>
      </c>
      <c r="C30" s="284" t="s">
        <v>432</v>
      </c>
      <c r="D30" s="285" t="str">
        <f>[2]SourceData!A24</f>
        <v>Comparative Rater AZ</v>
      </c>
      <c r="E30" s="286">
        <f t="array" ref="E30">MIN((INDEX([2]SourceData!$B:$B, MATCH($D30,[2]SourceData!$A:$A, 0))-SUM($D30:D30)),  (MaxPtsPerSprint1-SUM(E$7:E29)))</f>
        <v>0</v>
      </c>
      <c r="F30" s="286">
        <f t="array" ref="F30">MIN((INDEX([2]SourceData!$B:$B, MATCH($D30,[2]SourceData!$A:$A, 0))-SUM($D30:E30)),  (MaxPtsPerSprint2-SUM(F$7:F29)))</f>
        <v>0</v>
      </c>
      <c r="G30" s="286">
        <f t="array" ref="G30">MIN((INDEX([2]SourceData!$B:$B, MATCH($D30,[2]SourceData!$A:$A, 0))-SUM($D30:F30)),  (MaxPtsPerSprint3-SUM(G$7:G29)))</f>
        <v>0</v>
      </c>
      <c r="H30" s="286">
        <f t="array" ref="H30">MIN((INDEX([2]SourceData!$B:$B, MATCH($D30,[2]SourceData!$A:$A, 0))-SUM($D30:G30)),  (MaxPtsPerSprint4-SUM(H$7:H29)))</f>
        <v>0</v>
      </c>
      <c r="I30" s="286">
        <f t="array" ref="I30">MIN((INDEX([2]SourceData!$B:$B, MATCH($D30,[2]SourceData!$A:$A, 0))-SUM($D30:H30)),  (MaxPtsPerSprint5-SUM(I$7:I29)))</f>
        <v>0</v>
      </c>
      <c r="J30" s="286">
        <f t="array" ref="J30">MIN((INDEX([2]SourceData!$B:$B, MATCH($D30,[2]SourceData!$A:$A, 0))-SUM($D30:I30)),  (MaxPtsPerSprint6-SUM(J$7:J29)))</f>
        <v>21</v>
      </c>
      <c r="K30" s="286">
        <f t="array" ref="K30">MIN((INDEX([2]SourceData!$B:$B, MATCH($D30,[2]SourceData!$A:$A, 0))-SUM($D30:J30)),  (MaxPtsPerSprint7-SUM(K$7:K29)))</f>
        <v>0</v>
      </c>
      <c r="L30" s="286">
        <f t="array" ref="L30">MIN((INDEX([2]SourceData!$B:$B, MATCH($D30,[2]SourceData!$A:$A, 0))-SUM($D30:K30)),  (MaxPtsPerSprint8-SUM(L$7:L29)))</f>
        <v>0</v>
      </c>
      <c r="M30" s="286">
        <f t="array" ref="M30">MIN((INDEX([2]SourceData!$B:$B, MATCH($D30,[2]SourceData!$A:$A, 0))-SUM($D30:L30)),  (MaxPtsPerSprint9-SUM(M$7:M29)))</f>
        <v>0</v>
      </c>
      <c r="N30" s="286">
        <f t="array" ref="N30">MIN((INDEX([2]SourceData!$B:$B, MATCH($D30,[2]SourceData!$A:$A, 0))-SUM($D30:M30)),  (MaxPtsPerSprint10-SUM(N$7:N29)))</f>
        <v>0</v>
      </c>
      <c r="O30" s="286">
        <f t="array" ref="O30">MIN((INDEX([2]SourceData!$B:$B, MATCH($D30,[2]SourceData!$A:$A, 0))-SUM($D30:N30)),  (MaxPtsPerSprint11-SUM(O$7:O29)))</f>
        <v>0</v>
      </c>
      <c r="P30" s="286">
        <f t="array" ref="P30">MIN((INDEX([2]SourceData!$B:$B, MATCH($D30,[2]SourceData!$A:$A, 0))-SUM($D30:O30)),  (MaxPtsPerSprint12-SUM(P$7:P29)))</f>
        <v>0</v>
      </c>
      <c r="Q30" s="286">
        <f t="array" ref="Q30">MIN((INDEX([2]SourceData!$B:$B, MATCH($D30,[2]SourceData!$A:$A, 0))-SUM($D30:P30)),  (MaxPtsPerSprint13-SUM(Q$7:Q29)))</f>
        <v>0</v>
      </c>
      <c r="R30" s="286">
        <f t="array" ref="R30">MIN((INDEX([2]SourceData!$B:$B, MATCH($D30,[2]SourceData!$A:$A, 0))-SUM($D30:Q30)),  (MaxPtsPerSprint14-SUM(R$7:R29)))</f>
        <v>0</v>
      </c>
      <c r="S30" s="286">
        <f t="array" ref="S30">MIN((INDEX([2]SourceData!$B:$B, MATCH($D30,[2]SourceData!$A:$A, 0))-SUM($D30:R30)),  (MaxPtsPerSprint15-SUM(S$7:S29)))</f>
        <v>0</v>
      </c>
      <c r="T30" s="286">
        <f t="array" ref="T30">MIN((INDEX([2]SourceData!$B:$B, MATCH($D30,[2]SourceData!$A:$A, 0))-SUM($D30:S30)),  (MaxPtsPerSprint16-SUM(T$7:T29)))</f>
        <v>0</v>
      </c>
      <c r="U30" s="286">
        <f t="array" ref="U30">MIN((INDEX([2]SourceData!$B:$B, MATCH($D30,[2]SourceData!$A:$A, 0))-SUM($D30:T30)),  (MaxPtsPerSprint17-SUM(U$7:U29)))</f>
        <v>0</v>
      </c>
      <c r="V30" s="286">
        <f t="array" ref="V30">MIN((INDEX([2]SourceData!$B:$B, MATCH($D30,[2]SourceData!$A:$A, 0))-SUM($D30:U30)),  (MaxPtsPerSprint18-SUM(V$7:V29)))</f>
        <v>0</v>
      </c>
      <c r="W30" s="286">
        <f t="array" ref="W30">MIN((INDEX([2]SourceData!$B:$B, MATCH($D30,[2]SourceData!$A:$A, 0))-SUM($D30:V30)),  (MaxPtsPerSprint19-SUM(W$7:W29)))</f>
        <v>0</v>
      </c>
      <c r="X30" s="286">
        <f t="array" ref="X30">MIN((INDEX([2]SourceData!$B:$B, MATCH($D30,[2]SourceData!$A:$A, 0))-SUM($D30:W30)),  (MaxPtsPerSprint20-SUM(X$7:X29)))</f>
        <v>0</v>
      </c>
      <c r="Y30" s="287">
        <f t="array" ref="Y30">MIN((INDEX([2]SourceData!$B:$B, MATCH($D30,[2]SourceData!$A:$A, 0))-SUM($D30:X30)),  (MaxPtsPerSprint21-SUM(Y$7:Y29)))</f>
        <v>0</v>
      </c>
      <c r="Z30" s="287">
        <f t="array" ref="Z30">MIN((INDEX([2]SourceData!$B:$B, MATCH($D30,[2]SourceData!$A:$A, 0))-SUM($D30:Y30)),  (MaxPtsPerSprint22-SUM(Z$7:Z29)))</f>
        <v>0</v>
      </c>
      <c r="AA30" s="287">
        <f t="array" ref="AA30">MIN((INDEX([2]SourceData!$B:$B, MATCH($D30,[2]SourceData!$A:$A, 0))-SUM($D30:Z30)),  (MaxPtsPerSprint23-SUM(AA$7:AA29)))</f>
        <v>0</v>
      </c>
      <c r="AB30" s="287">
        <f t="array" ref="AB30">MIN((INDEX([2]SourceData!$B:$B, MATCH($D30,[2]SourceData!$A:$A, 0))-SUM($D30:AA30)),  (MaxPtsPerSprint24-SUM(AB$7:AB29)))</f>
        <v>0</v>
      </c>
      <c r="AC30" s="287"/>
      <c r="AD30" s="287"/>
      <c r="AE30" s="288">
        <f t="shared" si="0"/>
        <v>21</v>
      </c>
      <c r="AF30" s="289">
        <f t="shared" si="1"/>
        <v>1.0346484043011813E-3</v>
      </c>
    </row>
    <row r="31" spans="2:32" ht="18.5" hidden="1" outlineLevel="1" x14ac:dyDescent="0.45">
      <c r="B31" s="284" t="str">
        <f>VLOOKUP(D31,'[2]Work Item Vlookup'!$A$2:$B$119,2,FALSE)</f>
        <v>WI0034</v>
      </c>
      <c r="C31" s="284" t="s">
        <v>433</v>
      </c>
      <c r="D31" s="285" t="str">
        <f>[2]SourceData!A25</f>
        <v>CO Property</v>
      </c>
      <c r="E31" s="286">
        <f t="array" ref="E31">MIN((INDEX([2]SourceData!$B:$B, MATCH($D31,[2]SourceData!$A:$A, 0))-SUM($D31:D31)),  (MaxPtsPerSprint1-SUM(E$7:E30)))</f>
        <v>0</v>
      </c>
      <c r="F31" s="286">
        <f t="array" ref="F31">MIN((INDEX([2]SourceData!$B:$B, MATCH($D31,[2]SourceData!$A:$A, 0))-SUM($D31:E31)),  (MaxPtsPerSprint2-SUM(F$7:F30)))</f>
        <v>0</v>
      </c>
      <c r="G31" s="286">
        <f t="array" ref="G31">MIN((INDEX([2]SourceData!$B:$B, MATCH($D31,[2]SourceData!$A:$A, 0))-SUM($D31:F31)),  (MaxPtsPerSprint3-SUM(G$7:G30)))</f>
        <v>0</v>
      </c>
      <c r="H31" s="286">
        <f t="array" ref="H31">MIN((INDEX([2]SourceData!$B:$B, MATCH($D31,[2]SourceData!$A:$A, 0))-SUM($D31:G31)),  (MaxPtsPerSprint4-SUM(H$7:H30)))</f>
        <v>0</v>
      </c>
      <c r="I31" s="286">
        <f t="array" ref="I31">MIN((INDEX([2]SourceData!$B:$B, MATCH($D31,[2]SourceData!$A:$A, 0))-SUM($D31:H31)),  (MaxPtsPerSprint5-SUM(I$7:I30)))</f>
        <v>0</v>
      </c>
      <c r="J31" s="286">
        <f t="array" ref="J31">MIN((INDEX([2]SourceData!$B:$B, MATCH($D31,[2]SourceData!$A:$A, 0))-SUM($D31:I31)),  (MaxPtsPerSprint6-SUM(J$7:J30)))</f>
        <v>0</v>
      </c>
      <c r="K31" s="286">
        <f t="array" ref="K31">MIN((INDEX([2]SourceData!$B:$B, MATCH($D31,[2]SourceData!$A:$A, 0))-SUM($D31:J31)),  (MaxPtsPerSprint7-SUM(K$7:K30)))</f>
        <v>286</v>
      </c>
      <c r="L31" s="286">
        <f t="array" ref="L31">MIN((INDEX([2]SourceData!$B:$B, MATCH($D31,[2]SourceData!$A:$A, 0))-SUM($D31:K31)),  (MaxPtsPerSprint8-SUM(L$7:L30)))</f>
        <v>0</v>
      </c>
      <c r="M31" s="286">
        <f t="array" ref="M31">MIN((INDEX([2]SourceData!$B:$B, MATCH($D31,[2]SourceData!$A:$A, 0))-SUM($D31:L31)),  (MaxPtsPerSprint9-SUM(M$7:M30)))</f>
        <v>0</v>
      </c>
      <c r="N31" s="286">
        <f t="array" ref="N31">MIN((INDEX([2]SourceData!$B:$B, MATCH($D31,[2]SourceData!$A:$A, 0))-SUM($D31:M31)),  (MaxPtsPerSprint10-SUM(N$7:N30)))</f>
        <v>0</v>
      </c>
      <c r="O31" s="286">
        <f t="array" ref="O31">MIN((INDEX([2]SourceData!$B:$B, MATCH($D31,[2]SourceData!$A:$A, 0))-SUM($D31:N31)),  (MaxPtsPerSprint11-SUM(O$7:O30)))</f>
        <v>0</v>
      </c>
      <c r="P31" s="286">
        <f t="array" ref="P31">MIN((INDEX([2]SourceData!$B:$B, MATCH($D31,[2]SourceData!$A:$A, 0))-SUM($D31:O31)),  (MaxPtsPerSprint12-SUM(P$7:P30)))</f>
        <v>0</v>
      </c>
      <c r="Q31" s="286">
        <f t="array" ref="Q31">MIN((INDEX([2]SourceData!$B:$B, MATCH($D31,[2]SourceData!$A:$A, 0))-SUM($D31:P31)),  (MaxPtsPerSprint13-SUM(Q$7:Q30)))</f>
        <v>0</v>
      </c>
      <c r="R31" s="286">
        <f t="array" ref="R31">MIN((INDEX([2]SourceData!$B:$B, MATCH($D31,[2]SourceData!$A:$A, 0))-SUM($D31:Q31)),  (MaxPtsPerSprint14-SUM(R$7:R30)))</f>
        <v>0</v>
      </c>
      <c r="S31" s="286">
        <f t="array" ref="S31">MIN((INDEX([2]SourceData!$B:$B, MATCH($D31,[2]SourceData!$A:$A, 0))-SUM($D31:R31)),  (MaxPtsPerSprint15-SUM(S$7:S30)))</f>
        <v>0</v>
      </c>
      <c r="T31" s="286">
        <f t="array" ref="T31">MIN((INDEX([2]SourceData!$B:$B, MATCH($D31,[2]SourceData!$A:$A, 0))-SUM($D31:S31)),  (MaxPtsPerSprint16-SUM(T$7:T30)))</f>
        <v>0</v>
      </c>
      <c r="U31" s="286">
        <f t="array" ref="U31">MIN((INDEX([2]SourceData!$B:$B, MATCH($D31,[2]SourceData!$A:$A, 0))-SUM($D31:T31)),  (MaxPtsPerSprint17-SUM(U$7:U30)))</f>
        <v>0</v>
      </c>
      <c r="V31" s="286">
        <f t="array" ref="V31">MIN((INDEX([2]SourceData!$B:$B, MATCH($D31,[2]SourceData!$A:$A, 0))-SUM($D31:U31)),  (MaxPtsPerSprint18-SUM(V$7:V30)))</f>
        <v>0</v>
      </c>
      <c r="W31" s="286">
        <f t="array" ref="W31">MIN((INDEX([2]SourceData!$B:$B, MATCH($D31,[2]SourceData!$A:$A, 0))-SUM($D31:V31)),  (MaxPtsPerSprint19-SUM(W$7:W30)))</f>
        <v>0</v>
      </c>
      <c r="X31" s="286">
        <f t="array" ref="X31">MIN((INDEX([2]SourceData!$B:$B, MATCH($D31,[2]SourceData!$A:$A, 0))-SUM($D31:W31)),  (MaxPtsPerSprint20-SUM(X$7:X30)))</f>
        <v>0</v>
      </c>
      <c r="Y31" s="287">
        <f t="array" ref="Y31">MIN((INDEX([2]SourceData!$B:$B, MATCH($D31,[2]SourceData!$A:$A, 0))-SUM($D31:X31)),  (MaxPtsPerSprint21-SUM(Y$7:Y30)))</f>
        <v>0</v>
      </c>
      <c r="Z31" s="287">
        <f t="array" ref="Z31">MIN((INDEX([2]SourceData!$B:$B, MATCH($D31,[2]SourceData!$A:$A, 0))-SUM($D31:Y31)),  (MaxPtsPerSprint22-SUM(Z$7:Z30)))</f>
        <v>0</v>
      </c>
      <c r="AA31" s="287">
        <f t="array" ref="AA31">MIN((INDEX([2]SourceData!$B:$B, MATCH($D31,[2]SourceData!$A:$A, 0))-SUM($D31:Z31)),  (MaxPtsPerSprint23-SUM(AA$7:AA30)))</f>
        <v>0</v>
      </c>
      <c r="AB31" s="287">
        <f t="array" ref="AB31">MIN((INDEX([2]SourceData!$B:$B, MATCH($D31,[2]SourceData!$A:$A, 0))-SUM($D31:AA31)),  (MaxPtsPerSprint24-SUM(AB$7:AB30)))</f>
        <v>0</v>
      </c>
      <c r="AC31" s="287"/>
      <c r="AD31" s="287"/>
      <c r="AE31" s="288">
        <f t="shared" si="0"/>
        <v>286</v>
      </c>
      <c r="AF31" s="289">
        <f t="shared" si="1"/>
        <v>1.4090925887149421E-2</v>
      </c>
    </row>
    <row r="32" spans="2:32" ht="18.5" hidden="1" outlineLevel="1" x14ac:dyDescent="0.45">
      <c r="B32" s="284" t="str">
        <f>VLOOKUP(D32,'[2]Work Item Vlookup'!$A$2:$B$119,2,FALSE)</f>
        <v>WI0029</v>
      </c>
      <c r="C32" s="284" t="s">
        <v>434</v>
      </c>
      <c r="D32" s="285" t="str">
        <f>[2]SourceData!A26</f>
        <v>IN Property</v>
      </c>
      <c r="E32" s="286">
        <f t="array" ref="E32">MIN((INDEX([2]SourceData!$B:$B, MATCH($D32,[2]SourceData!$A:$A, 0))-SUM($D32:D32)),  (MaxPtsPerSprint1-SUM(E$7:E31)))</f>
        <v>0</v>
      </c>
      <c r="F32" s="286">
        <f t="array" ref="F32">MIN((INDEX([2]SourceData!$B:$B, MATCH($D32,[2]SourceData!$A:$A, 0))-SUM($D32:E32)),  (MaxPtsPerSprint2-SUM(F$7:F31)))</f>
        <v>0</v>
      </c>
      <c r="G32" s="286">
        <f t="array" ref="G32">MIN((INDEX([2]SourceData!$B:$B, MATCH($D32,[2]SourceData!$A:$A, 0))-SUM($D32:F32)),  (MaxPtsPerSprint3-SUM(G$7:G31)))</f>
        <v>0</v>
      </c>
      <c r="H32" s="286">
        <f t="array" ref="H32">MIN((INDEX([2]SourceData!$B:$B, MATCH($D32,[2]SourceData!$A:$A, 0))-SUM($D32:G32)),  (MaxPtsPerSprint4-SUM(H$7:H31)))</f>
        <v>0</v>
      </c>
      <c r="I32" s="286">
        <f t="array" ref="I32">MIN((INDEX([2]SourceData!$B:$B, MATCH($D32,[2]SourceData!$A:$A, 0))-SUM($D32:H32)),  (MaxPtsPerSprint5-SUM(I$7:I31)))</f>
        <v>0</v>
      </c>
      <c r="J32" s="286">
        <f t="array" ref="J32">MIN((INDEX([2]SourceData!$B:$B, MATCH($D32,[2]SourceData!$A:$A, 0))-SUM($D32:I32)),  (MaxPtsPerSprint6-SUM(J$7:J31)))</f>
        <v>0</v>
      </c>
      <c r="K32" s="286">
        <f t="array" ref="K32">MIN((INDEX([2]SourceData!$B:$B, MATCH($D32,[2]SourceData!$A:$A, 0))-SUM($D32:J32)),  (MaxPtsPerSprint7-SUM(K$7:K31)))</f>
        <v>181.25</v>
      </c>
      <c r="L32" s="286">
        <f t="array" ref="L32">MIN((INDEX([2]SourceData!$B:$B, MATCH($D32,[2]SourceData!$A:$A, 0))-SUM($D32:K32)),  (MaxPtsPerSprint8-SUM(L$7:L31)))</f>
        <v>0</v>
      </c>
      <c r="M32" s="286">
        <f t="array" ref="M32">MIN((INDEX([2]SourceData!$B:$B, MATCH($D32,[2]SourceData!$A:$A, 0))-SUM($D32:L32)),  (MaxPtsPerSprint9-SUM(M$7:M31)))</f>
        <v>0</v>
      </c>
      <c r="N32" s="286">
        <f t="array" ref="N32">MIN((INDEX([2]SourceData!$B:$B, MATCH($D32,[2]SourceData!$A:$A, 0))-SUM($D32:M32)),  (MaxPtsPerSprint10-SUM(N$7:N31)))</f>
        <v>0</v>
      </c>
      <c r="O32" s="286">
        <f t="array" ref="O32">MIN((INDEX([2]SourceData!$B:$B, MATCH($D32,[2]SourceData!$A:$A, 0))-SUM($D32:N32)),  (MaxPtsPerSprint11-SUM(O$7:O31)))</f>
        <v>0</v>
      </c>
      <c r="P32" s="286">
        <f t="array" ref="P32">MIN((INDEX([2]SourceData!$B:$B, MATCH($D32,[2]SourceData!$A:$A, 0))-SUM($D32:O32)),  (MaxPtsPerSprint12-SUM(P$7:P31)))</f>
        <v>0</v>
      </c>
      <c r="Q32" s="286">
        <f t="array" ref="Q32">MIN((INDEX([2]SourceData!$B:$B, MATCH($D32,[2]SourceData!$A:$A, 0))-SUM($D32:P32)),  (MaxPtsPerSprint13-SUM(Q$7:Q31)))</f>
        <v>0</v>
      </c>
      <c r="R32" s="286">
        <f t="array" ref="R32">MIN((INDEX([2]SourceData!$B:$B, MATCH($D32,[2]SourceData!$A:$A, 0))-SUM($D32:Q32)),  (MaxPtsPerSprint14-SUM(R$7:R31)))</f>
        <v>0</v>
      </c>
      <c r="S32" s="286">
        <f t="array" ref="S32">MIN((INDEX([2]SourceData!$B:$B, MATCH($D32,[2]SourceData!$A:$A, 0))-SUM($D32:R32)),  (MaxPtsPerSprint15-SUM(S$7:S31)))</f>
        <v>0</v>
      </c>
      <c r="T32" s="286">
        <f t="array" ref="T32">MIN((INDEX([2]SourceData!$B:$B, MATCH($D32,[2]SourceData!$A:$A, 0))-SUM($D32:S32)),  (MaxPtsPerSprint16-SUM(T$7:T31)))</f>
        <v>0</v>
      </c>
      <c r="U32" s="286">
        <f t="array" ref="U32">MIN((INDEX([2]SourceData!$B:$B, MATCH($D32,[2]SourceData!$A:$A, 0))-SUM($D32:T32)),  (MaxPtsPerSprint17-SUM(U$7:U31)))</f>
        <v>0</v>
      </c>
      <c r="V32" s="286">
        <f t="array" ref="V32">MIN((INDEX([2]SourceData!$B:$B, MATCH($D32,[2]SourceData!$A:$A, 0))-SUM($D32:U32)),  (MaxPtsPerSprint18-SUM(V$7:V31)))</f>
        <v>0</v>
      </c>
      <c r="W32" s="286">
        <f t="array" ref="W32">MIN((INDEX([2]SourceData!$B:$B, MATCH($D32,[2]SourceData!$A:$A, 0))-SUM($D32:V32)),  (MaxPtsPerSprint19-SUM(W$7:W31)))</f>
        <v>0</v>
      </c>
      <c r="X32" s="286">
        <f t="array" ref="X32">MIN((INDEX([2]SourceData!$B:$B, MATCH($D32,[2]SourceData!$A:$A, 0))-SUM($D32:W32)),  (MaxPtsPerSprint20-SUM(X$7:X31)))</f>
        <v>0</v>
      </c>
      <c r="Y32" s="287">
        <f t="array" ref="Y32">MIN((INDEX([2]SourceData!$B:$B, MATCH($D32,[2]SourceData!$A:$A, 0))-SUM($D32:X32)),  (MaxPtsPerSprint21-SUM(Y$7:Y31)))</f>
        <v>0</v>
      </c>
      <c r="Z32" s="287">
        <f t="array" ref="Z32">MIN((INDEX([2]SourceData!$B:$B, MATCH($D32,[2]SourceData!$A:$A, 0))-SUM($D32:Y32)),  (MaxPtsPerSprint22-SUM(Z$7:Z31)))</f>
        <v>0</v>
      </c>
      <c r="AA32" s="287">
        <f t="array" ref="AA32">MIN((INDEX([2]SourceData!$B:$B, MATCH($D32,[2]SourceData!$A:$A, 0))-SUM($D32:Z32)),  (MaxPtsPerSprint23-SUM(AA$7:AA31)))</f>
        <v>0</v>
      </c>
      <c r="AB32" s="287">
        <f t="array" ref="AB32">MIN((INDEX([2]SourceData!$B:$B, MATCH($D32,[2]SourceData!$A:$A, 0))-SUM($D32:AA32)),  (MaxPtsPerSprint24-SUM(AB$7:AB31)))</f>
        <v>0</v>
      </c>
      <c r="AC32" s="287"/>
      <c r="AD32" s="287"/>
      <c r="AE32" s="288">
        <f t="shared" si="0"/>
        <v>181.25</v>
      </c>
      <c r="AF32" s="289">
        <f t="shared" si="1"/>
        <v>8.9300011085518619E-3</v>
      </c>
    </row>
    <row r="33" spans="2:32" ht="18.5" hidden="1" outlineLevel="1" x14ac:dyDescent="0.45">
      <c r="B33" s="284" t="str">
        <f>VLOOKUP(D33,'[2]Work Item Vlookup'!$A$2:$B$119,2,FALSE)</f>
        <v>WI0133</v>
      </c>
      <c r="C33" s="290" t="s">
        <v>435</v>
      </c>
      <c r="D33" s="285" t="str">
        <f>[2]SourceData!A27</f>
        <v>UBI - Phase 1</v>
      </c>
      <c r="E33" s="286">
        <f t="array" ref="E33">MIN((INDEX([2]SourceData!$B:$B, MATCH($D33,[2]SourceData!$A:$A, 0))-SUM($D33:D33)),  (MaxPtsPerSprint1-SUM(E$7:E32)))</f>
        <v>0</v>
      </c>
      <c r="F33" s="286">
        <f t="array" ref="F33">MIN((INDEX([2]SourceData!$B:$B, MATCH($D33,[2]SourceData!$A:$A, 0))-SUM($D33:E33)),  (MaxPtsPerSprint2-SUM(F$7:F32)))</f>
        <v>0</v>
      </c>
      <c r="G33" s="286">
        <f t="array" ref="G33">MIN((INDEX([2]SourceData!$B:$B, MATCH($D33,[2]SourceData!$A:$A, 0))-SUM($D33:F33)),  (MaxPtsPerSprint3-SUM(G$7:G32)))</f>
        <v>0</v>
      </c>
      <c r="H33" s="286">
        <f t="array" ref="H33">MIN((INDEX([2]SourceData!$B:$B, MATCH($D33,[2]SourceData!$A:$A, 0))-SUM($D33:G33)),  (MaxPtsPerSprint4-SUM(H$7:H32)))</f>
        <v>0</v>
      </c>
      <c r="I33" s="286">
        <f t="array" ref="I33">MIN((INDEX([2]SourceData!$B:$B, MATCH($D33,[2]SourceData!$A:$A, 0))-SUM($D33:H33)),  (MaxPtsPerSprint5-SUM(I$7:I32)))</f>
        <v>0</v>
      </c>
      <c r="J33" s="286">
        <f t="array" ref="J33">MIN((INDEX([2]SourceData!$B:$B, MATCH($D33,[2]SourceData!$A:$A, 0))-SUM($D33:I33)),  (MaxPtsPerSprint6-SUM(J$7:J32)))</f>
        <v>0</v>
      </c>
      <c r="K33" s="286">
        <f t="array" ref="K33">MIN((INDEX([2]SourceData!$B:$B, MATCH($D33,[2]SourceData!$A:$A, 0))-SUM($D33:J33)),  (MaxPtsPerSprint7-SUM(K$7:K32)))</f>
        <v>99</v>
      </c>
      <c r="L33" s="286">
        <f t="array" ref="L33">MIN((INDEX([2]SourceData!$B:$B, MATCH($D33,[2]SourceData!$A:$A, 0))-SUM($D33:K33)),  (MaxPtsPerSprint8-SUM(L$7:L32)))</f>
        <v>0</v>
      </c>
      <c r="M33" s="286">
        <f t="array" ref="M33">MIN((INDEX([2]SourceData!$B:$B, MATCH($D33,[2]SourceData!$A:$A, 0))-SUM($D33:L33)),  (MaxPtsPerSprint9-SUM(M$7:M32)))</f>
        <v>0</v>
      </c>
      <c r="N33" s="286">
        <f t="array" ref="N33">MIN((INDEX([2]SourceData!$B:$B, MATCH($D33,[2]SourceData!$A:$A, 0))-SUM($D33:M33)),  (MaxPtsPerSprint10-SUM(N$7:N32)))</f>
        <v>0</v>
      </c>
      <c r="O33" s="286">
        <f t="array" ref="O33">MIN((INDEX([2]SourceData!$B:$B, MATCH($D33,[2]SourceData!$A:$A, 0))-SUM($D33:N33)),  (MaxPtsPerSprint11-SUM(O$7:O32)))</f>
        <v>0</v>
      </c>
      <c r="P33" s="286">
        <f t="array" ref="P33">MIN((INDEX([2]SourceData!$B:$B, MATCH($D33,[2]SourceData!$A:$A, 0))-SUM($D33:O33)),  (MaxPtsPerSprint12-SUM(P$7:P32)))</f>
        <v>0</v>
      </c>
      <c r="Q33" s="286">
        <f t="array" ref="Q33">MIN((INDEX([2]SourceData!$B:$B, MATCH($D33,[2]SourceData!$A:$A, 0))-SUM($D33:P33)),  (MaxPtsPerSprint13-SUM(Q$7:Q32)))</f>
        <v>0</v>
      </c>
      <c r="R33" s="286">
        <f t="array" ref="R33">MIN((INDEX([2]SourceData!$B:$B, MATCH($D33,[2]SourceData!$A:$A, 0))-SUM($D33:Q33)),  (MaxPtsPerSprint14-SUM(R$7:R32)))</f>
        <v>0</v>
      </c>
      <c r="S33" s="286">
        <f t="array" ref="S33">MIN((INDEX([2]SourceData!$B:$B, MATCH($D33,[2]SourceData!$A:$A, 0))-SUM($D33:R33)),  (MaxPtsPerSprint15-SUM(S$7:S32)))</f>
        <v>0</v>
      </c>
      <c r="T33" s="286">
        <f t="array" ref="T33">MIN((INDEX([2]SourceData!$B:$B, MATCH($D33,[2]SourceData!$A:$A, 0))-SUM($D33:S33)),  (MaxPtsPerSprint16-SUM(T$7:T32)))</f>
        <v>0</v>
      </c>
      <c r="U33" s="286">
        <f t="array" ref="U33">MIN((INDEX([2]SourceData!$B:$B, MATCH($D33,[2]SourceData!$A:$A, 0))-SUM($D33:T33)),  (MaxPtsPerSprint17-SUM(U$7:U32)))</f>
        <v>0</v>
      </c>
      <c r="V33" s="286">
        <f t="array" ref="V33">MIN((INDEX([2]SourceData!$B:$B, MATCH($D33,[2]SourceData!$A:$A, 0))-SUM($D33:U33)),  (MaxPtsPerSprint18-SUM(V$7:V32)))</f>
        <v>0</v>
      </c>
      <c r="W33" s="286">
        <f t="array" ref="W33">MIN((INDEX([2]SourceData!$B:$B, MATCH($D33,[2]SourceData!$A:$A, 0))-SUM($D33:V33)),  (MaxPtsPerSprint19-SUM(W$7:W32)))</f>
        <v>0</v>
      </c>
      <c r="X33" s="286">
        <f t="array" ref="X33">MIN((INDEX([2]SourceData!$B:$B, MATCH($D33,[2]SourceData!$A:$A, 0))-SUM($D33:W33)),  (MaxPtsPerSprint20-SUM(X$7:X32)))</f>
        <v>0</v>
      </c>
      <c r="Y33" s="287">
        <f t="array" ref="Y33">MIN((INDEX([2]SourceData!$B:$B, MATCH($D33,[2]SourceData!$A:$A, 0))-SUM($D33:X33)),  (MaxPtsPerSprint21-SUM(Y$7:Y32)))</f>
        <v>0</v>
      </c>
      <c r="Z33" s="287">
        <f t="array" ref="Z33">MIN((INDEX([2]SourceData!$B:$B, MATCH($D33,[2]SourceData!$A:$A, 0))-SUM($D33:Y33)),  (MaxPtsPerSprint22-SUM(Z$7:Z32)))</f>
        <v>0</v>
      </c>
      <c r="AA33" s="287">
        <f t="array" ref="AA33">MIN((INDEX([2]SourceData!$B:$B, MATCH($D33,[2]SourceData!$A:$A, 0))-SUM($D33:Z33)),  (MaxPtsPerSprint23-SUM(AA$7:AA32)))</f>
        <v>0</v>
      </c>
      <c r="AB33" s="287">
        <f t="array" ref="AB33">MIN((INDEX([2]SourceData!$B:$B, MATCH($D33,[2]SourceData!$A:$A, 0))-SUM($D33:AA33)),  (MaxPtsPerSprint24-SUM(AB$7:AB32)))</f>
        <v>0</v>
      </c>
      <c r="AC33" s="287"/>
      <c r="AD33" s="287"/>
      <c r="AE33" s="288">
        <f t="shared" si="0"/>
        <v>99</v>
      </c>
      <c r="AF33" s="289">
        <f t="shared" si="1"/>
        <v>4.8776281917055683E-3</v>
      </c>
    </row>
    <row r="34" spans="2:32" ht="18.5" hidden="1" outlineLevel="1" x14ac:dyDescent="0.45">
      <c r="B34" s="284" t="str">
        <f>VLOOKUP(D34,'[2]Work Item Vlookup'!$A$2:$B$119,2,FALSE)</f>
        <v>WI0134</v>
      </c>
      <c r="C34" s="290" t="s">
        <v>436</v>
      </c>
      <c r="D34" s="285" t="str">
        <f>[2]SourceData!A28</f>
        <v xml:space="preserve">AMEX/Discover </v>
      </c>
      <c r="E34" s="286">
        <f t="array" ref="E34">MIN((INDEX([2]SourceData!$B:$B, MATCH($D34,[2]SourceData!$A:$A, 0))-SUM($D34:D34)),  (MaxPtsPerSprint1-SUM(E$7:E33)))</f>
        <v>0</v>
      </c>
      <c r="F34" s="286">
        <f t="array" ref="F34">MIN((INDEX([2]SourceData!$B:$B, MATCH($D34,[2]SourceData!$A:$A, 0))-SUM($D34:E34)),  (MaxPtsPerSprint2-SUM(F$7:F33)))</f>
        <v>0</v>
      </c>
      <c r="G34" s="286">
        <f t="array" ref="G34">MIN((INDEX([2]SourceData!$B:$B, MATCH($D34,[2]SourceData!$A:$A, 0))-SUM($D34:F34)),  (MaxPtsPerSprint3-SUM(G$7:G33)))</f>
        <v>0</v>
      </c>
      <c r="H34" s="286">
        <f t="array" ref="H34">MIN((INDEX([2]SourceData!$B:$B, MATCH($D34,[2]SourceData!$A:$A, 0))-SUM($D34:G34)),  (MaxPtsPerSprint4-SUM(H$7:H33)))</f>
        <v>0</v>
      </c>
      <c r="I34" s="286">
        <f t="array" ref="I34">MIN((INDEX([2]SourceData!$B:$B, MATCH($D34,[2]SourceData!$A:$A, 0))-SUM($D34:H34)),  (MaxPtsPerSprint5-SUM(I$7:I33)))</f>
        <v>0</v>
      </c>
      <c r="J34" s="286">
        <f t="array" ref="J34">MIN((INDEX([2]SourceData!$B:$B, MATCH($D34,[2]SourceData!$A:$A, 0))-SUM($D34:I34)),  (MaxPtsPerSprint6-SUM(J$7:J33)))</f>
        <v>0</v>
      </c>
      <c r="K34" s="286">
        <f t="array" ref="K34">MIN((INDEX([2]SourceData!$B:$B, MATCH($D34,[2]SourceData!$A:$A, 0))-SUM($D34:J34)),  (MaxPtsPerSprint7-SUM(K$7:K33)))</f>
        <v>70.5</v>
      </c>
      <c r="L34" s="286">
        <f t="array" ref="L34">MIN((INDEX([2]SourceData!$B:$B, MATCH($D34,[2]SourceData!$A:$A, 0))-SUM($D34:K34)),  (MaxPtsPerSprint8-SUM(L$7:L33)))</f>
        <v>0</v>
      </c>
      <c r="M34" s="286">
        <f t="array" ref="M34">MIN((INDEX([2]SourceData!$B:$B, MATCH($D34,[2]SourceData!$A:$A, 0))-SUM($D34:L34)),  (MaxPtsPerSprint9-SUM(M$7:M33)))</f>
        <v>0</v>
      </c>
      <c r="N34" s="286">
        <f t="array" ref="N34">MIN((INDEX([2]SourceData!$B:$B, MATCH($D34,[2]SourceData!$A:$A, 0))-SUM($D34:M34)),  (MaxPtsPerSprint10-SUM(N$7:N33)))</f>
        <v>0</v>
      </c>
      <c r="O34" s="286">
        <f t="array" ref="O34">MIN((INDEX([2]SourceData!$B:$B, MATCH($D34,[2]SourceData!$A:$A, 0))-SUM($D34:N34)),  (MaxPtsPerSprint11-SUM(O$7:O33)))</f>
        <v>0</v>
      </c>
      <c r="P34" s="286">
        <f t="array" ref="P34">MIN((INDEX([2]SourceData!$B:$B, MATCH($D34,[2]SourceData!$A:$A, 0))-SUM($D34:O34)),  (MaxPtsPerSprint12-SUM(P$7:P33)))</f>
        <v>0</v>
      </c>
      <c r="Q34" s="286">
        <f t="array" ref="Q34">MIN((INDEX([2]SourceData!$B:$B, MATCH($D34,[2]SourceData!$A:$A, 0))-SUM($D34:P34)),  (MaxPtsPerSprint13-SUM(Q$7:Q33)))</f>
        <v>0</v>
      </c>
      <c r="R34" s="286">
        <f t="array" ref="R34">MIN((INDEX([2]SourceData!$B:$B, MATCH($D34,[2]SourceData!$A:$A, 0))-SUM($D34:Q34)),  (MaxPtsPerSprint14-SUM(R$7:R33)))</f>
        <v>0</v>
      </c>
      <c r="S34" s="286">
        <f t="array" ref="S34">MIN((INDEX([2]SourceData!$B:$B, MATCH($D34,[2]SourceData!$A:$A, 0))-SUM($D34:R34)),  (MaxPtsPerSprint15-SUM(S$7:S33)))</f>
        <v>0</v>
      </c>
      <c r="T34" s="286">
        <f t="array" ref="T34">MIN((INDEX([2]SourceData!$B:$B, MATCH($D34,[2]SourceData!$A:$A, 0))-SUM($D34:S34)),  (MaxPtsPerSprint16-SUM(T$7:T33)))</f>
        <v>0</v>
      </c>
      <c r="U34" s="286">
        <f t="array" ref="U34">MIN((INDEX([2]SourceData!$B:$B, MATCH($D34,[2]SourceData!$A:$A, 0))-SUM($D34:T34)),  (MaxPtsPerSprint17-SUM(U$7:U33)))</f>
        <v>0</v>
      </c>
      <c r="V34" s="286">
        <f t="array" ref="V34">MIN((INDEX([2]SourceData!$B:$B, MATCH($D34,[2]SourceData!$A:$A, 0))-SUM($D34:U34)),  (MaxPtsPerSprint18-SUM(V$7:V33)))</f>
        <v>0</v>
      </c>
      <c r="W34" s="286">
        <f t="array" ref="W34">MIN((INDEX([2]SourceData!$B:$B, MATCH($D34,[2]SourceData!$A:$A, 0))-SUM($D34:V34)),  (MaxPtsPerSprint19-SUM(W$7:W33)))</f>
        <v>0</v>
      </c>
      <c r="X34" s="286">
        <f t="array" ref="X34">MIN((INDEX([2]SourceData!$B:$B, MATCH($D34,[2]SourceData!$A:$A, 0))-SUM($D34:W34)),  (MaxPtsPerSprint20-SUM(X$7:X33)))</f>
        <v>0</v>
      </c>
      <c r="Y34" s="287">
        <f t="array" ref="Y34">MIN((INDEX([2]SourceData!$B:$B, MATCH($D34,[2]SourceData!$A:$A, 0))-SUM($D34:X34)),  (MaxPtsPerSprint21-SUM(Y$7:Y33)))</f>
        <v>0</v>
      </c>
      <c r="Z34" s="287">
        <f t="array" ref="Z34">MIN((INDEX([2]SourceData!$B:$B, MATCH($D34,[2]SourceData!$A:$A, 0))-SUM($D34:Y34)),  (MaxPtsPerSprint22-SUM(Z$7:Z33)))</f>
        <v>0</v>
      </c>
      <c r="AA34" s="287">
        <f t="array" ref="AA34">MIN((INDEX([2]SourceData!$B:$B, MATCH($D34,[2]SourceData!$A:$A, 0))-SUM($D34:Z34)),  (MaxPtsPerSprint23-SUM(AA$7:AA33)))</f>
        <v>0</v>
      </c>
      <c r="AB34" s="287">
        <f t="array" ref="AB34">MIN((INDEX([2]SourceData!$B:$B, MATCH($D34,[2]SourceData!$A:$A, 0))-SUM($D34:AA34)),  (MaxPtsPerSprint24-SUM(AB$7:AB33)))</f>
        <v>0</v>
      </c>
      <c r="AC34" s="287"/>
      <c r="AD34" s="287"/>
      <c r="AE34" s="288">
        <f t="shared" si="0"/>
        <v>70.5</v>
      </c>
      <c r="AF34" s="289">
        <f t="shared" si="1"/>
        <v>3.4734625001539656E-3</v>
      </c>
    </row>
    <row r="35" spans="2:32" ht="18.5" hidden="1" outlineLevel="1" x14ac:dyDescent="0.45">
      <c r="B35" s="284" t="str">
        <f>VLOOKUP(D35,'[2]Work Item Vlookup'!$A$2:$B$119,2,FALSE)</f>
        <v>WI0021</v>
      </c>
      <c r="C35" s="290" t="s">
        <v>437</v>
      </c>
      <c r="D35" s="285" t="str">
        <f>[2]SourceData!A29</f>
        <v>CA Property</v>
      </c>
      <c r="E35" s="286">
        <f t="array" ref="E35">MIN((INDEX([2]SourceData!$B:$B, MATCH($D35,[2]SourceData!$A:$A, 0))-SUM($D35:D35)),  (MaxPtsPerSprint1-SUM(E$7:E34)))</f>
        <v>0</v>
      </c>
      <c r="F35" s="286">
        <f t="array" ref="F35">MIN((INDEX([2]SourceData!$B:$B, MATCH($D35,[2]SourceData!$A:$A, 0))-SUM($D35:E35)),  (MaxPtsPerSprint2-SUM(F$7:F34)))</f>
        <v>0</v>
      </c>
      <c r="G35" s="286">
        <f t="array" ref="G35">MIN((INDEX([2]SourceData!$B:$B, MATCH($D35,[2]SourceData!$A:$A, 0))-SUM($D35:F35)),  (MaxPtsPerSprint3-SUM(G$7:G34)))</f>
        <v>0</v>
      </c>
      <c r="H35" s="286">
        <f t="array" ref="H35">MIN((INDEX([2]SourceData!$B:$B, MATCH($D35,[2]SourceData!$A:$A, 0))-SUM($D35:G35)),  (MaxPtsPerSprint4-SUM(H$7:H34)))</f>
        <v>0</v>
      </c>
      <c r="I35" s="286">
        <f t="array" ref="I35">MIN((INDEX([2]SourceData!$B:$B, MATCH($D35,[2]SourceData!$A:$A, 0))-SUM($D35:H35)),  (MaxPtsPerSprint5-SUM(I$7:I34)))</f>
        <v>0</v>
      </c>
      <c r="J35" s="286">
        <f t="array" ref="J35">MIN((INDEX([2]SourceData!$B:$B, MATCH($D35,[2]SourceData!$A:$A, 0))-SUM($D35:I35)),  (MaxPtsPerSprint6-SUM(J$7:J34)))</f>
        <v>0</v>
      </c>
      <c r="K35" s="286">
        <f t="array" ref="K35">MIN((INDEX([2]SourceData!$B:$B, MATCH($D35,[2]SourceData!$A:$A, 0))-SUM($D35:J35)),  (MaxPtsPerSprint7-SUM(K$7:K34)))</f>
        <v>36.25</v>
      </c>
      <c r="L35" s="286">
        <f t="array" ref="L35">MIN((INDEX([2]SourceData!$B:$B, MATCH($D35,[2]SourceData!$A:$A, 0))-SUM($D35:K35)),  (MaxPtsPerSprint8-SUM(L$7:L34)))</f>
        <v>541.6</v>
      </c>
      <c r="M35" s="286">
        <f t="array" ref="M35">MIN((INDEX([2]SourceData!$B:$B, MATCH($D35,[2]SourceData!$A:$A, 0))-SUM($D35:L35)),  (MaxPtsPerSprint9-SUM(M$7:M34)))</f>
        <v>845</v>
      </c>
      <c r="N35" s="286">
        <f t="array" ref="N35">MIN((INDEX([2]SourceData!$B:$B, MATCH($D35,[2]SourceData!$A:$A, 0))-SUM($D35:M35)),  (MaxPtsPerSprint10-SUM(N$7:N34)))</f>
        <v>785.70000000000027</v>
      </c>
      <c r="O35" s="286">
        <f t="array" ref="O35">MIN((INDEX([2]SourceData!$B:$B, MATCH($D35,[2]SourceData!$A:$A, 0))-SUM($D35:N35)),  (MaxPtsPerSprint11-SUM(O$7:O34)))</f>
        <v>0</v>
      </c>
      <c r="P35" s="286">
        <f t="array" ref="P35">MIN((INDEX([2]SourceData!$B:$B, MATCH($D35,[2]SourceData!$A:$A, 0))-SUM($D35:O35)),  (MaxPtsPerSprint12-SUM(P$7:P34)))</f>
        <v>0</v>
      </c>
      <c r="Q35" s="286">
        <f t="array" ref="Q35">MIN((INDEX([2]SourceData!$B:$B, MATCH($D35,[2]SourceData!$A:$A, 0))-SUM($D35:P35)),  (MaxPtsPerSprint13-SUM(Q$7:Q34)))</f>
        <v>0</v>
      </c>
      <c r="R35" s="286">
        <f t="array" ref="R35">MIN((INDEX([2]SourceData!$B:$B, MATCH($D35,[2]SourceData!$A:$A, 0))-SUM($D35:Q35)),  (MaxPtsPerSprint14-SUM(R$7:R34)))</f>
        <v>0</v>
      </c>
      <c r="S35" s="286">
        <f t="array" ref="S35">MIN((INDEX([2]SourceData!$B:$B, MATCH($D35,[2]SourceData!$A:$A, 0))-SUM($D35:R35)),  (MaxPtsPerSprint15-SUM(S$7:S34)))</f>
        <v>0</v>
      </c>
      <c r="T35" s="286">
        <f t="array" ref="T35">MIN((INDEX([2]SourceData!$B:$B, MATCH($D35,[2]SourceData!$A:$A, 0))-SUM($D35:S35)),  (MaxPtsPerSprint16-SUM(T$7:T34)))</f>
        <v>0</v>
      </c>
      <c r="U35" s="286">
        <f t="array" ref="U35">MIN((INDEX([2]SourceData!$B:$B, MATCH($D35,[2]SourceData!$A:$A, 0))-SUM($D35:T35)),  (MaxPtsPerSprint17-SUM(U$7:U34)))</f>
        <v>0</v>
      </c>
      <c r="V35" s="286">
        <f t="array" ref="V35">MIN((INDEX([2]SourceData!$B:$B, MATCH($D35,[2]SourceData!$A:$A, 0))-SUM($D35:U35)),  (MaxPtsPerSprint18-SUM(V$7:V34)))</f>
        <v>0</v>
      </c>
      <c r="W35" s="286">
        <f t="array" ref="W35">MIN((INDEX([2]SourceData!$B:$B, MATCH($D35,[2]SourceData!$A:$A, 0))-SUM($D35:V35)),  (MaxPtsPerSprint19-SUM(W$7:W34)))</f>
        <v>0</v>
      </c>
      <c r="X35" s="286">
        <f t="array" ref="X35">MIN((INDEX([2]SourceData!$B:$B, MATCH($D35,[2]SourceData!$A:$A, 0))-SUM($D35:W35)),  (MaxPtsPerSprint20-SUM(X$7:X34)))</f>
        <v>0</v>
      </c>
      <c r="Y35" s="287">
        <f t="array" ref="Y35">MIN((INDEX([2]SourceData!$B:$B, MATCH($D35,[2]SourceData!$A:$A, 0))-SUM($D35:X35)),  (MaxPtsPerSprint21-SUM(Y$7:Y34)))</f>
        <v>0</v>
      </c>
      <c r="Z35" s="287">
        <f t="array" ref="Z35">MIN((INDEX([2]SourceData!$B:$B, MATCH($D35,[2]SourceData!$A:$A, 0))-SUM($D35:Y35)),  (MaxPtsPerSprint22-SUM(Z$7:Z34)))</f>
        <v>0</v>
      </c>
      <c r="AA35" s="287">
        <f t="array" ref="AA35">MIN((INDEX([2]SourceData!$B:$B, MATCH($D35,[2]SourceData!$A:$A, 0))-SUM($D35:Z35)),  (MaxPtsPerSprint23-SUM(AA$7:AA34)))</f>
        <v>0</v>
      </c>
      <c r="AB35" s="287">
        <f t="array" ref="AB35">MIN((INDEX([2]SourceData!$B:$B, MATCH($D35,[2]SourceData!$A:$A, 0))-SUM($D35:AA35)),  (MaxPtsPerSprint24-SUM(AB$7:AB34)))</f>
        <v>0</v>
      </c>
      <c r="AC35" s="287"/>
      <c r="AD35" s="287"/>
      <c r="AE35" s="288">
        <f t="shared" si="0"/>
        <v>2208.5500000000002</v>
      </c>
      <c r="AF35" s="289">
        <f t="shared" si="1"/>
        <v>0.10881298730092256</v>
      </c>
    </row>
    <row r="36" spans="2:32" s="11" customFormat="1" ht="18.5" hidden="1" outlineLevel="1" x14ac:dyDescent="0.45">
      <c r="B36" s="284" t="str">
        <f>VLOOKUP(D36,'[2]Work Item Vlookup'!$A$2:$B$119,2,FALSE)</f>
        <v>WI0202</v>
      </c>
      <c r="C36" s="291"/>
      <c r="D36" s="285" t="str">
        <f>[2]SourceData!A30</f>
        <v>CAS Delta Work for CA Property</v>
      </c>
      <c r="E36" s="286">
        <f t="array" ref="E36">MIN((INDEX([2]SourceData!$B:$B, MATCH($D36,[2]SourceData!$A:$A, 0))-SUM($D36:D36)),  (MaxPtsPerSprint1-SUM(E$7:E35)))</f>
        <v>0</v>
      </c>
      <c r="F36" s="286">
        <f t="array" ref="F36">MIN((INDEX([2]SourceData!$B:$B, MATCH($D36,[2]SourceData!$A:$A, 0))-SUM($D36:E36)),  (MaxPtsPerSprint2-SUM(F$7:F35)))</f>
        <v>0</v>
      </c>
      <c r="G36" s="286">
        <f t="array" ref="G36">MIN((INDEX([2]SourceData!$B:$B, MATCH($D36,[2]SourceData!$A:$A, 0))-SUM($D36:F36)),  (MaxPtsPerSprint3-SUM(G$7:G35)))</f>
        <v>0</v>
      </c>
      <c r="H36" s="286">
        <f t="array" ref="H36">MIN((INDEX([2]SourceData!$B:$B, MATCH($D36,[2]SourceData!$A:$A, 0))-SUM($D36:G36)),  (MaxPtsPerSprint4-SUM(H$7:H35)))</f>
        <v>0</v>
      </c>
      <c r="I36" s="286">
        <f t="array" ref="I36">MIN((INDEX([2]SourceData!$B:$B, MATCH($D36,[2]SourceData!$A:$A, 0))-SUM($D36:H36)),  (MaxPtsPerSprint5-SUM(I$7:I35)))</f>
        <v>0</v>
      </c>
      <c r="J36" s="286">
        <f t="array" ref="J36">MIN((INDEX([2]SourceData!$B:$B, MATCH($D36,[2]SourceData!$A:$A, 0))-SUM($D36:I36)),  (MaxPtsPerSprint6-SUM(J$7:J35)))</f>
        <v>0</v>
      </c>
      <c r="K36" s="286">
        <f t="array" ref="K36">MIN((INDEX([2]SourceData!$B:$B, MATCH($D36,[2]SourceData!$A:$A, 0))-SUM($D36:J36)),  (MaxPtsPerSprint7-SUM(K$7:K35)))</f>
        <v>0</v>
      </c>
      <c r="L36" s="286">
        <f t="array" ref="L36">MIN((INDEX([2]SourceData!$B:$B, MATCH($D36,[2]SourceData!$A:$A, 0))-SUM($D36:K36)),  (MaxPtsPerSprint8-SUM(L$7:L35)))</f>
        <v>0</v>
      </c>
      <c r="M36" s="286">
        <f t="array" ref="M36">MIN((INDEX([2]SourceData!$B:$B, MATCH($D36,[2]SourceData!$A:$A, 0))-SUM($D36:L36)),  (MaxPtsPerSprint9-SUM(M$7:M35)))</f>
        <v>0</v>
      </c>
      <c r="N36" s="286">
        <f t="array" ref="N36">MIN((INDEX([2]SourceData!$B:$B, MATCH($D36,[2]SourceData!$A:$A, 0))-SUM($D36:M36)),  (MaxPtsPerSprint10-SUM(N$7:N35)))</f>
        <v>15</v>
      </c>
      <c r="O36" s="286">
        <f t="array" ref="O36">MIN((INDEX([2]SourceData!$B:$B, MATCH($D36,[2]SourceData!$A:$A, 0))-SUM($D36:N36)),  (MaxPtsPerSprint11-SUM(O$7:O35)))</f>
        <v>0</v>
      </c>
      <c r="P36" s="286">
        <f t="array" ref="P36">MIN((INDEX([2]SourceData!$B:$B, MATCH($D36,[2]SourceData!$A:$A, 0))-SUM($D36:O36)),  (MaxPtsPerSprint12-SUM(P$7:P35)))</f>
        <v>0</v>
      </c>
      <c r="Q36" s="286">
        <f t="array" ref="Q36">MIN((INDEX([2]SourceData!$B:$B, MATCH($D36,[2]SourceData!$A:$A, 0))-SUM($D36:P36)),  (MaxPtsPerSprint13-SUM(Q$7:Q35)))</f>
        <v>0</v>
      </c>
      <c r="R36" s="286">
        <f t="array" ref="R36">MIN((INDEX([2]SourceData!$B:$B, MATCH($D36,[2]SourceData!$A:$A, 0))-SUM($D36:Q36)),  (MaxPtsPerSprint14-SUM(R$7:R35)))</f>
        <v>0</v>
      </c>
      <c r="S36" s="286">
        <f t="array" ref="S36">MIN((INDEX([2]SourceData!$B:$B, MATCH($D36,[2]SourceData!$A:$A, 0))-SUM($D36:R36)),  (MaxPtsPerSprint15-SUM(S$7:S35)))</f>
        <v>0</v>
      </c>
      <c r="T36" s="286">
        <f t="array" ref="T36">MIN((INDEX([2]SourceData!$B:$B, MATCH($D36,[2]SourceData!$A:$A, 0))-SUM($D36:S36)),  (MaxPtsPerSprint16-SUM(T$7:T35)))</f>
        <v>0</v>
      </c>
      <c r="U36" s="286">
        <f t="array" ref="U36">MIN((INDEX([2]SourceData!$B:$B, MATCH($D36,[2]SourceData!$A:$A, 0))-SUM($D36:T36)),  (MaxPtsPerSprint17-SUM(U$7:U35)))</f>
        <v>0</v>
      </c>
      <c r="V36" s="286">
        <f t="array" ref="V36">MIN((INDEX([2]SourceData!$B:$B, MATCH($D36,[2]SourceData!$A:$A, 0))-SUM($D36:U36)),  (MaxPtsPerSprint18-SUM(V$7:V35)))</f>
        <v>0</v>
      </c>
      <c r="W36" s="286">
        <f t="array" ref="W36">MIN((INDEX([2]SourceData!$B:$B, MATCH($D36,[2]SourceData!$A:$A, 0))-SUM($D36:V36)),  (MaxPtsPerSprint19-SUM(W$7:W35)))</f>
        <v>0</v>
      </c>
      <c r="X36" s="286">
        <f t="array" ref="X36">MIN((INDEX([2]SourceData!$B:$B, MATCH($D36,[2]SourceData!$A:$A, 0))-SUM($D36:W36)),  (MaxPtsPerSprint20-SUM(X$7:X35)))</f>
        <v>0</v>
      </c>
      <c r="Y36" s="287">
        <f t="array" ref="Y36">MIN((INDEX([2]SourceData!$B:$B, MATCH($D36,[2]SourceData!$A:$A, 0))-SUM($D36:X36)),  (MaxPtsPerSprint21-SUM(Y$7:Y35)))</f>
        <v>0</v>
      </c>
      <c r="Z36" s="287">
        <f t="array" ref="Z36">MIN((INDEX([2]SourceData!$B:$B, MATCH($D36,[2]SourceData!$A:$A, 0))-SUM($D36:Y36)),  (MaxPtsPerSprint22-SUM(Z$7:Z35)))</f>
        <v>0</v>
      </c>
      <c r="AA36" s="287">
        <f t="array" ref="AA36">MIN((INDEX([2]SourceData!$B:$B, MATCH($D36,[2]SourceData!$A:$A, 0))-SUM($D36:Z36)),  (MaxPtsPerSprint23-SUM(AA$7:AA35)))</f>
        <v>0</v>
      </c>
      <c r="AB36" s="287">
        <f t="array" ref="AB36">MIN((INDEX([2]SourceData!$B:$B, MATCH($D36,[2]SourceData!$A:$A, 0))-SUM($D36:AA36)),  (MaxPtsPerSprint24-SUM(AB$7:AB35)))</f>
        <v>0</v>
      </c>
      <c r="AC36" s="287"/>
      <c r="AD36" s="287"/>
      <c r="AE36" s="288">
        <f t="shared" si="0"/>
        <v>15</v>
      </c>
      <c r="AF36" s="292">
        <f t="shared" si="1"/>
        <v>7.3903457450084377E-4</v>
      </c>
    </row>
    <row r="37" spans="2:32" s="11" customFormat="1" ht="18.5" hidden="1" outlineLevel="1" x14ac:dyDescent="0.45">
      <c r="B37" s="284" t="str">
        <f>VLOOKUP(D37,'[2]Work Item Vlookup'!$A$2:$B$119,2,FALSE)</f>
        <v>WI0270</v>
      </c>
      <c r="C37" s="291"/>
      <c r="D37" s="285" t="str">
        <f>[2]SourceData!A31</f>
        <v>CA Property CRs</v>
      </c>
      <c r="E37" s="286">
        <f t="array" ref="E37">MIN((INDEX([2]SourceData!$B:$B, MATCH($D37,[2]SourceData!$A:$A, 0))-SUM($D37:D37)),  (MaxPtsPerSprint1-SUM(E$7:E36)))</f>
        <v>0</v>
      </c>
      <c r="F37" s="286">
        <f t="array" ref="F37">MIN((INDEX([2]SourceData!$B:$B, MATCH($D37,[2]SourceData!$A:$A, 0))-SUM($D37:E37)),  (MaxPtsPerSprint2-SUM(F$7:F36)))</f>
        <v>0</v>
      </c>
      <c r="G37" s="286">
        <f t="array" ref="G37">MIN((INDEX([2]SourceData!$B:$B, MATCH($D37,[2]SourceData!$A:$A, 0))-SUM($D37:F37)),  (MaxPtsPerSprint3-SUM(G$7:G36)))</f>
        <v>0</v>
      </c>
      <c r="H37" s="286">
        <f t="array" ref="H37">MIN((INDEX([2]SourceData!$B:$B, MATCH($D37,[2]SourceData!$A:$A, 0))-SUM($D37:G37)),  (MaxPtsPerSprint4-SUM(H$7:H36)))</f>
        <v>0</v>
      </c>
      <c r="I37" s="286">
        <f t="array" ref="I37">MIN((INDEX([2]SourceData!$B:$B, MATCH($D37,[2]SourceData!$A:$A, 0))-SUM($D37:H37)),  (MaxPtsPerSprint5-SUM(I$7:I36)))</f>
        <v>0</v>
      </c>
      <c r="J37" s="286">
        <f t="array" ref="J37">MIN((INDEX([2]SourceData!$B:$B, MATCH($D37,[2]SourceData!$A:$A, 0))-SUM($D37:I37)),  (MaxPtsPerSprint6-SUM(J$7:J36)))</f>
        <v>0</v>
      </c>
      <c r="K37" s="286">
        <f t="array" ref="K37">MIN((INDEX([2]SourceData!$B:$B, MATCH($D37,[2]SourceData!$A:$A, 0))-SUM($D37:J37)),  (MaxPtsPerSprint7-SUM(K$7:K36)))</f>
        <v>0</v>
      </c>
      <c r="L37" s="286">
        <f t="array" ref="L37">MIN((INDEX([2]SourceData!$B:$B, MATCH($D37,[2]SourceData!$A:$A, 0))-SUM($D37:K37)),  (MaxPtsPerSprint8-SUM(L$7:L36)))</f>
        <v>0</v>
      </c>
      <c r="M37" s="286">
        <f t="array" ref="M37">MIN((INDEX([2]SourceData!$B:$B, MATCH($D37,[2]SourceData!$A:$A, 0))-SUM($D37:L37)),  (MaxPtsPerSprint9-SUM(M$7:M36)))</f>
        <v>0</v>
      </c>
      <c r="N37" s="286">
        <f t="array" ref="N37">MIN((INDEX([2]SourceData!$B:$B, MATCH($D37,[2]SourceData!$A:$A, 0))-SUM($D37:M37)),  (MaxPtsPerSprint10-SUM(N$7:N36)))</f>
        <v>88.799999999999727</v>
      </c>
      <c r="O37" s="286">
        <f t="array" ref="O37">MIN((INDEX([2]SourceData!$B:$B, MATCH($D37,[2]SourceData!$A:$A, 0))-SUM($D37:N37)),  (MaxPtsPerSprint11-SUM(O$7:O36)))</f>
        <v>0.20000000000027285</v>
      </c>
      <c r="P37" s="286">
        <f t="array" ref="P37">MIN((INDEX([2]SourceData!$B:$B, MATCH($D37,[2]SourceData!$A:$A, 0))-SUM($D37:O37)),  (MaxPtsPerSprint12-SUM(P$7:P36)))</f>
        <v>0</v>
      </c>
      <c r="Q37" s="286">
        <f t="array" ref="Q37">MIN((INDEX([2]SourceData!$B:$B, MATCH($D37,[2]SourceData!$A:$A, 0))-SUM($D37:P37)),  (MaxPtsPerSprint13-SUM(Q$7:Q36)))</f>
        <v>0</v>
      </c>
      <c r="R37" s="286">
        <f t="array" ref="R37">MIN((INDEX([2]SourceData!$B:$B, MATCH($D37,[2]SourceData!$A:$A, 0))-SUM($D37:Q37)),  (MaxPtsPerSprint14-SUM(R$7:R36)))</f>
        <v>0</v>
      </c>
      <c r="S37" s="286">
        <f t="array" ref="S37">MIN((INDEX([2]SourceData!$B:$B, MATCH($D37,[2]SourceData!$A:$A, 0))-SUM($D37:R37)),  (MaxPtsPerSprint15-SUM(S$7:S36)))</f>
        <v>0</v>
      </c>
      <c r="T37" s="286">
        <f t="array" ref="T37">MIN((INDEX([2]SourceData!$B:$B, MATCH($D37,[2]SourceData!$A:$A, 0))-SUM($D37:S37)),  (MaxPtsPerSprint16-SUM(T$7:T36)))</f>
        <v>0</v>
      </c>
      <c r="U37" s="286">
        <f t="array" ref="U37">MIN((INDEX([2]SourceData!$B:$B, MATCH($D37,[2]SourceData!$A:$A, 0))-SUM($D37:T37)),  (MaxPtsPerSprint17-SUM(U$7:U36)))</f>
        <v>0</v>
      </c>
      <c r="V37" s="286">
        <f t="array" ref="V37">MIN((INDEX([2]SourceData!$B:$B, MATCH($D37,[2]SourceData!$A:$A, 0))-SUM($D37:U37)),  (MaxPtsPerSprint18-SUM(V$7:V36)))</f>
        <v>0</v>
      </c>
      <c r="W37" s="286">
        <f t="array" ref="W37">MIN((INDEX([2]SourceData!$B:$B, MATCH($D37,[2]SourceData!$A:$A, 0))-SUM($D37:V37)),  (MaxPtsPerSprint19-SUM(W$7:W36)))</f>
        <v>0</v>
      </c>
      <c r="X37" s="286">
        <f t="array" ref="X37">MIN((INDEX([2]SourceData!$B:$B, MATCH($D37,[2]SourceData!$A:$A, 0))-SUM($D37:W37)),  (MaxPtsPerSprint20-SUM(X$7:X36)))</f>
        <v>0</v>
      </c>
      <c r="Y37" s="287">
        <f t="array" ref="Y37">MIN((INDEX([2]SourceData!$B:$B, MATCH($D37,[2]SourceData!$A:$A, 0))-SUM($D37:X37)),  (MaxPtsPerSprint21-SUM(Y$7:Y36)))</f>
        <v>0</v>
      </c>
      <c r="Z37" s="287">
        <f t="array" ref="Z37">MIN((INDEX([2]SourceData!$B:$B, MATCH($D37,[2]SourceData!$A:$A, 0))-SUM($D37:Y37)),  (MaxPtsPerSprint22-SUM(Z$7:Z36)))</f>
        <v>0</v>
      </c>
      <c r="AA37" s="287">
        <f t="array" ref="AA37">MIN((INDEX([2]SourceData!$B:$B, MATCH($D37,[2]SourceData!$A:$A, 0))-SUM($D37:Z37)),  (MaxPtsPerSprint23-SUM(AA$7:AA36)))</f>
        <v>0</v>
      </c>
      <c r="AB37" s="287">
        <f t="array" ref="AB37">MIN((INDEX([2]SourceData!$B:$B, MATCH($D37,[2]SourceData!$A:$A, 0))-SUM($D37:AA37)),  (MaxPtsPerSprint24-SUM(AB$7:AB36)))</f>
        <v>0</v>
      </c>
      <c r="AC37" s="287"/>
      <c r="AD37" s="287"/>
      <c r="AE37" s="288">
        <f t="shared" si="0"/>
        <v>89</v>
      </c>
      <c r="AF37" s="292">
        <f t="shared" si="1"/>
        <v>4.3849384753716731E-3</v>
      </c>
    </row>
    <row r="38" spans="2:32" s="11" customFormat="1" ht="18.5" hidden="1" outlineLevel="1" collapsed="1" x14ac:dyDescent="0.45">
      <c r="B38" s="284" t="str">
        <f>VLOOKUP(D38,'[2]Work Item Vlookup'!$A$2:$B$119,2,FALSE)</f>
        <v>WI0272</v>
      </c>
      <c r="C38" s="291"/>
      <c r="D38" s="285" t="str">
        <f>[2]SourceData!A32</f>
        <v>CA Property Deferred Scope</v>
      </c>
      <c r="E38" s="286">
        <f t="array" ref="E38">MIN((INDEX([2]SourceData!$B:$B, MATCH($D38,[2]SourceData!$A:$A, 0))-SUM($D38:D38)),  (MaxPtsPerSprint1-SUM(E$7:E37)))</f>
        <v>0</v>
      </c>
      <c r="F38" s="286">
        <f t="array" ref="F38">MIN((INDEX([2]SourceData!$B:$B, MATCH($D38,[2]SourceData!$A:$A, 0))-SUM($D38:E38)),  (MaxPtsPerSprint2-SUM(F$7:F37)))</f>
        <v>0</v>
      </c>
      <c r="G38" s="286">
        <f t="array" ref="G38">MIN((INDEX([2]SourceData!$B:$B, MATCH($D38,[2]SourceData!$A:$A, 0))-SUM($D38:F38)),  (MaxPtsPerSprint3-SUM(G$7:G37)))</f>
        <v>0</v>
      </c>
      <c r="H38" s="286">
        <f t="array" ref="H38">MIN((INDEX([2]SourceData!$B:$B, MATCH($D38,[2]SourceData!$A:$A, 0))-SUM($D38:G38)),  (MaxPtsPerSprint4-SUM(H$7:H37)))</f>
        <v>0</v>
      </c>
      <c r="I38" s="286">
        <f t="array" ref="I38">MIN((INDEX([2]SourceData!$B:$B, MATCH($D38,[2]SourceData!$A:$A, 0))-SUM($D38:H38)),  (MaxPtsPerSprint5-SUM(I$7:I37)))</f>
        <v>0</v>
      </c>
      <c r="J38" s="286">
        <f t="array" ref="J38">MIN((INDEX([2]SourceData!$B:$B, MATCH($D38,[2]SourceData!$A:$A, 0))-SUM($D38:I38)),  (MaxPtsPerSprint6-SUM(J$7:J37)))</f>
        <v>0</v>
      </c>
      <c r="K38" s="286">
        <f t="array" ref="K38">MIN((INDEX([2]SourceData!$B:$B, MATCH($D38,[2]SourceData!$A:$A, 0))-SUM($D38:J38)),  (MaxPtsPerSprint7-SUM(K$7:K37)))</f>
        <v>0</v>
      </c>
      <c r="L38" s="286">
        <f t="array" ref="L38">MIN((INDEX([2]SourceData!$B:$B, MATCH($D38,[2]SourceData!$A:$A, 0))-SUM($D38:K38)),  (MaxPtsPerSprint8-SUM(L$7:L37)))</f>
        <v>0</v>
      </c>
      <c r="M38" s="286">
        <f t="array" ref="M38">MIN((INDEX([2]SourceData!$B:$B, MATCH($D38,[2]SourceData!$A:$A, 0))-SUM($D38:L38)),  (MaxPtsPerSprint9-SUM(M$7:M37)))</f>
        <v>0</v>
      </c>
      <c r="N38" s="286">
        <f t="array" ref="N38">MIN((INDEX([2]SourceData!$B:$B, MATCH($D38,[2]SourceData!$A:$A, 0))-SUM($D38:M38)),  (MaxPtsPerSprint10-SUM(N$7:N37)))</f>
        <v>0</v>
      </c>
      <c r="O38" s="286">
        <f t="array" ref="O38">MIN((INDEX([2]SourceData!$B:$B, MATCH($D38,[2]SourceData!$A:$A, 0))-SUM($D38:N38)),  (MaxPtsPerSprint11-SUM(O$7:O37)))</f>
        <v>22.5</v>
      </c>
      <c r="P38" s="286">
        <f t="array" ref="P38">MIN((INDEX([2]SourceData!$B:$B, MATCH($D38,[2]SourceData!$A:$A, 0))-SUM($D38:O38)),  (MaxPtsPerSprint12-SUM(P$7:P37)))</f>
        <v>0</v>
      </c>
      <c r="Q38" s="286">
        <f t="array" ref="Q38">MIN((INDEX([2]SourceData!$B:$B, MATCH($D38,[2]SourceData!$A:$A, 0))-SUM($D38:P38)),  (MaxPtsPerSprint13-SUM(Q$7:Q37)))</f>
        <v>0</v>
      </c>
      <c r="R38" s="286">
        <f t="array" ref="R38">MIN((INDEX([2]SourceData!$B:$B, MATCH($D38,[2]SourceData!$A:$A, 0))-SUM($D38:Q38)),  (MaxPtsPerSprint14-SUM(R$7:R37)))</f>
        <v>0</v>
      </c>
      <c r="S38" s="286">
        <f t="array" ref="S38">MIN((INDEX([2]SourceData!$B:$B, MATCH($D38,[2]SourceData!$A:$A, 0))-SUM($D38:R38)),  (MaxPtsPerSprint15-SUM(S$7:S37)))</f>
        <v>0</v>
      </c>
      <c r="T38" s="286">
        <f t="array" ref="T38">MIN((INDEX([2]SourceData!$B:$B, MATCH($D38,[2]SourceData!$A:$A, 0))-SUM($D38:S38)),  (MaxPtsPerSprint16-SUM(T$7:T37)))</f>
        <v>0</v>
      </c>
      <c r="U38" s="286">
        <f t="array" ref="U38">MIN((INDEX([2]SourceData!$B:$B, MATCH($D38,[2]SourceData!$A:$A, 0))-SUM($D38:T38)),  (MaxPtsPerSprint17-SUM(U$7:U37)))</f>
        <v>0</v>
      </c>
      <c r="V38" s="286">
        <f t="array" ref="V38">MIN((INDEX([2]SourceData!$B:$B, MATCH($D38,[2]SourceData!$A:$A, 0))-SUM($D38:U38)),  (MaxPtsPerSprint18-SUM(V$7:V37)))</f>
        <v>0</v>
      </c>
      <c r="W38" s="286">
        <f t="array" ref="W38">MIN((INDEX([2]SourceData!$B:$B, MATCH($D38,[2]SourceData!$A:$A, 0))-SUM($D38:V38)),  (MaxPtsPerSprint19-SUM(W$7:W37)))</f>
        <v>0</v>
      </c>
      <c r="X38" s="286">
        <f t="array" ref="X38">MIN((INDEX([2]SourceData!$B:$B, MATCH($D38,[2]SourceData!$A:$A, 0))-SUM($D38:W38)),  (MaxPtsPerSprint20-SUM(X$7:X37)))</f>
        <v>0</v>
      </c>
      <c r="Y38" s="287">
        <f t="array" ref="Y38">MIN((INDEX([2]SourceData!$B:$B, MATCH($D38,[2]SourceData!$A:$A, 0))-SUM($D38:X38)),  (MaxPtsPerSprint21-SUM(Y$7:Y37)))</f>
        <v>0</v>
      </c>
      <c r="Z38" s="287">
        <f t="array" ref="Z38">MIN((INDEX([2]SourceData!$B:$B, MATCH($D38,[2]SourceData!$A:$A, 0))-SUM($D38:Y38)),  (MaxPtsPerSprint22-SUM(Z$7:Z37)))</f>
        <v>0</v>
      </c>
      <c r="AA38" s="287">
        <f t="array" ref="AA38">MIN((INDEX([2]SourceData!$B:$B, MATCH($D38,[2]SourceData!$A:$A, 0))-SUM($D38:Z38)),  (MaxPtsPerSprint23-SUM(AA$7:AA37)))</f>
        <v>0</v>
      </c>
      <c r="AB38" s="287">
        <f t="array" ref="AB38">MIN((INDEX([2]SourceData!$B:$B, MATCH($D38,[2]SourceData!$A:$A, 0))-SUM($D38:AA38)),  (MaxPtsPerSprint24-SUM(AB$7:AB37)))</f>
        <v>0</v>
      </c>
      <c r="AC38" s="287">
        <f t="array" ref="AC38">MIN((INDEX([2]SourceData!$B:$B, MATCH($D38,[2]SourceData!$A:$A, 0))-SUM($D38:AB38)),  (MaxPtsPerSprint24-SUM(AC$7:AC37)))</f>
        <v>0</v>
      </c>
      <c r="AD38" s="287">
        <f t="array" ref="AD38">MIN((INDEX([2]SourceData!$B:$B, MATCH($D38,[2]SourceData!$A:$A, 0))-SUM($D38:AC38)),  (MaxPtsPerSprint24-SUM(AD$7:AD37)))</f>
        <v>0</v>
      </c>
      <c r="AE38" s="288">
        <f>SUM(E38:AD38)</f>
        <v>22.5</v>
      </c>
      <c r="AF38" s="286">
        <f t="array" ref="AF38">MIN((INDEX([2]SourceData!$B:$B, MATCH($D38,[2]SourceData!$A:$A, 0))-SUM($D38:AE38)),  (MaxPtsPerSprint5-SUM(AF$7:AF37)))</f>
        <v>-22.5</v>
      </c>
    </row>
    <row r="39" spans="2:32" s="11" customFormat="1" ht="18.5" hidden="1" outlineLevel="1" x14ac:dyDescent="0.45">
      <c r="B39" s="284" t="str">
        <f>VLOOKUP(D39,'[2]Work Item Vlookup'!$A$2:$B$119,2,FALSE)</f>
        <v>WI0138</v>
      </c>
      <c r="C39" s="291"/>
      <c r="D39" s="285" t="str">
        <f>[2]SourceData!A33</f>
        <v>HO4 Service Agent CR</v>
      </c>
      <c r="E39" s="286">
        <f t="array" ref="E39">MIN((INDEX([2]SourceData!$B:$B, MATCH($D39,[2]SourceData!$A:$A, 0))-SUM($D39:D39)),  (MaxPtsPerSprint1-SUM(E$7:E38)))</f>
        <v>0</v>
      </c>
      <c r="F39" s="286">
        <f t="array" ref="F39">MIN((INDEX([2]SourceData!$B:$B, MATCH($D39,[2]SourceData!$A:$A, 0))-SUM($D39:E39)),  (MaxPtsPerSprint2-SUM(F$7:F38)))</f>
        <v>0</v>
      </c>
      <c r="G39" s="286">
        <f t="array" ref="G39">MIN((INDEX([2]SourceData!$B:$B, MATCH($D39,[2]SourceData!$A:$A, 0))-SUM($D39:F39)),  (MaxPtsPerSprint3-SUM(G$7:G38)))</f>
        <v>0</v>
      </c>
      <c r="H39" s="286">
        <f t="array" ref="H39">MIN((INDEX([2]SourceData!$B:$B, MATCH($D39,[2]SourceData!$A:$A, 0))-SUM($D39:G39)),  (MaxPtsPerSprint4-SUM(H$7:H38)))</f>
        <v>0</v>
      </c>
      <c r="I39" s="286">
        <f t="array" ref="I39">MIN((INDEX([2]SourceData!$B:$B, MATCH($D39,[2]SourceData!$A:$A, 0))-SUM($D39:H39)),  (MaxPtsPerSprint5-SUM(I$7:I38)))</f>
        <v>0</v>
      </c>
      <c r="J39" s="286">
        <f t="array" ref="J39">MIN((INDEX([2]SourceData!$B:$B, MATCH($D39,[2]SourceData!$A:$A, 0))-SUM($D39:I39)),  (MaxPtsPerSprint6-SUM(J$7:J38)))</f>
        <v>0</v>
      </c>
      <c r="K39" s="286">
        <f t="array" ref="K39">MIN((INDEX([2]SourceData!$B:$B, MATCH($D39,[2]SourceData!$A:$A, 0))-SUM($D39:J39)),  (MaxPtsPerSprint7-SUM(K$7:K38)))</f>
        <v>0</v>
      </c>
      <c r="L39" s="286">
        <f t="array" ref="L39">MIN((INDEX([2]SourceData!$B:$B, MATCH($D39,[2]SourceData!$A:$A, 0))-SUM($D39:K39)),  (MaxPtsPerSprint8-SUM(L$7:L38)))</f>
        <v>0</v>
      </c>
      <c r="M39" s="286">
        <f t="array" ref="M39">MIN((INDEX([2]SourceData!$B:$B, MATCH($D39,[2]SourceData!$A:$A, 0))-SUM($D39:L39)),  (MaxPtsPerSprint9-SUM(M$7:M38)))</f>
        <v>0</v>
      </c>
      <c r="N39" s="286">
        <f t="array" ref="N39">MIN((INDEX([2]SourceData!$B:$B, MATCH($D39,[2]SourceData!$A:$A, 0))-SUM($D39:M39)),  (MaxPtsPerSprint10-SUM(N$7:N38)))</f>
        <v>0</v>
      </c>
      <c r="O39" s="286">
        <f t="array" ref="O39">MIN((INDEX([2]SourceData!$B:$B, MATCH($D39,[2]SourceData!$A:$A, 0))-SUM($D39:N39)),  (MaxPtsPerSprint11-SUM(O$7:O38)))</f>
        <v>65</v>
      </c>
      <c r="P39" s="286">
        <f t="array" ref="P39">MIN((INDEX([2]SourceData!$B:$B, MATCH($D39,[2]SourceData!$A:$A, 0))-SUM($D39:O39)),  (MaxPtsPerSprint12-SUM(P$7:P38)))</f>
        <v>0</v>
      </c>
      <c r="Q39" s="286">
        <f t="array" ref="Q39">MIN((INDEX([2]SourceData!$B:$B, MATCH($D39,[2]SourceData!$A:$A, 0))-SUM($D39:P39)),  (MaxPtsPerSprint13-SUM(Q$7:Q38)))</f>
        <v>0</v>
      </c>
      <c r="R39" s="286">
        <f t="array" ref="R39">MIN((INDEX([2]SourceData!$B:$B, MATCH($D39,[2]SourceData!$A:$A, 0))-SUM($D39:Q39)),  (MaxPtsPerSprint14-SUM(R$7:R38)))</f>
        <v>0</v>
      </c>
      <c r="S39" s="286">
        <f t="array" ref="S39">MIN((INDEX([2]SourceData!$B:$B, MATCH($D39,[2]SourceData!$A:$A, 0))-SUM($D39:R39)),  (MaxPtsPerSprint15-SUM(S$7:S38)))</f>
        <v>0</v>
      </c>
      <c r="T39" s="286">
        <f t="array" ref="T39">MIN((INDEX([2]SourceData!$B:$B, MATCH($D39,[2]SourceData!$A:$A, 0))-SUM($D39:S39)),  (MaxPtsPerSprint16-SUM(T$7:T38)))</f>
        <v>0</v>
      </c>
      <c r="U39" s="286">
        <f t="array" ref="U39">MIN((INDEX([2]SourceData!$B:$B, MATCH($D39,[2]SourceData!$A:$A, 0))-SUM($D39:T39)),  (MaxPtsPerSprint17-SUM(U$7:U38)))</f>
        <v>0</v>
      </c>
      <c r="V39" s="286">
        <f t="array" ref="V39">MIN((INDEX([2]SourceData!$B:$B, MATCH($D39,[2]SourceData!$A:$A, 0))-SUM($D39:U39)),  (MaxPtsPerSprint18-SUM(V$7:V38)))</f>
        <v>0</v>
      </c>
      <c r="W39" s="286">
        <f t="array" ref="W39">MIN((INDEX([2]SourceData!$B:$B, MATCH($D39,[2]SourceData!$A:$A, 0))-SUM($D39:V39)),  (MaxPtsPerSprint19-SUM(W$7:W38)))</f>
        <v>0</v>
      </c>
      <c r="X39" s="286">
        <f t="array" ref="X39">MIN((INDEX([2]SourceData!$B:$B, MATCH($D39,[2]SourceData!$A:$A, 0))-SUM($D39:W39)),  (MaxPtsPerSprint20-SUM(X$7:X38)))</f>
        <v>0</v>
      </c>
      <c r="Y39" s="287">
        <f t="array" ref="Y39">MIN((INDEX([2]SourceData!$B:$B, MATCH($D39,[2]SourceData!$A:$A, 0))-SUM($D39:X39)),  (MaxPtsPerSprint21-SUM(Y$7:Y38)))</f>
        <v>0</v>
      </c>
      <c r="Z39" s="287">
        <f t="array" ref="Z39">MIN((INDEX([2]SourceData!$B:$B, MATCH($D39,[2]SourceData!$A:$A, 0))-SUM($D39:Y39)),  (MaxPtsPerSprint22-SUM(Z$7:Z38)))</f>
        <v>0</v>
      </c>
      <c r="AA39" s="287">
        <f t="array" ref="AA39">MIN((INDEX([2]SourceData!$B:$B, MATCH($D39,[2]SourceData!$A:$A, 0))-SUM($D39:Z39)),  (MaxPtsPerSprint23-SUM(AA$7:AA38)))</f>
        <v>0</v>
      </c>
      <c r="AB39" s="287">
        <f t="array" ref="AB39">MIN((INDEX([2]SourceData!$B:$B, MATCH($D39,[2]SourceData!$A:$A, 0))-SUM($D39:AA39)),  (MaxPtsPerSprint24-SUM(AB$7:AB38)))</f>
        <v>0</v>
      </c>
      <c r="AC39" s="287">
        <f t="array" ref="AC39">MIN((INDEX([2]SourceData!$B:$B, MATCH($D39,[2]SourceData!$A:$A, 0))-SUM($D39:AB39)),  (MaxPtsPerSprint24-SUM(AC$7:AC38)))</f>
        <v>0</v>
      </c>
      <c r="AD39" s="287">
        <f t="array" ref="AD39">MIN((INDEX([2]SourceData!$B:$B, MATCH($D39,[2]SourceData!$A:$A, 0))-SUM($D39:AC39)),  (MaxPtsPerSprint24-SUM(AD$7:AD38)))</f>
        <v>0</v>
      </c>
      <c r="AE39" s="288">
        <f t="shared" ref="AE39:AE64" si="2">SUM(E39:AD39)</f>
        <v>65</v>
      </c>
      <c r="AF39" s="292">
        <f t="shared" ref="AF39:AF44" si="3">AE39/$AE$131</f>
        <v>3.2024831561703227E-3</v>
      </c>
    </row>
    <row r="40" spans="2:32" s="11" customFormat="1" ht="18.5" hidden="1" outlineLevel="1" x14ac:dyDescent="0.45">
      <c r="B40" s="284" t="str">
        <f>VLOOKUP(D40,'[2]Work Item Vlookup'!$A$2:$B$119,2,FALSE)</f>
        <v>WI0045</v>
      </c>
      <c r="C40" s="291"/>
      <c r="D40" s="285" t="str">
        <f>[2]SourceData!A34</f>
        <v>DE Property</v>
      </c>
      <c r="E40" s="286">
        <f t="array" ref="E40">MIN((INDEX([2]SourceData!$B:$B, MATCH($D40,[2]SourceData!$A:$A, 0))-SUM($D40:D40)),  (MaxPtsPerSprint1-SUM(E$7:E39)))</f>
        <v>0</v>
      </c>
      <c r="F40" s="286">
        <f t="array" ref="F40">MIN((INDEX([2]SourceData!$B:$B, MATCH($D40,[2]SourceData!$A:$A, 0))-SUM($D40:E40)),  (MaxPtsPerSprint2-SUM(F$7:F39)))</f>
        <v>0</v>
      </c>
      <c r="G40" s="286">
        <f t="array" ref="G40">MIN((INDEX([2]SourceData!$B:$B, MATCH($D40,[2]SourceData!$A:$A, 0))-SUM($D40:F40)),  (MaxPtsPerSprint3-SUM(G$7:G39)))</f>
        <v>0</v>
      </c>
      <c r="H40" s="286">
        <f t="array" ref="H40">MIN((INDEX([2]SourceData!$B:$B, MATCH($D40,[2]SourceData!$A:$A, 0))-SUM($D40:G40)),  (MaxPtsPerSprint4-SUM(H$7:H39)))</f>
        <v>0</v>
      </c>
      <c r="I40" s="286">
        <f t="array" ref="I40">MIN((INDEX([2]SourceData!$B:$B, MATCH($D40,[2]SourceData!$A:$A, 0))-SUM($D40:H40)),  (MaxPtsPerSprint5-SUM(I$7:I39)))</f>
        <v>0</v>
      </c>
      <c r="J40" s="286">
        <f t="array" ref="J40">MIN((INDEX([2]SourceData!$B:$B, MATCH($D40,[2]SourceData!$A:$A, 0))-SUM($D40:I40)),  (MaxPtsPerSprint6-SUM(J$7:J39)))</f>
        <v>0</v>
      </c>
      <c r="K40" s="286">
        <f t="array" ref="K40">MIN((INDEX([2]SourceData!$B:$B, MATCH($D40,[2]SourceData!$A:$A, 0))-SUM($D40:J40)),  (MaxPtsPerSprint7-SUM(K$7:K39)))</f>
        <v>0</v>
      </c>
      <c r="L40" s="286">
        <f t="array" ref="L40">MIN((INDEX([2]SourceData!$B:$B, MATCH($D40,[2]SourceData!$A:$A, 0))-SUM($D40:K40)),  (MaxPtsPerSprint8-SUM(L$7:L39)))</f>
        <v>0</v>
      </c>
      <c r="M40" s="286">
        <f t="array" ref="M40">MIN((INDEX([2]SourceData!$B:$B, MATCH($D40,[2]SourceData!$A:$A, 0))-SUM($D40:L40)),  (MaxPtsPerSprint9-SUM(M$7:M39)))</f>
        <v>0</v>
      </c>
      <c r="N40" s="286">
        <f t="array" ref="N40">MIN((INDEX([2]SourceData!$B:$B, MATCH($D40,[2]SourceData!$A:$A, 0))-SUM($D40:M40)),  (MaxPtsPerSprint10-SUM(N$7:N39)))</f>
        <v>0</v>
      </c>
      <c r="O40" s="286">
        <f t="array" ref="O40">MIN((INDEX([2]SourceData!$B:$B, MATCH($D40,[2]SourceData!$A:$A, 0))-SUM($D40:N40)),  (MaxPtsPerSprint11-SUM(O$7:O39)))</f>
        <v>207.5</v>
      </c>
      <c r="P40" s="286">
        <f t="array" ref="P40">MIN((INDEX([2]SourceData!$B:$B, MATCH($D40,[2]SourceData!$A:$A, 0))-SUM($D40:O40)),  (MaxPtsPerSprint12-SUM(P$7:P39)))</f>
        <v>0</v>
      </c>
      <c r="Q40" s="286">
        <f t="array" ref="Q40">MIN((INDEX([2]SourceData!$B:$B, MATCH($D40,[2]SourceData!$A:$A, 0))-SUM($D40:P40)),  (MaxPtsPerSprint13-SUM(Q$7:Q39)))</f>
        <v>0</v>
      </c>
      <c r="R40" s="286">
        <f t="array" ref="R40">MIN((INDEX([2]SourceData!$B:$B, MATCH($D40,[2]SourceData!$A:$A, 0))-SUM($D40:Q40)),  (MaxPtsPerSprint14-SUM(R$7:R39)))</f>
        <v>0</v>
      </c>
      <c r="S40" s="286">
        <f t="array" ref="S40">MIN((INDEX([2]SourceData!$B:$B, MATCH($D40,[2]SourceData!$A:$A, 0))-SUM($D40:R40)),  (MaxPtsPerSprint15-SUM(S$7:S39)))</f>
        <v>0</v>
      </c>
      <c r="T40" s="286">
        <f t="array" ref="T40">MIN((INDEX([2]SourceData!$B:$B, MATCH($D40,[2]SourceData!$A:$A, 0))-SUM($D40:S40)),  (MaxPtsPerSprint16-SUM(T$7:T39)))</f>
        <v>0</v>
      </c>
      <c r="U40" s="286">
        <f t="array" ref="U40">MIN((INDEX([2]SourceData!$B:$B, MATCH($D40,[2]SourceData!$A:$A, 0))-SUM($D40:T40)),  (MaxPtsPerSprint17-SUM(U$7:U39)))</f>
        <v>0</v>
      </c>
      <c r="V40" s="286">
        <f t="array" ref="V40">MIN((INDEX([2]SourceData!$B:$B, MATCH($D40,[2]SourceData!$A:$A, 0))-SUM($D40:U40)),  (MaxPtsPerSprint18-SUM(V$7:V39)))</f>
        <v>0</v>
      </c>
      <c r="W40" s="286">
        <f t="array" ref="W40">MIN((INDEX([2]SourceData!$B:$B, MATCH($D40,[2]SourceData!$A:$A, 0))-SUM($D40:V40)),  (MaxPtsPerSprint19-SUM(W$7:W39)))</f>
        <v>0</v>
      </c>
      <c r="X40" s="286">
        <f t="array" ref="X40">MIN((INDEX([2]SourceData!$B:$B, MATCH($D40,[2]SourceData!$A:$A, 0))-SUM($D40:W40)),  (MaxPtsPerSprint20-SUM(X$7:X39)))</f>
        <v>0</v>
      </c>
      <c r="Y40" s="287">
        <f t="array" ref="Y40">MIN((INDEX([2]SourceData!$B:$B, MATCH($D40,[2]SourceData!$A:$A, 0))-SUM($D40:X40)),  (MaxPtsPerSprint21-SUM(Y$7:Y39)))</f>
        <v>0</v>
      </c>
      <c r="Z40" s="287">
        <f t="array" ref="Z40">MIN((INDEX([2]SourceData!$B:$B, MATCH($D40,[2]SourceData!$A:$A, 0))-SUM($D40:Y40)),  (MaxPtsPerSprint22-SUM(Z$7:Z39)))</f>
        <v>0</v>
      </c>
      <c r="AA40" s="287">
        <f t="array" ref="AA40">MIN((INDEX([2]SourceData!$B:$B, MATCH($D40,[2]SourceData!$A:$A, 0))-SUM($D40:Z40)),  (MaxPtsPerSprint23-SUM(AA$7:AA39)))</f>
        <v>0</v>
      </c>
      <c r="AB40" s="287">
        <f t="array" ref="AB40">MIN((INDEX([2]SourceData!$B:$B, MATCH($D40,[2]SourceData!$A:$A, 0))-SUM($D40:AA40)),  (MaxPtsPerSprint24-SUM(AB$7:AB39)))</f>
        <v>0</v>
      </c>
      <c r="AC40" s="287">
        <f t="array" ref="AC40">MIN((INDEX([2]SourceData!$B:$B, MATCH($D40,[2]SourceData!$A:$A, 0))-SUM($D40:AB40)),  (MaxPtsPerSprint24-SUM(AC$7:AC39)))</f>
        <v>0</v>
      </c>
      <c r="AD40" s="287">
        <f t="array" ref="AD40">MIN((INDEX([2]SourceData!$B:$B, MATCH($D40,[2]SourceData!$A:$A, 0))-SUM($D40:AC40)),  (MaxPtsPerSprint24-SUM(AD$7:AD39)))</f>
        <v>0</v>
      </c>
      <c r="AE40" s="288">
        <f t="shared" si="2"/>
        <v>207.5</v>
      </c>
      <c r="AF40" s="292">
        <f t="shared" si="3"/>
        <v>1.0223311613928338E-2</v>
      </c>
    </row>
    <row r="41" spans="2:32" ht="18.5" hidden="1" outlineLevel="1" x14ac:dyDescent="0.45">
      <c r="B41" s="284" t="str">
        <f>VLOOKUP(D41,'[2]Work Item Vlookup'!$A$2:$B$119,2,FALSE)</f>
        <v>WI0162</v>
      </c>
      <c r="C41" s="291" t="s">
        <v>438</v>
      </c>
      <c r="D41" s="285" t="str">
        <f>[2]SourceData!A35</f>
        <v>CA HDES Conversion, Phase 1</v>
      </c>
      <c r="E41" s="286">
        <f t="array" ref="E41">MIN((INDEX([2]SourceData!$B:$B, MATCH($D41,[2]SourceData!$A:$A, 0))-SUM($D41:D41)),  (MaxPtsPerSprint1-SUM(E$7:E40)))</f>
        <v>0</v>
      </c>
      <c r="F41" s="286">
        <f t="array" ref="F41">MIN((INDEX([2]SourceData!$B:$B, MATCH($D41,[2]SourceData!$A:$A, 0))-SUM($D41:E41)),  (MaxPtsPerSprint2-SUM(F$7:F40)))</f>
        <v>0</v>
      </c>
      <c r="G41" s="286">
        <f t="array" ref="G41">MIN((INDEX([2]SourceData!$B:$B, MATCH($D41,[2]SourceData!$A:$A, 0))-SUM($D41:F41)),  (MaxPtsPerSprint3-SUM(G$7:G40)))</f>
        <v>0</v>
      </c>
      <c r="H41" s="286">
        <f t="array" ref="H41">MIN((INDEX([2]SourceData!$B:$B, MATCH($D41,[2]SourceData!$A:$A, 0))-SUM($D41:G41)),  (MaxPtsPerSprint4-SUM(H$7:H40)))</f>
        <v>0</v>
      </c>
      <c r="I41" s="286">
        <f t="array" ref="I41">MIN((INDEX([2]SourceData!$B:$B, MATCH($D41,[2]SourceData!$A:$A, 0))-SUM($D41:H41)),  (MaxPtsPerSprint5-SUM(I$7:I40)))</f>
        <v>0</v>
      </c>
      <c r="J41" s="286">
        <f t="array" ref="J41">MIN((INDEX([2]SourceData!$B:$B, MATCH($D41,[2]SourceData!$A:$A, 0))-SUM($D41:I41)),  (MaxPtsPerSprint6-SUM(J$7:J40)))</f>
        <v>0</v>
      </c>
      <c r="K41" s="286">
        <f t="array" ref="K41">MIN((INDEX([2]SourceData!$B:$B, MATCH($D41,[2]SourceData!$A:$A, 0))-SUM($D41:J41)),  (MaxPtsPerSprint7-SUM(K$7:K40)))</f>
        <v>0</v>
      </c>
      <c r="L41" s="286">
        <f t="array" ref="L41">MIN((INDEX([2]SourceData!$B:$B, MATCH($D41,[2]SourceData!$A:$A, 0))-SUM($D41:K41)),  (MaxPtsPerSprint8-SUM(L$7:L40)))</f>
        <v>0</v>
      </c>
      <c r="M41" s="286">
        <f t="array" ref="M41">MIN((INDEX([2]SourceData!$B:$B, MATCH($D41,[2]SourceData!$A:$A, 0))-SUM($D41:L41)),  (MaxPtsPerSprint9-SUM(M$7:M40)))</f>
        <v>0</v>
      </c>
      <c r="N41" s="286">
        <f t="array" ref="N41">MIN((INDEX([2]SourceData!$B:$B, MATCH($D41,[2]SourceData!$A:$A, 0))-SUM($D41:M41)),  (MaxPtsPerSprint10-SUM(N$7:N40)))</f>
        <v>0</v>
      </c>
      <c r="O41" s="286">
        <f t="array" ref="O41">MIN((INDEX([2]SourceData!$B:$B, MATCH($D41,[2]SourceData!$A:$A, 0))-SUM($D41:N41)),  (MaxPtsPerSprint11-SUM(O$7:O40)))</f>
        <v>69.299999999999727</v>
      </c>
      <c r="P41" s="286">
        <f t="array" ref="P41">MIN((INDEX([2]SourceData!$B:$B, MATCH($D41,[2]SourceData!$A:$A, 0))-SUM($D41:O41)),  (MaxPtsPerSprint12-SUM(P$7:P40)))</f>
        <v>133.20000000000027</v>
      </c>
      <c r="Q41" s="286">
        <f t="array" ref="Q41">MIN((INDEX([2]SourceData!$B:$B, MATCH($D41,[2]SourceData!$A:$A, 0))-SUM($D41:P41)),  (MaxPtsPerSprint13-SUM(Q$7:Q40)))</f>
        <v>0</v>
      </c>
      <c r="R41" s="286">
        <f t="array" ref="R41">MIN((INDEX([2]SourceData!$B:$B, MATCH($D41,[2]SourceData!$A:$A, 0))-SUM($D41:Q41)),  (MaxPtsPerSprint14-SUM(R$7:R40)))</f>
        <v>0</v>
      </c>
      <c r="S41" s="286">
        <f t="array" ref="S41">MIN((INDEX([2]SourceData!$B:$B, MATCH($D41,[2]SourceData!$A:$A, 0))-SUM($D41:R41)),  (MaxPtsPerSprint15-SUM(S$7:S40)))</f>
        <v>0</v>
      </c>
      <c r="T41" s="286">
        <f t="array" ref="T41">MIN((INDEX([2]SourceData!$B:$B, MATCH($D41,[2]SourceData!$A:$A, 0))-SUM($D41:S41)),  (MaxPtsPerSprint16-SUM(T$7:T40)))</f>
        <v>0</v>
      </c>
      <c r="U41" s="286">
        <f t="array" ref="U41">MIN((INDEX([2]SourceData!$B:$B, MATCH($D41,[2]SourceData!$A:$A, 0))-SUM($D41:T41)),  (MaxPtsPerSprint17-SUM(U$7:U40)))</f>
        <v>0</v>
      </c>
      <c r="V41" s="286">
        <f t="array" ref="V41">MIN((INDEX([2]SourceData!$B:$B, MATCH($D41,[2]SourceData!$A:$A, 0))-SUM($D41:U41)),  (MaxPtsPerSprint18-SUM(V$7:V40)))</f>
        <v>0</v>
      </c>
      <c r="W41" s="286">
        <f t="array" ref="W41">MIN((INDEX([2]SourceData!$B:$B, MATCH($D41,[2]SourceData!$A:$A, 0))-SUM($D41:V41)),  (MaxPtsPerSprint19-SUM(W$7:W40)))</f>
        <v>0</v>
      </c>
      <c r="X41" s="286">
        <f t="array" ref="X41">MIN((INDEX([2]SourceData!$B:$B, MATCH($D41,[2]SourceData!$A:$A, 0))-SUM($D41:W41)),  (MaxPtsPerSprint20-SUM(X$7:X40)))</f>
        <v>0</v>
      </c>
      <c r="Y41" s="287">
        <f t="array" ref="Y41">MIN((INDEX([2]SourceData!$B:$B, MATCH($D41,[2]SourceData!$A:$A, 0))-SUM($D41:X41)),  (MaxPtsPerSprint21-SUM(Y$7:Y40)))</f>
        <v>0</v>
      </c>
      <c r="Z41" s="287">
        <f t="array" ref="Z41">MIN((INDEX([2]SourceData!$B:$B, MATCH($D41,[2]SourceData!$A:$A, 0))-SUM($D41:Y41)),  (MaxPtsPerSprint22-SUM(Z$7:Z40)))</f>
        <v>0</v>
      </c>
      <c r="AA41" s="287">
        <f t="array" ref="AA41">MIN((INDEX([2]SourceData!$B:$B, MATCH($D41,[2]SourceData!$A:$A, 0))-SUM($D41:Z41)),  (MaxPtsPerSprint23-SUM(AA$7:AA40)))</f>
        <v>0</v>
      </c>
      <c r="AB41" s="287">
        <f t="array" ref="AB41">MIN((INDEX([2]SourceData!$B:$B, MATCH($D41,[2]SourceData!$A:$A, 0))-SUM($D41:AA41)),  (MaxPtsPerSprint24-SUM(AB$7:AB40)))</f>
        <v>0</v>
      </c>
      <c r="AC41" s="287">
        <f t="array" ref="AC41">MIN((INDEX([2]SourceData!$B:$B, MATCH($D41,[2]SourceData!$A:$A, 0))-SUM($D41:AB41)),  (MaxPtsPerSprint24-SUM(AC$7:AC40)))</f>
        <v>0</v>
      </c>
      <c r="AD41" s="287">
        <f t="array" ref="AD41">MIN((INDEX([2]SourceData!$B:$B, MATCH($D41,[2]SourceData!$A:$A, 0))-SUM($D41:AC41)),  (MaxPtsPerSprint24-SUM(AD$7:AD40)))</f>
        <v>0</v>
      </c>
      <c r="AE41" s="288">
        <f t="shared" si="2"/>
        <v>202.5</v>
      </c>
      <c r="AF41" s="289">
        <f t="shared" si="3"/>
        <v>9.9769667557613895E-3</v>
      </c>
    </row>
    <row r="42" spans="2:32" ht="18.5" hidden="1" outlineLevel="1" x14ac:dyDescent="0.45">
      <c r="B42" s="284" t="str">
        <f>VLOOKUP(D42,'[2]Work Item Vlookup'!$A$2:$B$119,2,FALSE)</f>
        <v>WI0281</v>
      </c>
      <c r="C42" s="290"/>
      <c r="D42" s="285" t="str">
        <f>[2]SourceData!A36</f>
        <v>CEA Q4 2015 Rate Change</v>
      </c>
      <c r="E42" s="286">
        <f t="array" ref="E42">MIN((INDEX([2]SourceData!$B:$B, MATCH($D42,[2]SourceData!$A:$A, 0))-SUM($D42:D42)),  (MaxPtsPerSprint1-SUM(E$7:E41)))</f>
        <v>0</v>
      </c>
      <c r="F42" s="286">
        <f t="array" ref="F42">MIN((INDEX([2]SourceData!$B:$B, MATCH($D42,[2]SourceData!$A:$A, 0))-SUM($D42:E42)),  (MaxPtsPerSprint2-SUM(F$7:F41)))</f>
        <v>0</v>
      </c>
      <c r="G42" s="286">
        <f t="array" ref="G42">MIN((INDEX([2]SourceData!$B:$B, MATCH($D42,[2]SourceData!$A:$A, 0))-SUM($D42:F42)),  (MaxPtsPerSprint3-SUM(G$7:G41)))</f>
        <v>0</v>
      </c>
      <c r="H42" s="286">
        <f t="array" ref="H42">MIN((INDEX([2]SourceData!$B:$B, MATCH($D42,[2]SourceData!$A:$A, 0))-SUM($D42:G42)),  (MaxPtsPerSprint4-SUM(H$7:H41)))</f>
        <v>0</v>
      </c>
      <c r="I42" s="286">
        <f t="array" ref="I42">MIN((INDEX([2]SourceData!$B:$B, MATCH($D42,[2]SourceData!$A:$A, 0))-SUM($D42:H42)),  (MaxPtsPerSprint5-SUM(I$7:I41)))</f>
        <v>0</v>
      </c>
      <c r="J42" s="286">
        <f t="array" ref="J42">MIN((INDEX([2]SourceData!$B:$B, MATCH($D42,[2]SourceData!$A:$A, 0))-SUM($D42:I42)),  (MaxPtsPerSprint6-SUM(J$7:J41)))</f>
        <v>0</v>
      </c>
      <c r="K42" s="286">
        <f t="array" ref="K42">MIN((INDEX([2]SourceData!$B:$B, MATCH($D42,[2]SourceData!$A:$A, 0))-SUM($D42:J42)),  (MaxPtsPerSprint7-SUM(K$7:K41)))</f>
        <v>0</v>
      </c>
      <c r="L42" s="286">
        <f t="array" ref="L42">MIN((INDEX([2]SourceData!$B:$B, MATCH($D42,[2]SourceData!$A:$A, 0))-SUM($D42:K42)),  (MaxPtsPerSprint8-SUM(L$7:L41)))</f>
        <v>0</v>
      </c>
      <c r="M42" s="286">
        <f t="array" ref="M42">MIN((INDEX([2]SourceData!$B:$B, MATCH($D42,[2]SourceData!$A:$A, 0))-SUM($D42:L42)),  (MaxPtsPerSprint9-SUM(M$7:M41)))</f>
        <v>0</v>
      </c>
      <c r="N42" s="286">
        <f t="array" ref="N42">MIN((INDEX([2]SourceData!$B:$B, MATCH($D42,[2]SourceData!$A:$A, 0))-SUM($D42:M42)),  (MaxPtsPerSprint10-SUM(N$7:N41)))</f>
        <v>0</v>
      </c>
      <c r="O42" s="286">
        <f t="array" ref="O42">MIN((INDEX([2]SourceData!$B:$B, MATCH($D42,[2]SourceData!$A:$A, 0))-SUM($D42:N42)),  (MaxPtsPerSprint11-SUM(O$7:O41)))</f>
        <v>0</v>
      </c>
      <c r="P42" s="286">
        <f t="array" ref="P42">MIN((INDEX([2]SourceData!$B:$B, MATCH($D42,[2]SourceData!$A:$A, 0))-SUM($D42:O42)),  (MaxPtsPerSprint12-SUM(P$7:P41)))</f>
        <v>106</v>
      </c>
      <c r="Q42" s="286">
        <f t="array" ref="Q42">MIN((INDEX([2]SourceData!$B:$B, MATCH($D42,[2]SourceData!$A:$A, 0))-SUM($D42:P42)),  (MaxPtsPerSprint13-SUM(Q$7:Q41)))</f>
        <v>0</v>
      </c>
      <c r="R42" s="286">
        <f t="array" ref="R42">MIN((INDEX([2]SourceData!$B:$B, MATCH($D42,[2]SourceData!$A:$A, 0))-SUM($D42:Q42)),  (MaxPtsPerSprint14-SUM(R$7:R41)))</f>
        <v>0</v>
      </c>
      <c r="S42" s="286">
        <f t="array" ref="S42">MIN((INDEX([2]SourceData!$B:$B, MATCH($D42,[2]SourceData!$A:$A, 0))-SUM($D42:R42)),  (MaxPtsPerSprint15-SUM(S$7:S41)))</f>
        <v>0</v>
      </c>
      <c r="T42" s="286">
        <f t="array" ref="T42">MIN((INDEX([2]SourceData!$B:$B, MATCH($D42,[2]SourceData!$A:$A, 0))-SUM($D42:S42)),  (MaxPtsPerSprint16-SUM(T$7:T41)))</f>
        <v>0</v>
      </c>
      <c r="U42" s="286">
        <f t="array" ref="U42">MIN((INDEX([2]SourceData!$B:$B, MATCH($D42,[2]SourceData!$A:$A, 0))-SUM($D42:T42)),  (MaxPtsPerSprint17-SUM(U$7:U41)))</f>
        <v>0</v>
      </c>
      <c r="V42" s="286">
        <f t="array" ref="V42">MIN((INDEX([2]SourceData!$B:$B, MATCH($D42,[2]SourceData!$A:$A, 0))-SUM($D42:U42)),  (MaxPtsPerSprint18-SUM(V$7:V41)))</f>
        <v>0</v>
      </c>
      <c r="W42" s="286">
        <f t="array" ref="W42">MIN((INDEX([2]SourceData!$B:$B, MATCH($D42,[2]SourceData!$A:$A, 0))-SUM($D42:V42)),  (MaxPtsPerSprint19-SUM(W$7:W41)))</f>
        <v>0</v>
      </c>
      <c r="X42" s="286">
        <f t="array" ref="X42">MIN((INDEX([2]SourceData!$B:$B, MATCH($D42,[2]SourceData!$A:$A, 0))-SUM($D42:W42)),  (MaxPtsPerSprint20-SUM(X$7:X41)))</f>
        <v>0</v>
      </c>
      <c r="Y42" s="287">
        <f t="array" ref="Y42">MIN((INDEX([2]SourceData!$B:$B, MATCH($D42,[2]SourceData!$A:$A, 0))-SUM($D42:X42)),  (MaxPtsPerSprint21-SUM(Y$7:Y41)))</f>
        <v>0</v>
      </c>
      <c r="Z42" s="287">
        <f t="array" ref="Z42">MIN((INDEX([2]SourceData!$B:$B, MATCH($D42,[2]SourceData!$A:$A, 0))-SUM($D42:Y42)),  (MaxPtsPerSprint22-SUM(Z$7:Z41)))</f>
        <v>0</v>
      </c>
      <c r="AA42" s="287">
        <f t="array" ref="AA42">MIN((INDEX([2]SourceData!$B:$B, MATCH($D42,[2]SourceData!$A:$A, 0))-SUM($D42:Z42)),  (MaxPtsPerSprint23-SUM(AA$7:AA41)))</f>
        <v>0</v>
      </c>
      <c r="AB42" s="287">
        <f t="array" ref="AB42">MIN((INDEX([2]SourceData!$B:$B, MATCH($D42,[2]SourceData!$A:$A, 0))-SUM($D42:AA42)),  (MaxPtsPerSprint24-SUM(AB$7:AB41)))</f>
        <v>0</v>
      </c>
      <c r="AC42" s="287">
        <f t="array" ref="AC42">MIN((INDEX([2]SourceData!$B:$B, MATCH($D42,[2]SourceData!$A:$A, 0))-SUM($D42:AB42)),  (MaxPtsPerSprint24-SUM(AC$7:AC41)))</f>
        <v>0</v>
      </c>
      <c r="AD42" s="287">
        <f t="array" ref="AD42">MIN((INDEX([2]SourceData!$B:$B, MATCH($D42,[2]SourceData!$A:$A, 0))-SUM($D42:AC42)),  (MaxPtsPerSprint24-SUM(AD$7:AD41)))</f>
        <v>0</v>
      </c>
      <c r="AE42" s="288">
        <f t="shared" si="2"/>
        <v>106</v>
      </c>
      <c r="AF42" s="289">
        <f t="shared" si="3"/>
        <v>5.2225109931392953E-3</v>
      </c>
    </row>
    <row r="43" spans="2:32" ht="18.5" hidden="1" outlineLevel="1" x14ac:dyDescent="0.45">
      <c r="B43" s="284" t="str">
        <f>VLOOKUP(D43,'[2]Work Item Vlookup'!$A$2:$B$119,2,FALSE)</f>
        <v>WI0283</v>
      </c>
      <c r="C43" s="290"/>
      <c r="D43" s="285" t="str">
        <f>[2]SourceData!A37</f>
        <v>SS Automated Renewal Rules, Phase 1</v>
      </c>
      <c r="E43" s="286">
        <f t="array" ref="E43">MIN((INDEX([2]SourceData!$B:$B, MATCH($D43,[2]SourceData!$A:$A, 0))-SUM($D43:D43)),  (MaxPtsPerSprint1-SUM(E$7:E42)))</f>
        <v>0</v>
      </c>
      <c r="F43" s="286">
        <f t="array" ref="F43">MIN((INDEX([2]SourceData!$B:$B, MATCH($D43,[2]SourceData!$A:$A, 0))-SUM($D43:E43)),  (MaxPtsPerSprint2-SUM(F$7:F42)))</f>
        <v>0</v>
      </c>
      <c r="G43" s="286">
        <f t="array" ref="G43">MIN((INDEX([2]SourceData!$B:$B, MATCH($D43,[2]SourceData!$A:$A, 0))-SUM($D43:F43)),  (MaxPtsPerSprint3-SUM(G$7:G42)))</f>
        <v>0</v>
      </c>
      <c r="H43" s="286">
        <f t="array" ref="H43">MIN((INDEX([2]SourceData!$B:$B, MATCH($D43,[2]SourceData!$A:$A, 0))-SUM($D43:G43)),  (MaxPtsPerSprint4-SUM(H$7:H42)))</f>
        <v>0</v>
      </c>
      <c r="I43" s="286">
        <f t="array" ref="I43">MIN((INDEX([2]SourceData!$B:$B, MATCH($D43,[2]SourceData!$A:$A, 0))-SUM($D43:H43)),  (MaxPtsPerSprint5-SUM(I$7:I42)))</f>
        <v>0</v>
      </c>
      <c r="J43" s="286">
        <f t="array" ref="J43">MIN((INDEX([2]SourceData!$B:$B, MATCH($D43,[2]SourceData!$A:$A, 0))-SUM($D43:I43)),  (MaxPtsPerSprint6-SUM(J$7:J42)))</f>
        <v>0</v>
      </c>
      <c r="K43" s="286">
        <f t="array" ref="K43">MIN((INDEX([2]SourceData!$B:$B, MATCH($D43,[2]SourceData!$A:$A, 0))-SUM($D43:J43)),  (MaxPtsPerSprint7-SUM(K$7:K42)))</f>
        <v>0</v>
      </c>
      <c r="L43" s="286">
        <f t="array" ref="L43">MIN((INDEX([2]SourceData!$B:$B, MATCH($D43,[2]SourceData!$A:$A, 0))-SUM($D43:K43)),  (MaxPtsPerSprint8-SUM(L$7:L42)))</f>
        <v>0</v>
      </c>
      <c r="M43" s="286">
        <f t="array" ref="M43">MIN((INDEX([2]SourceData!$B:$B, MATCH($D43,[2]SourceData!$A:$A, 0))-SUM($D43:L43)),  (MaxPtsPerSprint9-SUM(M$7:M42)))</f>
        <v>0</v>
      </c>
      <c r="N43" s="286">
        <f t="array" ref="N43">MIN((INDEX([2]SourceData!$B:$B, MATCH($D43,[2]SourceData!$A:$A, 0))-SUM($D43:M43)),  (MaxPtsPerSprint10-SUM(N$7:N42)))</f>
        <v>0</v>
      </c>
      <c r="O43" s="286">
        <f t="array" ref="O43">MIN((INDEX([2]SourceData!$B:$B, MATCH($D43,[2]SourceData!$A:$A, 0))-SUM($D43:N43)),  (MaxPtsPerSprint11-SUM(O$7:O42)))</f>
        <v>0</v>
      </c>
      <c r="P43" s="286">
        <f t="array" ref="P43">MIN((INDEX([2]SourceData!$B:$B, MATCH($D43,[2]SourceData!$A:$A, 0))-SUM($D43:O43)),  (MaxPtsPerSprint12-SUM(P$7:P42)))</f>
        <v>14</v>
      </c>
      <c r="Q43" s="286">
        <f t="array" ref="Q43">MIN((INDEX([2]SourceData!$B:$B, MATCH($D43,[2]SourceData!$A:$A, 0))-SUM($D43:P43)),  (MaxPtsPerSprint13-SUM(Q$7:Q42)))</f>
        <v>0</v>
      </c>
      <c r="R43" s="286">
        <f t="array" ref="R43">MIN((INDEX([2]SourceData!$B:$B, MATCH($D43,[2]SourceData!$A:$A, 0))-SUM($D43:Q43)),  (MaxPtsPerSprint14-SUM(R$7:R42)))</f>
        <v>0</v>
      </c>
      <c r="S43" s="286">
        <f t="array" ref="S43">MIN((INDEX([2]SourceData!$B:$B, MATCH($D43,[2]SourceData!$A:$A, 0))-SUM($D43:R43)),  (MaxPtsPerSprint15-SUM(S$7:S42)))</f>
        <v>0</v>
      </c>
      <c r="T43" s="286">
        <f t="array" ref="T43">MIN((INDEX([2]SourceData!$B:$B, MATCH($D43,[2]SourceData!$A:$A, 0))-SUM($D43:S43)),  (MaxPtsPerSprint16-SUM(T$7:T42)))</f>
        <v>0</v>
      </c>
      <c r="U43" s="286">
        <f t="array" ref="U43">MIN((INDEX([2]SourceData!$B:$B, MATCH($D43,[2]SourceData!$A:$A, 0))-SUM($D43:T43)),  (MaxPtsPerSprint17-SUM(U$7:U42)))</f>
        <v>0</v>
      </c>
      <c r="V43" s="286">
        <f t="array" ref="V43">MIN((INDEX([2]SourceData!$B:$B, MATCH($D43,[2]SourceData!$A:$A, 0))-SUM($D43:U43)),  (MaxPtsPerSprint18-SUM(V$7:V42)))</f>
        <v>0</v>
      </c>
      <c r="W43" s="286">
        <f t="array" ref="W43">MIN((INDEX([2]SourceData!$B:$B, MATCH($D43,[2]SourceData!$A:$A, 0))-SUM($D43:V43)),  (MaxPtsPerSprint19-SUM(W$7:W42)))</f>
        <v>0</v>
      </c>
      <c r="X43" s="286">
        <f t="array" ref="X43">MIN((INDEX([2]SourceData!$B:$B, MATCH($D43,[2]SourceData!$A:$A, 0))-SUM($D43:W43)),  (MaxPtsPerSprint20-SUM(X$7:X42)))</f>
        <v>0</v>
      </c>
      <c r="Y43" s="287">
        <f t="array" ref="Y43">MIN((INDEX([2]SourceData!$B:$B, MATCH($D43,[2]SourceData!$A:$A, 0))-SUM($D43:X43)),  (MaxPtsPerSprint21-SUM(Y$7:Y42)))</f>
        <v>0</v>
      </c>
      <c r="Z43" s="287">
        <f t="array" ref="Z43">MIN((INDEX([2]SourceData!$B:$B, MATCH($D43,[2]SourceData!$A:$A, 0))-SUM($D43:Y43)),  (MaxPtsPerSprint22-SUM(Z$7:Z42)))</f>
        <v>0</v>
      </c>
      <c r="AA43" s="287">
        <f t="array" ref="AA43">MIN((INDEX([2]SourceData!$B:$B, MATCH($D43,[2]SourceData!$A:$A, 0))-SUM($D43:Z43)),  (MaxPtsPerSprint23-SUM(AA$7:AA42)))</f>
        <v>0</v>
      </c>
      <c r="AB43" s="287">
        <f t="array" ref="AB43">MIN((INDEX([2]SourceData!$B:$B, MATCH($D43,[2]SourceData!$A:$A, 0))-SUM($D43:AA43)),  (MaxPtsPerSprint24-SUM(AB$7:AB42)))</f>
        <v>0</v>
      </c>
      <c r="AC43" s="287">
        <f t="array" ref="AC43">MIN((INDEX([2]SourceData!$B:$B, MATCH($D43,[2]SourceData!$A:$A, 0))-SUM($D43:AB43)),  (MaxPtsPerSprint24-SUM(AC$7:AC42)))</f>
        <v>0</v>
      </c>
      <c r="AD43" s="287">
        <f t="array" ref="AD43">MIN((INDEX([2]SourceData!$B:$B, MATCH($D43,[2]SourceData!$A:$A, 0))-SUM($D43:AC43)),  (MaxPtsPerSprint24-SUM(AD$7:AD42)))</f>
        <v>0</v>
      </c>
      <c r="AE43" s="288">
        <f t="shared" si="2"/>
        <v>14</v>
      </c>
      <c r="AF43" s="289">
        <f t="shared" si="3"/>
        <v>6.8976560286745415E-4</v>
      </c>
    </row>
    <row r="44" spans="2:32" ht="18.5" hidden="1" outlineLevel="1" x14ac:dyDescent="0.45">
      <c r="B44" s="284" t="str">
        <f>VLOOKUP(D44,'[2]Work Item Vlookup'!$A$2:$B$119,2,FALSE)</f>
        <v>WI0160</v>
      </c>
      <c r="C44" s="290" t="s">
        <v>439</v>
      </c>
      <c r="D44" s="285" t="str">
        <f>[2]SourceData!A38</f>
        <v>UBI - Phase 2</v>
      </c>
      <c r="E44" s="286">
        <f t="array" ref="E44">MIN((INDEX([2]SourceData!$B:$B, MATCH($D44,[2]SourceData!$A:$A, 0))-SUM($D44:D44)),  (MaxPtsPerSprint1-SUM(E$7:E43)))</f>
        <v>0</v>
      </c>
      <c r="F44" s="286">
        <f t="array" ref="F44">MIN((INDEX([2]SourceData!$B:$B, MATCH($D44,[2]SourceData!$A:$A, 0))-SUM($D44:E44)),  (MaxPtsPerSprint2-SUM(F$7:F43)))</f>
        <v>0</v>
      </c>
      <c r="G44" s="286">
        <f t="array" ref="G44">MIN((INDEX([2]SourceData!$B:$B, MATCH($D44,[2]SourceData!$A:$A, 0))-SUM($D44:F44)),  (MaxPtsPerSprint3-SUM(G$7:G43)))</f>
        <v>0</v>
      </c>
      <c r="H44" s="286">
        <f t="array" ref="H44">MIN((INDEX([2]SourceData!$B:$B, MATCH($D44,[2]SourceData!$A:$A, 0))-SUM($D44:G44)),  (MaxPtsPerSprint4-SUM(H$7:H43)))</f>
        <v>0</v>
      </c>
      <c r="I44" s="286">
        <f t="array" ref="I44">MIN((INDEX([2]SourceData!$B:$B, MATCH($D44,[2]SourceData!$A:$A, 0))-SUM($D44:H44)),  (MaxPtsPerSprint5-SUM(I$7:I43)))</f>
        <v>0</v>
      </c>
      <c r="J44" s="286">
        <f t="array" ref="J44">MIN((INDEX([2]SourceData!$B:$B, MATCH($D44,[2]SourceData!$A:$A, 0))-SUM($D44:I44)),  (MaxPtsPerSprint6-SUM(J$7:J43)))</f>
        <v>0</v>
      </c>
      <c r="K44" s="286">
        <f t="array" ref="K44">MIN((INDEX([2]SourceData!$B:$B, MATCH($D44,[2]SourceData!$A:$A, 0))-SUM($D44:J44)),  (MaxPtsPerSprint7-SUM(K$7:K43)))</f>
        <v>0</v>
      </c>
      <c r="L44" s="286">
        <f t="array" ref="L44">MIN((INDEX([2]SourceData!$B:$B, MATCH($D44,[2]SourceData!$A:$A, 0))-SUM($D44:K44)),  (MaxPtsPerSprint8-SUM(L$7:L43)))</f>
        <v>0</v>
      </c>
      <c r="M44" s="286">
        <f t="array" ref="M44">MIN((INDEX([2]SourceData!$B:$B, MATCH($D44,[2]SourceData!$A:$A, 0))-SUM($D44:L44)),  (MaxPtsPerSprint9-SUM(M$7:M43)))</f>
        <v>0</v>
      </c>
      <c r="N44" s="286">
        <f t="array" ref="N44">MIN((INDEX([2]SourceData!$B:$B, MATCH($D44,[2]SourceData!$A:$A, 0))-SUM($D44:M44)),  (MaxPtsPerSprint10-SUM(N$7:N43)))</f>
        <v>0</v>
      </c>
      <c r="O44" s="286">
        <f t="array" ref="O44">MIN((INDEX([2]SourceData!$B:$B, MATCH($D44,[2]SourceData!$A:$A, 0))-SUM($D44:N44)),  (MaxPtsPerSprint11-SUM(O$7:O43)))</f>
        <v>0</v>
      </c>
      <c r="P44" s="286">
        <f t="array" ref="P44">MIN((INDEX([2]SourceData!$B:$B, MATCH($D44,[2]SourceData!$A:$A, 0))-SUM($D44:O44)),  (MaxPtsPerSprint12-SUM(P$7:P43)))</f>
        <v>105</v>
      </c>
      <c r="Q44" s="286">
        <f t="array" ref="Q44">MIN((INDEX([2]SourceData!$B:$B, MATCH($D44,[2]SourceData!$A:$A, 0))-SUM($D44:P44)),  (MaxPtsPerSprint13-SUM(Q$7:Q43)))</f>
        <v>0</v>
      </c>
      <c r="R44" s="286">
        <f t="array" ref="R44">MIN((INDEX([2]SourceData!$B:$B, MATCH($D44,[2]SourceData!$A:$A, 0))-SUM($D44:Q44)),  (MaxPtsPerSprint14-SUM(R$7:R43)))</f>
        <v>0</v>
      </c>
      <c r="S44" s="286">
        <f t="array" ref="S44">MIN((INDEX([2]SourceData!$B:$B, MATCH($D44,[2]SourceData!$A:$A, 0))-SUM($D44:R44)),  (MaxPtsPerSprint15-SUM(S$7:S43)))</f>
        <v>0</v>
      </c>
      <c r="T44" s="286">
        <f t="array" ref="T44">MIN((INDEX([2]SourceData!$B:$B, MATCH($D44,[2]SourceData!$A:$A, 0))-SUM($D44:S44)),  (MaxPtsPerSprint16-SUM(T$7:T43)))</f>
        <v>0</v>
      </c>
      <c r="U44" s="286">
        <f t="array" ref="U44">MIN((INDEX([2]SourceData!$B:$B, MATCH($D44,[2]SourceData!$A:$A, 0))-SUM($D44:T44)),  (MaxPtsPerSprint17-SUM(U$7:U43)))</f>
        <v>0</v>
      </c>
      <c r="V44" s="286">
        <f t="array" ref="V44">MIN((INDEX([2]SourceData!$B:$B, MATCH($D44,[2]SourceData!$A:$A, 0))-SUM($D44:U44)),  (MaxPtsPerSprint18-SUM(V$7:V43)))</f>
        <v>0</v>
      </c>
      <c r="W44" s="286">
        <f t="array" ref="W44">MIN((INDEX([2]SourceData!$B:$B, MATCH($D44,[2]SourceData!$A:$A, 0))-SUM($D44:V44)),  (MaxPtsPerSprint19-SUM(W$7:W43)))</f>
        <v>0</v>
      </c>
      <c r="X44" s="286">
        <f t="array" ref="X44">MIN((INDEX([2]SourceData!$B:$B, MATCH($D44,[2]SourceData!$A:$A, 0))-SUM($D44:W44)),  (MaxPtsPerSprint20-SUM(X$7:X43)))</f>
        <v>0</v>
      </c>
      <c r="Y44" s="287">
        <f t="array" ref="Y44">MIN((INDEX([2]SourceData!$B:$B, MATCH($D44,[2]SourceData!$A:$A, 0))-SUM($D44:X44)),  (MaxPtsPerSprint21-SUM(Y$7:Y43)))</f>
        <v>0</v>
      </c>
      <c r="Z44" s="287">
        <f t="array" ref="Z44">MIN((INDEX([2]SourceData!$B:$B, MATCH($D44,[2]SourceData!$A:$A, 0))-SUM($D44:Y44)),  (MaxPtsPerSprint22-SUM(Z$7:Z43)))</f>
        <v>0</v>
      </c>
      <c r="AA44" s="287">
        <f t="array" ref="AA44">MIN((INDEX([2]SourceData!$B:$B, MATCH($D44,[2]SourceData!$A:$A, 0))-SUM($D44:Z44)),  (MaxPtsPerSprint23-SUM(AA$7:AA43)))</f>
        <v>0</v>
      </c>
      <c r="AB44" s="287">
        <f t="array" ref="AB44">MIN((INDEX([2]SourceData!$B:$B, MATCH($D44,[2]SourceData!$A:$A, 0))-SUM($D44:AA44)),  (MaxPtsPerSprint24-SUM(AB$7:AB43)))</f>
        <v>0</v>
      </c>
      <c r="AC44" s="287">
        <f t="array" ref="AC44">MIN((INDEX([2]SourceData!$B:$B, MATCH($D44,[2]SourceData!$A:$A, 0))-SUM($D44:AB44)),  (MaxPtsPerSprint24-SUM(AC$7:AC43)))</f>
        <v>0</v>
      </c>
      <c r="AD44" s="287">
        <f t="array" ref="AD44">MIN((INDEX([2]SourceData!$B:$B, MATCH($D44,[2]SourceData!$A:$A, 0))-SUM($D44:AC44)),  (MaxPtsPerSprint24-SUM(AD$7:AD43)))</f>
        <v>0</v>
      </c>
      <c r="AE44" s="288">
        <f t="shared" si="2"/>
        <v>105</v>
      </c>
      <c r="AF44" s="289">
        <f t="shared" si="3"/>
        <v>5.1732420215059062E-3</v>
      </c>
    </row>
    <row r="45" spans="2:32" ht="18.5" hidden="1" outlineLevel="1" x14ac:dyDescent="0.45">
      <c r="B45" s="284" t="str">
        <f>VLOOKUP(D45,'[2]Work Item Vlookup'!$A$2:$B$119,2,FALSE)</f>
        <v>WI0206</v>
      </c>
      <c r="C45" s="290"/>
      <c r="D45" s="285" t="str">
        <f>[2]SourceData!A39</f>
        <v>6/12 Bill Plan Property</v>
      </c>
      <c r="E45" s="286"/>
      <c r="F45" s="286"/>
      <c r="G45" s="286"/>
      <c r="H45" s="286"/>
      <c r="I45" s="286"/>
      <c r="J45" s="286"/>
      <c r="K45" s="286">
        <f t="array" ref="K45">MIN((INDEX([2]SourceData!$B:$B, MATCH($D45,[2]SourceData!$A:$A, 0))-SUM($D45:J45)),  (MaxPtsPerSprint7-SUM(K$7:K44)))</f>
        <v>0</v>
      </c>
      <c r="L45" s="286">
        <f t="array" ref="L45">MIN((INDEX([2]SourceData!$B:$B, MATCH($D45,[2]SourceData!$A:$A, 0))-SUM($D45:K45)),  (MaxPtsPerSprint8-SUM(L$7:L44)))</f>
        <v>0</v>
      </c>
      <c r="M45" s="286">
        <f t="array" ref="M45">MIN((INDEX([2]SourceData!$B:$B, MATCH($D45,[2]SourceData!$A:$A, 0))-SUM($D45:L45)),  (MaxPtsPerSprint9-SUM(M$7:M44)))</f>
        <v>0</v>
      </c>
      <c r="N45" s="286">
        <f t="array" ref="N45">MIN((INDEX([2]SourceData!$B:$B, MATCH($D45,[2]SourceData!$A:$A, 0))-SUM($D45:M45)),  (MaxPtsPerSprint10-SUM(N$7:N44)))</f>
        <v>0</v>
      </c>
      <c r="O45" s="286">
        <f t="array" ref="O45">MIN((INDEX([2]SourceData!$B:$B, MATCH($D45,[2]SourceData!$A:$A, 0))-SUM($D45:N45)),  (MaxPtsPerSprint11-SUM(O$7:O44)))</f>
        <v>0</v>
      </c>
      <c r="P45" s="286">
        <f t="array" ref="P45">MIN((INDEX([2]SourceData!$B:$B, MATCH($D45,[2]SourceData!$A:$A, 0))-SUM($D45:O45)),  (MaxPtsPerSprint12-SUM(P$7:P44)))</f>
        <v>106</v>
      </c>
      <c r="Q45" s="286">
        <f t="array" ref="Q45">MIN((INDEX([2]SourceData!$B:$B, MATCH($D45,[2]SourceData!$A:$A, 0))-SUM($D45:P45)),  (MaxPtsPerSprint13-SUM(Q$7:Q44)))</f>
        <v>0</v>
      </c>
      <c r="R45" s="286">
        <f t="array" ref="R45">MIN((INDEX([2]SourceData!$B:$B, MATCH($D45,[2]SourceData!$A:$A, 0))-SUM($D45:Q45)),  (MaxPtsPerSprint14-SUM(R$7:R44)))</f>
        <v>0</v>
      </c>
      <c r="S45" s="286">
        <f t="array" ref="S45">MIN((INDEX([2]SourceData!$B:$B, MATCH($D45,[2]SourceData!$A:$A, 0))-SUM($D45:R45)),  (MaxPtsPerSprint15-SUM(S$7:S44)))</f>
        <v>0</v>
      </c>
      <c r="T45" s="286">
        <f t="array" ref="T45">MIN((INDEX([2]SourceData!$B:$B, MATCH($D45,[2]SourceData!$A:$A, 0))-SUM($D45:S45)),  (MaxPtsPerSprint16-SUM(T$7:T44)))</f>
        <v>0</v>
      </c>
      <c r="U45" s="286">
        <f t="array" ref="U45">MIN((INDEX([2]SourceData!$B:$B, MATCH($D45,[2]SourceData!$A:$A, 0))-SUM($D45:T45)),  (MaxPtsPerSprint17-SUM(U$7:U44)))</f>
        <v>0</v>
      </c>
      <c r="V45" s="286">
        <f t="array" ref="V45">MIN((INDEX([2]SourceData!$B:$B, MATCH($D45,[2]SourceData!$A:$A, 0))-SUM($D45:U45)),  (MaxPtsPerSprint18-SUM(V$7:V44)))</f>
        <v>0</v>
      </c>
      <c r="W45" s="286">
        <f t="array" ref="W45">MIN((INDEX([2]SourceData!$B:$B, MATCH($D45,[2]SourceData!$A:$A, 0))-SUM($D45:V45)),  (MaxPtsPerSprint19-SUM(W$7:W44)))</f>
        <v>0</v>
      </c>
      <c r="X45" s="286">
        <f t="array" ref="X45">MIN((INDEX([2]SourceData!$B:$B, MATCH($D45,[2]SourceData!$A:$A, 0))-SUM($D45:W45)),  (MaxPtsPerSprint20-SUM(X$7:X44)))</f>
        <v>0</v>
      </c>
      <c r="Y45" s="287">
        <f t="array" ref="Y45">MIN((INDEX([2]SourceData!$B:$B, MATCH($D45,[2]SourceData!$A:$A, 0))-SUM($D45:X45)),  (MaxPtsPerSprint21-SUM(Y$7:Y44)))</f>
        <v>0</v>
      </c>
      <c r="Z45" s="287">
        <f t="array" ref="Z45">MIN((INDEX([2]SourceData!$B:$B, MATCH($D45,[2]SourceData!$A:$A, 0))-SUM($D45:Y45)),  (MaxPtsPerSprint22-SUM(Z$7:Z44)))</f>
        <v>0</v>
      </c>
      <c r="AA45" s="287">
        <f t="array" ref="AA45">MIN((INDEX([2]SourceData!$B:$B, MATCH($D45,[2]SourceData!$A:$A, 0))-SUM($D45:Z45)),  (MaxPtsPerSprint23-SUM(AA$7:AA44)))</f>
        <v>0</v>
      </c>
      <c r="AB45" s="287">
        <f t="array" ref="AB45">MIN((INDEX([2]SourceData!$B:$B, MATCH($D45,[2]SourceData!$A:$A, 0))-SUM($D45:AA45)),  (MaxPtsPerSprint24-SUM(AB$7:AB44)))</f>
        <v>0</v>
      </c>
      <c r="AC45" s="287">
        <f t="array" ref="AC45">MIN((INDEX([2]SourceData!$B:$B, MATCH($D45,[2]SourceData!$A:$A, 0))-SUM($D45:AB45)),  (MaxPtsPerSprint24-SUM(AC$7:AC44)))</f>
        <v>0</v>
      </c>
      <c r="AD45" s="287">
        <f t="array" ref="AD45">MIN((INDEX([2]SourceData!$B:$B, MATCH($D45,[2]SourceData!$A:$A, 0))-SUM($D45:AC45)),  (MaxPtsPerSprint24-SUM(AD$7:AD44)))</f>
        <v>0</v>
      </c>
      <c r="AE45" s="288">
        <f t="shared" si="2"/>
        <v>106</v>
      </c>
      <c r="AF45" s="289"/>
    </row>
    <row r="46" spans="2:32" ht="18.5" hidden="1" outlineLevel="1" x14ac:dyDescent="0.45">
      <c r="B46" s="284" t="str">
        <f>VLOOKUP(D46,'[2]Work Item Vlookup'!$A$2:$B$119,2,FALSE)</f>
        <v>WI0032</v>
      </c>
      <c r="C46" s="290" t="s">
        <v>440</v>
      </c>
      <c r="D46" s="285" t="str">
        <f>[2]SourceData!A40</f>
        <v>OK Property</v>
      </c>
      <c r="E46" s="286">
        <f t="array" ref="E46">MIN((INDEX([2]SourceData!$B:$B, MATCH($D46,[2]SourceData!$A:$A, 0))-SUM($D46:D46)),  (MaxPtsPerSprint1-SUM(E$7:E44)))</f>
        <v>0</v>
      </c>
      <c r="F46" s="286">
        <f t="array" ref="F46">MIN((INDEX([2]SourceData!$B:$B, MATCH($D46,[2]SourceData!$A:$A, 0))-SUM($D46:E46)),  (MaxPtsPerSprint2-SUM(F$7:F44)))</f>
        <v>0</v>
      </c>
      <c r="G46" s="286">
        <f t="array" ref="G46">MIN((INDEX([2]SourceData!$B:$B, MATCH($D46,[2]SourceData!$A:$A, 0))-SUM($D46:F46)),  (MaxPtsPerSprint3-SUM(G$7:G44)))</f>
        <v>0</v>
      </c>
      <c r="H46" s="286">
        <f t="array" ref="H46">MIN((INDEX([2]SourceData!$B:$B, MATCH($D46,[2]SourceData!$A:$A, 0))-SUM($D46:G46)),  (MaxPtsPerSprint4-SUM(H$7:H44)))</f>
        <v>0</v>
      </c>
      <c r="I46" s="286">
        <f t="array" ref="I46">MIN((INDEX([2]SourceData!$B:$B, MATCH($D46,[2]SourceData!$A:$A, 0))-SUM($D46:H46)),  (MaxPtsPerSprint5-SUM(I$7:I44)))</f>
        <v>0</v>
      </c>
      <c r="J46" s="286">
        <f t="array" ref="J46">MIN((INDEX([2]SourceData!$B:$B, MATCH($D46,[2]SourceData!$A:$A, 0))-SUM($D46:I46)),  (MaxPtsPerSprint6-SUM(J$7:J44)))</f>
        <v>0</v>
      </c>
      <c r="K46" s="286">
        <f t="array" ref="K46">MIN((INDEX([2]SourceData!$B:$B, MATCH($D46,[2]SourceData!$A:$A, 0))-SUM($D46:J46)),  (MaxPtsPerSprint7-SUM(K$7:K45)))</f>
        <v>0</v>
      </c>
      <c r="L46" s="286">
        <f t="array" ref="L46">MIN((INDEX([2]SourceData!$B:$B, MATCH($D46,[2]SourceData!$A:$A, 0))-SUM($D46:K46)),  (MaxPtsPerSprint8-SUM(L$7:L45)))</f>
        <v>0</v>
      </c>
      <c r="M46" s="286">
        <f t="array" ref="M46">MIN((INDEX([2]SourceData!$B:$B, MATCH($D46,[2]SourceData!$A:$A, 0))-SUM($D46:L46)),  (MaxPtsPerSprint9-SUM(M$7:M45)))</f>
        <v>0</v>
      </c>
      <c r="N46" s="286">
        <f t="array" ref="N46">MIN((INDEX([2]SourceData!$B:$B, MATCH($D46,[2]SourceData!$A:$A, 0))-SUM($D46:M46)),  (MaxPtsPerSprint10-SUM(N$7:N45)))</f>
        <v>0</v>
      </c>
      <c r="O46" s="286">
        <f t="array" ref="O46">MIN((INDEX([2]SourceData!$B:$B, MATCH($D46,[2]SourceData!$A:$A, 0))-SUM($D46:N46)),  (MaxPtsPerSprint11-SUM(O$7:O45)))</f>
        <v>0</v>
      </c>
      <c r="P46" s="286">
        <f t="array" ref="P46">MIN((INDEX([2]SourceData!$B:$B, MATCH($D46,[2]SourceData!$A:$A, 0))-SUM($D46:O46)),  (MaxPtsPerSprint12-SUM(P$7:P45)))</f>
        <v>105</v>
      </c>
      <c r="Q46" s="286">
        <f t="array" ref="Q46">MIN((INDEX([2]SourceData!$B:$B, MATCH($D46,[2]SourceData!$A:$A, 0))-SUM($D46:P46)),  (MaxPtsPerSprint13-SUM(Q$7:Q45)))</f>
        <v>0</v>
      </c>
      <c r="R46" s="286">
        <f t="array" ref="R46">MIN((INDEX([2]SourceData!$B:$B, MATCH($D46,[2]SourceData!$A:$A, 0))-SUM($D46:Q46)),  (MaxPtsPerSprint14-SUM(R$7:R45)))</f>
        <v>0</v>
      </c>
      <c r="S46" s="286">
        <f t="array" ref="S46">MIN((INDEX([2]SourceData!$B:$B, MATCH($D46,[2]SourceData!$A:$A, 0))-SUM($D46:R46)),  (MaxPtsPerSprint15-SUM(S$7:S45)))</f>
        <v>0</v>
      </c>
      <c r="T46" s="286">
        <f t="array" ref="T46">MIN((INDEX([2]SourceData!$B:$B, MATCH($D46,[2]SourceData!$A:$A, 0))-SUM($D46:S46)),  (MaxPtsPerSprint16-SUM(T$7:T45)))</f>
        <v>0</v>
      </c>
      <c r="U46" s="286">
        <f t="array" ref="U46">MIN((INDEX([2]SourceData!$B:$B, MATCH($D46,[2]SourceData!$A:$A, 0))-SUM($D46:T46)),  (MaxPtsPerSprint17-SUM(U$7:U45)))</f>
        <v>0</v>
      </c>
      <c r="V46" s="286">
        <f t="array" ref="V46">MIN((INDEX([2]SourceData!$B:$B, MATCH($D46,[2]SourceData!$A:$A, 0))-SUM($D46:U46)),  (MaxPtsPerSprint18-SUM(V$7:V45)))</f>
        <v>0</v>
      </c>
      <c r="W46" s="286">
        <f t="array" ref="W46">MIN((INDEX([2]SourceData!$B:$B, MATCH($D46,[2]SourceData!$A:$A, 0))-SUM($D46:V46)),  (MaxPtsPerSprint19-SUM(W$7:W45)))</f>
        <v>0</v>
      </c>
      <c r="X46" s="286">
        <f t="array" ref="X46">MIN((INDEX([2]SourceData!$B:$B, MATCH($D46,[2]SourceData!$A:$A, 0))-SUM($D46:W46)),  (MaxPtsPerSprint20-SUM(X$7:X45)))</f>
        <v>0</v>
      </c>
      <c r="Y46" s="287">
        <f t="array" ref="Y46">MIN((INDEX([2]SourceData!$B:$B, MATCH($D46,[2]SourceData!$A:$A, 0))-SUM($D46:X46)),  (MaxPtsPerSprint21-SUM(Y$7:Y45)))</f>
        <v>0</v>
      </c>
      <c r="Z46" s="287">
        <f t="array" ref="Z46">MIN((INDEX([2]SourceData!$B:$B, MATCH($D46,[2]SourceData!$A:$A, 0))-SUM($D46:Y46)),  (MaxPtsPerSprint22-SUM(Z$7:Z45)))</f>
        <v>0</v>
      </c>
      <c r="AA46" s="287">
        <f t="array" ref="AA46">MIN((INDEX([2]SourceData!$B:$B, MATCH($D46,[2]SourceData!$A:$A, 0))-SUM($D46:Z46)),  (MaxPtsPerSprint23-SUM(AA$7:AA45)))</f>
        <v>0</v>
      </c>
      <c r="AB46" s="287">
        <f t="array" ref="AB46">MIN((INDEX([2]SourceData!$B:$B, MATCH($D46,[2]SourceData!$A:$A, 0))-SUM($D46:AA46)),  (MaxPtsPerSprint24-SUM(AB$7:AB45)))</f>
        <v>0</v>
      </c>
      <c r="AC46" s="287">
        <f t="array" ref="AC46">MIN((INDEX([2]SourceData!$B:$B, MATCH($D46,[2]SourceData!$A:$A, 0))-SUM($D46:AB46)),  (MaxPtsPerSprint24-SUM(AC$7:AC45)))</f>
        <v>0</v>
      </c>
      <c r="AD46" s="287">
        <f t="array" ref="AD46">MIN((INDEX([2]SourceData!$B:$B, MATCH($D46,[2]SourceData!$A:$A, 0))-SUM($D46:AC46)),  (MaxPtsPerSprint24-SUM(AD$7:AD45)))</f>
        <v>0</v>
      </c>
      <c r="AE46" s="288">
        <f t="shared" si="2"/>
        <v>105</v>
      </c>
      <c r="AF46" s="289">
        <f>AE46/$AE$131</f>
        <v>5.1732420215059062E-3</v>
      </c>
    </row>
    <row r="47" spans="2:32" ht="18.5" hidden="1" outlineLevel="1" x14ac:dyDescent="0.45">
      <c r="B47" s="284" t="str">
        <f>VLOOKUP(D47,'[2]Work Item Vlookup'!$A$2:$B$119,2,FALSE)</f>
        <v>WI0269</v>
      </c>
      <c r="C47" s="284" t="s">
        <v>441</v>
      </c>
      <c r="D47" s="285" t="str">
        <f>[2]SourceData!A41</f>
        <v>UBI - Phase 3</v>
      </c>
      <c r="E47" s="286">
        <f t="array" ref="E47">MIN((INDEX([2]SourceData!$B:$B, MATCH($D47,[2]SourceData!$A:$A, 0))-SUM($D47:D47)),  (MaxPtsPerSprint1-SUM(E$7:E46)))</f>
        <v>0</v>
      </c>
      <c r="F47" s="286">
        <f t="array" ref="F47">MIN((INDEX([2]SourceData!$B:$B, MATCH($D47,[2]SourceData!$A:$A, 0))-SUM($D47:E47)),  (MaxPtsPerSprint2-SUM(F$7:F46)))</f>
        <v>0</v>
      </c>
      <c r="G47" s="286">
        <f t="array" ref="G47">MIN((INDEX([2]SourceData!$B:$B, MATCH($D47,[2]SourceData!$A:$A, 0))-SUM($D47:F47)),  (MaxPtsPerSprint3-SUM(G$7:G46)))</f>
        <v>0</v>
      </c>
      <c r="H47" s="286">
        <f t="array" ref="H47">MIN((INDEX([2]SourceData!$B:$B, MATCH($D47,[2]SourceData!$A:$A, 0))-SUM($D47:G47)),  (MaxPtsPerSprint4-SUM(H$7:H46)))</f>
        <v>0</v>
      </c>
      <c r="I47" s="286">
        <f t="array" ref="I47">MIN((INDEX([2]SourceData!$B:$B, MATCH($D47,[2]SourceData!$A:$A, 0))-SUM($D47:H47)),  (MaxPtsPerSprint5-SUM(I$7:I46)))</f>
        <v>0</v>
      </c>
      <c r="J47" s="286">
        <f t="array" ref="J47">MIN((INDEX([2]SourceData!$B:$B, MATCH($D47,[2]SourceData!$A:$A, 0))-SUM($D47:I47)),  (MaxPtsPerSprint6-SUM(J$7:J46)))</f>
        <v>0</v>
      </c>
      <c r="K47" s="286">
        <f t="array" ref="K47">MIN((INDEX([2]SourceData!$B:$B, MATCH($D47,[2]SourceData!$A:$A, 0))-SUM($D47:J47)),  (MaxPtsPerSprint7-SUM(K$7:K46)))</f>
        <v>0</v>
      </c>
      <c r="L47" s="286">
        <f t="array" ref="L47">MIN((INDEX([2]SourceData!$B:$B, MATCH($D47,[2]SourceData!$A:$A, 0))-SUM($D47:K47)),  (MaxPtsPerSprint8-SUM(L$7:L46)))</f>
        <v>0</v>
      </c>
      <c r="M47" s="286">
        <f t="array" ref="M47">MIN((INDEX([2]SourceData!$B:$B, MATCH($D47,[2]SourceData!$A:$A, 0))-SUM($D47:L47)),  (MaxPtsPerSprint9-SUM(M$7:M46)))</f>
        <v>0</v>
      </c>
      <c r="N47" s="286">
        <f t="array" ref="N47">MIN((INDEX([2]SourceData!$B:$B, MATCH($D47,[2]SourceData!$A:$A, 0))-SUM($D47:M47)),  (MaxPtsPerSprint10-SUM(N$7:N46)))</f>
        <v>0</v>
      </c>
      <c r="O47" s="286">
        <f t="array" ref="O47">MIN((INDEX([2]SourceData!$B:$B, MATCH($D47,[2]SourceData!$A:$A, 0))-SUM($D47:N47)),  (MaxPtsPerSprint11-SUM(O$7:O46)))</f>
        <v>0</v>
      </c>
      <c r="P47" s="286">
        <f t="array" ref="P47">MIN((INDEX([2]SourceData!$B:$B, MATCH($D47,[2]SourceData!$A:$A, 0))-SUM($D47:O47)),  (MaxPtsPerSprint12-SUM(P$7:P46)))</f>
        <v>18</v>
      </c>
      <c r="Q47" s="286">
        <f t="array" ref="Q47">MIN((INDEX([2]SourceData!$B:$B, MATCH($D47,[2]SourceData!$A:$A, 0))-SUM($D47:P47)),  (MaxPtsPerSprint13-SUM(Q$7:Q46)))</f>
        <v>0</v>
      </c>
      <c r="R47" s="286">
        <f t="array" ref="R47">MIN((INDEX([2]SourceData!$B:$B, MATCH($D47,[2]SourceData!$A:$A, 0))-SUM($D47:Q47)),  (MaxPtsPerSprint14-SUM(R$7:R46)))</f>
        <v>0</v>
      </c>
      <c r="S47" s="286">
        <f t="array" ref="S47">MIN((INDEX([2]SourceData!$B:$B, MATCH($D47,[2]SourceData!$A:$A, 0))-SUM($D47:R47)),  (MaxPtsPerSprint15-SUM(S$7:S46)))</f>
        <v>0</v>
      </c>
      <c r="T47" s="286">
        <f t="array" ref="T47">MIN((INDEX([2]SourceData!$B:$B, MATCH($D47,[2]SourceData!$A:$A, 0))-SUM($D47:S47)),  (MaxPtsPerSprint16-SUM(T$7:T46)))</f>
        <v>0</v>
      </c>
      <c r="U47" s="286">
        <f t="array" ref="U47">MIN((INDEX([2]SourceData!$B:$B, MATCH($D47,[2]SourceData!$A:$A, 0))-SUM($D47:T47)),  (MaxPtsPerSprint17-SUM(U$7:U46)))</f>
        <v>0</v>
      </c>
      <c r="V47" s="286">
        <f t="array" ref="V47">MIN((INDEX([2]SourceData!$B:$B, MATCH($D47,[2]SourceData!$A:$A, 0))-SUM($D47:U47)),  (MaxPtsPerSprint18-SUM(V$7:V46)))</f>
        <v>0</v>
      </c>
      <c r="W47" s="286">
        <f t="array" ref="W47">MIN((INDEX([2]SourceData!$B:$B, MATCH($D47,[2]SourceData!$A:$A, 0))-SUM($D47:V47)),  (MaxPtsPerSprint19-SUM(W$7:W46)))</f>
        <v>0</v>
      </c>
      <c r="X47" s="286">
        <f t="array" ref="X47">MIN((INDEX([2]SourceData!$B:$B, MATCH($D47,[2]SourceData!$A:$A, 0))-SUM($D47:W47)),  (MaxPtsPerSprint20-SUM(X$7:X46)))</f>
        <v>0</v>
      </c>
      <c r="Y47" s="287">
        <f t="array" ref="Y47">MIN((INDEX([2]SourceData!$B:$B, MATCH($D47,[2]SourceData!$A:$A, 0))-SUM($D47:X47)),  (MaxPtsPerSprint21-SUM(Y$7:Y46)))</f>
        <v>0</v>
      </c>
      <c r="Z47" s="287">
        <f t="array" ref="Z47">MIN((INDEX([2]SourceData!$B:$B, MATCH($D47,[2]SourceData!$A:$A, 0))-SUM($D47:Y47)),  (MaxPtsPerSprint22-SUM(Z$7:Z46)))</f>
        <v>0</v>
      </c>
      <c r="AA47" s="287">
        <f t="array" ref="AA47">MIN((INDEX([2]SourceData!$B:$B, MATCH($D47,[2]SourceData!$A:$A, 0))-SUM($D47:Z47)),  (MaxPtsPerSprint23-SUM(AA$7:AA46)))</f>
        <v>0</v>
      </c>
      <c r="AB47" s="287">
        <f t="array" ref="AB47">MIN((INDEX([2]SourceData!$B:$B, MATCH($D47,[2]SourceData!$A:$A, 0))-SUM($D47:AA47)),  (MaxPtsPerSprint24-SUM(AB$7:AB46)))</f>
        <v>0</v>
      </c>
      <c r="AC47" s="287">
        <f t="array" ref="AC47">MIN((INDEX([2]SourceData!$B:$B, MATCH($D47,[2]SourceData!$A:$A, 0))-SUM($D47:AB47)),  (MaxPtsPerSprint24-SUM(AC$7:AC46)))</f>
        <v>0</v>
      </c>
      <c r="AD47" s="287">
        <f t="array" ref="AD47">MIN((INDEX([2]SourceData!$B:$B, MATCH($D47,[2]SourceData!$A:$A, 0))-SUM($D47:AC47)),  (MaxPtsPerSprint24-SUM(AD$7:AD46)))</f>
        <v>0</v>
      </c>
      <c r="AE47" s="288">
        <f t="shared" si="2"/>
        <v>18</v>
      </c>
      <c r="AF47" s="289">
        <f>AE47/$AE$131</f>
        <v>8.8684148940101253E-4</v>
      </c>
    </row>
    <row r="48" spans="2:32" ht="18.5" hidden="1" outlineLevel="1" x14ac:dyDescent="0.45">
      <c r="B48" s="293" t="str">
        <f>VLOOKUP(D48,'[2]Work Item Vlookup'!$A$2:$B$119,2,FALSE)</f>
        <v>WI0191</v>
      </c>
      <c r="C48" s="284" t="s">
        <v>441</v>
      </c>
      <c r="D48" s="294" t="str">
        <f>[2]SourceData!A42</f>
        <v>Misc Prod Enhancements PAS7</v>
      </c>
      <c r="E48" s="286"/>
      <c r="F48" s="286"/>
      <c r="G48" s="286"/>
      <c r="H48" s="286"/>
      <c r="I48" s="286"/>
      <c r="J48" s="286"/>
      <c r="K48" s="286"/>
      <c r="L48" s="286"/>
      <c r="M48" s="286"/>
      <c r="N48" s="286"/>
      <c r="O48" s="286">
        <f t="array" ref="O48">MIN((INDEX([2]SourceData!$B:$B, MATCH($D48,[2]SourceData!$A:$A, 0))-SUM($D48:N48)),  (MaxPtsPerSprint11-SUM(O$7:O47)))</f>
        <v>0</v>
      </c>
      <c r="P48" s="295">
        <f t="array" ref="P48">MIN((INDEX([2]SourceData!$B:$B, MATCH($D48,[2]SourceData!$A:$A, 0))-SUM($D48:O48)),  (MaxPtsPerSprint12-SUM(P$7:P47)))</f>
        <v>0.29999999999972715</v>
      </c>
      <c r="Q48" s="295">
        <f t="array" ref="Q48">MIN((INDEX([2]SourceData!$B:$B, MATCH($D48,[2]SourceData!$A:$A, 0))-SUM($D48:P48)),  (MaxPtsPerSprint13-SUM(Q$7:Q47)))</f>
        <v>27.700000000000273</v>
      </c>
      <c r="R48" s="295">
        <f t="array" ref="R48">MIN((INDEX([2]SourceData!$B:$B, MATCH($D48,[2]SourceData!$A:$A, 0))-SUM($D48:Q48)),  (MaxPtsPerSprint14-SUM(R$7:R47)))</f>
        <v>0</v>
      </c>
      <c r="S48" s="295">
        <f t="array" ref="S48">MIN((INDEX([2]SourceData!$B:$B, MATCH($D48,[2]SourceData!$A:$A, 0))-SUM($D48:R48)),  (MaxPtsPerSprint15-SUM(S$7:S47)))</f>
        <v>0</v>
      </c>
      <c r="T48" s="295">
        <f t="array" ref="T48">MIN((INDEX([2]SourceData!$B:$B, MATCH($D48,[2]SourceData!$A:$A, 0))-SUM($D48:S48)),  (MaxPtsPerSprint16-SUM(T$7:T47)))</f>
        <v>0</v>
      </c>
      <c r="U48" s="295">
        <f t="array" ref="U48">MIN((INDEX([2]SourceData!$B:$B, MATCH($D48,[2]SourceData!$A:$A, 0))-SUM($D48:T48)),  (MaxPtsPerSprint17-SUM(U$7:U47)))</f>
        <v>0</v>
      </c>
      <c r="V48" s="295">
        <f t="array" ref="V48">MIN((INDEX([2]SourceData!$B:$B, MATCH($D48,[2]SourceData!$A:$A, 0))-SUM($D48:U48)),  (MaxPtsPerSprint18-SUM(V$7:V47)))</f>
        <v>0</v>
      </c>
      <c r="W48" s="295">
        <f t="array" ref="W48">MIN((INDEX([2]SourceData!$B:$B, MATCH($D48,[2]SourceData!$A:$A, 0))-SUM($D48:V48)),  (MaxPtsPerSprint19-SUM(W$7:W47)))</f>
        <v>0</v>
      </c>
      <c r="X48" s="286">
        <f t="array" ref="X48">MIN((INDEX([2]SourceData!$B:$B, MATCH($D48,[2]SourceData!$A:$A, 0))-SUM($D48:W48)),  (MaxPtsPerSprint20-SUM(X$7:X47)))</f>
        <v>0</v>
      </c>
      <c r="Y48" s="287">
        <f t="array" ref="Y48">MIN((INDEX([2]SourceData!$B:$B, MATCH($D48,[2]SourceData!$A:$A, 0))-SUM($D48:X48)),  (MaxPtsPerSprint21-SUM(Y$7:Y47)))</f>
        <v>0</v>
      </c>
      <c r="Z48" s="287">
        <f t="array" ref="Z48">MIN((INDEX([2]SourceData!$B:$B, MATCH($D48,[2]SourceData!$A:$A, 0))-SUM($D48:Y48)),  (MaxPtsPerSprint22-SUM(Z$7:Z47)))</f>
        <v>0</v>
      </c>
      <c r="AA48" s="287">
        <f t="array" ref="AA48">MIN((INDEX([2]SourceData!$B:$B, MATCH($D48,[2]SourceData!$A:$A, 0))-SUM($D48:Z48)),  (MaxPtsPerSprint23-SUM(AA$7:AA47)))</f>
        <v>0</v>
      </c>
      <c r="AB48" s="287">
        <f t="array" ref="AB48">MIN((INDEX([2]SourceData!$B:$B, MATCH($D48,[2]SourceData!$A:$A, 0))-SUM($D48:AA48)),  (MaxPtsPerSprint24-SUM(AB$7:AB47)))</f>
        <v>0</v>
      </c>
      <c r="AC48" s="287">
        <f t="array" ref="AC48">MIN((INDEX([2]SourceData!$B:$B, MATCH($D48,[2]SourceData!$A:$A, 0))-SUM($D48:AB48)),  (MaxPtsPerSprint24-SUM(AC$7:AC47)))</f>
        <v>0</v>
      </c>
      <c r="AD48" s="287">
        <f t="array" ref="AD48">MIN((INDEX([2]SourceData!$B:$B, MATCH($D48,[2]SourceData!$A:$A, 0))-SUM($D48:AC48)),  (MaxPtsPerSprint24-SUM(AD$7:AD47)))</f>
        <v>0</v>
      </c>
      <c r="AE48" s="288">
        <f t="shared" si="2"/>
        <v>28</v>
      </c>
      <c r="AF48" s="289"/>
    </row>
    <row r="49" spans="2:32" ht="18.5" hidden="1" outlineLevel="1" x14ac:dyDescent="0.45">
      <c r="B49" s="284" t="str">
        <f>VLOOKUP(D49,'[2]Work Item Vlookup'!$A$2:$B$119,2,FALSE)</f>
        <v>WI0048</v>
      </c>
      <c r="C49" s="290" t="s">
        <v>222</v>
      </c>
      <c r="D49" s="285" t="str">
        <f>[2]SourceData!A43</f>
        <v>MD Property</v>
      </c>
      <c r="E49" s="286">
        <f t="array" ref="E49">MIN((INDEX([2]SourceData!$B:$B, MATCH($D49,[2]SourceData!$A:$A, 0))-SUM($D49:D49)),  (MaxPtsPerSprint1-SUM(E$7:E47)))</f>
        <v>0</v>
      </c>
      <c r="F49" s="286">
        <f t="array" ref="F49">MIN((INDEX([2]SourceData!$B:$B, MATCH($D49,[2]SourceData!$A:$A, 0))-SUM($D49:E49)),  (MaxPtsPerSprint2-SUM(F$7:F47)))</f>
        <v>0</v>
      </c>
      <c r="G49" s="286">
        <f t="array" ref="G49">MIN((INDEX([2]SourceData!$B:$B, MATCH($D49,[2]SourceData!$A:$A, 0))-SUM($D49:F49)),  (MaxPtsPerSprint3-SUM(G$7:G47)))</f>
        <v>0</v>
      </c>
      <c r="H49" s="286">
        <f t="array" ref="H49">MIN((INDEX([2]SourceData!$B:$B, MATCH($D49,[2]SourceData!$A:$A, 0))-SUM($D49:G49)),  (MaxPtsPerSprint4-SUM(H$7:H47)))</f>
        <v>0</v>
      </c>
      <c r="I49" s="286">
        <f t="array" ref="I49">MIN((INDEX([2]SourceData!$B:$B, MATCH($D49,[2]SourceData!$A:$A, 0))-SUM($D49:H49)),  (MaxPtsPerSprint5-SUM(I$7:I47)))</f>
        <v>0</v>
      </c>
      <c r="J49" s="286">
        <f t="array" ref="J49">MIN((INDEX([2]SourceData!$B:$B, MATCH($D49,[2]SourceData!$A:$A, 0))-SUM($D49:I49)),  (MaxPtsPerSprint6-SUM(J$7:J47)))</f>
        <v>0</v>
      </c>
      <c r="K49" s="286">
        <f t="array" ref="K49">MIN((INDEX([2]SourceData!$B:$B, MATCH($D49,[2]SourceData!$A:$A, 0))-SUM($D49:J49)),  (MaxPtsPerSprint7-SUM(K$7:K47)))</f>
        <v>0</v>
      </c>
      <c r="L49" s="286">
        <f t="array" ref="L49">MIN((INDEX([2]SourceData!$B:$B, MATCH($D49,[2]SourceData!$A:$A, 0))-SUM($D49:K49)),  (MaxPtsPerSprint8-SUM(L$7:L47)))</f>
        <v>0</v>
      </c>
      <c r="M49" s="286">
        <f t="array" ref="M49">MIN((INDEX([2]SourceData!$B:$B, MATCH($D49,[2]SourceData!$A:$A, 0))-SUM($D49:L49)),  (MaxPtsPerSprint9-SUM(M$7:M47)))</f>
        <v>0</v>
      </c>
      <c r="N49" s="286">
        <f t="array" ref="N49">MIN((INDEX([2]SourceData!$B:$B, MATCH($D49,[2]SourceData!$A:$A, 0))-SUM($D49:M49)),  (MaxPtsPerSprint10-SUM(N$7:N47)))</f>
        <v>0</v>
      </c>
      <c r="O49" s="286">
        <f t="array" ref="O49">MIN((INDEX([2]SourceData!$B:$B, MATCH($D49,[2]SourceData!$A:$A, 0))-SUM($D49:N49)),  (MaxPtsPerSprint11-SUM(O$7:O48)))</f>
        <v>0</v>
      </c>
      <c r="P49" s="286">
        <f t="array" ref="P49">MIN((INDEX([2]SourceData!$B:$B, MATCH($D49,[2]SourceData!$A:$A, 0))-SUM($D49:O49)),  (MaxPtsPerSprint12-SUM(P$7:P48)))</f>
        <v>0</v>
      </c>
      <c r="Q49" s="286">
        <f t="array" ref="Q49">MIN((INDEX([2]SourceData!$B:$B, MATCH($D49,[2]SourceData!$A:$A, 0))-SUM($D49:P49)),  (MaxPtsPerSprint13-SUM(Q$7:Q48)))</f>
        <v>388.5</v>
      </c>
      <c r="R49" s="286">
        <f t="array" ref="R49">MIN((INDEX([2]SourceData!$B:$B, MATCH($D49,[2]SourceData!$A:$A, 0))-SUM($D49:Q49)),  (MaxPtsPerSprint14-SUM(R$7:R48)))</f>
        <v>0</v>
      </c>
      <c r="S49" s="286">
        <f t="array" ref="S49">MIN((INDEX([2]SourceData!$B:$B, MATCH($D49,[2]SourceData!$A:$A, 0))-SUM($D49:R49)),  (MaxPtsPerSprint15-SUM(S$7:S48)))</f>
        <v>0</v>
      </c>
      <c r="T49" s="286">
        <f t="array" ref="T49">MIN((INDEX([2]SourceData!$B:$B, MATCH($D49,[2]SourceData!$A:$A, 0))-SUM($D49:S49)),  (MaxPtsPerSprint16-SUM(T$7:T48)))</f>
        <v>0</v>
      </c>
      <c r="U49" s="286">
        <f t="array" ref="U49">MIN((INDEX([2]SourceData!$B:$B, MATCH($D49,[2]SourceData!$A:$A, 0))-SUM($D49:T49)),  (MaxPtsPerSprint17-SUM(U$7:U48)))</f>
        <v>0</v>
      </c>
      <c r="V49" s="286">
        <f t="array" ref="V49">MIN((INDEX([2]SourceData!$B:$B, MATCH($D49,[2]SourceData!$A:$A, 0))-SUM($D49:U49)),  (MaxPtsPerSprint18-SUM(V$7:V48)))</f>
        <v>0</v>
      </c>
      <c r="W49" s="286">
        <f t="array" ref="W49">MIN((INDEX([2]SourceData!$B:$B, MATCH($D49,[2]SourceData!$A:$A, 0))-SUM($D49:V49)),  (MaxPtsPerSprint19-SUM(W$7:W48)))</f>
        <v>0</v>
      </c>
      <c r="X49" s="286">
        <f t="array" ref="X49">MIN((INDEX([2]SourceData!$B:$B, MATCH($D49,[2]SourceData!$A:$A, 0))-SUM($D49:W49)),  (MaxPtsPerSprint20-SUM(X$7:X48)))</f>
        <v>0</v>
      </c>
      <c r="Y49" s="287">
        <f t="array" ref="Y49">MIN((INDEX([2]SourceData!$B:$B, MATCH($D49,[2]SourceData!$A:$A, 0))-SUM($D49:X49)),  (MaxPtsPerSprint21-SUM(Y$7:Y48)))</f>
        <v>0</v>
      </c>
      <c r="Z49" s="287">
        <f t="array" ref="Z49">MIN((INDEX([2]SourceData!$B:$B, MATCH($D49,[2]SourceData!$A:$A, 0))-SUM($D49:Y49)),  (MaxPtsPerSprint22-SUM(Z$7:Z48)))</f>
        <v>0</v>
      </c>
      <c r="AA49" s="287">
        <f t="array" ref="AA49">MIN((INDEX([2]SourceData!$B:$B, MATCH($D49,[2]SourceData!$A:$A, 0))-SUM($D49:Z49)),  (MaxPtsPerSprint23-SUM(AA$7:AA48)))</f>
        <v>0</v>
      </c>
      <c r="AB49" s="287">
        <f t="array" ref="AB49">MIN((INDEX([2]SourceData!$B:$B, MATCH($D49,[2]SourceData!$A:$A, 0))-SUM($D49:AA49)),  (MaxPtsPerSprint24-SUM(AB$7:AB48)))</f>
        <v>0</v>
      </c>
      <c r="AC49" s="287">
        <f t="array" ref="AC49">MIN((INDEX([2]SourceData!$B:$B, MATCH($D49,[2]SourceData!$A:$A, 0))-SUM($D49:AB49)),  (MaxPtsPerSprint24-SUM(AC$7:AC48)))</f>
        <v>0</v>
      </c>
      <c r="AD49" s="287">
        <f t="array" ref="AD49">MIN((INDEX([2]SourceData!$B:$B, MATCH($D49,[2]SourceData!$A:$A, 0))-SUM($D49:AC49)),  (MaxPtsPerSprint24-SUM(AD$7:AD48)))</f>
        <v>0</v>
      </c>
      <c r="AE49" s="288">
        <f t="shared" si="2"/>
        <v>388.5</v>
      </c>
      <c r="AF49" s="289">
        <f t="shared" ref="AF49:AF59" si="4">AE49/$AE$131</f>
        <v>1.9140995479571852E-2</v>
      </c>
    </row>
    <row r="50" spans="2:32" ht="18.5" hidden="1" outlineLevel="1" x14ac:dyDescent="0.45">
      <c r="B50" s="296" t="str">
        <f>VLOOKUP(D50,'[2]Work Item Vlookup'!$A$2:$B$119,2,FALSE)</f>
        <v>WI0022</v>
      </c>
      <c r="C50" s="296" t="s">
        <v>442</v>
      </c>
      <c r="D50" s="294" t="str">
        <f>[2]SourceData!A44</f>
        <v>CA Auto Choice</v>
      </c>
      <c r="E50" s="286">
        <f t="array" ref="E50">MIN((INDEX([2]SourceData!$B:$B, MATCH($D50,[2]SourceData!$A:$A, 0))-SUM($D50:D50)),  (MaxPtsPerSprint1-SUM(E$7:E49)))</f>
        <v>0</v>
      </c>
      <c r="F50" s="286">
        <f t="array" ref="F50">MIN((INDEX([2]SourceData!$B:$B, MATCH($D50,[2]SourceData!$A:$A, 0))-SUM($D50:E50)),  (MaxPtsPerSprint2-SUM(F$7:F49)))</f>
        <v>0</v>
      </c>
      <c r="G50" s="286">
        <f t="array" ref="G50">MIN((INDEX([2]SourceData!$B:$B, MATCH($D50,[2]SourceData!$A:$A, 0))-SUM($D50:F50)),  (MaxPtsPerSprint3-SUM(G$7:G49)))</f>
        <v>0</v>
      </c>
      <c r="H50" s="286">
        <f t="array" ref="H50">MIN((INDEX([2]SourceData!$B:$B, MATCH($D50,[2]SourceData!$A:$A, 0))-SUM($D50:G50)),  (MaxPtsPerSprint4-SUM(H$7:H49)))</f>
        <v>0</v>
      </c>
      <c r="I50" s="286">
        <f t="array" ref="I50">MIN((INDEX([2]SourceData!$B:$B, MATCH($D50,[2]SourceData!$A:$A, 0))-SUM($D50:H50)),  (MaxPtsPerSprint5-SUM(I$7:I49)))</f>
        <v>0</v>
      </c>
      <c r="J50" s="286">
        <f t="array" ref="J50">MIN((INDEX([2]SourceData!$B:$B, MATCH($D50,[2]SourceData!$A:$A, 0))-SUM($D50:I50)),  (MaxPtsPerSprint6-SUM(J$7:J49)))</f>
        <v>0</v>
      </c>
      <c r="K50" s="286">
        <f t="array" ref="K50">MIN((INDEX([2]SourceData!$B:$B, MATCH($D50,[2]SourceData!$A:$A, 0))-SUM($D50:J50)),  (MaxPtsPerSprint7-SUM(K$7:K49)))</f>
        <v>0</v>
      </c>
      <c r="L50" s="286">
        <f t="array" ref="L50">MIN((INDEX([2]SourceData!$B:$B, MATCH($D50,[2]SourceData!$A:$A, 0))-SUM($D50:K50)),  (MaxPtsPerSprint8-SUM(L$7:L49)))</f>
        <v>0</v>
      </c>
      <c r="M50" s="286">
        <f t="array" ref="M50">MIN((INDEX([2]SourceData!$B:$B, MATCH($D50,[2]SourceData!$A:$A, 0))-SUM($D50:L50)),  (MaxPtsPerSprint9-SUM(M$7:M49)))</f>
        <v>0</v>
      </c>
      <c r="N50" s="286">
        <f t="array" ref="N50">MIN((INDEX([2]SourceData!$B:$B, MATCH($D50,[2]SourceData!$A:$A, 0))-SUM($D50:M50)),  (MaxPtsPerSprint10-SUM(N$7:N49)))</f>
        <v>0</v>
      </c>
      <c r="O50" s="286">
        <f t="array" ref="O50">MIN((INDEX([2]SourceData!$B:$B, MATCH($D50,[2]SourceData!$A:$A, 0))-SUM($D50:N50)),  (MaxPtsPerSprint11-SUM(O$7:O49)))</f>
        <v>0</v>
      </c>
      <c r="P50" s="286">
        <f t="array" ref="P50">MIN((INDEX([2]SourceData!$B:$B, MATCH($D50,[2]SourceData!$A:$A, 0))-SUM($D50:O50)),  (MaxPtsPerSprint12-SUM(P$7:P49)))</f>
        <v>0</v>
      </c>
      <c r="Q50" s="295">
        <f t="array" ref="Q50">MIN((INDEX([2]SourceData!$B:$B, MATCH($D50,[2]SourceData!$A:$A, 0))-SUM($D50:P50)),  (MaxPtsPerSprint13-SUM(Q$7:Q49)))</f>
        <v>216.29999999999973</v>
      </c>
      <c r="R50" s="295">
        <f t="array" ref="R50">MIN((INDEX([2]SourceData!$B:$B, MATCH($D50,[2]SourceData!$A:$A, 0))-SUM($D50:Q50)),  (MaxPtsPerSprint14-SUM(R$7:R49)))</f>
        <v>428.70000000000027</v>
      </c>
      <c r="S50" s="286">
        <f t="array" ref="S50">MIN((INDEX([2]SourceData!$B:$B, MATCH($D50,[2]SourceData!$A:$A, 0))-SUM($D50:R50)),  (MaxPtsPerSprint15-SUM(S$7:S49)))</f>
        <v>0</v>
      </c>
      <c r="T50" s="286">
        <f t="array" ref="T50">MIN((INDEX([2]SourceData!$B:$B, MATCH($D50,[2]SourceData!$A:$A, 0))-SUM($D50:S50)),  (MaxPtsPerSprint16-SUM(T$7:T49)))</f>
        <v>0</v>
      </c>
      <c r="U50" s="286">
        <f t="array" ref="U50">MIN((INDEX([2]SourceData!$B:$B, MATCH($D50,[2]SourceData!$A:$A, 0))-SUM($D50:T50)),  (MaxPtsPerSprint17-SUM(U$7:U49)))</f>
        <v>0</v>
      </c>
      <c r="V50" s="286">
        <f t="array" ref="V50">MIN((INDEX([2]SourceData!$B:$B, MATCH($D50,[2]SourceData!$A:$A, 0))-SUM($D50:U50)),  (MaxPtsPerSprint18-SUM(V$7:V49)))</f>
        <v>0</v>
      </c>
      <c r="W50" s="286">
        <f t="array" ref="W50">MIN((INDEX([2]SourceData!$B:$B, MATCH($D50,[2]SourceData!$A:$A, 0))-SUM($D50:V50)),  (MaxPtsPerSprint19-SUM(W$7:W49)))</f>
        <v>0</v>
      </c>
      <c r="X50" s="286">
        <f t="array" ref="X50">MIN((INDEX([2]SourceData!$B:$B, MATCH($D50,[2]SourceData!$A:$A, 0))-SUM($D50:W50)),  (MaxPtsPerSprint20-SUM(X$7:X49)))</f>
        <v>0</v>
      </c>
      <c r="Y50" s="287">
        <f t="array" ref="Y50">MIN((INDEX([2]SourceData!$B:$B, MATCH($D50,[2]SourceData!$A:$A, 0))-SUM($D50:X50)),  (MaxPtsPerSprint21-SUM(Y$7:Y49)))</f>
        <v>0</v>
      </c>
      <c r="Z50" s="287">
        <f t="array" ref="Z50">MIN((INDEX([2]SourceData!$B:$B, MATCH($D50,[2]SourceData!$A:$A, 0))-SUM($D50:Y50)),  (MaxPtsPerSprint22-SUM(Z$7:Z49)))</f>
        <v>0</v>
      </c>
      <c r="AA50" s="287">
        <f t="array" ref="AA50">MIN((INDEX([2]SourceData!$B:$B, MATCH($D50,[2]SourceData!$A:$A, 0))-SUM($D50:Z50)),  (MaxPtsPerSprint23-SUM(AA$7:AA49)))</f>
        <v>0</v>
      </c>
      <c r="AB50" s="287">
        <f t="array" ref="AB50">MIN((INDEX([2]SourceData!$B:$B, MATCH($D50,[2]SourceData!$A:$A, 0))-SUM($D50:AA50)),  (MaxPtsPerSprint24-SUM(AB$7:AB49)))</f>
        <v>0</v>
      </c>
      <c r="AC50" s="287">
        <f t="array" ref="AC50">MIN((INDEX([2]SourceData!$B:$B, MATCH($D50,[2]SourceData!$A:$A, 0))-SUM($D50:AB50)),  (MaxPtsPerSprint24-SUM(AC$7:AC49)))</f>
        <v>0</v>
      </c>
      <c r="AD50" s="287">
        <f t="array" ref="AD50">MIN((INDEX([2]SourceData!$B:$B, MATCH($D50,[2]SourceData!$A:$A, 0))-SUM($D50:AC50)),  (MaxPtsPerSprint24-SUM(AD$7:AD49)))</f>
        <v>0</v>
      </c>
      <c r="AE50" s="288">
        <f t="shared" si="2"/>
        <v>645</v>
      </c>
      <c r="AF50" s="289">
        <f t="shared" si="4"/>
        <v>3.1778486703536279E-2</v>
      </c>
    </row>
    <row r="51" spans="2:32" ht="18.5" hidden="1" outlineLevel="1" x14ac:dyDescent="0.45">
      <c r="B51" s="296" t="str">
        <f>VLOOKUP(D51,'[2]Work Item Vlookup'!$A$2:$B$119,2,FALSE)</f>
        <v>WI0204</v>
      </c>
      <c r="C51" s="284" t="s">
        <v>226</v>
      </c>
      <c r="D51" s="294" t="str">
        <f>[2]SourceData!A45</f>
        <v>MD Auto Tiering (with new U/W companies)</v>
      </c>
      <c r="E51" s="286">
        <f t="array" ref="E51">MIN((INDEX([2]SourceData!$B:$B, MATCH($D51,[2]SourceData!$A:$A, 0))-SUM($D51:D51)),  (MaxPtsPerSprint1-SUM(E$7:E50)))</f>
        <v>0</v>
      </c>
      <c r="F51" s="286">
        <f t="array" ref="F51">MIN((INDEX([2]SourceData!$B:$B, MATCH($D51,[2]SourceData!$A:$A, 0))-SUM($D51:E51)),  (MaxPtsPerSprint2-SUM(F$7:F50)))</f>
        <v>0</v>
      </c>
      <c r="G51" s="286">
        <f t="array" ref="G51">MIN((INDEX([2]SourceData!$B:$B, MATCH($D51,[2]SourceData!$A:$A, 0))-SUM($D51:F51)),  (MaxPtsPerSprint3-SUM(G$7:G50)))</f>
        <v>0</v>
      </c>
      <c r="H51" s="286">
        <f t="array" ref="H51">MIN((INDEX([2]SourceData!$B:$B, MATCH($D51,[2]SourceData!$A:$A, 0))-SUM($D51:G51)),  (MaxPtsPerSprint4-SUM(H$7:H50)))</f>
        <v>0</v>
      </c>
      <c r="I51" s="286">
        <f t="array" ref="I51">MIN((INDEX([2]SourceData!$B:$B, MATCH($D51,[2]SourceData!$A:$A, 0))-SUM($D51:H51)),  (MaxPtsPerSprint5-SUM(I$7:I50)))</f>
        <v>0</v>
      </c>
      <c r="J51" s="286">
        <f t="array" ref="J51">MIN((INDEX([2]SourceData!$B:$B, MATCH($D51,[2]SourceData!$A:$A, 0))-SUM($D51:I51)),  (MaxPtsPerSprint6-SUM(J$7:J50)))</f>
        <v>0</v>
      </c>
      <c r="K51" s="286">
        <f t="array" ref="K51">MIN((INDEX([2]SourceData!$B:$B, MATCH($D51,[2]SourceData!$A:$A, 0))-SUM($D51:J51)),  (MaxPtsPerSprint7-SUM(K$7:K50)))</f>
        <v>0</v>
      </c>
      <c r="L51" s="286">
        <f t="array" ref="L51">MIN((INDEX([2]SourceData!$B:$B, MATCH($D51,[2]SourceData!$A:$A, 0))-SUM($D51:K51)),  (MaxPtsPerSprint8-SUM(L$7:L50)))</f>
        <v>0</v>
      </c>
      <c r="M51" s="286">
        <f t="array" ref="M51">MIN((INDEX([2]SourceData!$B:$B, MATCH($D51,[2]SourceData!$A:$A, 0))-SUM($D51:L51)),  (MaxPtsPerSprint9-SUM(M$7:M50)))</f>
        <v>0</v>
      </c>
      <c r="N51" s="286">
        <f t="array" ref="N51">MIN((INDEX([2]SourceData!$B:$B, MATCH($D51,[2]SourceData!$A:$A, 0))-SUM($D51:M51)),  (MaxPtsPerSprint10-SUM(N$7:N50)))</f>
        <v>0</v>
      </c>
      <c r="O51" s="286">
        <f t="array" ref="O51">MIN((INDEX([2]SourceData!$B:$B, MATCH($D51,[2]SourceData!$A:$A, 0))-SUM($D51:N51)),  (MaxPtsPerSprint11-SUM(O$7:O50)))</f>
        <v>0</v>
      </c>
      <c r="P51" s="286">
        <f t="array" ref="P51">MIN((INDEX([2]SourceData!$B:$B, MATCH($D51,[2]SourceData!$A:$A, 0))-SUM($D51:O51)),  (MaxPtsPerSprint12-SUM(P$7:P50)))</f>
        <v>0</v>
      </c>
      <c r="Q51" s="286">
        <f t="array" ref="Q51">MIN((INDEX([2]SourceData!$B:$B, MATCH($D51,[2]SourceData!$A:$A, 0))-SUM($D51:P51)),  (MaxPtsPerSprint13-SUM(Q$7:Q50)))</f>
        <v>0</v>
      </c>
      <c r="R51" s="295">
        <f t="array" ref="R51">MIN((INDEX([2]SourceData!$B:$B, MATCH($D51,[2]SourceData!$A:$A, 0))-SUM($D51:Q51)),  (MaxPtsPerSprint14-SUM(R$7:R50)))</f>
        <v>29</v>
      </c>
      <c r="S51" s="286">
        <f t="array" ref="S51">MIN((INDEX([2]SourceData!$B:$B, MATCH($D51,[2]SourceData!$A:$A, 0))-SUM($D51:R51)),  (MaxPtsPerSprint15-SUM(S$7:S50)))</f>
        <v>0</v>
      </c>
      <c r="T51" s="286">
        <f t="array" ref="T51">MIN((INDEX([2]SourceData!$B:$B, MATCH($D51,[2]SourceData!$A:$A, 0))-SUM($D51:S51)),  (MaxPtsPerSprint16-SUM(T$7:T50)))</f>
        <v>0</v>
      </c>
      <c r="U51" s="286">
        <f t="array" ref="U51">MIN((INDEX([2]SourceData!$B:$B, MATCH($D51,[2]SourceData!$A:$A, 0))-SUM($D51:T51)),  (MaxPtsPerSprint17-SUM(U$7:U50)))</f>
        <v>0</v>
      </c>
      <c r="V51" s="286">
        <f t="array" ref="V51">MIN((INDEX([2]SourceData!$B:$B, MATCH($D51,[2]SourceData!$A:$A, 0))-SUM($D51:U51)),  (MaxPtsPerSprint18-SUM(V$7:V50)))</f>
        <v>0</v>
      </c>
      <c r="W51" s="286">
        <f t="array" ref="W51">MIN((INDEX([2]SourceData!$B:$B, MATCH($D51,[2]SourceData!$A:$A, 0))-SUM($D51:V51)),  (MaxPtsPerSprint19-SUM(W$7:W50)))</f>
        <v>0</v>
      </c>
      <c r="X51" s="286">
        <f t="array" ref="X51">MIN((INDEX([2]SourceData!$B:$B, MATCH($D51,[2]SourceData!$A:$A, 0))-SUM($D51:W51)),  (MaxPtsPerSprint20-SUM(X$7:X50)))</f>
        <v>0</v>
      </c>
      <c r="Y51" s="287">
        <f t="array" ref="Y51">MIN((INDEX([2]SourceData!$B:$B, MATCH($D51,[2]SourceData!$A:$A, 0))-SUM($D51:X51)),  (MaxPtsPerSprint21-SUM(Y$7:Y50)))</f>
        <v>0</v>
      </c>
      <c r="Z51" s="287">
        <f t="array" ref="Z51">MIN((INDEX([2]SourceData!$B:$B, MATCH($D51,[2]SourceData!$A:$A, 0))-SUM($D51:Y51)),  (MaxPtsPerSprint22-SUM(Z$7:Z50)))</f>
        <v>0</v>
      </c>
      <c r="AA51" s="287">
        <f t="array" ref="AA51">MIN((INDEX([2]SourceData!$B:$B, MATCH($D51,[2]SourceData!$A:$A, 0))-SUM($D51:Z51)),  (MaxPtsPerSprint23-SUM(AA$7:AA50)))</f>
        <v>0</v>
      </c>
      <c r="AB51" s="287">
        <f t="array" ref="AB51">MIN((INDEX([2]SourceData!$B:$B, MATCH($D51,[2]SourceData!$A:$A, 0))-SUM($D51:AA51)),  (MaxPtsPerSprint24-SUM(AB$7:AB50)))</f>
        <v>0</v>
      </c>
      <c r="AC51" s="287">
        <f t="array" ref="AC51">MIN((INDEX([2]SourceData!$B:$B, MATCH($D51,[2]SourceData!$A:$A, 0))-SUM($D51:AB51)),  (MaxPtsPerSprint24-SUM(AC$7:AC50)))</f>
        <v>0</v>
      </c>
      <c r="AD51" s="287">
        <f t="array" ref="AD51">MIN((INDEX([2]SourceData!$B:$B, MATCH($D51,[2]SourceData!$A:$A, 0))-SUM($D51:AC51)),  (MaxPtsPerSprint24-SUM(AD$7:AD50)))</f>
        <v>0</v>
      </c>
      <c r="AE51" s="288">
        <f t="shared" si="2"/>
        <v>29</v>
      </c>
      <c r="AF51" s="289">
        <f t="shared" si="4"/>
        <v>1.4288001773682978E-3</v>
      </c>
    </row>
    <row r="52" spans="2:32" ht="18.5" hidden="1" outlineLevel="1" x14ac:dyDescent="0.45">
      <c r="B52" s="284" t="str">
        <f>VLOOKUP(D52,'[2]Work Item Vlookup'!$A$2:$B$119,2,FALSE)</f>
        <v>WI0196</v>
      </c>
      <c r="C52" s="284" t="s">
        <v>237</v>
      </c>
      <c r="D52" s="285" t="str">
        <f>[2]SourceData!A46</f>
        <v>Manual CNV + Auto Capping (NJ, PA)</v>
      </c>
      <c r="E52" s="286">
        <f t="array" ref="E52">MIN((INDEX([2]SourceData!$B:$B, MATCH($D52,[2]SourceData!$A:$A, 0))-SUM($D52:D52)),  (MaxPtsPerSprint1-SUM(E$7:E51)))</f>
        <v>0</v>
      </c>
      <c r="F52" s="286">
        <f t="array" ref="F52">MIN((INDEX([2]SourceData!$B:$B, MATCH($D52,[2]SourceData!$A:$A, 0))-SUM($D52:E52)),  (MaxPtsPerSprint2-SUM(F$7:F51)))</f>
        <v>0</v>
      </c>
      <c r="G52" s="286">
        <f t="array" ref="G52">MIN((INDEX([2]SourceData!$B:$B, MATCH($D52,[2]SourceData!$A:$A, 0))-SUM($D52:F52)),  (MaxPtsPerSprint3-SUM(G$7:G51)))</f>
        <v>0</v>
      </c>
      <c r="H52" s="286">
        <f t="array" ref="H52">MIN((INDEX([2]SourceData!$B:$B, MATCH($D52,[2]SourceData!$A:$A, 0))-SUM($D52:G52)),  (MaxPtsPerSprint4-SUM(H$7:H51)))</f>
        <v>0</v>
      </c>
      <c r="I52" s="286">
        <f t="array" ref="I52">MIN((INDEX([2]SourceData!$B:$B, MATCH($D52,[2]SourceData!$A:$A, 0))-SUM($D52:H52)),  (MaxPtsPerSprint5-SUM(I$7:I51)))</f>
        <v>0</v>
      </c>
      <c r="J52" s="286">
        <f t="array" ref="J52">MIN((INDEX([2]SourceData!$B:$B, MATCH($D52,[2]SourceData!$A:$A, 0))-SUM($D52:I52)),  (MaxPtsPerSprint6-SUM(J$7:J51)))</f>
        <v>0</v>
      </c>
      <c r="K52" s="286">
        <f t="array" ref="K52">MIN((INDEX([2]SourceData!$B:$B, MATCH($D52,[2]SourceData!$A:$A, 0))-SUM($D52:J52)),  (MaxPtsPerSprint7-SUM(K$7:K51)))</f>
        <v>0</v>
      </c>
      <c r="L52" s="286">
        <f t="array" ref="L52">MIN((INDEX([2]SourceData!$B:$B, MATCH($D52,[2]SourceData!$A:$A, 0))-SUM($D52:K52)),  (MaxPtsPerSprint8-SUM(L$7:L51)))</f>
        <v>0</v>
      </c>
      <c r="M52" s="286">
        <f t="array" ref="M52">MIN((INDEX([2]SourceData!$B:$B, MATCH($D52,[2]SourceData!$A:$A, 0))-SUM($D52:L52)),  (MaxPtsPerSprint9-SUM(M$7:M51)))</f>
        <v>0</v>
      </c>
      <c r="N52" s="286">
        <f t="array" ref="N52">MIN((INDEX([2]SourceData!$B:$B, MATCH($D52,[2]SourceData!$A:$A, 0))-SUM($D52:M52)),  (MaxPtsPerSprint10-SUM(N$7:N51)))</f>
        <v>0</v>
      </c>
      <c r="O52" s="286">
        <f t="array" ref="O52">MIN((INDEX([2]SourceData!$B:$B, MATCH($D52,[2]SourceData!$A:$A, 0))-SUM($D52:N52)),  (MaxPtsPerSprint11-SUM(O$7:O51)))</f>
        <v>0</v>
      </c>
      <c r="P52" s="286">
        <f t="array" ref="P52">MIN((INDEX([2]SourceData!$B:$B, MATCH($D52,[2]SourceData!$A:$A, 0))-SUM($D52:O52)),  (MaxPtsPerSprint12-SUM(P$7:P51)))</f>
        <v>0</v>
      </c>
      <c r="Q52" s="286">
        <f t="array" ref="Q52">MIN((INDEX([2]SourceData!$B:$B, MATCH($D52,[2]SourceData!$A:$A, 0))-SUM($D52:P52)),  (MaxPtsPerSprint13-SUM(Q$7:Q51)))</f>
        <v>0</v>
      </c>
      <c r="R52" s="286">
        <f t="array" ref="R52">MIN((INDEX([2]SourceData!$B:$B, MATCH($D52,[2]SourceData!$A:$A, 0))-SUM($D52:Q52)),  (MaxPtsPerSprint14-SUM(R$7:R51)))</f>
        <v>183.5</v>
      </c>
      <c r="S52" s="286">
        <f t="array" ref="S52">MIN((INDEX([2]SourceData!$B:$B, MATCH($D52,[2]SourceData!$A:$A, 0))-SUM($D52:R52)),  (MaxPtsPerSprint15-SUM(S$7:S51)))</f>
        <v>0</v>
      </c>
      <c r="T52" s="286">
        <f t="array" ref="T52">MIN((INDEX([2]SourceData!$B:$B, MATCH($D52,[2]SourceData!$A:$A, 0))-SUM($D52:S52)),  (MaxPtsPerSprint16-SUM(T$7:T51)))</f>
        <v>0</v>
      </c>
      <c r="U52" s="286">
        <f t="array" ref="U52">MIN((INDEX([2]SourceData!$B:$B, MATCH($D52,[2]SourceData!$A:$A, 0))-SUM($D52:T52)),  (MaxPtsPerSprint17-SUM(U$7:U51)))</f>
        <v>0</v>
      </c>
      <c r="V52" s="286">
        <f t="array" ref="V52">MIN((INDEX([2]SourceData!$B:$B, MATCH($D52,[2]SourceData!$A:$A, 0))-SUM($D52:U52)),  (MaxPtsPerSprint18-SUM(V$7:V51)))</f>
        <v>0</v>
      </c>
      <c r="W52" s="286">
        <f t="array" ref="W52">MIN((INDEX([2]SourceData!$B:$B, MATCH($D52,[2]SourceData!$A:$A, 0))-SUM($D52:V52)),  (MaxPtsPerSprint19-SUM(W$7:W51)))</f>
        <v>0</v>
      </c>
      <c r="X52" s="286">
        <f t="array" ref="X52">MIN((INDEX([2]SourceData!$B:$B, MATCH($D52,[2]SourceData!$A:$A, 0))-SUM($D52:W52)),  (MaxPtsPerSprint20-SUM(X$7:X51)))</f>
        <v>0</v>
      </c>
      <c r="Y52" s="287">
        <f t="array" ref="Y52">MIN((INDEX([2]SourceData!$B:$B, MATCH($D52,[2]SourceData!$A:$A, 0))-SUM($D52:X52)),  (MaxPtsPerSprint21-SUM(Y$7:Y51)))</f>
        <v>0</v>
      </c>
      <c r="Z52" s="287">
        <f t="array" ref="Z52">MIN((INDEX([2]SourceData!$B:$B, MATCH($D52,[2]SourceData!$A:$A, 0))-SUM($D52:Y52)),  (MaxPtsPerSprint22-SUM(Z$7:Z51)))</f>
        <v>0</v>
      </c>
      <c r="AA52" s="287">
        <f t="array" ref="AA52">MIN((INDEX([2]SourceData!$B:$B, MATCH($D52,[2]SourceData!$A:$A, 0))-SUM($D52:Z52)),  (MaxPtsPerSprint23-SUM(AA$7:AA51)))</f>
        <v>0</v>
      </c>
      <c r="AB52" s="287">
        <f t="array" ref="AB52">MIN((INDEX([2]SourceData!$B:$B, MATCH($D52,[2]SourceData!$A:$A, 0))-SUM($D52:AA52)),  (MaxPtsPerSprint24-SUM(AB$7:AB51)))</f>
        <v>0</v>
      </c>
      <c r="AC52" s="287">
        <f t="array" ref="AC52">MIN((INDEX([2]SourceData!$B:$B, MATCH($D52,[2]SourceData!$A:$A, 0))-SUM($D52:AB52)),  (MaxPtsPerSprint24-SUM(AC$7:AC51)))</f>
        <v>0</v>
      </c>
      <c r="AD52" s="287">
        <f t="array" ref="AD52">MIN((INDEX([2]SourceData!$B:$B, MATCH($D52,[2]SourceData!$A:$A, 0))-SUM($D52:AC52)),  (MaxPtsPerSprint24-SUM(AD$7:AD51)))</f>
        <v>0</v>
      </c>
      <c r="AE52" s="288">
        <f t="shared" si="2"/>
        <v>183.5</v>
      </c>
      <c r="AF52" s="289">
        <f t="shared" si="4"/>
        <v>9.0408562947269875E-3</v>
      </c>
    </row>
    <row r="53" spans="2:32" ht="18.5" hidden="1" outlineLevel="1" x14ac:dyDescent="0.45">
      <c r="B53" s="296" t="str">
        <f>VLOOKUP(D53,'[2]Work Item Vlookup'!$A$2:$B$119,2,FALSE)</f>
        <v>WI0291</v>
      </c>
      <c r="C53" s="284" t="s">
        <v>443</v>
      </c>
      <c r="D53" s="294" t="str">
        <f>[2]SourceData!A47</f>
        <v>CA Select Changes (DOI)</v>
      </c>
      <c r="E53" s="286">
        <f t="array" ref="E53">MIN((INDEX([2]SourceData!$B:$B, MATCH($D53,[2]SourceData!$A:$A, 0))-SUM($D53:D53)),  (MaxPtsPerSprint1-SUM(E$7:E52)))</f>
        <v>0</v>
      </c>
      <c r="F53" s="286">
        <f t="array" ref="F53">MIN((INDEX([2]SourceData!$B:$B, MATCH($D53,[2]SourceData!$A:$A, 0))-SUM($D53:E53)),  (MaxPtsPerSprint2-SUM(F$7:F52)))</f>
        <v>0</v>
      </c>
      <c r="G53" s="286">
        <f t="array" ref="G53">MIN((INDEX([2]SourceData!$B:$B, MATCH($D53,[2]SourceData!$A:$A, 0))-SUM($D53:F53)),  (MaxPtsPerSprint3-SUM(G$7:G52)))</f>
        <v>0</v>
      </c>
      <c r="H53" s="286">
        <f t="array" ref="H53">MIN((INDEX([2]SourceData!$B:$B, MATCH($D53,[2]SourceData!$A:$A, 0))-SUM($D53:G53)),  (MaxPtsPerSprint4-SUM(H$7:H52)))</f>
        <v>0</v>
      </c>
      <c r="I53" s="286">
        <f t="array" ref="I53">MIN((INDEX([2]SourceData!$B:$B, MATCH($D53,[2]SourceData!$A:$A, 0))-SUM($D53:H53)),  (MaxPtsPerSprint5-SUM(I$7:I52)))</f>
        <v>0</v>
      </c>
      <c r="J53" s="286">
        <f t="array" ref="J53">MIN((INDEX([2]SourceData!$B:$B, MATCH($D53,[2]SourceData!$A:$A, 0))-SUM($D53:I53)),  (MaxPtsPerSprint6-SUM(J$7:J52)))</f>
        <v>0</v>
      </c>
      <c r="K53" s="286">
        <f t="array" ref="K53">MIN((INDEX([2]SourceData!$B:$B, MATCH($D53,[2]SourceData!$A:$A, 0))-SUM($D53:J53)),  (MaxPtsPerSprint7-SUM(K$7:K52)))</f>
        <v>0</v>
      </c>
      <c r="L53" s="286">
        <f t="array" ref="L53">MIN((INDEX([2]SourceData!$B:$B, MATCH($D53,[2]SourceData!$A:$A, 0))-SUM($D53:K53)),  (MaxPtsPerSprint8-SUM(L$7:L52)))</f>
        <v>0</v>
      </c>
      <c r="M53" s="286">
        <f t="array" ref="M53">MIN((INDEX([2]SourceData!$B:$B, MATCH($D53,[2]SourceData!$A:$A, 0))-SUM($D53:L53)),  (MaxPtsPerSprint9-SUM(M$7:M52)))</f>
        <v>0</v>
      </c>
      <c r="N53" s="286">
        <f t="array" ref="N53">MIN((INDEX([2]SourceData!$B:$B, MATCH($D53,[2]SourceData!$A:$A, 0))-SUM($D53:M53)),  (MaxPtsPerSprint10-SUM(N$7:N52)))</f>
        <v>0</v>
      </c>
      <c r="O53" s="286">
        <f t="array" ref="O53">MIN((INDEX([2]SourceData!$B:$B, MATCH($D53,[2]SourceData!$A:$A, 0))-SUM($D53:N53)),  (MaxPtsPerSprint11-SUM(O$7:O52)))</f>
        <v>0</v>
      </c>
      <c r="P53" s="286">
        <f t="array" ref="P53">MIN((INDEX([2]SourceData!$B:$B, MATCH($D53,[2]SourceData!$A:$A, 0))-SUM($D53:O53)),  (MaxPtsPerSprint12-SUM(P$7:P52)))</f>
        <v>0</v>
      </c>
      <c r="Q53" s="286">
        <f t="array" ref="Q53">MIN((INDEX([2]SourceData!$B:$B, MATCH($D53,[2]SourceData!$A:$A, 0))-SUM($D53:P53)),  (MaxPtsPerSprint13-SUM(Q$7:Q52)))</f>
        <v>0</v>
      </c>
      <c r="R53" s="295">
        <f t="array" ref="R53">MIN((INDEX([2]SourceData!$B:$B, MATCH($D53,[2]SourceData!$A:$A, 0))-SUM($D53:Q53)),  (MaxPtsPerSprint14-SUM(R$7:R52)))</f>
        <v>96.799999999999727</v>
      </c>
      <c r="S53" s="295">
        <f t="array" ref="S53">MIN((INDEX([2]SourceData!$B:$B, MATCH($D53,[2]SourceData!$A:$A, 0))-SUM($D53:R53)),  (MaxPtsPerSprint15-SUM(S$7:S52)))</f>
        <v>49.200000000000273</v>
      </c>
      <c r="T53" s="286">
        <f t="array" ref="T53">MIN((INDEX([2]SourceData!$B:$B, MATCH($D53,[2]SourceData!$A:$A, 0))-SUM($D53:S53)),  (MaxPtsPerSprint16-SUM(T$7:T52)))</f>
        <v>0</v>
      </c>
      <c r="U53" s="286">
        <f t="array" ref="U53">MIN((INDEX([2]SourceData!$B:$B, MATCH($D53,[2]SourceData!$A:$A, 0))-SUM($D53:T53)),  (MaxPtsPerSprint17-SUM(U$7:U52)))</f>
        <v>0</v>
      </c>
      <c r="V53" s="286">
        <f t="array" ref="V53">MIN((INDEX([2]SourceData!$B:$B, MATCH($D53,[2]SourceData!$A:$A, 0))-SUM($D53:U53)),  (MaxPtsPerSprint18-SUM(V$7:V52)))</f>
        <v>0</v>
      </c>
      <c r="W53" s="286">
        <f t="array" ref="W53">MIN((INDEX([2]SourceData!$B:$B, MATCH($D53,[2]SourceData!$A:$A, 0))-SUM($D53:V53)),  (MaxPtsPerSprint19-SUM(W$7:W52)))</f>
        <v>0</v>
      </c>
      <c r="X53" s="286">
        <f t="array" ref="X53">MIN((INDEX([2]SourceData!$B:$B, MATCH($D53,[2]SourceData!$A:$A, 0))-SUM($D53:W53)),  (MaxPtsPerSprint20-SUM(X$7:X52)))</f>
        <v>0</v>
      </c>
      <c r="Y53" s="287">
        <f t="array" ref="Y53">MIN((INDEX([2]SourceData!$B:$B, MATCH($D53,[2]SourceData!$A:$A, 0))-SUM($D53:X53)),  (MaxPtsPerSprint21-SUM(Y$7:Y52)))</f>
        <v>0</v>
      </c>
      <c r="Z53" s="287">
        <f t="array" ref="Z53">MIN((INDEX([2]SourceData!$B:$B, MATCH($D53,[2]SourceData!$A:$A, 0))-SUM($D53:Y53)),  (MaxPtsPerSprint22-SUM(Z$7:Z52)))</f>
        <v>0</v>
      </c>
      <c r="AA53" s="287">
        <f t="array" ref="AA53">MIN((INDEX([2]SourceData!$B:$B, MATCH($D53,[2]SourceData!$A:$A, 0))-SUM($D53:Z53)),  (MaxPtsPerSprint23-SUM(AA$7:AA52)))</f>
        <v>0</v>
      </c>
      <c r="AB53" s="287">
        <f t="array" ref="AB53">MIN((INDEX([2]SourceData!$B:$B, MATCH($D53,[2]SourceData!$A:$A, 0))-SUM($D53:AA53)),  (MaxPtsPerSprint24-SUM(AB$7:AB52)))</f>
        <v>0</v>
      </c>
      <c r="AC53" s="287">
        <f t="array" ref="AC53">MIN((INDEX([2]SourceData!$B:$B, MATCH($D53,[2]SourceData!$A:$A, 0))-SUM($D53:AB53)),  (MaxPtsPerSprint24-SUM(AC$7:AC52)))</f>
        <v>0</v>
      </c>
      <c r="AD53" s="287">
        <f t="array" ref="AD53">MIN((INDEX([2]SourceData!$B:$B, MATCH($D53,[2]SourceData!$A:$A, 0))-SUM($D53:AC53)),  (MaxPtsPerSprint24-SUM(AD$7:AD52)))</f>
        <v>0</v>
      </c>
      <c r="AE53" s="288">
        <f t="shared" si="2"/>
        <v>146</v>
      </c>
      <c r="AF53" s="289">
        <f t="shared" si="4"/>
        <v>7.1932698584748793E-3</v>
      </c>
    </row>
    <row r="54" spans="2:32" ht="18.5" hidden="1" outlineLevel="1" x14ac:dyDescent="0.45">
      <c r="B54" s="284" t="str">
        <f>VLOOKUP(D54,'[2]Work Item Vlookup'!$A$2:$B$119,2,FALSE)</f>
        <v>WI0047</v>
      </c>
      <c r="C54" s="284" t="s">
        <v>332</v>
      </c>
      <c r="D54" s="285" t="str">
        <f>[2]SourceData!A48</f>
        <v>CT Property</v>
      </c>
      <c r="E54" s="286">
        <f t="array" ref="E54">MIN((INDEX([2]SourceData!$B:$B, MATCH($D54,[2]SourceData!$A:$A, 0))-SUM($D54:D54)),  (MaxPtsPerSprint1-SUM(E$7:E53)))</f>
        <v>0</v>
      </c>
      <c r="F54" s="286">
        <f t="array" ref="F54">MIN((INDEX([2]SourceData!$B:$B, MATCH($D54,[2]SourceData!$A:$A, 0))-SUM($D54:E54)),  (MaxPtsPerSprint2-SUM(F$7:F53)))</f>
        <v>0</v>
      </c>
      <c r="G54" s="286">
        <f t="array" ref="G54">MIN((INDEX([2]SourceData!$B:$B, MATCH($D54,[2]SourceData!$A:$A, 0))-SUM($D54:F54)),  (MaxPtsPerSprint3-SUM(G$7:G53)))</f>
        <v>0</v>
      </c>
      <c r="H54" s="286">
        <f t="array" ref="H54">MIN((INDEX([2]SourceData!$B:$B, MATCH($D54,[2]SourceData!$A:$A, 0))-SUM($D54:G54)),  (MaxPtsPerSprint4-SUM(H$7:H53)))</f>
        <v>0</v>
      </c>
      <c r="I54" s="286">
        <f t="array" ref="I54">MIN((INDEX([2]SourceData!$B:$B, MATCH($D54,[2]SourceData!$A:$A, 0))-SUM($D54:H54)),  (MaxPtsPerSprint5-SUM(I$7:I53)))</f>
        <v>0</v>
      </c>
      <c r="J54" s="286">
        <f t="array" ref="J54">MIN((INDEX([2]SourceData!$B:$B, MATCH($D54,[2]SourceData!$A:$A, 0))-SUM($D54:I54)),  (MaxPtsPerSprint6-SUM(J$7:J53)))</f>
        <v>0</v>
      </c>
      <c r="K54" s="286">
        <f t="array" ref="K54">MIN((INDEX([2]SourceData!$B:$B, MATCH($D54,[2]SourceData!$A:$A, 0))-SUM($D54:J54)),  (MaxPtsPerSprint7-SUM(K$7:K53)))</f>
        <v>0</v>
      </c>
      <c r="L54" s="286">
        <f t="array" ref="L54">MIN((INDEX([2]SourceData!$B:$B, MATCH($D54,[2]SourceData!$A:$A, 0))-SUM($D54:K54)),  (MaxPtsPerSprint8-SUM(L$7:L53)))</f>
        <v>0</v>
      </c>
      <c r="M54" s="286">
        <f t="array" ref="M54">MIN((INDEX([2]SourceData!$B:$B, MATCH($D54,[2]SourceData!$A:$A, 0))-SUM($D54:L54)),  (MaxPtsPerSprint9-SUM(M$7:M53)))</f>
        <v>0</v>
      </c>
      <c r="N54" s="286">
        <f t="array" ref="N54">MIN((INDEX([2]SourceData!$B:$B, MATCH($D54,[2]SourceData!$A:$A, 0))-SUM($D54:M54)),  (MaxPtsPerSprint10-SUM(N$7:N53)))</f>
        <v>0</v>
      </c>
      <c r="O54" s="286">
        <f t="array" ref="O54">MIN((INDEX([2]SourceData!$B:$B, MATCH($D54,[2]SourceData!$A:$A, 0))-SUM($D54:N54)),  (MaxPtsPerSprint11-SUM(O$7:O53)))</f>
        <v>0</v>
      </c>
      <c r="P54" s="286">
        <f t="array" ref="P54">MIN((INDEX([2]SourceData!$B:$B, MATCH($D54,[2]SourceData!$A:$A, 0))-SUM($D54:O54)),  (MaxPtsPerSprint12-SUM(P$7:P53)))</f>
        <v>0</v>
      </c>
      <c r="Q54" s="286">
        <f t="array" ref="Q54">MIN((INDEX([2]SourceData!$B:$B, MATCH($D54,[2]SourceData!$A:$A, 0))-SUM($D54:P54)),  (MaxPtsPerSprint13-SUM(Q$7:Q53)))</f>
        <v>0</v>
      </c>
      <c r="R54" s="286">
        <f t="array" ref="R54">MIN((INDEX([2]SourceData!$B:$B, MATCH($D54,[2]SourceData!$A:$A, 0))-SUM($D54:Q54)),  (MaxPtsPerSprint14-SUM(R$7:R53)))</f>
        <v>0</v>
      </c>
      <c r="S54" s="286">
        <f t="array" ref="S54">MIN((INDEX([2]SourceData!$B:$B, MATCH($D54,[2]SourceData!$A:$A, 0))-SUM($D54:R54)),  (MaxPtsPerSprint15-SUM(S$7:S53)))</f>
        <v>216.5</v>
      </c>
      <c r="T54" s="286">
        <f t="array" ref="T54">MIN((INDEX([2]SourceData!$B:$B, MATCH($D54,[2]SourceData!$A:$A, 0))-SUM($D54:S54)),  (MaxPtsPerSprint16-SUM(T$7:T53)))</f>
        <v>0</v>
      </c>
      <c r="U54" s="286">
        <f t="array" ref="U54">MIN((INDEX([2]SourceData!$B:$B, MATCH($D54,[2]SourceData!$A:$A, 0))-SUM($D54:T54)),  (MaxPtsPerSprint17-SUM(U$7:U53)))</f>
        <v>0</v>
      </c>
      <c r="V54" s="286">
        <f t="array" ref="V54">MIN((INDEX([2]SourceData!$B:$B, MATCH($D54,[2]SourceData!$A:$A, 0))-SUM($D54:U54)),  (MaxPtsPerSprint18-SUM(V$7:V53)))</f>
        <v>0</v>
      </c>
      <c r="W54" s="286">
        <f t="array" ref="W54">MIN((INDEX([2]SourceData!$B:$B, MATCH($D54,[2]SourceData!$A:$A, 0))-SUM($D54:V54)),  (MaxPtsPerSprint19-SUM(W$7:W53)))</f>
        <v>0</v>
      </c>
      <c r="X54" s="286">
        <f t="array" ref="X54">MIN((INDEX([2]SourceData!$B:$B, MATCH($D54,[2]SourceData!$A:$A, 0))-SUM($D54:W54)),  (MaxPtsPerSprint20-SUM(X$7:X53)))</f>
        <v>0</v>
      </c>
      <c r="Y54" s="287">
        <f t="array" ref="Y54">MIN((INDEX([2]SourceData!$B:$B, MATCH($D54,[2]SourceData!$A:$A, 0))-SUM($D54:X54)),  (MaxPtsPerSprint21-SUM(Y$7:Y53)))</f>
        <v>0</v>
      </c>
      <c r="Z54" s="287">
        <f t="array" ref="Z54">MIN((INDEX([2]SourceData!$B:$B, MATCH($D54,[2]SourceData!$A:$A, 0))-SUM($D54:Y54)),  (MaxPtsPerSprint22-SUM(Z$7:Z53)))</f>
        <v>0</v>
      </c>
      <c r="AA54" s="287">
        <f t="array" ref="AA54">MIN((INDEX([2]SourceData!$B:$B, MATCH($D54,[2]SourceData!$A:$A, 0))-SUM($D54:Z54)),  (MaxPtsPerSprint23-SUM(AA$7:AA53)))</f>
        <v>0</v>
      </c>
      <c r="AB54" s="287">
        <f t="array" ref="AB54">MIN((INDEX([2]SourceData!$B:$B, MATCH($D54,[2]SourceData!$A:$A, 0))-SUM($D54:AA54)),  (MaxPtsPerSprint24-SUM(AB$7:AB53)))</f>
        <v>0</v>
      </c>
      <c r="AC54" s="287">
        <f t="array" ref="AC54">MIN((INDEX([2]SourceData!$B:$B, MATCH($D54,[2]SourceData!$A:$A, 0))-SUM($D54:AB54)),  (MaxPtsPerSprint24-SUM(AC$7:AC53)))</f>
        <v>0</v>
      </c>
      <c r="AD54" s="287">
        <f t="array" ref="AD54">MIN((INDEX([2]SourceData!$B:$B, MATCH($D54,[2]SourceData!$A:$A, 0))-SUM($D54:AC54)),  (MaxPtsPerSprint24-SUM(AD$7:AD53)))</f>
        <v>0</v>
      </c>
      <c r="AE54" s="288">
        <f t="shared" si="2"/>
        <v>216.5</v>
      </c>
      <c r="AF54" s="289">
        <f t="shared" si="4"/>
        <v>1.0666732358628845E-2</v>
      </c>
    </row>
    <row r="55" spans="2:32" ht="18.5" hidden="1" outlineLevel="1" x14ac:dyDescent="0.45">
      <c r="B55" s="284" t="str">
        <f>VLOOKUP(D55,'[2]Work Item Vlookup'!$A$2:$B$119,2,FALSE)</f>
        <v>WI0033</v>
      </c>
      <c r="C55" s="284" t="s">
        <v>327</v>
      </c>
      <c r="D55" s="285" t="str">
        <f>[2]SourceData!A49</f>
        <v>OH Property</v>
      </c>
      <c r="E55" s="286">
        <f t="array" ref="E55">MIN((INDEX([2]SourceData!$B:$B, MATCH($D55,[2]SourceData!$A:$A, 0))-SUM($D55:D55)),  (MaxPtsPerSprint1-SUM(E$7:E54)))</f>
        <v>0</v>
      </c>
      <c r="F55" s="286">
        <f t="array" ref="F55">MIN((INDEX([2]SourceData!$B:$B, MATCH($D55,[2]SourceData!$A:$A, 0))-SUM($D55:E55)),  (MaxPtsPerSprint2-SUM(F$7:F54)))</f>
        <v>0</v>
      </c>
      <c r="G55" s="286">
        <f t="array" ref="G55">MIN((INDEX([2]SourceData!$B:$B, MATCH($D55,[2]SourceData!$A:$A, 0))-SUM($D55:F55)),  (MaxPtsPerSprint3-SUM(G$7:G54)))</f>
        <v>0</v>
      </c>
      <c r="H55" s="286">
        <f t="array" ref="H55">MIN((INDEX([2]SourceData!$B:$B, MATCH($D55,[2]SourceData!$A:$A, 0))-SUM($D55:G55)),  (MaxPtsPerSprint4-SUM(H$7:H54)))</f>
        <v>0</v>
      </c>
      <c r="I55" s="286">
        <f t="array" ref="I55">MIN((INDEX([2]SourceData!$B:$B, MATCH($D55,[2]SourceData!$A:$A, 0))-SUM($D55:H55)),  (MaxPtsPerSprint5-SUM(I$7:I54)))</f>
        <v>0</v>
      </c>
      <c r="J55" s="286">
        <f t="array" ref="J55">MIN((INDEX([2]SourceData!$B:$B, MATCH($D55,[2]SourceData!$A:$A, 0))-SUM($D55:I55)),  (MaxPtsPerSprint6-SUM(J$7:J54)))</f>
        <v>0</v>
      </c>
      <c r="K55" s="286">
        <f t="array" ref="K55">MIN((INDEX([2]SourceData!$B:$B, MATCH($D55,[2]SourceData!$A:$A, 0))-SUM($D55:J55)),  (MaxPtsPerSprint7-SUM(K$7:K54)))</f>
        <v>0</v>
      </c>
      <c r="L55" s="286">
        <f t="array" ref="L55">MIN((INDEX([2]SourceData!$B:$B, MATCH($D55,[2]SourceData!$A:$A, 0))-SUM($D55:K55)),  (MaxPtsPerSprint8-SUM(L$7:L54)))</f>
        <v>0</v>
      </c>
      <c r="M55" s="286">
        <f t="array" ref="M55">MIN((INDEX([2]SourceData!$B:$B, MATCH($D55,[2]SourceData!$A:$A, 0))-SUM($D55:L55)),  (MaxPtsPerSprint9-SUM(M$7:M54)))</f>
        <v>0</v>
      </c>
      <c r="N55" s="286">
        <f t="array" ref="N55">MIN((INDEX([2]SourceData!$B:$B, MATCH($D55,[2]SourceData!$A:$A, 0))-SUM($D55:M55)),  (MaxPtsPerSprint10-SUM(N$7:N54)))</f>
        <v>0</v>
      </c>
      <c r="O55" s="286">
        <f t="array" ref="O55">MIN((INDEX([2]SourceData!$B:$B, MATCH($D55,[2]SourceData!$A:$A, 0))-SUM($D55:N55)),  (MaxPtsPerSprint11-SUM(O$7:O54)))</f>
        <v>0</v>
      </c>
      <c r="P55" s="286">
        <f t="array" ref="P55">MIN((INDEX([2]SourceData!$B:$B, MATCH($D55,[2]SourceData!$A:$A, 0))-SUM($D55:O55)),  (MaxPtsPerSprint12-SUM(P$7:P54)))</f>
        <v>0</v>
      </c>
      <c r="Q55" s="286">
        <f t="array" ref="Q55">MIN((INDEX([2]SourceData!$B:$B, MATCH($D55,[2]SourceData!$A:$A, 0))-SUM($D55:P55)),  (MaxPtsPerSprint13-SUM(Q$7:Q54)))</f>
        <v>0</v>
      </c>
      <c r="R55" s="286">
        <f t="array" ref="R55">MIN((INDEX([2]SourceData!$B:$B, MATCH($D55,[2]SourceData!$A:$A, 0))-SUM($D55:Q55)),  (MaxPtsPerSprint14-SUM(R$7:R54)))</f>
        <v>0</v>
      </c>
      <c r="S55" s="286">
        <f t="array" ref="S55">MIN((INDEX([2]SourceData!$B:$B, MATCH($D55,[2]SourceData!$A:$A, 0))-SUM($D55:R55)),  (MaxPtsPerSprint15-SUM(S$7:S54)))</f>
        <v>99.5</v>
      </c>
      <c r="T55" s="286">
        <f t="array" ref="T55">MIN((INDEX([2]SourceData!$B:$B, MATCH($D55,[2]SourceData!$A:$A, 0))-SUM($D55:S55)),  (MaxPtsPerSprint16-SUM(T$7:T54)))</f>
        <v>0</v>
      </c>
      <c r="U55" s="286">
        <f t="array" ref="U55">MIN((INDEX([2]SourceData!$B:$B, MATCH($D55,[2]SourceData!$A:$A, 0))-SUM($D55:T55)),  (MaxPtsPerSprint17-SUM(U$7:U54)))</f>
        <v>0</v>
      </c>
      <c r="V55" s="286">
        <f t="array" ref="V55">MIN((INDEX([2]SourceData!$B:$B, MATCH($D55,[2]SourceData!$A:$A, 0))-SUM($D55:U55)),  (MaxPtsPerSprint18-SUM(V$7:V54)))</f>
        <v>0</v>
      </c>
      <c r="W55" s="286">
        <f t="array" ref="W55">MIN((INDEX([2]SourceData!$B:$B, MATCH($D55,[2]SourceData!$A:$A, 0))-SUM($D55:V55)),  (MaxPtsPerSprint19-SUM(W$7:W54)))</f>
        <v>0</v>
      </c>
      <c r="X55" s="286">
        <f t="array" ref="X55">MIN((INDEX([2]SourceData!$B:$B, MATCH($D55,[2]SourceData!$A:$A, 0))-SUM($D55:W55)),  (MaxPtsPerSprint20-SUM(X$7:X54)))</f>
        <v>0</v>
      </c>
      <c r="Y55" s="287">
        <f t="array" ref="Y55">MIN((INDEX([2]SourceData!$B:$B, MATCH($D55,[2]SourceData!$A:$A, 0))-SUM($D55:X55)),  (MaxPtsPerSprint21-SUM(Y$7:Y54)))</f>
        <v>0</v>
      </c>
      <c r="Z55" s="287">
        <f t="array" ref="Z55">MIN((INDEX([2]SourceData!$B:$B, MATCH($D55,[2]SourceData!$A:$A, 0))-SUM($D55:Y55)),  (MaxPtsPerSprint22-SUM(Z$7:Z54)))</f>
        <v>0</v>
      </c>
      <c r="AA55" s="287">
        <f t="array" ref="AA55">MIN((INDEX([2]SourceData!$B:$B, MATCH($D55,[2]SourceData!$A:$A, 0))-SUM($D55:Z55)),  (MaxPtsPerSprint23-SUM(AA$7:AA54)))</f>
        <v>0</v>
      </c>
      <c r="AB55" s="287">
        <f t="array" ref="AB55">MIN((INDEX([2]SourceData!$B:$B, MATCH($D55,[2]SourceData!$A:$A, 0))-SUM($D55:AA55)),  (MaxPtsPerSprint24-SUM(AB$7:AB54)))</f>
        <v>0</v>
      </c>
      <c r="AC55" s="287">
        <f t="array" ref="AC55">MIN((INDEX([2]SourceData!$B:$B, MATCH($D55,[2]SourceData!$A:$A, 0))-SUM($D55:AB55)),  (MaxPtsPerSprint24-SUM(AC$7:AC54)))</f>
        <v>0</v>
      </c>
      <c r="AD55" s="287">
        <f t="array" ref="AD55">MIN((INDEX([2]SourceData!$B:$B, MATCH($D55,[2]SourceData!$A:$A, 0))-SUM($D55:AC55)),  (MaxPtsPerSprint24-SUM(AD$7:AD54)))</f>
        <v>0</v>
      </c>
      <c r="AE55" s="288">
        <f t="shared" si="2"/>
        <v>99.5</v>
      </c>
      <c r="AF55" s="289">
        <f t="shared" si="4"/>
        <v>4.9022626775222632E-3</v>
      </c>
    </row>
    <row r="56" spans="2:32" ht="18.5" hidden="1" outlineLevel="1" x14ac:dyDescent="0.45">
      <c r="B56" s="284" t="str">
        <f>VLOOKUP(D56,'[2]Work Item Vlookup'!$A$2:$B$119,2,FALSE)</f>
        <v>WI0283</v>
      </c>
      <c r="C56" s="284" t="s">
        <v>333</v>
      </c>
      <c r="D56" s="285" t="str">
        <f>[2]SourceData!A50</f>
        <v>SS Automated Renewal Rules, Phase 2</v>
      </c>
      <c r="E56" s="286">
        <f t="array" ref="E56">MIN((INDEX([2]SourceData!$B:$B, MATCH($D56,[2]SourceData!$A:$A, 0))-SUM($D56:D56)),  (MaxPtsPerSprint1-SUM(E$7:E55)))</f>
        <v>0</v>
      </c>
      <c r="F56" s="286">
        <f t="array" ref="F56">MIN((INDEX([2]SourceData!$B:$B, MATCH($D56,[2]SourceData!$A:$A, 0))-SUM($D56:E56)),  (MaxPtsPerSprint2-SUM(F$7:F55)))</f>
        <v>0</v>
      </c>
      <c r="G56" s="286">
        <f t="array" ref="G56">MIN((INDEX([2]SourceData!$B:$B, MATCH($D56,[2]SourceData!$A:$A, 0))-SUM($D56:F56)),  (MaxPtsPerSprint3-SUM(G$7:G55)))</f>
        <v>0</v>
      </c>
      <c r="H56" s="286">
        <f t="array" ref="H56">MIN((INDEX([2]SourceData!$B:$B, MATCH($D56,[2]SourceData!$A:$A, 0))-SUM($D56:G56)),  (MaxPtsPerSprint4-SUM(H$7:H55)))</f>
        <v>0</v>
      </c>
      <c r="I56" s="286">
        <f t="array" ref="I56">MIN((INDEX([2]SourceData!$B:$B, MATCH($D56,[2]SourceData!$A:$A, 0))-SUM($D56:H56)),  (MaxPtsPerSprint5-SUM(I$7:I55)))</f>
        <v>0</v>
      </c>
      <c r="J56" s="286">
        <f t="array" ref="J56">MIN((INDEX([2]SourceData!$B:$B, MATCH($D56,[2]SourceData!$A:$A, 0))-SUM($D56:I56)),  (MaxPtsPerSprint6-SUM(J$7:J55)))</f>
        <v>0</v>
      </c>
      <c r="K56" s="286">
        <f t="array" ref="K56">MIN((INDEX([2]SourceData!$B:$B, MATCH($D56,[2]SourceData!$A:$A, 0))-SUM($D56:J56)),  (MaxPtsPerSprint7-SUM(K$7:K55)))</f>
        <v>0</v>
      </c>
      <c r="L56" s="286">
        <f t="array" ref="L56">MIN((INDEX([2]SourceData!$B:$B, MATCH($D56,[2]SourceData!$A:$A, 0))-SUM($D56:K56)),  (MaxPtsPerSprint8-SUM(L$7:L55)))</f>
        <v>0</v>
      </c>
      <c r="M56" s="286">
        <f t="array" ref="M56">MIN((INDEX([2]SourceData!$B:$B, MATCH($D56,[2]SourceData!$A:$A, 0))-SUM($D56:L56)),  (MaxPtsPerSprint9-SUM(M$7:M55)))</f>
        <v>0</v>
      </c>
      <c r="N56" s="286">
        <f t="array" ref="N56">MIN((INDEX([2]SourceData!$B:$B, MATCH($D56,[2]SourceData!$A:$A, 0))-SUM($D56:M56)),  (MaxPtsPerSprint10-SUM(N$7:N55)))</f>
        <v>0</v>
      </c>
      <c r="O56" s="286">
        <f t="array" ref="O56">MIN((INDEX([2]SourceData!$B:$B, MATCH($D56,[2]SourceData!$A:$A, 0))-SUM($D56:N56)),  (MaxPtsPerSprint11-SUM(O$7:O55)))</f>
        <v>0</v>
      </c>
      <c r="P56" s="286">
        <f t="array" ref="P56">MIN((INDEX([2]SourceData!$B:$B, MATCH($D56,[2]SourceData!$A:$A, 0))-SUM($D56:O56)),  (MaxPtsPerSprint12-SUM(P$7:P55)))</f>
        <v>0</v>
      </c>
      <c r="Q56" s="286">
        <f t="array" ref="Q56">MIN((INDEX([2]SourceData!$B:$B, MATCH($D56,[2]SourceData!$A:$A, 0))-SUM($D56:P56)),  (MaxPtsPerSprint13-SUM(Q$7:Q55)))</f>
        <v>0</v>
      </c>
      <c r="R56" s="286">
        <f t="array" ref="R56">MIN((INDEX([2]SourceData!$B:$B, MATCH($D56,[2]SourceData!$A:$A, 0))-SUM($D56:Q56)),  (MaxPtsPerSprint14-SUM(R$7:R55)))</f>
        <v>0</v>
      </c>
      <c r="S56" s="286">
        <f t="array" ref="S56">MIN((INDEX([2]SourceData!$B:$B, MATCH($D56,[2]SourceData!$A:$A, 0))-SUM($D56:R56)),  (MaxPtsPerSprint15-SUM(S$7:S55)))</f>
        <v>69</v>
      </c>
      <c r="T56" s="286">
        <f t="array" ref="T56">MIN((INDEX([2]SourceData!$B:$B, MATCH($D56,[2]SourceData!$A:$A, 0))-SUM($D56:S56)),  (MaxPtsPerSprint16-SUM(T$7:T55)))</f>
        <v>0</v>
      </c>
      <c r="U56" s="286">
        <f t="array" ref="U56">MIN((INDEX([2]SourceData!$B:$B, MATCH($D56,[2]SourceData!$A:$A, 0))-SUM($D56:T56)),  (MaxPtsPerSprint17-SUM(U$7:U55)))</f>
        <v>0</v>
      </c>
      <c r="V56" s="286">
        <f t="array" ref="V56">MIN((INDEX([2]SourceData!$B:$B, MATCH($D56,[2]SourceData!$A:$A, 0))-SUM($D56:U56)),  (MaxPtsPerSprint18-SUM(V$7:V55)))</f>
        <v>0</v>
      </c>
      <c r="W56" s="286">
        <f t="array" ref="W56">MIN((INDEX([2]SourceData!$B:$B, MATCH($D56,[2]SourceData!$A:$A, 0))-SUM($D56:V56)),  (MaxPtsPerSprint19-SUM(W$7:W55)))</f>
        <v>0</v>
      </c>
      <c r="X56" s="286">
        <f t="array" ref="X56">MIN((INDEX([2]SourceData!$B:$B, MATCH($D56,[2]SourceData!$A:$A, 0))-SUM($D56:W56)),  (MaxPtsPerSprint20-SUM(X$7:X55)))</f>
        <v>0</v>
      </c>
      <c r="Y56" s="287">
        <f t="array" ref="Y56">MIN((INDEX([2]SourceData!$B:$B, MATCH($D56,[2]SourceData!$A:$A, 0))-SUM($D56:X56)),  (MaxPtsPerSprint21-SUM(Y$7:Y55)))</f>
        <v>0</v>
      </c>
      <c r="Z56" s="287">
        <f t="array" ref="Z56">MIN((INDEX([2]SourceData!$B:$B, MATCH($D56,[2]SourceData!$A:$A, 0))-SUM($D56:Y56)),  (MaxPtsPerSprint22-SUM(Z$7:Z55)))</f>
        <v>0</v>
      </c>
      <c r="AA56" s="287">
        <f t="array" ref="AA56">MIN((INDEX([2]SourceData!$B:$B, MATCH($D56,[2]SourceData!$A:$A, 0))-SUM($D56:Z56)),  (MaxPtsPerSprint23-SUM(AA$7:AA55)))</f>
        <v>0</v>
      </c>
      <c r="AB56" s="287">
        <f t="array" ref="AB56">MIN((INDEX([2]SourceData!$B:$B, MATCH($D56,[2]SourceData!$A:$A, 0))-SUM($D56:AA56)),  (MaxPtsPerSprint24-SUM(AB$7:AB55)))</f>
        <v>0</v>
      </c>
      <c r="AC56" s="287">
        <f t="array" ref="AC56">MIN((INDEX([2]SourceData!$B:$B, MATCH($D56,[2]SourceData!$A:$A, 0))-SUM($D56:AB56)),  (MaxPtsPerSprint24-SUM(AC$7:AC55)))</f>
        <v>0</v>
      </c>
      <c r="AD56" s="287">
        <f t="array" ref="AD56">MIN((INDEX([2]SourceData!$B:$B, MATCH($D56,[2]SourceData!$A:$A, 0))-SUM($D56:AC56)),  (MaxPtsPerSprint24-SUM(AD$7:AD55)))</f>
        <v>0</v>
      </c>
      <c r="AE56" s="288">
        <f t="shared" si="2"/>
        <v>69</v>
      </c>
      <c r="AF56" s="289">
        <f t="shared" si="4"/>
        <v>3.3995590427038811E-3</v>
      </c>
    </row>
    <row r="57" spans="2:32" ht="18.5" hidden="1" outlineLevel="1" x14ac:dyDescent="0.45">
      <c r="B57" s="284" t="str">
        <f>VLOOKUP(D57,'[2]Work Item Vlookup'!$A$2:$B$119,2,FALSE)</f>
        <v>WI0035</v>
      </c>
      <c r="C57" s="284" t="s">
        <v>331</v>
      </c>
      <c r="D57" s="285" t="str">
        <f>[2]SourceData!A51</f>
        <v>KS Property</v>
      </c>
      <c r="E57" s="286">
        <f t="array" ref="E57">MIN((INDEX([2]SourceData!$B:$B, MATCH($D57,[2]SourceData!$A:$A, 0))-SUM($D57:D57)),  (MaxPtsPerSprint1-SUM(E$7:E56)))</f>
        <v>0</v>
      </c>
      <c r="F57" s="286">
        <f t="array" ref="F57">MIN((INDEX([2]SourceData!$B:$B, MATCH($D57,[2]SourceData!$A:$A, 0))-SUM($D57:E57)),  (MaxPtsPerSprint2-SUM(F$7:F56)))</f>
        <v>0</v>
      </c>
      <c r="G57" s="286">
        <f t="array" ref="G57">MIN((INDEX([2]SourceData!$B:$B, MATCH($D57,[2]SourceData!$A:$A, 0))-SUM($D57:F57)),  (MaxPtsPerSprint3-SUM(G$7:G56)))</f>
        <v>0</v>
      </c>
      <c r="H57" s="286">
        <f t="array" ref="H57">MIN((INDEX([2]SourceData!$B:$B, MATCH($D57,[2]SourceData!$A:$A, 0))-SUM($D57:G57)),  (MaxPtsPerSprint4-SUM(H$7:H56)))</f>
        <v>0</v>
      </c>
      <c r="I57" s="286">
        <f t="array" ref="I57">MIN((INDEX([2]SourceData!$B:$B, MATCH($D57,[2]SourceData!$A:$A, 0))-SUM($D57:H57)),  (MaxPtsPerSprint5-SUM(I$7:I56)))</f>
        <v>0</v>
      </c>
      <c r="J57" s="286">
        <f t="array" ref="J57">MIN((INDEX([2]SourceData!$B:$B, MATCH($D57,[2]SourceData!$A:$A, 0))-SUM($D57:I57)),  (MaxPtsPerSprint6-SUM(J$7:J56)))</f>
        <v>0</v>
      </c>
      <c r="K57" s="286">
        <f t="array" ref="K57">MIN((INDEX([2]SourceData!$B:$B, MATCH($D57,[2]SourceData!$A:$A, 0))-SUM($D57:J57)),  (MaxPtsPerSprint7-SUM(K$7:K56)))</f>
        <v>0</v>
      </c>
      <c r="L57" s="286">
        <f t="array" ref="L57">MIN((INDEX([2]SourceData!$B:$B, MATCH($D57,[2]SourceData!$A:$A, 0))-SUM($D57:K57)),  (MaxPtsPerSprint8-SUM(L$7:L56)))</f>
        <v>0</v>
      </c>
      <c r="M57" s="286">
        <f t="array" ref="M57">MIN((INDEX([2]SourceData!$B:$B, MATCH($D57,[2]SourceData!$A:$A, 0))-SUM($D57:L57)),  (MaxPtsPerSprint9-SUM(M$7:M56)))</f>
        <v>0</v>
      </c>
      <c r="N57" s="286">
        <f t="array" ref="N57">MIN((INDEX([2]SourceData!$B:$B, MATCH($D57,[2]SourceData!$A:$A, 0))-SUM($D57:M57)),  (MaxPtsPerSprint10-SUM(N$7:N56)))</f>
        <v>0</v>
      </c>
      <c r="O57" s="286">
        <f t="array" ref="O57">MIN((INDEX([2]SourceData!$B:$B, MATCH($D57,[2]SourceData!$A:$A, 0))-SUM($D57:N57)),  (MaxPtsPerSprint11-SUM(O$7:O56)))</f>
        <v>0</v>
      </c>
      <c r="P57" s="286">
        <f t="array" ref="P57">MIN((INDEX([2]SourceData!$B:$B, MATCH($D57,[2]SourceData!$A:$A, 0))-SUM($D57:O57)),  (MaxPtsPerSprint12-SUM(P$7:P56)))</f>
        <v>0</v>
      </c>
      <c r="Q57" s="286">
        <f t="array" ref="Q57">MIN((INDEX([2]SourceData!$B:$B, MATCH($D57,[2]SourceData!$A:$A, 0))-SUM($D57:P57)),  (MaxPtsPerSprint13-SUM(Q$7:Q56)))</f>
        <v>0</v>
      </c>
      <c r="R57" s="286">
        <f t="array" ref="R57">MIN((INDEX([2]SourceData!$B:$B, MATCH($D57,[2]SourceData!$A:$A, 0))-SUM($D57:Q57)),  (MaxPtsPerSprint14-SUM(R$7:R56)))</f>
        <v>0</v>
      </c>
      <c r="S57" s="286">
        <f t="array" ref="S57">MIN((INDEX([2]SourceData!$B:$B, MATCH($D57,[2]SourceData!$A:$A, 0))-SUM($D57:R57)),  (MaxPtsPerSprint15-SUM(S$7:S56)))</f>
        <v>73</v>
      </c>
      <c r="T57" s="286">
        <f t="array" ref="T57">MIN((INDEX([2]SourceData!$B:$B, MATCH($D57,[2]SourceData!$A:$A, 0))-SUM($D57:S57)),  (MaxPtsPerSprint16-SUM(T$7:T56)))</f>
        <v>0</v>
      </c>
      <c r="U57" s="286">
        <f t="array" ref="U57">MIN((INDEX([2]SourceData!$B:$B, MATCH($D57,[2]SourceData!$A:$A, 0))-SUM($D57:T57)),  (MaxPtsPerSprint17-SUM(U$7:U56)))</f>
        <v>0</v>
      </c>
      <c r="V57" s="286">
        <f t="array" ref="V57">MIN((INDEX([2]SourceData!$B:$B, MATCH($D57,[2]SourceData!$A:$A, 0))-SUM($D57:U57)),  (MaxPtsPerSprint18-SUM(V$7:V56)))</f>
        <v>0</v>
      </c>
      <c r="W57" s="286">
        <f t="array" ref="W57">MIN((INDEX([2]SourceData!$B:$B, MATCH($D57,[2]SourceData!$A:$A, 0))-SUM($D57:V57)),  (MaxPtsPerSprint19-SUM(W$7:W56)))</f>
        <v>0</v>
      </c>
      <c r="X57" s="286">
        <f t="array" ref="X57">MIN((INDEX([2]SourceData!$B:$B, MATCH($D57,[2]SourceData!$A:$A, 0))-SUM($D57:W57)),  (MaxPtsPerSprint20-SUM(X$7:X56)))</f>
        <v>0</v>
      </c>
      <c r="Y57" s="287">
        <f t="array" ref="Y57">MIN((INDEX([2]SourceData!$B:$B, MATCH($D57,[2]SourceData!$A:$A, 0))-SUM($D57:X57)),  (MaxPtsPerSprint21-SUM(Y$7:Y56)))</f>
        <v>0</v>
      </c>
      <c r="Z57" s="287">
        <f t="array" ref="Z57">MIN((INDEX([2]SourceData!$B:$B, MATCH($D57,[2]SourceData!$A:$A, 0))-SUM($D57:Y57)),  (MaxPtsPerSprint22-SUM(Z$7:Z56)))</f>
        <v>0</v>
      </c>
      <c r="AA57" s="287">
        <f t="array" ref="AA57">MIN((INDEX([2]SourceData!$B:$B, MATCH($D57,[2]SourceData!$A:$A, 0))-SUM($D57:Z57)),  (MaxPtsPerSprint23-SUM(AA$7:AA56)))</f>
        <v>0</v>
      </c>
      <c r="AB57" s="287">
        <f t="array" ref="AB57">MIN((INDEX([2]SourceData!$B:$B, MATCH($D57,[2]SourceData!$A:$A, 0))-SUM($D57:AA57)),  (MaxPtsPerSprint24-SUM(AB$7:AB56)))</f>
        <v>0</v>
      </c>
      <c r="AC57" s="287">
        <f t="array" ref="AC57">MIN((INDEX([2]SourceData!$B:$B, MATCH($D57,[2]SourceData!$A:$A, 0))-SUM($D57:AB57)),  (MaxPtsPerSprint24-SUM(AC$7:AC56)))</f>
        <v>0</v>
      </c>
      <c r="AD57" s="287">
        <f t="array" ref="AD57">MIN((INDEX([2]SourceData!$B:$B, MATCH($D57,[2]SourceData!$A:$A, 0))-SUM($D57:AC57)),  (MaxPtsPerSprint24-SUM(AD$7:AD56)))</f>
        <v>0</v>
      </c>
      <c r="AE57" s="288">
        <f t="shared" si="2"/>
        <v>73</v>
      </c>
      <c r="AF57" s="289">
        <f t="shared" si="4"/>
        <v>3.5966349292374396E-3</v>
      </c>
    </row>
    <row r="58" spans="2:32" ht="18.5" hidden="1" outlineLevel="1" x14ac:dyDescent="0.45">
      <c r="B58" s="284" t="str">
        <f>VLOOKUP(D58,'[2]Work Item Vlookup'!$A$2:$B$119,2,FALSE)</f>
        <v>WI0275</v>
      </c>
      <c r="C58" s="284" t="s">
        <v>289</v>
      </c>
      <c r="D58" s="285" t="str">
        <f>[2]SourceData!A52</f>
        <v>Manual CNV + Auto Capping (DE, VA, MD)</v>
      </c>
      <c r="E58" s="286">
        <f t="array" ref="E58">MIN((INDEX([2]SourceData!$B:$B, MATCH($D58,[2]SourceData!$A:$A, 0))-SUM($D58:D58)),  (MaxPtsPerSprint1-SUM(E$7:E57)))</f>
        <v>0</v>
      </c>
      <c r="F58" s="286">
        <f t="array" ref="F58">MIN((INDEX([2]SourceData!$B:$B, MATCH($D58,[2]SourceData!$A:$A, 0))-SUM($D58:E58)),  (MaxPtsPerSprint2-SUM(F$7:F57)))</f>
        <v>0</v>
      </c>
      <c r="G58" s="286">
        <f t="array" ref="G58">MIN((INDEX([2]SourceData!$B:$B, MATCH($D58,[2]SourceData!$A:$A, 0))-SUM($D58:F58)),  (MaxPtsPerSprint3-SUM(G$7:G57)))</f>
        <v>0</v>
      </c>
      <c r="H58" s="286">
        <f t="array" ref="H58">MIN((INDEX([2]SourceData!$B:$B, MATCH($D58,[2]SourceData!$A:$A, 0))-SUM($D58:G58)),  (MaxPtsPerSprint4-SUM(H$7:H57)))</f>
        <v>0</v>
      </c>
      <c r="I58" s="286">
        <f t="array" ref="I58">MIN((INDEX([2]SourceData!$B:$B, MATCH($D58,[2]SourceData!$A:$A, 0))-SUM($D58:H58)),  (MaxPtsPerSprint5-SUM(I$7:I57)))</f>
        <v>0</v>
      </c>
      <c r="J58" s="286">
        <f t="array" ref="J58">MIN((INDEX([2]SourceData!$B:$B, MATCH($D58,[2]SourceData!$A:$A, 0))-SUM($D58:I58)),  (MaxPtsPerSprint6-SUM(J$7:J57)))</f>
        <v>0</v>
      </c>
      <c r="K58" s="286">
        <f t="array" ref="K58">MIN((INDEX([2]SourceData!$B:$B, MATCH($D58,[2]SourceData!$A:$A, 0))-SUM($D58:J58)),  (MaxPtsPerSprint7-SUM(K$7:K57)))</f>
        <v>0</v>
      </c>
      <c r="L58" s="286">
        <f t="array" ref="L58">MIN((INDEX([2]SourceData!$B:$B, MATCH($D58,[2]SourceData!$A:$A, 0))-SUM($D58:K58)),  (MaxPtsPerSprint8-SUM(L$7:L57)))</f>
        <v>0</v>
      </c>
      <c r="M58" s="286">
        <f t="array" ref="M58">MIN((INDEX([2]SourceData!$B:$B, MATCH($D58,[2]SourceData!$A:$A, 0))-SUM($D58:L58)),  (MaxPtsPerSprint9-SUM(M$7:M57)))</f>
        <v>0</v>
      </c>
      <c r="N58" s="286">
        <f t="array" ref="N58">MIN((INDEX([2]SourceData!$B:$B, MATCH($D58,[2]SourceData!$A:$A, 0))-SUM($D58:M58)),  (MaxPtsPerSprint10-SUM(N$7:N57)))</f>
        <v>0</v>
      </c>
      <c r="O58" s="286">
        <f t="array" ref="O58">MIN((INDEX([2]SourceData!$B:$B, MATCH($D58,[2]SourceData!$A:$A, 0))-SUM($D58:N58)),  (MaxPtsPerSprint11-SUM(O$7:O57)))</f>
        <v>0</v>
      </c>
      <c r="P58" s="286">
        <f t="array" ref="P58">MIN((INDEX([2]SourceData!$B:$B, MATCH($D58,[2]SourceData!$A:$A, 0))-SUM($D58:O58)),  (MaxPtsPerSprint12-SUM(P$7:P57)))</f>
        <v>0</v>
      </c>
      <c r="Q58" s="286">
        <f t="array" ref="Q58">MIN((INDEX([2]SourceData!$B:$B, MATCH($D58,[2]SourceData!$A:$A, 0))-SUM($D58:P58)),  (MaxPtsPerSprint13-SUM(Q$7:Q57)))</f>
        <v>0</v>
      </c>
      <c r="R58" s="286">
        <f t="array" ref="R58">MIN((INDEX([2]SourceData!$B:$B, MATCH($D58,[2]SourceData!$A:$A, 0))-SUM($D58:Q58)),  (MaxPtsPerSprint14-SUM(R$7:R57)))</f>
        <v>0</v>
      </c>
      <c r="S58" s="286">
        <f t="array" ref="S58">MIN((INDEX([2]SourceData!$B:$B, MATCH($D58,[2]SourceData!$A:$A, 0))-SUM($D58:R58)),  (MaxPtsPerSprint15-SUM(S$7:S57)))</f>
        <v>158</v>
      </c>
      <c r="T58" s="286">
        <f t="array" ref="T58">MIN((INDEX([2]SourceData!$B:$B, MATCH($D58,[2]SourceData!$A:$A, 0))-SUM($D58:S58)),  (MaxPtsPerSprint16-SUM(T$7:T57)))</f>
        <v>0</v>
      </c>
      <c r="U58" s="286">
        <f t="array" ref="U58">MIN((INDEX([2]SourceData!$B:$B, MATCH($D58,[2]SourceData!$A:$A, 0))-SUM($D58:T58)),  (MaxPtsPerSprint17-SUM(U$7:U57)))</f>
        <v>0</v>
      </c>
      <c r="V58" s="286">
        <f t="array" ref="V58">MIN((INDEX([2]SourceData!$B:$B, MATCH($D58,[2]SourceData!$A:$A, 0))-SUM($D58:U58)),  (MaxPtsPerSprint18-SUM(V$7:V57)))</f>
        <v>0</v>
      </c>
      <c r="W58" s="286">
        <f t="array" ref="W58">MIN((INDEX([2]SourceData!$B:$B, MATCH($D58,[2]SourceData!$A:$A, 0))-SUM($D58:V58)),  (MaxPtsPerSprint19-SUM(W$7:W57)))</f>
        <v>0</v>
      </c>
      <c r="X58" s="286">
        <f t="array" ref="X58">MIN((INDEX([2]SourceData!$B:$B, MATCH($D58,[2]SourceData!$A:$A, 0))-SUM($D58:W58)),  (MaxPtsPerSprint20-SUM(X$7:X57)))</f>
        <v>0</v>
      </c>
      <c r="Y58" s="287">
        <f t="array" ref="Y58">MIN((INDEX([2]SourceData!$B:$B, MATCH($D58,[2]SourceData!$A:$A, 0))-SUM($D58:X58)),  (MaxPtsPerSprint21-SUM(Y$7:Y57)))</f>
        <v>0</v>
      </c>
      <c r="Z58" s="287">
        <f t="array" ref="Z58">MIN((INDEX([2]SourceData!$B:$B, MATCH($D58,[2]SourceData!$A:$A, 0))-SUM($D58:Y58)),  (MaxPtsPerSprint22-SUM(Z$7:Z57)))</f>
        <v>0</v>
      </c>
      <c r="AA58" s="287">
        <f t="array" ref="AA58">MIN((INDEX([2]SourceData!$B:$B, MATCH($D58,[2]SourceData!$A:$A, 0))-SUM($D58:Z58)),  (MaxPtsPerSprint23-SUM(AA$7:AA57)))</f>
        <v>0</v>
      </c>
      <c r="AB58" s="287">
        <f t="array" ref="AB58">MIN((INDEX([2]SourceData!$B:$B, MATCH($D58,[2]SourceData!$A:$A, 0))-SUM($D58:AA58)),  (MaxPtsPerSprint24-SUM(AB$7:AB57)))</f>
        <v>0</v>
      </c>
      <c r="AC58" s="287">
        <f t="array" ref="AC58">MIN((INDEX([2]SourceData!$B:$B, MATCH($D58,[2]SourceData!$A:$A, 0))-SUM($D58:AB58)),  (MaxPtsPerSprint24-SUM(AC$7:AC57)))</f>
        <v>0</v>
      </c>
      <c r="AD58" s="287">
        <f t="array" ref="AD58">MIN((INDEX([2]SourceData!$B:$B, MATCH($D58,[2]SourceData!$A:$A, 0))-SUM($D58:AC58)),  (MaxPtsPerSprint24-SUM(AD$7:AD57)))</f>
        <v>0</v>
      </c>
      <c r="AE58" s="288">
        <f t="shared" si="2"/>
        <v>158</v>
      </c>
      <c r="AF58" s="289">
        <f t="shared" si="4"/>
        <v>7.7844975180755543E-3</v>
      </c>
    </row>
    <row r="59" spans="2:32" ht="18.5" hidden="1" outlineLevel="1" x14ac:dyDescent="0.45">
      <c r="B59" s="284" t="str">
        <f>VLOOKUP(D59,'[2]Work Item Vlookup'!$A$2:$B$119,2,FALSE)</f>
        <v>WI0308</v>
      </c>
      <c r="C59" s="284" t="s">
        <v>291</v>
      </c>
      <c r="D59" s="285" t="str">
        <f>[2]SourceData!A53</f>
        <v>Document Trigger Changes for Choice (ProdEnh)</v>
      </c>
      <c r="E59" s="286">
        <f t="array" ref="E59">MIN((INDEX([2]SourceData!$B:$B, MATCH($D59,[2]SourceData!$A:$A, 0))-SUM($D59:D59)),  (MaxPtsPerSprint1-SUM(E$7:E58)))</f>
        <v>0</v>
      </c>
      <c r="F59" s="286">
        <f t="array" ref="F59">MIN((INDEX([2]SourceData!$B:$B, MATCH($D59,[2]SourceData!$A:$A, 0))-SUM($D59:E59)),  (MaxPtsPerSprint2-SUM(F$7:F58)))</f>
        <v>0</v>
      </c>
      <c r="G59" s="286">
        <f t="array" ref="G59">MIN((INDEX([2]SourceData!$B:$B, MATCH($D59,[2]SourceData!$A:$A, 0))-SUM($D59:F59)),  (MaxPtsPerSprint3-SUM(G$7:G58)))</f>
        <v>0</v>
      </c>
      <c r="H59" s="286">
        <f t="array" ref="H59">MIN((INDEX([2]SourceData!$B:$B, MATCH($D59,[2]SourceData!$A:$A, 0))-SUM($D59:G59)),  (MaxPtsPerSprint4-SUM(H$7:H58)))</f>
        <v>0</v>
      </c>
      <c r="I59" s="286">
        <f t="array" ref="I59">MIN((INDEX([2]SourceData!$B:$B, MATCH($D59,[2]SourceData!$A:$A, 0))-SUM($D59:H59)),  (MaxPtsPerSprint5-SUM(I$7:I58)))</f>
        <v>0</v>
      </c>
      <c r="J59" s="286">
        <f t="array" ref="J59">MIN((INDEX([2]SourceData!$B:$B, MATCH($D59,[2]SourceData!$A:$A, 0))-SUM($D59:I59)),  (MaxPtsPerSprint6-SUM(J$7:J58)))</f>
        <v>0</v>
      </c>
      <c r="K59" s="286">
        <f t="array" ref="K59">MIN((INDEX([2]SourceData!$B:$B, MATCH($D59,[2]SourceData!$A:$A, 0))-SUM($D59:J59)),  (MaxPtsPerSprint7-SUM(K$7:K58)))</f>
        <v>0</v>
      </c>
      <c r="L59" s="286">
        <f t="array" ref="L59">MIN((INDEX([2]SourceData!$B:$B, MATCH($D59,[2]SourceData!$A:$A, 0))-SUM($D59:K59)),  (MaxPtsPerSprint8-SUM(L$7:L58)))</f>
        <v>0</v>
      </c>
      <c r="M59" s="286">
        <f t="array" ref="M59">MIN((INDEX([2]SourceData!$B:$B, MATCH($D59,[2]SourceData!$A:$A, 0))-SUM($D59:L59)),  (MaxPtsPerSprint9-SUM(M$7:M58)))</f>
        <v>0</v>
      </c>
      <c r="N59" s="286">
        <f t="array" ref="N59">MIN((INDEX([2]SourceData!$B:$B, MATCH($D59,[2]SourceData!$A:$A, 0))-SUM($D59:M59)),  (MaxPtsPerSprint10-SUM(N$7:N58)))</f>
        <v>0</v>
      </c>
      <c r="O59" s="286">
        <f t="array" ref="O59">MIN((INDEX([2]SourceData!$B:$B, MATCH($D59,[2]SourceData!$A:$A, 0))-SUM($D59:N59)),  (MaxPtsPerSprint11-SUM(O$7:O58)))</f>
        <v>0</v>
      </c>
      <c r="P59" s="286">
        <f t="array" ref="P59">MIN((INDEX([2]SourceData!$B:$B, MATCH($D59,[2]SourceData!$A:$A, 0))-SUM($D59:O59)),  (MaxPtsPerSprint12-SUM(P$7:P58)))</f>
        <v>0</v>
      </c>
      <c r="Q59" s="286">
        <f t="array" ref="Q59">MIN((INDEX([2]SourceData!$B:$B, MATCH($D59,[2]SourceData!$A:$A, 0))-SUM($D59:P59)),  (MaxPtsPerSprint13-SUM(Q$7:Q58)))</f>
        <v>0</v>
      </c>
      <c r="R59" s="286">
        <f t="array" ref="R59">MIN((INDEX([2]SourceData!$B:$B, MATCH($D59,[2]SourceData!$A:$A, 0))-SUM($D59:Q59)),  (MaxPtsPerSprint14-SUM(R$7:R58)))</f>
        <v>0</v>
      </c>
      <c r="S59" s="286">
        <f t="array" ref="S59">MIN((INDEX([2]SourceData!$B:$B, MATCH($D59,[2]SourceData!$A:$A, 0))-SUM($D59:R59)),  (MaxPtsPerSprint15-SUM(S$7:S58)))</f>
        <v>136</v>
      </c>
      <c r="T59" s="286">
        <f t="array" ref="T59">MIN((INDEX([2]SourceData!$B:$B, MATCH($D59,[2]SourceData!$A:$A, 0))-SUM($D59:S59)),  (MaxPtsPerSprint16-SUM(T$7:T58)))</f>
        <v>0</v>
      </c>
      <c r="U59" s="286">
        <f t="array" ref="U59">MIN((INDEX([2]SourceData!$B:$B, MATCH($D59,[2]SourceData!$A:$A, 0))-SUM($D59:T59)),  (MaxPtsPerSprint17-SUM(U$7:U58)))</f>
        <v>0</v>
      </c>
      <c r="V59" s="286">
        <f t="array" ref="V59">MIN((INDEX([2]SourceData!$B:$B, MATCH($D59,[2]SourceData!$A:$A, 0))-SUM($D59:U59)),  (MaxPtsPerSprint18-SUM(V$7:V58)))</f>
        <v>0</v>
      </c>
      <c r="W59" s="286">
        <f t="array" ref="W59">MIN((INDEX([2]SourceData!$B:$B, MATCH($D59,[2]SourceData!$A:$A, 0))-SUM($D59:V59)),  (MaxPtsPerSprint19-SUM(W$7:W58)))</f>
        <v>0</v>
      </c>
      <c r="X59" s="286">
        <f t="array" ref="X59">MIN((INDEX([2]SourceData!$B:$B, MATCH($D59,[2]SourceData!$A:$A, 0))-SUM($D59:W59)),  (MaxPtsPerSprint20-SUM(X$7:X58)))</f>
        <v>0</v>
      </c>
      <c r="Y59" s="287">
        <f t="array" ref="Y59">MIN((INDEX([2]SourceData!$B:$B, MATCH($D59,[2]SourceData!$A:$A, 0))-SUM($D59:X59)),  (MaxPtsPerSprint21-SUM(Y$7:Y58)))</f>
        <v>0</v>
      </c>
      <c r="Z59" s="287">
        <f t="array" ref="Z59">MIN((INDEX([2]SourceData!$B:$B, MATCH($D59,[2]SourceData!$A:$A, 0))-SUM($D59:Y59)),  (MaxPtsPerSprint22-SUM(Z$7:Z58)))</f>
        <v>0</v>
      </c>
      <c r="AA59" s="287">
        <f t="array" ref="AA59">MIN((INDEX([2]SourceData!$B:$B, MATCH($D59,[2]SourceData!$A:$A, 0))-SUM($D59:Z59)),  (MaxPtsPerSprint23-SUM(AA$7:AA58)))</f>
        <v>0</v>
      </c>
      <c r="AB59" s="287">
        <f t="array" ref="AB59">MIN((INDEX([2]SourceData!$B:$B, MATCH($D59,[2]SourceData!$A:$A, 0))-SUM($D59:AA59)),  (MaxPtsPerSprint24-SUM(AB$7:AB58)))</f>
        <v>0</v>
      </c>
      <c r="AC59" s="287">
        <f t="array" ref="AC59">MIN((INDEX([2]SourceData!$B:$B, MATCH($D59,[2]SourceData!$A:$A, 0))-SUM($D59:AB59)),  (MaxPtsPerSprint24-SUM(AC$7:AC58)))</f>
        <v>0</v>
      </c>
      <c r="AD59" s="287">
        <f t="array" ref="AD59">MIN((INDEX([2]SourceData!$B:$B, MATCH($D59,[2]SourceData!$A:$A, 0))-SUM($D59:AC59)),  (MaxPtsPerSprint24-SUM(AD$7:AD58)))</f>
        <v>0</v>
      </c>
      <c r="AE59" s="288">
        <f t="shared" si="2"/>
        <v>136</v>
      </c>
      <c r="AF59" s="289">
        <f t="shared" si="4"/>
        <v>6.7005801421409833E-3</v>
      </c>
    </row>
    <row r="60" spans="2:32" ht="18.5" hidden="1" outlineLevel="1" x14ac:dyDescent="0.45">
      <c r="B60" s="284" t="str">
        <f>VLOOKUP(D60,'[2]Work Item Vlookup'!$A$2:$B$119,2,FALSE)</f>
        <v>WI0327</v>
      </c>
      <c r="C60" s="284" t="s">
        <v>291</v>
      </c>
      <c r="D60" s="285" t="str">
        <f>[2]SourceData!A54</f>
        <v>UBI - Phase 4 (Prod Enh)</v>
      </c>
      <c r="E60" s="286"/>
      <c r="F60" s="286"/>
      <c r="G60" s="286"/>
      <c r="H60" s="286"/>
      <c r="I60" s="286"/>
      <c r="J60" s="286"/>
      <c r="K60" s="286"/>
      <c r="L60" s="286"/>
      <c r="M60" s="286"/>
      <c r="N60" s="286"/>
      <c r="O60" s="286">
        <f t="array" ref="O60">MIN((INDEX([2]SourceData!$B:$B, MATCH($D60,[2]SourceData!$A:$A, 0))-SUM($D60:N60)),  (MaxPtsPerSprint11-SUM(O$7:O59)))</f>
        <v>0</v>
      </c>
      <c r="P60" s="286">
        <f t="array" ref="P60">MIN((INDEX([2]SourceData!$B:$B, MATCH($D60,[2]SourceData!$A:$A, 0))-SUM($D60:O60)),  (MaxPtsPerSprint12-SUM(P$7:P59)))</f>
        <v>0</v>
      </c>
      <c r="Q60" s="286">
        <f t="array" ref="Q60">MIN((INDEX([2]SourceData!$B:$B, MATCH($D60,[2]SourceData!$A:$A, 0))-SUM($D60:P60)),  (MaxPtsPerSprint13-SUM(Q$7:Q59)))</f>
        <v>0</v>
      </c>
      <c r="R60" s="286">
        <f t="array" ref="R60">MIN((INDEX([2]SourceData!$B:$B, MATCH($D60,[2]SourceData!$A:$A, 0))-SUM($D60:Q60)),  (MaxPtsPerSprint14-SUM(R$7:R59)))</f>
        <v>0</v>
      </c>
      <c r="S60" s="286">
        <f t="array" ref="S60">MIN((INDEX([2]SourceData!$B:$B, MATCH($D60,[2]SourceData!$A:$A, 0))-SUM($D60:R60)),  (MaxPtsPerSprint15-SUM(S$7:S59)))</f>
        <v>40</v>
      </c>
      <c r="T60" s="286">
        <f t="array" ref="T60">MIN((INDEX([2]SourceData!$B:$B, MATCH($D60,[2]SourceData!$A:$A, 0))-SUM($D60:S60)),  (MaxPtsPerSprint16-SUM(T$7:T59)))</f>
        <v>0</v>
      </c>
      <c r="U60" s="286">
        <f t="array" ref="U60">MIN((INDEX([2]SourceData!$B:$B, MATCH($D60,[2]SourceData!$A:$A, 0))-SUM($D60:T60)),  (MaxPtsPerSprint17-SUM(U$7:U59)))</f>
        <v>0</v>
      </c>
      <c r="V60" s="286">
        <f t="array" ref="V60">MIN((INDEX([2]SourceData!$B:$B, MATCH($D60,[2]SourceData!$A:$A, 0))-SUM($D60:U60)),  (MaxPtsPerSprint18-SUM(V$7:V59)))</f>
        <v>0</v>
      </c>
      <c r="W60" s="286">
        <f t="array" ref="W60">MIN((INDEX([2]SourceData!$B:$B, MATCH($D60,[2]SourceData!$A:$A, 0))-SUM($D60:V60)),  (MaxPtsPerSprint19-SUM(W$7:W59)))</f>
        <v>0</v>
      </c>
      <c r="X60" s="286">
        <f t="array" ref="X60">MIN((INDEX([2]SourceData!$B:$B, MATCH($D60,[2]SourceData!$A:$A, 0))-SUM($D60:W60)),  (MaxPtsPerSprint20-SUM(X$7:X59)))</f>
        <v>0</v>
      </c>
      <c r="Y60" s="287">
        <f t="array" ref="Y60">MIN((INDEX([2]SourceData!$B:$B, MATCH($D60,[2]SourceData!$A:$A, 0))-SUM($D60:X60)),  (MaxPtsPerSprint21-SUM(Y$7:Y59)))</f>
        <v>0</v>
      </c>
      <c r="Z60" s="287">
        <f t="array" ref="Z60">MIN((INDEX([2]SourceData!$B:$B, MATCH($D60,[2]SourceData!$A:$A, 0))-SUM($D60:Y60)),  (MaxPtsPerSprint22-SUM(Z$7:Z59)))</f>
        <v>0</v>
      </c>
      <c r="AA60" s="287">
        <f t="array" ref="AA60">MIN((INDEX([2]SourceData!$B:$B, MATCH($D60,[2]SourceData!$A:$A, 0))-SUM($D60:Z60)),  (MaxPtsPerSprint23-SUM(AA$7:AA59)))</f>
        <v>0</v>
      </c>
      <c r="AB60" s="287">
        <f t="array" ref="AB60">MIN((INDEX([2]SourceData!$B:$B, MATCH($D60,[2]SourceData!$A:$A, 0))-SUM($D60:AA60)),  (MaxPtsPerSprint24-SUM(AB$7:AB59)))</f>
        <v>0</v>
      </c>
      <c r="AC60" s="287">
        <f t="array" ref="AC60">MIN((INDEX([2]SourceData!$B:$B, MATCH($D60,[2]SourceData!$A:$A, 0))-SUM($D60:AB60)),  (MaxPtsPerSprint24-SUM(AC$7:AC59)))</f>
        <v>0</v>
      </c>
      <c r="AD60" s="287">
        <f t="array" ref="AD60">MIN((INDEX([2]SourceData!$B:$B, MATCH($D60,[2]SourceData!$A:$A, 0))-SUM($D60:AC60)),  (MaxPtsPerSprint24-SUM(AD$7:AD59)))</f>
        <v>0</v>
      </c>
      <c r="AE60" s="288">
        <f t="shared" si="2"/>
        <v>40</v>
      </c>
      <c r="AF60" s="289"/>
    </row>
    <row r="61" spans="2:32" ht="18.5" hidden="1" outlineLevel="1" x14ac:dyDescent="0.45">
      <c r="B61" s="284" t="str">
        <f>VLOOKUP(D61,'[2]Work Item Vlookup'!$A$2:$B$119,2,FALSE)</f>
        <v>WI0300</v>
      </c>
      <c r="C61" s="284" t="s">
        <v>329</v>
      </c>
      <c r="D61" s="285" t="str">
        <f>[2]SourceData!A55</f>
        <v>Usability Improvements - SS Bundle Simplifications (ProdEnh)</v>
      </c>
      <c r="E61" s="286">
        <f t="array" ref="E61">MIN((INDEX([2]SourceData!$B:$B, MATCH($D61,[2]SourceData!$A:$A, 0))-SUM($D61:D61)),  (MaxPtsPerSprint1-SUM(E$7:E59)))</f>
        <v>0</v>
      </c>
      <c r="F61" s="286">
        <f t="array" ref="F61">MIN((INDEX([2]SourceData!$B:$B, MATCH($D61,[2]SourceData!$A:$A, 0))-SUM($D61:E61)),  (MaxPtsPerSprint2-SUM(F$7:F59)))</f>
        <v>0</v>
      </c>
      <c r="G61" s="286">
        <f t="array" ref="G61">MIN((INDEX([2]SourceData!$B:$B, MATCH($D61,[2]SourceData!$A:$A, 0))-SUM($D61:F61)),  (MaxPtsPerSprint3-SUM(G$7:G59)))</f>
        <v>0</v>
      </c>
      <c r="H61" s="286">
        <f t="array" ref="H61">MIN((INDEX([2]SourceData!$B:$B, MATCH($D61,[2]SourceData!$A:$A, 0))-SUM($D61:G61)),  (MaxPtsPerSprint4-SUM(H$7:H59)))</f>
        <v>0</v>
      </c>
      <c r="I61" s="286">
        <f t="array" ref="I61">MIN((INDEX([2]SourceData!$B:$B, MATCH($D61,[2]SourceData!$A:$A, 0))-SUM($D61:H61)),  (MaxPtsPerSprint5-SUM(I$7:I59)))</f>
        <v>0</v>
      </c>
      <c r="J61" s="286">
        <f t="array" ref="J61">MIN((INDEX([2]SourceData!$B:$B, MATCH($D61,[2]SourceData!$A:$A, 0))-SUM($D61:I61)),  (MaxPtsPerSprint6-SUM(J$7:J59)))</f>
        <v>0</v>
      </c>
      <c r="K61" s="286">
        <f t="array" ref="K61">MIN((INDEX([2]SourceData!$B:$B, MATCH($D61,[2]SourceData!$A:$A, 0))-SUM($D61:J61)),  (MaxPtsPerSprint7-SUM(K$7:K59)))</f>
        <v>0</v>
      </c>
      <c r="L61" s="286">
        <f t="array" ref="L61">MIN((INDEX([2]SourceData!$B:$B, MATCH($D61,[2]SourceData!$A:$A, 0))-SUM($D61:K61)),  (MaxPtsPerSprint8-SUM(L$7:L59)))</f>
        <v>0</v>
      </c>
      <c r="M61" s="286">
        <f t="array" ref="M61">MIN((INDEX([2]SourceData!$B:$B, MATCH($D61,[2]SourceData!$A:$A, 0))-SUM($D61:L61)),  (MaxPtsPerSprint9-SUM(M$7:M59)))</f>
        <v>0</v>
      </c>
      <c r="N61" s="286">
        <f t="array" ref="N61">MIN((INDEX([2]SourceData!$B:$B, MATCH($D61,[2]SourceData!$A:$A, 0))-SUM($D61:M61)),  (MaxPtsPerSprint10-SUM(N$7:N59)))</f>
        <v>0</v>
      </c>
      <c r="O61" s="286">
        <f t="array" ref="O61">MIN((INDEX([2]SourceData!$B:$B, MATCH($D61,[2]SourceData!$A:$A, 0))-SUM($D61:N61)),  (MaxPtsPerSprint11-SUM(O$7:O60)))</f>
        <v>0</v>
      </c>
      <c r="P61" s="286">
        <f t="array" ref="P61">MIN((INDEX([2]SourceData!$B:$B, MATCH($D61,[2]SourceData!$A:$A, 0))-SUM($D61:O61)),  (MaxPtsPerSprint12-SUM(P$7:P60)))</f>
        <v>0</v>
      </c>
      <c r="Q61" s="286">
        <f t="array" ref="Q61">MIN((INDEX([2]SourceData!$B:$B, MATCH($D61,[2]SourceData!$A:$A, 0))-SUM($D61:P61)),  (MaxPtsPerSprint13-SUM(Q$7:Q60)))</f>
        <v>0</v>
      </c>
      <c r="R61" s="286">
        <f t="array" ref="R61">MIN((INDEX([2]SourceData!$B:$B, MATCH($D61,[2]SourceData!$A:$A, 0))-SUM($D61:Q61)),  (MaxPtsPerSprint14-SUM(R$7:R60)))</f>
        <v>0</v>
      </c>
      <c r="S61" s="286">
        <f t="array" ref="S61">MIN((INDEX([2]SourceData!$B:$B, MATCH($D61,[2]SourceData!$A:$A, 0))-SUM($D61:R61)),  (MaxPtsPerSprint15-SUM(S$7:S60)))</f>
        <v>18</v>
      </c>
      <c r="T61" s="286">
        <f t="array" ref="T61">MIN((INDEX([2]SourceData!$B:$B, MATCH($D61,[2]SourceData!$A:$A, 0))-SUM($D61:S61)),  (MaxPtsPerSprint16-SUM(T$7:T60)))</f>
        <v>0</v>
      </c>
      <c r="U61" s="286">
        <f t="array" ref="U61">MIN((INDEX([2]SourceData!$B:$B, MATCH($D61,[2]SourceData!$A:$A, 0))-SUM($D61:T61)),  (MaxPtsPerSprint17-SUM(U$7:U60)))</f>
        <v>0</v>
      </c>
      <c r="V61" s="286">
        <f t="array" ref="V61">MIN((INDEX([2]SourceData!$B:$B, MATCH($D61,[2]SourceData!$A:$A, 0))-SUM($D61:U61)),  (MaxPtsPerSprint18-SUM(V$7:V60)))</f>
        <v>0</v>
      </c>
      <c r="W61" s="286">
        <f t="array" ref="W61">MIN((INDEX([2]SourceData!$B:$B, MATCH($D61,[2]SourceData!$A:$A, 0))-SUM($D61:V61)),  (MaxPtsPerSprint19-SUM(W$7:W60)))</f>
        <v>0</v>
      </c>
      <c r="X61" s="286">
        <f t="array" ref="X61">MIN((INDEX([2]SourceData!$B:$B, MATCH($D61,[2]SourceData!$A:$A, 0))-SUM($D61:W61)),  (MaxPtsPerSprint20-SUM(X$7:X60)))</f>
        <v>0</v>
      </c>
      <c r="Y61" s="287">
        <f t="array" ref="Y61">MIN((INDEX([2]SourceData!$B:$B, MATCH($D61,[2]SourceData!$A:$A, 0))-SUM($D61:X61)),  (MaxPtsPerSprint21-SUM(Y$7:Y60)))</f>
        <v>0</v>
      </c>
      <c r="Z61" s="287">
        <f t="array" ref="Z61">MIN((INDEX([2]SourceData!$B:$B, MATCH($D61,[2]SourceData!$A:$A, 0))-SUM($D61:Y61)),  (MaxPtsPerSprint22-SUM(Z$7:Z60)))</f>
        <v>0</v>
      </c>
      <c r="AA61" s="287">
        <f t="array" ref="AA61">MIN((INDEX([2]SourceData!$B:$B, MATCH($D61,[2]SourceData!$A:$A, 0))-SUM($D61:Z61)),  (MaxPtsPerSprint23-SUM(AA$7:AA60)))</f>
        <v>0</v>
      </c>
      <c r="AB61" s="287">
        <f t="array" ref="AB61">MIN((INDEX([2]SourceData!$B:$B, MATCH($D61,[2]SourceData!$A:$A, 0))-SUM($D61:AA61)),  (MaxPtsPerSprint24-SUM(AB$7:AB60)))</f>
        <v>0</v>
      </c>
      <c r="AC61" s="287">
        <f t="array" ref="AC61">MIN((INDEX([2]SourceData!$B:$B, MATCH($D61,[2]SourceData!$A:$A, 0))-SUM($D61:AB61)),  (MaxPtsPerSprint24-SUM(AC$7:AC60)))</f>
        <v>0</v>
      </c>
      <c r="AD61" s="287">
        <f t="array" ref="AD61">MIN((INDEX([2]SourceData!$B:$B, MATCH($D61,[2]SourceData!$A:$A, 0))-SUM($D61:AC61)),  (MaxPtsPerSprint24-SUM(AD$7:AD60)))</f>
        <v>0</v>
      </c>
      <c r="AE61" s="288">
        <f t="shared" si="2"/>
        <v>18</v>
      </c>
      <c r="AF61" s="289">
        <f>AE61/$AE$131</f>
        <v>8.8684148940101253E-4</v>
      </c>
    </row>
    <row r="62" spans="2:32" ht="18.5" hidden="1" outlineLevel="1" x14ac:dyDescent="0.45">
      <c r="B62" s="284" t="str">
        <f>VLOOKUP(D62,'[2]Work Item Vlookup'!$A$2:$B$119,2,FALSE)</f>
        <v>WI0311</v>
      </c>
      <c r="C62" s="284" t="s">
        <v>444</v>
      </c>
      <c r="D62" s="285" t="str">
        <f>[2]SourceData!A56</f>
        <v>Production Defects Fixed in PAS6.1</v>
      </c>
      <c r="E62" s="286"/>
      <c r="F62" s="286"/>
      <c r="G62" s="286"/>
      <c r="H62" s="286"/>
      <c r="I62" s="286"/>
      <c r="J62" s="286"/>
      <c r="K62" s="286"/>
      <c r="L62" s="286"/>
      <c r="M62" s="286"/>
      <c r="N62" s="286"/>
      <c r="O62" s="286">
        <f t="array" ref="O62">MIN((INDEX([2]SourceData!$B:$B, MATCH($D62,[2]SourceData!$A:$A, 0))-SUM($D62:N62)),  (MaxPtsPerSprint11-SUM(O$7:O61)))</f>
        <v>0</v>
      </c>
      <c r="P62" s="286">
        <f t="array" ref="P62">MIN((INDEX([2]SourceData!$B:$B, MATCH($D62,[2]SourceData!$A:$A, 0))-SUM($D62:O62)),  (MaxPtsPerSprint12-SUM(P$7:P61)))</f>
        <v>0</v>
      </c>
      <c r="Q62" s="286">
        <f t="array" ref="Q62">MIN((INDEX([2]SourceData!$B:$B, MATCH($D62,[2]SourceData!$A:$A, 0))-SUM($D62:P62)),  (MaxPtsPerSprint13-SUM(Q$7:Q61)))</f>
        <v>0</v>
      </c>
      <c r="R62" s="286">
        <f t="array" ref="R62">MIN((INDEX([2]SourceData!$B:$B, MATCH($D62,[2]SourceData!$A:$A, 0))-SUM($D62:Q62)),  (MaxPtsPerSprint14-SUM(R$7:R61)))</f>
        <v>0</v>
      </c>
      <c r="S62" s="286">
        <f t="array" ref="S62">MIN((INDEX([2]SourceData!$B:$B, MATCH($D62,[2]SourceData!$A:$A, 0))-SUM($D62:R62)),  (MaxPtsPerSprint15-SUM(S$7:S61)))</f>
        <v>12.799999999999727</v>
      </c>
      <c r="T62" s="286">
        <f t="array" ref="T62">MIN((INDEX([2]SourceData!$B:$B, MATCH($D62,[2]SourceData!$A:$A, 0))-SUM($D62:S62)),  (MaxPtsPerSprint16-SUM(T$7:T61)))</f>
        <v>301.20000000000027</v>
      </c>
      <c r="U62" s="286">
        <f t="array" ref="U62">MIN((INDEX([2]SourceData!$B:$B, MATCH($D62,[2]SourceData!$A:$A, 0))-SUM($D62:T62)),  (MaxPtsPerSprint17-SUM(U$7:U61)))</f>
        <v>0</v>
      </c>
      <c r="V62" s="286">
        <f t="array" ref="V62">MIN((INDEX([2]SourceData!$B:$B, MATCH($D62,[2]SourceData!$A:$A, 0))-SUM($D62:U62)),  (MaxPtsPerSprint18-SUM(V$7:V61)))</f>
        <v>0</v>
      </c>
      <c r="W62" s="286">
        <f t="array" ref="W62">MIN((INDEX([2]SourceData!$B:$B, MATCH($D62,[2]SourceData!$A:$A, 0))-SUM($D62:V62)),  (MaxPtsPerSprint19-SUM(W$7:W61)))</f>
        <v>0</v>
      </c>
      <c r="X62" s="286">
        <f t="array" ref="X62">MIN((INDEX([2]SourceData!$B:$B, MATCH($D62,[2]SourceData!$A:$A, 0))-SUM($D62:W62)),  (MaxPtsPerSprint20-SUM(X$7:X61)))</f>
        <v>0</v>
      </c>
      <c r="Y62" s="287">
        <f t="array" ref="Y62">MIN((INDEX([2]SourceData!$B:$B, MATCH($D62,[2]SourceData!$A:$A, 0))-SUM($D62:X62)),  (MaxPtsPerSprint21-SUM(Y$7:Y61)))</f>
        <v>0</v>
      </c>
      <c r="Z62" s="287">
        <f t="array" ref="Z62">MIN((INDEX([2]SourceData!$B:$B, MATCH($D62,[2]SourceData!$A:$A, 0))-SUM($D62:Y62)),  (MaxPtsPerSprint22-SUM(Z$7:Z61)))</f>
        <v>0</v>
      </c>
      <c r="AA62" s="287">
        <f t="array" ref="AA62">MIN((INDEX([2]SourceData!$B:$B, MATCH($D62,[2]SourceData!$A:$A, 0))-SUM($D62:Z62)),  (MaxPtsPerSprint23-SUM(AA$7:AA61)))</f>
        <v>0</v>
      </c>
      <c r="AB62" s="287">
        <f t="array" ref="AB62">MIN((INDEX([2]SourceData!$B:$B, MATCH($D62,[2]SourceData!$A:$A, 0))-SUM($D62:AA62)),  (MaxPtsPerSprint24-SUM(AB$7:AB61)))</f>
        <v>0</v>
      </c>
      <c r="AC62" s="287">
        <f t="array" ref="AC62">MIN((INDEX([2]SourceData!$B:$B, MATCH($D62,[2]SourceData!$A:$A, 0))-SUM($D62:AB62)),  (MaxPtsPerSprint24-SUM(AC$7:AC61)))</f>
        <v>0</v>
      </c>
      <c r="AD62" s="287">
        <f t="array" ref="AD62">MIN((INDEX([2]SourceData!$B:$B, MATCH($D62,[2]SourceData!$A:$A, 0))-SUM($D62:AC62)),  (MaxPtsPerSprint24-SUM(AD$7:AD61)))</f>
        <v>0</v>
      </c>
      <c r="AE62" s="288">
        <f t="shared" si="2"/>
        <v>314</v>
      </c>
      <c r="AF62" s="289"/>
    </row>
    <row r="63" spans="2:32" ht="18.5" hidden="1" outlineLevel="1" x14ac:dyDescent="0.45">
      <c r="B63" s="284" t="str">
        <f>VLOOKUP(D63,'[2]Work Item Vlookup'!$A$2:$B$119,2,FALSE)</f>
        <v>WI0205</v>
      </c>
      <c r="C63" s="284" t="s">
        <v>444</v>
      </c>
      <c r="D63" s="285" t="str">
        <f>[2]SourceData!A57</f>
        <v>Document Redesign</v>
      </c>
      <c r="E63" s="286">
        <f t="array" ref="E63">MIN((INDEX([2]SourceData!$B:$B, MATCH($D63,[2]SourceData!$A:$A, 0))-SUM($D63:D63)),  (MaxPtsPerSprint1-SUM(E$7:E61)))</f>
        <v>0</v>
      </c>
      <c r="F63" s="286">
        <f t="array" ref="F63">MIN((INDEX([2]SourceData!$B:$B, MATCH($D63,[2]SourceData!$A:$A, 0))-SUM($D63:E63)),  (MaxPtsPerSprint2-SUM(F$7:F61)))</f>
        <v>0</v>
      </c>
      <c r="G63" s="286">
        <f t="array" ref="G63">MIN((INDEX([2]SourceData!$B:$B, MATCH($D63,[2]SourceData!$A:$A, 0))-SUM($D63:F63)),  (MaxPtsPerSprint3-SUM(G$7:G61)))</f>
        <v>0</v>
      </c>
      <c r="H63" s="286">
        <f t="array" ref="H63">MIN((INDEX([2]SourceData!$B:$B, MATCH($D63,[2]SourceData!$A:$A, 0))-SUM($D63:G63)),  (MaxPtsPerSprint4-SUM(H$7:H61)))</f>
        <v>0</v>
      </c>
      <c r="I63" s="286">
        <f t="array" ref="I63">MIN((INDEX([2]SourceData!$B:$B, MATCH($D63,[2]SourceData!$A:$A, 0))-SUM($D63:H63)),  (MaxPtsPerSprint5-SUM(I$7:I61)))</f>
        <v>0</v>
      </c>
      <c r="J63" s="286">
        <f t="array" ref="J63">MIN((INDEX([2]SourceData!$B:$B, MATCH($D63,[2]SourceData!$A:$A, 0))-SUM($D63:I63)),  (MaxPtsPerSprint6-SUM(J$7:J61)))</f>
        <v>0</v>
      </c>
      <c r="K63" s="286">
        <f t="array" ref="K63">MIN((INDEX([2]SourceData!$B:$B, MATCH($D63,[2]SourceData!$A:$A, 0))-SUM($D63:J63)),  (MaxPtsPerSprint7-SUM(K$7:K61)))</f>
        <v>0</v>
      </c>
      <c r="L63" s="286">
        <f t="array" ref="L63">MIN((INDEX([2]SourceData!$B:$B, MATCH($D63,[2]SourceData!$A:$A, 0))-SUM($D63:K63)),  (MaxPtsPerSprint8-SUM(L$7:L61)))</f>
        <v>0</v>
      </c>
      <c r="M63" s="286">
        <f t="array" ref="M63">MIN((INDEX([2]SourceData!$B:$B, MATCH($D63,[2]SourceData!$A:$A, 0))-SUM($D63:L63)),  (MaxPtsPerSprint9-SUM(M$7:M61)))</f>
        <v>0</v>
      </c>
      <c r="N63" s="286">
        <f t="array" ref="N63">MIN((INDEX([2]SourceData!$B:$B, MATCH($D63,[2]SourceData!$A:$A, 0))-SUM($D63:M63)),  (MaxPtsPerSprint10-SUM(N$7:N61)))</f>
        <v>0</v>
      </c>
      <c r="O63" s="286">
        <f t="array" ref="O63">MIN((INDEX([2]SourceData!$B:$B, MATCH($D63,[2]SourceData!$A:$A, 0))-SUM($D63:N63)),  (MaxPtsPerSprint11-SUM(O$7:O62)))</f>
        <v>0</v>
      </c>
      <c r="P63" s="286">
        <f t="array" ref="P63">MIN((INDEX([2]SourceData!$B:$B, MATCH($D63,[2]SourceData!$A:$A, 0))-SUM($D63:O63)),  (MaxPtsPerSprint12-SUM(P$7:P62)))</f>
        <v>0</v>
      </c>
      <c r="Q63" s="286">
        <f t="array" ref="Q63">MIN((INDEX([2]SourceData!$B:$B, MATCH($D63,[2]SourceData!$A:$A, 0))-SUM($D63:P63)),  (MaxPtsPerSprint13-SUM(Q$7:Q62)))</f>
        <v>0</v>
      </c>
      <c r="R63" s="286">
        <f t="array" ref="R63">MIN((INDEX([2]SourceData!$B:$B, MATCH($D63,[2]SourceData!$A:$A, 0))-SUM($D63:Q63)),  (MaxPtsPerSprint14-SUM(R$7:R62)))</f>
        <v>0</v>
      </c>
      <c r="S63" s="286">
        <f t="array" ref="S63">MIN((INDEX([2]SourceData!$B:$B, MATCH($D63,[2]SourceData!$A:$A, 0))-SUM($D63:R63)),  (MaxPtsPerSprint15-SUM(S$7:S62)))</f>
        <v>0</v>
      </c>
      <c r="T63" s="286">
        <f t="array" ref="T63">MIN((INDEX([2]SourceData!$B:$B, MATCH($D63,[2]SourceData!$A:$A, 0))-SUM($D63:S63)),  (MaxPtsPerSprint16-SUM(T$7:T62)))</f>
        <v>396.5</v>
      </c>
      <c r="U63" s="286">
        <f t="array" ref="U63">MIN((INDEX([2]SourceData!$B:$B, MATCH($D63,[2]SourceData!$A:$A, 0))-SUM($D63:T63)),  (MaxPtsPerSprint17-SUM(U$7:U62)))</f>
        <v>0</v>
      </c>
      <c r="V63" s="286">
        <f t="array" ref="V63">MIN((INDEX([2]SourceData!$B:$B, MATCH($D63,[2]SourceData!$A:$A, 0))-SUM($D63:U63)),  (MaxPtsPerSprint18-SUM(V$7:V62)))</f>
        <v>0</v>
      </c>
      <c r="W63" s="286">
        <f t="array" ref="W63">MIN((INDEX([2]SourceData!$B:$B, MATCH($D63,[2]SourceData!$A:$A, 0))-SUM($D63:V63)),  (MaxPtsPerSprint19-SUM(W$7:W62)))</f>
        <v>0</v>
      </c>
      <c r="X63" s="286">
        <f t="array" ref="X63">MIN((INDEX([2]SourceData!$B:$B, MATCH($D63,[2]SourceData!$A:$A, 0))-SUM($D63:W63)),  (MaxPtsPerSprint20-SUM(X$7:X62)))</f>
        <v>0</v>
      </c>
      <c r="Y63" s="287">
        <f t="array" ref="Y63">MIN((INDEX([2]SourceData!$B:$B, MATCH($D63,[2]SourceData!$A:$A, 0))-SUM($D63:X63)),  (MaxPtsPerSprint21-SUM(Y$7:Y62)))</f>
        <v>0</v>
      </c>
      <c r="Z63" s="287">
        <f t="array" ref="Z63">MIN((INDEX([2]SourceData!$B:$B, MATCH($D63,[2]SourceData!$A:$A, 0))-SUM($D63:Y63)),  (MaxPtsPerSprint22-SUM(Z$7:Z62)))</f>
        <v>0</v>
      </c>
      <c r="AA63" s="287">
        <f t="array" ref="AA63">MIN((INDEX([2]SourceData!$B:$B, MATCH($D63,[2]SourceData!$A:$A, 0))-SUM($D63:Z63)),  (MaxPtsPerSprint23-SUM(AA$7:AA62)))</f>
        <v>0</v>
      </c>
      <c r="AB63" s="287">
        <f t="array" ref="AB63">MIN((INDEX([2]SourceData!$B:$B, MATCH($D63,[2]SourceData!$A:$A, 0))-SUM($D63:AA63)),  (MaxPtsPerSprint24-SUM(AB$7:AB62)))</f>
        <v>0</v>
      </c>
      <c r="AC63" s="287">
        <f t="array" ref="AC63">MIN((INDEX([2]SourceData!$B:$B, MATCH($D63,[2]SourceData!$A:$A, 0))-SUM($D63:AB63)),  (MaxPtsPerSprint24-SUM(AC$7:AC62)))</f>
        <v>0</v>
      </c>
      <c r="AD63" s="287">
        <f t="array" ref="AD63">MIN((INDEX([2]SourceData!$B:$B, MATCH($D63,[2]SourceData!$A:$A, 0))-SUM($D63:AC63)),  (MaxPtsPerSprint24-SUM(AD$7:AD62)))</f>
        <v>0</v>
      </c>
      <c r="AE63" s="288">
        <f t="shared" si="2"/>
        <v>396.5</v>
      </c>
      <c r="AF63" s="289">
        <f>AE63/$AE$131</f>
        <v>1.9535147252638968E-2</v>
      </c>
    </row>
    <row r="64" spans="2:32" ht="18.5" hidden="1" outlineLevel="1" x14ac:dyDescent="0.45">
      <c r="B64" s="284" t="str">
        <f>VLOOKUP(D64,'[2]Work Item Vlookup'!$A$2:$B$119,2,FALSE)</f>
        <v>WI0328</v>
      </c>
      <c r="C64" s="284" t="s">
        <v>444</v>
      </c>
      <c r="D64" s="285" t="str">
        <f>[2]SourceData!A58</f>
        <v>KY Property Comp Rater (Orig Scope)</v>
      </c>
      <c r="E64" s="286">
        <f t="array" ref="E64">MIN((INDEX([2]SourceData!$B:$B, MATCH($D64,[2]SourceData!$A:$A, 0))-SUM($D64:D64)),  (MaxPtsPerSprint1-SUM(E$7:E62)))</f>
        <v>0</v>
      </c>
      <c r="F64" s="286">
        <f t="array" ref="F64">MIN((INDEX([2]SourceData!$B:$B, MATCH($D64,[2]SourceData!$A:$A, 0))-SUM($D64:E64)),  (MaxPtsPerSprint2-SUM(F$7:F62)))</f>
        <v>0</v>
      </c>
      <c r="G64" s="286">
        <f t="array" ref="G64">MIN((INDEX([2]SourceData!$B:$B, MATCH($D64,[2]SourceData!$A:$A, 0))-SUM($D64:F64)),  (MaxPtsPerSprint3-SUM(G$7:G62)))</f>
        <v>0</v>
      </c>
      <c r="H64" s="286">
        <f t="array" ref="H64">MIN((INDEX([2]SourceData!$B:$B, MATCH($D64,[2]SourceData!$A:$A, 0))-SUM($D64:G64)),  (MaxPtsPerSprint4-SUM(H$7:H62)))</f>
        <v>0</v>
      </c>
      <c r="I64" s="286">
        <f t="array" ref="I64">MIN((INDEX([2]SourceData!$B:$B, MATCH($D64,[2]SourceData!$A:$A, 0))-SUM($D64:H64)),  (MaxPtsPerSprint5-SUM(I$7:I62)))</f>
        <v>0</v>
      </c>
      <c r="J64" s="286">
        <f t="array" ref="J64">MIN((INDEX([2]SourceData!$B:$B, MATCH($D64,[2]SourceData!$A:$A, 0))-SUM($D64:I64)),  (MaxPtsPerSprint6-SUM(J$7:J62)))</f>
        <v>0</v>
      </c>
      <c r="K64" s="286">
        <f t="array" ref="K64">MIN((INDEX([2]SourceData!$B:$B, MATCH($D64,[2]SourceData!$A:$A, 0))-SUM($D64:J64)),  (MaxPtsPerSprint7-SUM(K$7:K62)))</f>
        <v>0</v>
      </c>
      <c r="L64" s="286">
        <f t="array" ref="L64">MIN((INDEX([2]SourceData!$B:$B, MATCH($D64,[2]SourceData!$A:$A, 0))-SUM($D64:K64)),  (MaxPtsPerSprint8-SUM(L$7:L62)))</f>
        <v>0</v>
      </c>
      <c r="M64" s="286">
        <f t="array" ref="M64">MIN((INDEX([2]SourceData!$B:$B, MATCH($D64,[2]SourceData!$A:$A, 0))-SUM($D64:L64)),  (MaxPtsPerSprint9-SUM(M$7:M62)))</f>
        <v>0</v>
      </c>
      <c r="N64" s="286">
        <f t="array" ref="N64">MIN((INDEX([2]SourceData!$B:$B, MATCH($D64,[2]SourceData!$A:$A, 0))-SUM($D64:M64)),  (MaxPtsPerSprint10-SUM(N$7:N62)))</f>
        <v>0</v>
      </c>
      <c r="O64" s="286">
        <f t="array" ref="O64">MIN((INDEX([2]SourceData!$B:$B, MATCH($D64,[2]SourceData!$A:$A, 0))-SUM($D64:N64)),  (MaxPtsPerSprint11-SUM(O$7:O63)))</f>
        <v>0</v>
      </c>
      <c r="P64" s="286">
        <f t="array" ref="P64">MIN((INDEX([2]SourceData!$B:$B, MATCH($D64,[2]SourceData!$A:$A, 0))-SUM($D64:O64)),  (MaxPtsPerSprint12-SUM(P$7:P63)))</f>
        <v>0</v>
      </c>
      <c r="Q64" s="286">
        <f t="array" ref="Q64">MIN((INDEX([2]SourceData!$B:$B, MATCH($D64,[2]SourceData!$A:$A, 0))-SUM($D64:P64)),  (MaxPtsPerSprint13-SUM(Q$7:Q63)))</f>
        <v>0</v>
      </c>
      <c r="R64" s="286">
        <f t="array" ref="R64">MIN((INDEX([2]SourceData!$B:$B, MATCH($D64,[2]SourceData!$A:$A, 0))-SUM($D64:Q64)),  (MaxPtsPerSprint14-SUM(R$7:R63)))</f>
        <v>0</v>
      </c>
      <c r="S64" s="286">
        <f t="array" ref="S64">MIN((INDEX([2]SourceData!$B:$B, MATCH($D64,[2]SourceData!$A:$A, 0))-SUM($D64:R64)),  (MaxPtsPerSprint15-SUM(S$7:S63)))</f>
        <v>0</v>
      </c>
      <c r="T64" s="286">
        <f t="array" ref="T64">MIN((INDEX([2]SourceData!$B:$B, MATCH($D64,[2]SourceData!$A:$A, 0))-SUM($D64:S64)),  (MaxPtsPerSprint16-SUM(T$7:T63)))</f>
        <v>79.75</v>
      </c>
      <c r="U64" s="286">
        <f t="array" ref="U64">MIN((INDEX([2]SourceData!$B:$B, MATCH($D64,[2]SourceData!$A:$A, 0))-SUM($D64:T64)),  (MaxPtsPerSprint17-SUM(U$7:U63)))</f>
        <v>0</v>
      </c>
      <c r="V64" s="286">
        <f t="array" ref="V64">MIN((INDEX([2]SourceData!$B:$B, MATCH($D64,[2]SourceData!$A:$A, 0))-SUM($D64:U64)),  (MaxPtsPerSprint18-SUM(V$7:V63)))</f>
        <v>0</v>
      </c>
      <c r="W64" s="286">
        <f t="array" ref="W64">MIN((INDEX([2]SourceData!$B:$B, MATCH($D64,[2]SourceData!$A:$A, 0))-SUM($D64:V64)),  (MaxPtsPerSprint19-SUM(W$7:W63)))</f>
        <v>0</v>
      </c>
      <c r="X64" s="286">
        <f t="array" ref="X64">MIN((INDEX([2]SourceData!$B:$B, MATCH($D64,[2]SourceData!$A:$A, 0))-SUM($D64:W64)),  (MaxPtsPerSprint20-SUM(X$7:X63)))</f>
        <v>0</v>
      </c>
      <c r="Y64" s="287">
        <f t="array" ref="Y64">MIN((INDEX([2]SourceData!$B:$B, MATCH($D64,[2]SourceData!$A:$A, 0))-SUM($D64:X64)),  (MaxPtsPerSprint21-SUM(Y$7:Y63)))</f>
        <v>0</v>
      </c>
      <c r="Z64" s="287">
        <f t="array" ref="Z64">MIN((INDEX([2]SourceData!$B:$B, MATCH($D64,[2]SourceData!$A:$A, 0))-SUM($D64:Y64)),  (MaxPtsPerSprint22-SUM(Z$7:Z63)))</f>
        <v>0</v>
      </c>
      <c r="AA64" s="287">
        <f t="array" ref="AA64">MIN((INDEX([2]SourceData!$B:$B, MATCH($D64,[2]SourceData!$A:$A, 0))-SUM($D64:Z64)),  (MaxPtsPerSprint23-SUM(AA$7:AA63)))</f>
        <v>0</v>
      </c>
      <c r="AB64" s="287">
        <f t="array" ref="AB64">MIN((INDEX([2]SourceData!$B:$B, MATCH($D64,[2]SourceData!$A:$A, 0))-SUM($D64:AA64)),  (MaxPtsPerSprint24-SUM(AB$7:AB63)))</f>
        <v>0</v>
      </c>
      <c r="AC64" s="287">
        <f t="array" ref="AC64">MIN((INDEX([2]SourceData!$B:$B, MATCH($D64,[2]SourceData!$A:$A, 0))-SUM($D64:AB64)),  (MaxPtsPerSprint24-SUM(AC$7:AC63)))</f>
        <v>0</v>
      </c>
      <c r="AD64" s="287">
        <f t="array" ref="AD64">MIN((INDEX([2]SourceData!$B:$B, MATCH($D64,[2]SourceData!$A:$A, 0))-SUM($D64:AC64)),  (MaxPtsPerSprint24-SUM(AD$7:AD63)))</f>
        <v>0</v>
      </c>
      <c r="AE64" s="288">
        <f t="shared" si="2"/>
        <v>79.75</v>
      </c>
      <c r="AF64" s="289"/>
    </row>
    <row r="65" spans="2:32" ht="18.5" collapsed="1" x14ac:dyDescent="0.45">
      <c r="B65" s="284" t="str">
        <f>VLOOKUP(D65,'[2]Work Item Vlookup'!$A$2:$B$119,2,FALSE)</f>
        <v>WI0311</v>
      </c>
      <c r="C65" s="284"/>
      <c r="D65" s="285" t="str">
        <f>[2]SourceData!A59</f>
        <v>Production Defects Fixed in PAS8</v>
      </c>
      <c r="E65" s="286"/>
      <c r="F65" s="286"/>
      <c r="G65" s="286"/>
      <c r="H65" s="286"/>
      <c r="I65" s="286"/>
      <c r="J65" s="286"/>
      <c r="K65" s="286"/>
      <c r="L65" s="286"/>
      <c r="M65" s="286"/>
      <c r="N65" s="286"/>
      <c r="O65" s="286">
        <f t="array" ref="O65">MIN((INDEX([2]SourceData!$B:$B, MATCH($D65,[2]SourceData!$A:$A, 0))-SUM($D65:N65)),  (MaxPtsPerSprint11-SUM(O$7:O64)))</f>
        <v>0</v>
      </c>
      <c r="P65" s="286">
        <f t="array" ref="P65">MIN((INDEX([2]SourceData!$B:$B, MATCH($D65,[2]SourceData!$A:$A, 0))-SUM($D65:O65)),  (MaxPtsPerSprint12-SUM(P$7:P64)))</f>
        <v>0</v>
      </c>
      <c r="Q65" s="286">
        <f t="array" ref="Q65">MIN((INDEX([2]SourceData!$B:$B, MATCH($D65,[2]SourceData!$A:$A, 0))-SUM($D65:P65)),  (MaxPtsPerSprint13-SUM(Q$7:Q64)))</f>
        <v>0</v>
      </c>
      <c r="R65" s="286">
        <f t="array" ref="R65">MIN((INDEX([2]SourceData!$B:$B, MATCH($D65,[2]SourceData!$A:$A, 0))-SUM($D65:Q65)),  (MaxPtsPerSprint14-SUM(R$7:R64)))</f>
        <v>0</v>
      </c>
      <c r="S65" s="286">
        <f t="array" ref="S65">MIN((INDEX([2]SourceData!$B:$B, MATCH($D65,[2]SourceData!$A:$A, 0))-SUM($D65:R65)),  (MaxPtsPerSprint15-SUM(S$7:S64)))</f>
        <v>0</v>
      </c>
      <c r="T65" s="286">
        <f t="array" ref="T65">MIN((INDEX([2]SourceData!$B:$B, MATCH($D65,[2]SourceData!$A:$A, 0))-SUM($D65:S65)),  (MaxPtsPerSprint16-SUM(T$7:T64)))</f>
        <v>46.049999999999727</v>
      </c>
      <c r="U65" s="286">
        <f t="array" ref="U65">MIN((INDEX([2]SourceData!$B:$B, MATCH($D65,[2]SourceData!$A:$A, 0))-SUM($D65:T65)),  (MaxPtsPerSprint17-SUM(U$7:U64)))</f>
        <v>0.45000000000027285</v>
      </c>
      <c r="V65" s="286">
        <f t="array" ref="V65">MIN((INDEX([2]SourceData!$B:$B, MATCH($D65,[2]SourceData!$A:$A, 0))-SUM($D65:U65)),  (MaxPtsPerSprint18-SUM(V$7:V64)))</f>
        <v>0</v>
      </c>
      <c r="W65" s="286">
        <f t="array" ref="W65">MIN((INDEX([2]SourceData!$B:$B, MATCH($D65,[2]SourceData!$A:$A, 0))-SUM($D65:V65)),  (MaxPtsPerSprint19-SUM(W$7:W64)))</f>
        <v>0</v>
      </c>
      <c r="X65" s="286">
        <f t="array" ref="X65">MIN((INDEX([2]SourceData!$B:$B, MATCH($D65,[2]SourceData!$A:$A, 0))-SUM($D65:W65)),  (MaxPtsPerSprint20-SUM(X$7:X64)))</f>
        <v>0</v>
      </c>
      <c r="Y65" s="287">
        <f t="array" ref="Y65">MIN((INDEX([2]SourceData!$B:$B, MATCH($D65,[2]SourceData!$A:$A, 0))-SUM($D65:X65)),  (MaxPtsPerSprint21-SUM(Y$7:Y64)))</f>
        <v>0</v>
      </c>
      <c r="Z65" s="287">
        <f t="array" ref="Z65">MIN((INDEX([2]SourceData!$B:$B, MATCH($D65,[2]SourceData!$A:$A, 0))-SUM($D65:Y65)),  (MaxPtsPerSprint22-SUM(Z$7:Z64)))</f>
        <v>0</v>
      </c>
      <c r="AA65" s="287">
        <f t="array" ref="AA65">MIN((INDEX([2]SourceData!$B:$B, MATCH($D65,[2]SourceData!$A:$A, 0))-SUM($D65:Z65)),  (MaxPtsPerSprint23-SUM(AA$7:AA64)))</f>
        <v>0</v>
      </c>
      <c r="AB65" s="287">
        <f t="array" ref="AB65">MIN((INDEX([2]SourceData!$B:$B, MATCH($D65,[2]SourceData!$A:$A, 0))-SUM($D65:AA65)),  (MaxPtsPerSprint24-SUM(AB$7:AB64)))</f>
        <v>0</v>
      </c>
      <c r="AC65" s="287">
        <f t="array" ref="AC65">MIN((INDEX([2]SourceData!$B:$B, MATCH($D65,[2]SourceData!$A:$A, 0))-SUM($D65:AB65)),  (MaxPtsPerSprint24-SUM(AC$7:AC64)))</f>
        <v>0</v>
      </c>
      <c r="AD65" s="287">
        <f t="array" ref="AD65">MIN((INDEX([2]SourceData!$B:$B, MATCH($D65,[2]SourceData!$A:$A, 0))-SUM($D65:AC65)),  (MaxPtsPerSprint24-SUM(AD$7:AD64)))</f>
        <v>0</v>
      </c>
      <c r="AE65" s="288">
        <f t="shared" ref="AE65:AE66" si="5">SUM(E65:AD65)</f>
        <v>46.5</v>
      </c>
      <c r="AF65" s="289"/>
    </row>
    <row r="66" spans="2:32" ht="18.5" collapsed="1" x14ac:dyDescent="0.45">
      <c r="B66" s="284" t="str">
        <f>VLOOKUP(D66,'[2]Work Item Vlookup'!$A$2:$B$119,2,FALSE)</f>
        <v>WI0036</v>
      </c>
      <c r="C66" s="284" t="s">
        <v>288</v>
      </c>
      <c r="D66" s="285" t="str">
        <f>[2]SourceData!A60</f>
        <v>KY Property (Orig Scope)</v>
      </c>
      <c r="E66" s="286">
        <f t="array" ref="E66">MIN((INDEX([2]SourceData!$B:$B, MATCH($D66,[2]SourceData!$A:$A, 0))-SUM($D66:D66)),  (MaxPtsPerSprint1-SUM(E$7:E63)))</f>
        <v>0</v>
      </c>
      <c r="F66" s="286">
        <f t="array" ref="F66">MIN((INDEX([2]SourceData!$B:$B, MATCH($D66,[2]SourceData!$A:$A, 0))-SUM($D66:E66)),  (MaxPtsPerSprint2-SUM(F$7:F63)))</f>
        <v>0</v>
      </c>
      <c r="G66" s="286">
        <f t="array" ref="G66">MIN((INDEX([2]SourceData!$B:$B, MATCH($D66,[2]SourceData!$A:$A, 0))-SUM($D66:F66)),  (MaxPtsPerSprint3-SUM(G$7:G63)))</f>
        <v>0</v>
      </c>
      <c r="H66" s="286">
        <f t="array" ref="H66">MIN((INDEX([2]SourceData!$B:$B, MATCH($D66,[2]SourceData!$A:$A, 0))-SUM($D66:G66)),  (MaxPtsPerSprint4-SUM(H$7:H63)))</f>
        <v>0</v>
      </c>
      <c r="I66" s="286">
        <f t="array" ref="I66">MIN((INDEX([2]SourceData!$B:$B, MATCH($D66,[2]SourceData!$A:$A, 0))-SUM($D66:H66)),  (MaxPtsPerSprint5-SUM(I$7:I63)))</f>
        <v>0</v>
      </c>
      <c r="J66" s="286">
        <f t="array" ref="J66">MIN((INDEX([2]SourceData!$B:$B, MATCH($D66,[2]SourceData!$A:$A, 0))-SUM($D66:I66)),  (MaxPtsPerSprint6-SUM(J$7:J63)))</f>
        <v>0</v>
      </c>
      <c r="K66" s="286">
        <f t="array" ref="K66">MIN((INDEX([2]SourceData!$B:$B, MATCH($D66,[2]SourceData!$A:$A, 0))-SUM($D66:J66)),  (MaxPtsPerSprint7-SUM(K$7:K63)))</f>
        <v>0</v>
      </c>
      <c r="L66" s="286">
        <f t="array" ref="L66">MIN((INDEX([2]SourceData!$B:$B, MATCH($D66,[2]SourceData!$A:$A, 0))-SUM($D66:K66)),  (MaxPtsPerSprint8-SUM(L$7:L63)))</f>
        <v>0</v>
      </c>
      <c r="M66" s="286">
        <f t="array" ref="M66">MIN((INDEX([2]SourceData!$B:$B, MATCH($D66,[2]SourceData!$A:$A, 0))-SUM($D66:L66)),  (MaxPtsPerSprint9-SUM(M$7:M63)))</f>
        <v>0</v>
      </c>
      <c r="N66" s="286">
        <f t="array" ref="N66">MIN((INDEX([2]SourceData!$B:$B, MATCH($D66,[2]SourceData!$A:$A, 0))-SUM($D66:M66)),  (MaxPtsPerSprint10-SUM(N$7:N63)))</f>
        <v>0</v>
      </c>
      <c r="O66" s="286">
        <f t="array" ref="O66">MIN((INDEX([2]SourceData!$B:$B, MATCH($D66,[2]SourceData!$A:$A, 0))-SUM($D66:N66)),  (MaxPtsPerSprint11-SUM(O$7:O65)))</f>
        <v>0</v>
      </c>
      <c r="P66" s="286">
        <f t="array" ref="P66">MIN((INDEX([2]SourceData!$B:$B, MATCH($D66,[2]SourceData!$A:$A, 0))-SUM($D66:O66)),  (MaxPtsPerSprint12-SUM(P$7:P65)))</f>
        <v>0</v>
      </c>
      <c r="Q66" s="286">
        <f t="array" ref="Q66">MIN((INDEX([2]SourceData!$B:$B, MATCH($D66,[2]SourceData!$A:$A, 0))-SUM($D66:P66)),  (MaxPtsPerSprint13-SUM(Q$7:Q65)))</f>
        <v>0</v>
      </c>
      <c r="R66" s="286">
        <f t="array" ref="R66">MIN((INDEX([2]SourceData!$B:$B, MATCH($D66,[2]SourceData!$A:$A, 0))-SUM($D66:Q66)),  (MaxPtsPerSprint14-SUM(R$7:R65)))</f>
        <v>0</v>
      </c>
      <c r="S66" s="286">
        <f t="array" ref="S66">MIN((INDEX([2]SourceData!$B:$B, MATCH($D66,[2]SourceData!$A:$A, 0))-SUM($D66:R66)),  (MaxPtsPerSprint15-SUM(S$7:S65)))</f>
        <v>0</v>
      </c>
      <c r="T66" s="286">
        <f t="array" ref="T66">MIN((INDEX([2]SourceData!$B:$B, MATCH($D66,[2]SourceData!$A:$A, 0))-SUM($D66:S66)),  (MaxPtsPerSprint16-SUM(T$7:T65)))</f>
        <v>0</v>
      </c>
      <c r="U66" s="286">
        <f t="array" ref="U66">MIN((INDEX([2]SourceData!$B:$B, MATCH($D66,[2]SourceData!$A:$A, 0))-SUM($D66:T66)),  (MaxPtsPerSprint17-SUM(U$7:U65)))</f>
        <v>129</v>
      </c>
      <c r="V66" s="286">
        <f t="array" ref="V66">MIN((INDEX([2]SourceData!$B:$B, MATCH($D66,[2]SourceData!$A:$A, 0))-SUM($D66:U66)),  (MaxPtsPerSprint18-SUM(V$7:V65)))</f>
        <v>0</v>
      </c>
      <c r="W66" s="286">
        <f t="array" ref="W66">MIN((INDEX([2]SourceData!$B:$B, MATCH($D66,[2]SourceData!$A:$A, 0))-SUM($D66:V66)),  (MaxPtsPerSprint19-SUM(W$7:W65)))</f>
        <v>0</v>
      </c>
      <c r="X66" s="286">
        <f t="array" ref="X66">MIN((INDEX([2]SourceData!$B:$B, MATCH($D66,[2]SourceData!$A:$A, 0))-SUM($D66:W66)),  (MaxPtsPerSprint20-SUM(X$7:X65)))</f>
        <v>0</v>
      </c>
      <c r="Y66" s="287">
        <f t="array" ref="Y66">MIN((INDEX([2]SourceData!$B:$B, MATCH($D66,[2]SourceData!$A:$A, 0))-SUM($D66:X66)),  (MaxPtsPerSprint21-SUM(Y$7:Y65)))</f>
        <v>0</v>
      </c>
      <c r="Z66" s="287">
        <f t="array" ref="Z66">MIN((INDEX([2]SourceData!$B:$B, MATCH($D66,[2]SourceData!$A:$A, 0))-SUM($D66:Y66)),  (MaxPtsPerSprint22-SUM(Z$7:Z65)))</f>
        <v>0</v>
      </c>
      <c r="AA66" s="287">
        <f t="array" ref="AA66">MIN((INDEX([2]SourceData!$B:$B, MATCH($D66,[2]SourceData!$A:$A, 0))-SUM($D66:Z66)),  (MaxPtsPerSprint23-SUM(AA$7:AA65)))</f>
        <v>0</v>
      </c>
      <c r="AB66" s="287">
        <f t="array" ref="AB66">MIN((INDEX([2]SourceData!$B:$B, MATCH($D66,[2]SourceData!$A:$A, 0))-SUM($D66:AA66)),  (MaxPtsPerSprint24-SUM(AB$7:AB65)))</f>
        <v>0</v>
      </c>
      <c r="AC66" s="287">
        <f t="array" ref="AC66">MIN((INDEX([2]SourceData!$B:$B, MATCH($D66,[2]SourceData!$A:$A, 0))-SUM($D66:AB66)),  (MaxPtsPerSprint24-SUM(AC$7:AC65)))</f>
        <v>0</v>
      </c>
      <c r="AD66" s="287">
        <f t="array" ref="AD66">MIN((INDEX([2]SourceData!$B:$B, MATCH($D66,[2]SourceData!$A:$A, 0))-SUM($D66:AC66)),  (MaxPtsPerSprint24-SUM(AD$7:AD65)))</f>
        <v>0</v>
      </c>
      <c r="AE66" s="288">
        <f t="shared" si="5"/>
        <v>129</v>
      </c>
      <c r="AF66" s="289">
        <f>AE66/$AE$131</f>
        <v>6.3556973407072562E-3</v>
      </c>
    </row>
    <row r="67" spans="2:32" ht="18.5" x14ac:dyDescent="0.45">
      <c r="B67" s="284" t="str">
        <f>VLOOKUP(D67,'[2]Work Item Vlookup'!$A$2:$B$119,2,FALSE)</f>
        <v>WI0039</v>
      </c>
      <c r="C67" s="284" t="s">
        <v>220</v>
      </c>
      <c r="D67" s="285" t="str">
        <f>[2]SourceData!A61</f>
        <v>WV Property (Orig Scope)</v>
      </c>
      <c r="E67" s="286">
        <f t="array" ref="E67">MIN((INDEX([2]SourceData!$B:$B, MATCH($D67,[2]SourceData!$A:$A, 0))-SUM($D67:D67)),  (MaxPtsPerSprint1-SUM(E$7:E66)))</f>
        <v>0</v>
      </c>
      <c r="F67" s="286">
        <f t="array" ref="F67">MIN((INDEX([2]SourceData!$B:$B, MATCH($D67,[2]SourceData!$A:$A, 0))-SUM($D67:E67)),  (MaxPtsPerSprint2-SUM(F$7:F66)))</f>
        <v>0</v>
      </c>
      <c r="G67" s="286">
        <f t="array" ref="G67">MIN((INDEX([2]SourceData!$B:$B, MATCH($D67,[2]SourceData!$A:$A, 0))-SUM($D67:F67)),  (MaxPtsPerSprint3-SUM(G$7:G66)))</f>
        <v>0</v>
      </c>
      <c r="H67" s="286">
        <f t="array" ref="H67">MIN((INDEX([2]SourceData!$B:$B, MATCH($D67,[2]SourceData!$A:$A, 0))-SUM($D67:G67)),  (MaxPtsPerSprint4-SUM(H$7:H66)))</f>
        <v>0</v>
      </c>
      <c r="I67" s="286">
        <f t="array" ref="I67">MIN((INDEX([2]SourceData!$B:$B, MATCH($D67,[2]SourceData!$A:$A, 0))-SUM($D67:H67)),  (MaxPtsPerSprint5-SUM(I$7:I66)))</f>
        <v>0</v>
      </c>
      <c r="J67" s="286">
        <f t="array" ref="J67">MIN((INDEX([2]SourceData!$B:$B, MATCH($D67,[2]SourceData!$A:$A, 0))-SUM($D67:I67)),  (MaxPtsPerSprint6-SUM(J$7:J66)))</f>
        <v>0</v>
      </c>
      <c r="K67" s="286">
        <f t="array" ref="K67">MIN((INDEX([2]SourceData!$B:$B, MATCH($D67,[2]SourceData!$A:$A, 0))-SUM($D67:J67)),  (MaxPtsPerSprint7-SUM(K$7:K66)))</f>
        <v>0</v>
      </c>
      <c r="L67" s="286">
        <f t="array" ref="L67">MIN((INDEX([2]SourceData!$B:$B, MATCH($D67,[2]SourceData!$A:$A, 0))-SUM($D67:K67)),  (MaxPtsPerSprint8-SUM(L$7:L66)))</f>
        <v>0</v>
      </c>
      <c r="M67" s="286">
        <f t="array" ref="M67">MIN((INDEX([2]SourceData!$B:$B, MATCH($D67,[2]SourceData!$A:$A, 0))-SUM($D67:L67)),  (MaxPtsPerSprint9-SUM(M$7:M66)))</f>
        <v>0</v>
      </c>
      <c r="N67" s="286">
        <f t="array" ref="N67">MIN((INDEX([2]SourceData!$B:$B, MATCH($D67,[2]SourceData!$A:$A, 0))-SUM($D67:M67)),  (MaxPtsPerSprint10-SUM(N$7:N66)))</f>
        <v>0</v>
      </c>
      <c r="O67" s="286">
        <f t="array" ref="O67">MIN((INDEX([2]SourceData!$B:$B, MATCH($D67,[2]SourceData!$A:$A, 0))-SUM($D67:N67)),  (MaxPtsPerSprint11-SUM(O$7:O66)))</f>
        <v>0</v>
      </c>
      <c r="P67" s="286">
        <f t="array" ref="P67">MIN((INDEX([2]SourceData!$B:$B, MATCH($D67,[2]SourceData!$A:$A, 0))-SUM($D67:O67)),  (MaxPtsPerSprint12-SUM(P$7:P66)))</f>
        <v>0</v>
      </c>
      <c r="Q67" s="286">
        <f t="array" ref="Q67">MIN((INDEX([2]SourceData!$B:$B, MATCH($D67,[2]SourceData!$A:$A, 0))-SUM($D67:P67)),  (MaxPtsPerSprint13-SUM(Q$7:Q66)))</f>
        <v>0</v>
      </c>
      <c r="R67" s="286">
        <f t="array" ref="R67">MIN((INDEX([2]SourceData!$B:$B, MATCH($D67,[2]SourceData!$A:$A, 0))-SUM($D67:Q67)),  (MaxPtsPerSprint14-SUM(R$7:R66)))</f>
        <v>0</v>
      </c>
      <c r="S67" s="286">
        <f t="array" ref="S67">MIN((INDEX([2]SourceData!$B:$B, MATCH($D67,[2]SourceData!$A:$A, 0))-SUM($D67:R67)),  (MaxPtsPerSprint15-SUM(S$7:S66)))</f>
        <v>0</v>
      </c>
      <c r="T67" s="286">
        <f t="array" ref="T67">MIN((INDEX([2]SourceData!$B:$B, MATCH($D67,[2]SourceData!$A:$A, 0))-SUM($D67:S67)),  (MaxPtsPerSprint16-SUM(T$7:T66)))</f>
        <v>0</v>
      </c>
      <c r="U67" s="286">
        <f t="array" ref="U67">MIN((INDEX([2]SourceData!$B:$B, MATCH($D67,[2]SourceData!$A:$A, 0))-SUM($D67:T67)),  (MaxPtsPerSprint17-SUM(U$7:U66)))</f>
        <v>147</v>
      </c>
      <c r="V67" s="286">
        <f t="array" ref="V67">MIN((INDEX([2]SourceData!$B:$B, MATCH($D67,[2]SourceData!$A:$A, 0))-SUM($D67:U67)),  (MaxPtsPerSprint18-SUM(V$7:V66)))</f>
        <v>0</v>
      </c>
      <c r="W67" s="286">
        <f t="array" ref="W67">MIN((INDEX([2]SourceData!$B:$B, MATCH($D67,[2]SourceData!$A:$A, 0))-SUM($D67:V67)),  (MaxPtsPerSprint19-SUM(W$7:W66)))</f>
        <v>0</v>
      </c>
      <c r="X67" s="286">
        <f t="array" ref="X67">MIN((INDEX([2]SourceData!$B:$B, MATCH($D67,[2]SourceData!$A:$A, 0))-SUM($D67:W67)),  (MaxPtsPerSprint20-SUM(X$7:X66)))</f>
        <v>0</v>
      </c>
      <c r="Y67" s="287">
        <f t="array" ref="Y67">MIN((INDEX([2]SourceData!$B:$B, MATCH($D67,[2]SourceData!$A:$A, 0))-SUM($D67:X67)),  (MaxPtsPerSprint21-SUM(Y$7:Y66)))</f>
        <v>0</v>
      </c>
      <c r="Z67" s="287">
        <f t="array" ref="Z67">MIN((INDEX([2]SourceData!$B:$B, MATCH($D67,[2]SourceData!$A:$A, 0))-SUM($D67:Y67)),  (MaxPtsPerSprint22-SUM(Z$7:Z66)))</f>
        <v>0</v>
      </c>
      <c r="AA67" s="287">
        <f t="array" ref="AA67">MIN((INDEX([2]SourceData!$B:$B, MATCH($D67,[2]SourceData!$A:$A, 0))-SUM($D67:Z67)),  (MaxPtsPerSprint23-SUM(AA$7:AA66)))</f>
        <v>0</v>
      </c>
      <c r="AB67" s="287">
        <f t="array" ref="AB67">MIN((INDEX([2]SourceData!$B:$B, MATCH($D67,[2]SourceData!$A:$A, 0))-SUM($D67:AA67)),  (MaxPtsPerSprint24-SUM(AB$7:AB66)))</f>
        <v>0</v>
      </c>
      <c r="AC67" s="287">
        <f t="array" ref="AC67">MIN((INDEX([2]SourceData!$B:$B, MATCH($D67,[2]SourceData!$A:$A, 0))-SUM($D67:AB67)),  (MaxPtsPerSprint24-SUM(AC$7:AC66)))</f>
        <v>0</v>
      </c>
      <c r="AD67" s="287">
        <f t="array" ref="AD67">MIN((INDEX([2]SourceData!$B:$B, MATCH($D67,[2]SourceData!$A:$A, 0))-SUM($D67:AC67)),  (MaxPtsPerSprint24-SUM(AD$7:AD66)))</f>
        <v>0</v>
      </c>
      <c r="AE67" s="288">
        <f t="shared" ref="AE67:AE97" si="6">SUM(E67:AD67)</f>
        <v>147</v>
      </c>
      <c r="AF67" s="289">
        <f>AE67/$AE$131</f>
        <v>7.2425388301082683E-3</v>
      </c>
    </row>
    <row r="68" spans="2:32" ht="18.5" x14ac:dyDescent="0.45">
      <c r="B68" s="284" t="str">
        <f>VLOOKUP(D68,'[2]Work Item Vlookup'!$A$2:$B$119,2,FALSE)</f>
        <v>WI0038</v>
      </c>
      <c r="C68" s="284" t="s">
        <v>445</v>
      </c>
      <c r="D68" s="285" t="str">
        <f>[2]SourceData!A62</f>
        <v>SD Property (Orig Scope)</v>
      </c>
      <c r="E68" s="286">
        <f t="array" ref="E68">MIN((INDEX([2]SourceData!$B:$B, MATCH($D68,[2]SourceData!$A:$A, 0))-SUM($D68:D68)),  (MaxPtsPerSprint1-SUM(E$7:E67)))</f>
        <v>0</v>
      </c>
      <c r="F68" s="286">
        <f t="array" ref="F68">MIN((INDEX([2]SourceData!$B:$B, MATCH($D68,[2]SourceData!$A:$A, 0))-SUM($D68:E68)),  (MaxPtsPerSprint2-SUM(F$7:F67)))</f>
        <v>0</v>
      </c>
      <c r="G68" s="286">
        <f t="array" ref="G68">MIN((INDEX([2]SourceData!$B:$B, MATCH($D68,[2]SourceData!$A:$A, 0))-SUM($D68:F68)),  (MaxPtsPerSprint3-SUM(G$7:G67)))</f>
        <v>0</v>
      </c>
      <c r="H68" s="286">
        <f t="array" ref="H68">MIN((INDEX([2]SourceData!$B:$B, MATCH($D68,[2]SourceData!$A:$A, 0))-SUM($D68:G68)),  (MaxPtsPerSprint4-SUM(H$7:H67)))</f>
        <v>0</v>
      </c>
      <c r="I68" s="286">
        <f t="array" ref="I68">MIN((INDEX([2]SourceData!$B:$B, MATCH($D68,[2]SourceData!$A:$A, 0))-SUM($D68:H68)),  (MaxPtsPerSprint5-SUM(I$7:I67)))</f>
        <v>0</v>
      </c>
      <c r="J68" s="286">
        <f t="array" ref="J68">MIN((INDEX([2]SourceData!$B:$B, MATCH($D68,[2]SourceData!$A:$A, 0))-SUM($D68:I68)),  (MaxPtsPerSprint6-SUM(J$7:J67)))</f>
        <v>0</v>
      </c>
      <c r="K68" s="286">
        <f t="array" ref="K68">MIN((INDEX([2]SourceData!$B:$B, MATCH($D68,[2]SourceData!$A:$A, 0))-SUM($D68:J68)),  (MaxPtsPerSprint7-SUM(K$7:K67)))</f>
        <v>0</v>
      </c>
      <c r="L68" s="286">
        <f t="array" ref="L68">MIN((INDEX([2]SourceData!$B:$B, MATCH($D68,[2]SourceData!$A:$A, 0))-SUM($D68:K68)),  (MaxPtsPerSprint8-SUM(L$7:L67)))</f>
        <v>0</v>
      </c>
      <c r="M68" s="286">
        <f t="array" ref="M68">MIN((INDEX([2]SourceData!$B:$B, MATCH($D68,[2]SourceData!$A:$A, 0))-SUM($D68:L68)),  (MaxPtsPerSprint9-SUM(M$7:M67)))</f>
        <v>0</v>
      </c>
      <c r="N68" s="286">
        <f t="array" ref="N68">MIN((INDEX([2]SourceData!$B:$B, MATCH($D68,[2]SourceData!$A:$A, 0))-SUM($D68:M68)),  (MaxPtsPerSprint10-SUM(N$7:N67)))</f>
        <v>0</v>
      </c>
      <c r="O68" s="286">
        <f t="array" ref="O68">MIN((INDEX([2]SourceData!$B:$B, MATCH($D68,[2]SourceData!$A:$A, 0))-SUM($D68:N68)),  (MaxPtsPerSprint11-SUM(O$7:O67)))</f>
        <v>0</v>
      </c>
      <c r="P68" s="286">
        <f t="array" ref="P68">MIN((INDEX([2]SourceData!$B:$B, MATCH($D68,[2]SourceData!$A:$A, 0))-SUM($D68:O68)),  (MaxPtsPerSprint12-SUM(P$7:P67)))</f>
        <v>0</v>
      </c>
      <c r="Q68" s="286">
        <f t="array" ref="Q68">MIN((INDEX([2]SourceData!$B:$B, MATCH($D68,[2]SourceData!$A:$A, 0))-SUM($D68:P68)),  (MaxPtsPerSprint13-SUM(Q$7:Q67)))</f>
        <v>0</v>
      </c>
      <c r="R68" s="286">
        <f t="array" ref="R68">MIN((INDEX([2]SourceData!$B:$B, MATCH($D68,[2]SourceData!$A:$A, 0))-SUM($D68:Q68)),  (MaxPtsPerSprint14-SUM(R$7:R67)))</f>
        <v>0</v>
      </c>
      <c r="S68" s="286">
        <f t="array" ref="S68">MIN((INDEX([2]SourceData!$B:$B, MATCH($D68,[2]SourceData!$A:$A, 0))-SUM($D68:R68)),  (MaxPtsPerSprint15-SUM(S$7:S67)))</f>
        <v>0</v>
      </c>
      <c r="T68" s="286">
        <f t="array" ref="T68">MIN((INDEX([2]SourceData!$B:$B, MATCH($D68,[2]SourceData!$A:$A, 0))-SUM($D68:S68)),  (MaxPtsPerSprint16-SUM(T$7:T67)))</f>
        <v>0</v>
      </c>
      <c r="U68" s="286">
        <f t="array" ref="U68">MIN((INDEX([2]SourceData!$B:$B, MATCH($D68,[2]SourceData!$A:$A, 0))-SUM($D68:T68)),  (MaxPtsPerSprint17-SUM(U$7:U67)))</f>
        <v>75</v>
      </c>
      <c r="V68" s="286">
        <f t="array" ref="V68">MIN((INDEX([2]SourceData!$B:$B, MATCH($D68,[2]SourceData!$A:$A, 0))-SUM($D68:U68)),  (MaxPtsPerSprint18-SUM(V$7:V67)))</f>
        <v>0</v>
      </c>
      <c r="W68" s="286">
        <f t="array" ref="W68">MIN((INDEX([2]SourceData!$B:$B, MATCH($D68,[2]SourceData!$A:$A, 0))-SUM($D68:V68)),  (MaxPtsPerSprint19-SUM(W$7:W67)))</f>
        <v>0</v>
      </c>
      <c r="X68" s="286">
        <f t="array" ref="X68">MIN((INDEX([2]SourceData!$B:$B, MATCH($D68,[2]SourceData!$A:$A, 0))-SUM($D68:W68)),  (MaxPtsPerSprint20-SUM(X$7:X67)))</f>
        <v>0</v>
      </c>
      <c r="Y68" s="287">
        <f t="array" ref="Y68">MIN((INDEX([2]SourceData!$B:$B, MATCH($D68,[2]SourceData!$A:$A, 0))-SUM($D68:X68)),  (MaxPtsPerSprint21-SUM(Y$7:Y67)))</f>
        <v>0</v>
      </c>
      <c r="Z68" s="287">
        <f t="array" ref="Z68">MIN((INDEX([2]SourceData!$B:$B, MATCH($D68,[2]SourceData!$A:$A, 0))-SUM($D68:Y68)),  (MaxPtsPerSprint22-SUM(Z$7:Z67)))</f>
        <v>0</v>
      </c>
      <c r="AA68" s="287">
        <f t="array" ref="AA68">MIN((INDEX([2]SourceData!$B:$B, MATCH($D68,[2]SourceData!$A:$A, 0))-SUM($D68:Z68)),  (MaxPtsPerSprint23-SUM(AA$7:AA67)))</f>
        <v>0</v>
      </c>
      <c r="AB68" s="287">
        <f t="array" ref="AB68">MIN((INDEX([2]SourceData!$B:$B, MATCH($D68,[2]SourceData!$A:$A, 0))-SUM($D68:AA68)),  (MaxPtsPerSprint24-SUM(AB$7:AB67)))</f>
        <v>0</v>
      </c>
      <c r="AC68" s="287">
        <f t="array" ref="AC68">MIN((INDEX([2]SourceData!$B:$B, MATCH($D68,[2]SourceData!$A:$A, 0))-SUM($D68:AB68)),  (MaxPtsPerSprint24-SUM(AC$7:AC67)))</f>
        <v>0</v>
      </c>
      <c r="AD68" s="287">
        <f t="array" ref="AD68">MIN((INDEX([2]SourceData!$B:$B, MATCH($D68,[2]SourceData!$A:$A, 0))-SUM($D68:AC68)),  (MaxPtsPerSprint24-SUM(AD$7:AD67)))</f>
        <v>0</v>
      </c>
      <c r="AE68" s="288">
        <f t="shared" si="6"/>
        <v>75</v>
      </c>
      <c r="AF68" s="289">
        <f>AE68/$AE$131</f>
        <v>3.6951728725042187E-3</v>
      </c>
    </row>
    <row r="69" spans="2:32" ht="18.5" x14ac:dyDescent="0.45">
      <c r="B69" s="284" t="str">
        <f>VLOOKUP(D69,'[2]Work Item Vlookup'!$A$2:$B$119,2,FALSE)</f>
        <v>WI0040</v>
      </c>
      <c r="C69" s="284" t="s">
        <v>445</v>
      </c>
      <c r="D69" s="285" t="str">
        <f>[2]SourceData!A63</f>
        <v>NV Property (Orig Scope)</v>
      </c>
      <c r="E69" s="286">
        <f t="array" ref="E69">MIN((INDEX([2]SourceData!$B:$B, MATCH($D69,[2]SourceData!$A:$A, 0))-SUM($D69:D69)),  (MaxPtsPerSprint1-SUM(E$7:E68)))</f>
        <v>0</v>
      </c>
      <c r="F69" s="286">
        <f t="array" ref="F69">MIN((INDEX([2]SourceData!$B:$B, MATCH($D69,[2]SourceData!$A:$A, 0))-SUM($D69:E69)),  (MaxPtsPerSprint2-SUM(F$7:F68)))</f>
        <v>0</v>
      </c>
      <c r="G69" s="286">
        <f t="array" ref="G69">MIN((INDEX([2]SourceData!$B:$B, MATCH($D69,[2]SourceData!$A:$A, 0))-SUM($D69:F69)),  (MaxPtsPerSprint3-SUM(G$7:G68)))</f>
        <v>0</v>
      </c>
      <c r="H69" s="286">
        <f t="array" ref="H69">MIN((INDEX([2]SourceData!$B:$B, MATCH($D69,[2]SourceData!$A:$A, 0))-SUM($D69:G69)),  (MaxPtsPerSprint4-SUM(H$7:H68)))</f>
        <v>0</v>
      </c>
      <c r="I69" s="286">
        <f t="array" ref="I69">MIN((INDEX([2]SourceData!$B:$B, MATCH($D69,[2]SourceData!$A:$A, 0))-SUM($D69:H69)),  (MaxPtsPerSprint5-SUM(I$7:I68)))</f>
        <v>0</v>
      </c>
      <c r="J69" s="286">
        <f t="array" ref="J69">MIN((INDEX([2]SourceData!$B:$B, MATCH($D69,[2]SourceData!$A:$A, 0))-SUM($D69:I69)),  (MaxPtsPerSprint6-SUM(J$7:J68)))</f>
        <v>0</v>
      </c>
      <c r="K69" s="286">
        <f t="array" ref="K69">MIN((INDEX([2]SourceData!$B:$B, MATCH($D69,[2]SourceData!$A:$A, 0))-SUM($D69:J69)),  (MaxPtsPerSprint7-SUM(K$7:K68)))</f>
        <v>0</v>
      </c>
      <c r="L69" s="286">
        <f t="array" ref="L69">MIN((INDEX([2]SourceData!$B:$B, MATCH($D69,[2]SourceData!$A:$A, 0))-SUM($D69:K69)),  (MaxPtsPerSprint8-SUM(L$7:L68)))</f>
        <v>0</v>
      </c>
      <c r="M69" s="286">
        <f t="array" ref="M69">MIN((INDEX([2]SourceData!$B:$B, MATCH($D69,[2]SourceData!$A:$A, 0))-SUM($D69:L69)),  (MaxPtsPerSprint9-SUM(M$7:M68)))</f>
        <v>0</v>
      </c>
      <c r="N69" s="286">
        <f t="array" ref="N69">MIN((INDEX([2]SourceData!$B:$B, MATCH($D69,[2]SourceData!$A:$A, 0))-SUM($D69:M69)),  (MaxPtsPerSprint10-SUM(N$7:N68)))</f>
        <v>0</v>
      </c>
      <c r="O69" s="286">
        <f t="array" ref="O69">MIN((INDEX([2]SourceData!$B:$B, MATCH($D69,[2]SourceData!$A:$A, 0))-SUM($D69:N69)),  (MaxPtsPerSprint11-SUM(O$7:O68)))</f>
        <v>0</v>
      </c>
      <c r="P69" s="286">
        <f t="array" ref="P69">MIN((INDEX([2]SourceData!$B:$B, MATCH($D69,[2]SourceData!$A:$A, 0))-SUM($D69:O69)),  (MaxPtsPerSprint12-SUM(P$7:P68)))</f>
        <v>0</v>
      </c>
      <c r="Q69" s="286">
        <f t="array" ref="Q69">MIN((INDEX([2]SourceData!$B:$B, MATCH($D69,[2]SourceData!$A:$A, 0))-SUM($D69:P69)),  (MaxPtsPerSprint13-SUM(Q$7:Q68)))</f>
        <v>0</v>
      </c>
      <c r="R69" s="286">
        <f t="array" ref="R69">MIN((INDEX([2]SourceData!$B:$B, MATCH($D69,[2]SourceData!$A:$A, 0))-SUM($D69:Q69)),  (MaxPtsPerSprint14-SUM(R$7:R68)))</f>
        <v>0</v>
      </c>
      <c r="S69" s="286">
        <f t="array" ref="S69">MIN((INDEX([2]SourceData!$B:$B, MATCH($D69,[2]SourceData!$A:$A, 0))-SUM($D69:R69)),  (MaxPtsPerSprint15-SUM(S$7:S68)))</f>
        <v>0</v>
      </c>
      <c r="T69" s="286">
        <f t="array" ref="T69">MIN((INDEX([2]SourceData!$B:$B, MATCH($D69,[2]SourceData!$A:$A, 0))-SUM($D69:S69)),  (MaxPtsPerSprint16-SUM(T$7:T68)))</f>
        <v>0</v>
      </c>
      <c r="U69" s="286">
        <f t="array" ref="U69">MIN((INDEX([2]SourceData!$B:$B, MATCH($D69,[2]SourceData!$A:$A, 0))-SUM($D69:T69)),  (MaxPtsPerSprint17-SUM(U$7:U68)))</f>
        <v>102</v>
      </c>
      <c r="V69" s="286">
        <f t="array" ref="V69">MIN((INDEX([2]SourceData!$B:$B, MATCH($D69,[2]SourceData!$A:$A, 0))-SUM($D69:U69)),  (MaxPtsPerSprint18-SUM(V$7:V68)))</f>
        <v>0</v>
      </c>
      <c r="W69" s="286">
        <f t="array" ref="W69">MIN((INDEX([2]SourceData!$B:$B, MATCH($D69,[2]SourceData!$A:$A, 0))-SUM($D69:V69)),  (MaxPtsPerSprint19-SUM(W$7:W68)))</f>
        <v>0</v>
      </c>
      <c r="X69" s="286">
        <f t="array" ref="X69">MIN((INDEX([2]SourceData!$B:$B, MATCH($D69,[2]SourceData!$A:$A, 0))-SUM($D69:W69)),  (MaxPtsPerSprint20-SUM(X$7:X68)))</f>
        <v>0</v>
      </c>
      <c r="Y69" s="287">
        <f t="array" ref="Y69">MIN((INDEX([2]SourceData!$B:$B, MATCH($D69,[2]SourceData!$A:$A, 0))-SUM($D69:X69)),  (MaxPtsPerSprint21-SUM(Y$7:Y68)))</f>
        <v>0</v>
      </c>
      <c r="Z69" s="287">
        <f t="array" ref="Z69">MIN((INDEX([2]SourceData!$B:$B, MATCH($D69,[2]SourceData!$A:$A, 0))-SUM($D69:Y69)),  (MaxPtsPerSprint22-SUM(Z$7:Z68)))</f>
        <v>0</v>
      </c>
      <c r="AA69" s="287">
        <f t="array" ref="AA69">MIN((INDEX([2]SourceData!$B:$B, MATCH($D69,[2]SourceData!$A:$A, 0))-SUM($D69:Z69)),  (MaxPtsPerSprint23-SUM(AA$7:AA68)))</f>
        <v>0</v>
      </c>
      <c r="AB69" s="287">
        <f t="array" ref="AB69">MIN((INDEX([2]SourceData!$B:$B, MATCH($D69,[2]SourceData!$A:$A, 0))-SUM($D69:AA69)),  (MaxPtsPerSprint24-SUM(AB$7:AB68)))</f>
        <v>0</v>
      </c>
      <c r="AC69" s="287">
        <f t="array" ref="AC69">MIN((INDEX([2]SourceData!$B:$B, MATCH($D69,[2]SourceData!$A:$A, 0))-SUM($D69:AB69)),  (MaxPtsPerSprint24-SUM(AC$7:AC68)))</f>
        <v>0</v>
      </c>
      <c r="AD69" s="287">
        <f t="array" ref="AD69">MIN((INDEX([2]SourceData!$B:$B, MATCH($D69,[2]SourceData!$A:$A, 0))-SUM($D69:AC69)),  (MaxPtsPerSprint24-SUM(AD$7:AD68)))</f>
        <v>0</v>
      </c>
      <c r="AE69" s="288">
        <f t="shared" si="6"/>
        <v>102</v>
      </c>
      <c r="AF69" s="289">
        <f>AE69/$AE$131</f>
        <v>5.0254351066057372E-3</v>
      </c>
    </row>
    <row r="70" spans="2:32" ht="18.5" x14ac:dyDescent="0.45">
      <c r="B70" s="284" t="str">
        <f>VLOOKUP(D70,'[2]Work Item Vlookup'!$A$2:$B$119,2,FALSE)</f>
        <v>WI0315</v>
      </c>
      <c r="C70" s="284" t="s">
        <v>445</v>
      </c>
      <c r="D70" s="285" t="str">
        <f>[2]SourceData!A64</f>
        <v>Property PAS Simplification Phase 1 (formerly CA Simplification) (ProdEnh)</v>
      </c>
      <c r="E70" s="286"/>
      <c r="F70" s="286"/>
      <c r="G70" s="286"/>
      <c r="H70" s="286"/>
      <c r="I70" s="286"/>
      <c r="J70" s="286"/>
      <c r="K70" s="286"/>
      <c r="L70" s="286"/>
      <c r="M70" s="286"/>
      <c r="N70" s="286"/>
      <c r="O70" s="286">
        <f t="array" ref="O70">MIN((INDEX([2]SourceData!$B:$B, MATCH($D70,[2]SourceData!$A:$A, 0))-SUM($D70:N70)),  (MaxPtsPerSprint11-SUM(O$7:O69)))</f>
        <v>0</v>
      </c>
      <c r="P70" s="286">
        <f t="array" ref="P70">MIN((INDEX([2]SourceData!$B:$B, MATCH($D70,[2]SourceData!$A:$A, 0))-SUM($D70:O70)),  (MaxPtsPerSprint12-SUM(P$7:P69)))</f>
        <v>0</v>
      </c>
      <c r="Q70" s="286">
        <f t="array" ref="Q70">MIN((INDEX([2]SourceData!$B:$B, MATCH($D70,[2]SourceData!$A:$A, 0))-SUM($D70:P70)),  (MaxPtsPerSprint13-SUM(Q$7:Q69)))</f>
        <v>0</v>
      </c>
      <c r="R70" s="286">
        <f t="array" ref="R70">MIN((INDEX([2]SourceData!$B:$B, MATCH($D70,[2]SourceData!$A:$A, 0))-SUM($D70:Q70)),  (MaxPtsPerSprint14-SUM(R$7:R69)))</f>
        <v>0</v>
      </c>
      <c r="S70" s="286">
        <f t="array" ref="S70">MIN((INDEX([2]SourceData!$B:$B, MATCH($D70,[2]SourceData!$A:$A, 0))-SUM($D70:R70)),  (MaxPtsPerSprint15-SUM(S$7:S69)))</f>
        <v>0</v>
      </c>
      <c r="T70" s="286">
        <f t="array" ref="T70">MIN((INDEX([2]SourceData!$B:$B, MATCH($D70,[2]SourceData!$A:$A, 0))-SUM($D70:S70)),  (MaxPtsPerSprint16-SUM(T$7:T69)))</f>
        <v>0</v>
      </c>
      <c r="U70" s="286">
        <f t="array" ref="U70">MIN((INDEX([2]SourceData!$B:$B, MATCH($D70,[2]SourceData!$A:$A, 0))-SUM($D70:T70)),  (MaxPtsPerSprint17-SUM(U$7:U69)))</f>
        <v>163</v>
      </c>
      <c r="V70" s="286">
        <f t="array" ref="V70">MIN((INDEX([2]SourceData!$B:$B, MATCH($D70,[2]SourceData!$A:$A, 0))-SUM($D70:U70)),  (MaxPtsPerSprint18-SUM(V$7:V69)))</f>
        <v>0</v>
      </c>
      <c r="W70" s="286">
        <f t="array" ref="W70">MIN((INDEX([2]SourceData!$B:$B, MATCH($D70,[2]SourceData!$A:$A, 0))-SUM($D70:V70)),  (MaxPtsPerSprint19-SUM(W$7:W69)))</f>
        <v>0</v>
      </c>
      <c r="X70" s="286">
        <f t="array" ref="X70">MIN((INDEX([2]SourceData!$B:$B, MATCH($D70,[2]SourceData!$A:$A, 0))-SUM($D70:W70)),  (MaxPtsPerSprint20-SUM(X$7:X69)))</f>
        <v>0</v>
      </c>
      <c r="Y70" s="287">
        <f t="array" ref="Y70">MIN((INDEX([2]SourceData!$B:$B, MATCH($D70,[2]SourceData!$A:$A, 0))-SUM($D70:X70)),  (MaxPtsPerSprint21-SUM(Y$7:Y69)))</f>
        <v>0</v>
      </c>
      <c r="Z70" s="287">
        <f t="array" ref="Z70">MIN((INDEX([2]SourceData!$B:$B, MATCH($D70,[2]SourceData!$A:$A, 0))-SUM($D70:Y70)),  (MaxPtsPerSprint22-SUM(Z$7:Z69)))</f>
        <v>0</v>
      </c>
      <c r="AA70" s="287">
        <f t="array" ref="AA70">MIN((INDEX([2]SourceData!$B:$B, MATCH($D70,[2]SourceData!$A:$A, 0))-SUM($D70:Z70)),  (MaxPtsPerSprint23-SUM(AA$7:AA69)))</f>
        <v>0</v>
      </c>
      <c r="AB70" s="287">
        <f t="array" ref="AB70">MIN((INDEX([2]SourceData!$B:$B, MATCH($D70,[2]SourceData!$A:$A, 0))-SUM($D70:AA70)),  (MaxPtsPerSprint24-SUM(AB$7:AB69)))</f>
        <v>0</v>
      </c>
      <c r="AC70" s="287">
        <f t="array" ref="AC70">MIN((INDEX([2]SourceData!$B:$B, MATCH($D70,[2]SourceData!$A:$A, 0))-SUM($D70:AB70)),  (MaxPtsPerSprint24-SUM(AC$7:AC69)))</f>
        <v>0</v>
      </c>
      <c r="AD70" s="287">
        <f t="array" ref="AD70">MIN((INDEX([2]SourceData!$B:$B, MATCH($D70,[2]SourceData!$A:$A, 0))-SUM($D70:AC70)),  (MaxPtsPerSprint24-SUM(AD$7:AD69)))</f>
        <v>0</v>
      </c>
      <c r="AE70" s="288">
        <f t="shared" si="6"/>
        <v>163</v>
      </c>
      <c r="AF70" s="289"/>
    </row>
    <row r="71" spans="2:32" ht="18.5" x14ac:dyDescent="0.45">
      <c r="B71" s="284" t="str">
        <f>VLOOKUP(D71,'[2]Work Item Vlookup'!$A$2:$B$119,2,FALSE)</f>
        <v>WI0309</v>
      </c>
      <c r="C71" s="284"/>
      <c r="D71" s="285" t="str">
        <f>[2]SourceData!A65</f>
        <v>Manual Changes to Renewal Image (Orig Scope)</v>
      </c>
      <c r="E71" s="286"/>
      <c r="F71" s="286"/>
      <c r="G71" s="286"/>
      <c r="H71" s="286"/>
      <c r="I71" s="286"/>
      <c r="J71" s="286"/>
      <c r="K71" s="286"/>
      <c r="L71" s="286"/>
      <c r="M71" s="286"/>
      <c r="N71" s="286"/>
      <c r="O71" s="286">
        <f t="array" ref="O71">MIN((INDEX([2]SourceData!$B:$B, MATCH($D71,[2]SourceData!$A:$A, 0))-SUM($D71:N71)),  (MaxPtsPerSprint11-SUM(O$7:O70)))</f>
        <v>0</v>
      </c>
      <c r="P71" s="286">
        <f t="array" ref="P71">MIN((INDEX([2]SourceData!$B:$B, MATCH($D71,[2]SourceData!$A:$A, 0))-SUM($D71:O71)),  (MaxPtsPerSprint12-SUM(P$7:P70)))</f>
        <v>0</v>
      </c>
      <c r="Q71" s="286">
        <f t="array" ref="Q71">MIN((INDEX([2]SourceData!$B:$B, MATCH($D71,[2]SourceData!$A:$A, 0))-SUM($D71:P71)),  (MaxPtsPerSprint13-SUM(Q$7:Q70)))</f>
        <v>0</v>
      </c>
      <c r="R71" s="286">
        <f t="array" ref="R71">MIN((INDEX([2]SourceData!$B:$B, MATCH($D71,[2]SourceData!$A:$A, 0))-SUM($D71:Q71)),  (MaxPtsPerSprint14-SUM(R$7:R70)))</f>
        <v>0</v>
      </c>
      <c r="S71" s="286">
        <f t="array" ref="S71">MIN((INDEX([2]SourceData!$B:$B, MATCH($D71,[2]SourceData!$A:$A, 0))-SUM($D71:R71)),  (MaxPtsPerSprint15-SUM(S$7:S70)))</f>
        <v>0</v>
      </c>
      <c r="T71" s="286">
        <f t="array" ref="T71">MIN((INDEX([2]SourceData!$B:$B, MATCH($D71,[2]SourceData!$A:$A, 0))-SUM($D71:S71)),  (MaxPtsPerSprint16-SUM(T$7:T70)))</f>
        <v>0</v>
      </c>
      <c r="U71" s="286">
        <f t="array" ref="U71">MIN((INDEX([2]SourceData!$B:$B, MATCH($D71,[2]SourceData!$A:$A, 0))-SUM($D71:T71)),  (MaxPtsPerSprint17-SUM(U$7:U70)))</f>
        <v>202</v>
      </c>
      <c r="V71" s="286">
        <f t="array" ref="V71">MIN((INDEX([2]SourceData!$B:$B, MATCH($D71,[2]SourceData!$A:$A, 0))-SUM($D71:U71)),  (MaxPtsPerSprint18-SUM(V$7:V70)))</f>
        <v>0</v>
      </c>
      <c r="W71" s="286">
        <f t="array" ref="W71">MIN((INDEX([2]SourceData!$B:$B, MATCH($D71,[2]SourceData!$A:$A, 0))-SUM($D71:V71)),  (MaxPtsPerSprint19-SUM(W$7:W70)))</f>
        <v>0</v>
      </c>
      <c r="X71" s="286">
        <f t="array" ref="X71">MIN((INDEX([2]SourceData!$B:$B, MATCH($D71,[2]SourceData!$A:$A, 0))-SUM($D71:W71)),  (MaxPtsPerSprint20-SUM(X$7:X70)))</f>
        <v>0</v>
      </c>
      <c r="Y71" s="287">
        <f t="array" ref="Y71">MIN((INDEX([2]SourceData!$B:$B, MATCH($D71,[2]SourceData!$A:$A, 0))-SUM($D71:X71)),  (MaxPtsPerSprint21-SUM(Y$7:Y70)))</f>
        <v>0</v>
      </c>
      <c r="Z71" s="287">
        <f t="array" ref="Z71">MIN((INDEX([2]SourceData!$B:$B, MATCH($D71,[2]SourceData!$A:$A, 0))-SUM($D71:Y71)),  (MaxPtsPerSprint22-SUM(Z$7:Z70)))</f>
        <v>0</v>
      </c>
      <c r="AA71" s="287">
        <f t="array" ref="AA71">MIN((INDEX([2]SourceData!$B:$B, MATCH($D71,[2]SourceData!$A:$A, 0))-SUM($D71:Z71)),  (MaxPtsPerSprint23-SUM(AA$7:AA70)))</f>
        <v>0</v>
      </c>
      <c r="AB71" s="287">
        <f t="array" ref="AB71">MIN((INDEX([2]SourceData!$B:$B, MATCH($D71,[2]SourceData!$A:$A, 0))-SUM($D71:AA71)),  (MaxPtsPerSprint24-SUM(AB$7:AB70)))</f>
        <v>0</v>
      </c>
      <c r="AC71" s="287">
        <f t="array" ref="AC71">MIN((INDEX([2]SourceData!$B:$B, MATCH($D71,[2]SourceData!$A:$A, 0))-SUM($D71:AB71)),  (MaxPtsPerSprint24-SUM(AC$7:AC70)))</f>
        <v>0</v>
      </c>
      <c r="AD71" s="287">
        <f t="array" ref="AD71">MIN((INDEX([2]SourceData!$B:$B, MATCH($D71,[2]SourceData!$A:$A, 0))-SUM($D71:AC71)),  (MaxPtsPerSprint24-SUM(AD$7:AD70)))</f>
        <v>0</v>
      </c>
      <c r="AE71" s="288">
        <f t="shared" si="6"/>
        <v>202</v>
      </c>
      <c r="AF71" s="289"/>
    </row>
    <row r="72" spans="2:32" ht="18.5" x14ac:dyDescent="0.45">
      <c r="B72" s="284" t="str">
        <f>VLOOKUP(D72,'[2]Work Item Vlookup'!$A$2:$B$119,2,FALSE)</f>
        <v>WI0044</v>
      </c>
      <c r="C72" s="284"/>
      <c r="D72" s="285" t="str">
        <f>[2]SourceData!A66</f>
        <v>WY Property (Orig Scope)</v>
      </c>
      <c r="E72" s="286"/>
      <c r="F72" s="286"/>
      <c r="G72" s="286"/>
      <c r="H72" s="286"/>
      <c r="I72" s="286"/>
      <c r="J72" s="286"/>
      <c r="K72" s="286"/>
      <c r="L72" s="286"/>
      <c r="M72" s="286"/>
      <c r="N72" s="286"/>
      <c r="O72" s="286">
        <f t="array" ref="O72">MIN((INDEX([2]SourceData!$B:$B, MATCH($D72,[2]SourceData!$A:$A, 0))-SUM($D72:N72)),  (MaxPtsPerSprint11-SUM(O$7:O71)))</f>
        <v>0</v>
      </c>
      <c r="P72" s="286">
        <f t="array" ref="P72">MIN((INDEX([2]SourceData!$B:$B, MATCH($D72,[2]SourceData!$A:$A, 0))-SUM($D72:O72)),  (MaxPtsPerSprint12-SUM(P$7:P71)))</f>
        <v>0</v>
      </c>
      <c r="Q72" s="286">
        <f t="array" ref="Q72">MIN((INDEX([2]SourceData!$B:$B, MATCH($D72,[2]SourceData!$A:$A, 0))-SUM($D72:P72)),  (MaxPtsPerSprint13-SUM(Q$7:Q71)))</f>
        <v>0</v>
      </c>
      <c r="R72" s="286">
        <f t="array" ref="R72">MIN((INDEX([2]SourceData!$B:$B, MATCH($D72,[2]SourceData!$A:$A, 0))-SUM($D72:Q72)),  (MaxPtsPerSprint14-SUM(R$7:R71)))</f>
        <v>0</v>
      </c>
      <c r="S72" s="286">
        <f t="array" ref="S72">MIN((INDEX([2]SourceData!$B:$B, MATCH($D72,[2]SourceData!$A:$A, 0))-SUM($D72:R72)),  (MaxPtsPerSprint15-SUM(S$7:S71)))</f>
        <v>0</v>
      </c>
      <c r="T72" s="286">
        <f t="array" ref="T72">MIN((INDEX([2]SourceData!$B:$B, MATCH($D72,[2]SourceData!$A:$A, 0))-SUM($D72:S72)),  (MaxPtsPerSprint16-SUM(T$7:T71)))</f>
        <v>0</v>
      </c>
      <c r="U72" s="286">
        <f t="array" ref="U72">MIN((INDEX([2]SourceData!$B:$B, MATCH($D72,[2]SourceData!$A:$A, 0))-SUM($D72:T72)),  (MaxPtsPerSprint17-SUM(U$7:U71)))</f>
        <v>28</v>
      </c>
      <c r="V72" s="286">
        <f t="array" ref="V72">MIN((INDEX([2]SourceData!$B:$B, MATCH($D72,[2]SourceData!$A:$A, 0))-SUM($D72:U72)),  (MaxPtsPerSprint18-SUM(V$7:V71)))</f>
        <v>0</v>
      </c>
      <c r="W72" s="286">
        <f t="array" ref="W72">MIN((INDEX([2]SourceData!$B:$B, MATCH($D72,[2]SourceData!$A:$A, 0))-SUM($D72:V72)),  (MaxPtsPerSprint19-SUM(W$7:W71)))</f>
        <v>0</v>
      </c>
      <c r="X72" s="286">
        <f t="array" ref="X72">MIN((INDEX([2]SourceData!$B:$B, MATCH($D72,[2]SourceData!$A:$A, 0))-SUM($D72:W72)),  (MaxPtsPerSprint20-SUM(X$7:X71)))</f>
        <v>0</v>
      </c>
      <c r="Y72" s="287">
        <f t="array" ref="Y72">MIN((INDEX([2]SourceData!$B:$B, MATCH($D72,[2]SourceData!$A:$A, 0))-SUM($D72:X72)),  (MaxPtsPerSprint21-SUM(Y$7:Y71)))</f>
        <v>0</v>
      </c>
      <c r="Z72" s="287">
        <f t="array" ref="Z72">MIN((INDEX([2]SourceData!$B:$B, MATCH($D72,[2]SourceData!$A:$A, 0))-SUM($D72:Y72)),  (MaxPtsPerSprint22-SUM(Z$7:Z71)))</f>
        <v>0</v>
      </c>
      <c r="AA72" s="287">
        <f t="array" ref="AA72">MIN((INDEX([2]SourceData!$B:$B, MATCH($D72,[2]SourceData!$A:$A, 0))-SUM($D72:Z72)),  (MaxPtsPerSprint23-SUM(AA$7:AA71)))</f>
        <v>0</v>
      </c>
      <c r="AB72" s="287">
        <f t="array" ref="AB72">MIN((INDEX([2]SourceData!$B:$B, MATCH($D72,[2]SourceData!$A:$A, 0))-SUM($D72:AA72)),  (MaxPtsPerSprint24-SUM(AB$7:AB71)))</f>
        <v>0</v>
      </c>
      <c r="AC72" s="287">
        <f t="array" ref="AC72">MIN((INDEX([2]SourceData!$B:$B, MATCH($D72,[2]SourceData!$A:$A, 0))-SUM($D72:AB72)),  (MaxPtsPerSprint24-SUM(AC$7:AC71)))</f>
        <v>0</v>
      </c>
      <c r="AD72" s="287">
        <f t="array" ref="AD72">MIN((INDEX([2]SourceData!$B:$B, MATCH($D72,[2]SourceData!$A:$A, 0))-SUM($D72:AC72)),  (MaxPtsPerSprint24-SUM(AD$7:AD71)))</f>
        <v>0</v>
      </c>
      <c r="AE72" s="288">
        <f t="shared" si="6"/>
        <v>28</v>
      </c>
      <c r="AF72" s="289"/>
    </row>
    <row r="73" spans="2:32" ht="18.649999999999999" customHeight="1" x14ac:dyDescent="0.45">
      <c r="B73" s="284" t="str">
        <f>VLOOKUP(D73,'[2]Work Item Vlookup'!$A$2:$B$119,2,FALSE)</f>
        <v>WI0041</v>
      </c>
      <c r="C73" s="284"/>
      <c r="D73" s="285" t="str">
        <f>[2]SourceData!A67</f>
        <v>MT Property (Orig Scope)</v>
      </c>
      <c r="E73" s="286">
        <f t="array" ref="E73">MIN((INDEX([2]SourceData!$B:$B, MATCH($D73,[2]SourceData!$A:$A, 0))-SUM($D73:D73)),  (MaxPtsPerSprint1-SUM(E$7:E69)))</f>
        <v>0</v>
      </c>
      <c r="F73" s="286">
        <f t="array" ref="F73">MIN((INDEX([2]SourceData!$B:$B, MATCH($D73,[2]SourceData!$A:$A, 0))-SUM($D73:E73)),  (MaxPtsPerSprint2-SUM(F$7:F69)))</f>
        <v>0</v>
      </c>
      <c r="G73" s="286">
        <f t="array" ref="G73">MIN((INDEX([2]SourceData!$B:$B, MATCH($D73,[2]SourceData!$A:$A, 0))-SUM($D73:F73)),  (MaxPtsPerSprint3-SUM(G$7:G69)))</f>
        <v>0</v>
      </c>
      <c r="H73" s="286">
        <f t="array" ref="H73">MIN((INDEX([2]SourceData!$B:$B, MATCH($D73,[2]SourceData!$A:$A, 0))-SUM($D73:G73)),  (MaxPtsPerSprint4-SUM(H$7:H69)))</f>
        <v>0</v>
      </c>
      <c r="I73" s="286">
        <f t="array" ref="I73">MIN((INDEX([2]SourceData!$B:$B, MATCH($D73,[2]SourceData!$A:$A, 0))-SUM($D73:H73)),  (MaxPtsPerSprint5-SUM(I$7:I69)))</f>
        <v>0</v>
      </c>
      <c r="J73" s="286">
        <f t="array" ref="J73">MIN((INDEX([2]SourceData!$B:$B, MATCH($D73,[2]SourceData!$A:$A, 0))-SUM($D73:I73)),  (MaxPtsPerSprint6-SUM(J$7:J69)))</f>
        <v>0</v>
      </c>
      <c r="K73" s="286">
        <f t="array" ref="K73">MIN((INDEX([2]SourceData!$B:$B, MATCH($D73,[2]SourceData!$A:$A, 0))-SUM($D73:J73)),  (MaxPtsPerSprint7-SUM(K$7:K69)))</f>
        <v>0</v>
      </c>
      <c r="L73" s="286">
        <f t="array" ref="L73">MIN((INDEX([2]SourceData!$B:$B, MATCH($D73,[2]SourceData!$A:$A, 0))-SUM($D73:K73)),  (MaxPtsPerSprint8-SUM(L$7:L69)))</f>
        <v>0</v>
      </c>
      <c r="M73" s="286">
        <f t="array" ref="M73">MIN((INDEX([2]SourceData!$B:$B, MATCH($D73,[2]SourceData!$A:$A, 0))-SUM($D73:L73)),  (MaxPtsPerSprint9-SUM(M$7:M69)))</f>
        <v>0</v>
      </c>
      <c r="N73" s="286">
        <f t="array" ref="N73">MIN((INDEX([2]SourceData!$B:$B, MATCH($D73,[2]SourceData!$A:$A, 0))-SUM($D73:M73)),  (MaxPtsPerSprint10-SUM(N$7:N69)))</f>
        <v>0</v>
      </c>
      <c r="O73" s="286">
        <f t="array" ref="O73">MIN((INDEX([2]SourceData!$B:$B, MATCH($D73,[2]SourceData!$A:$A, 0))-SUM($D73:N73)),  (MaxPtsPerSprint11-SUM(O$7:O72)))</f>
        <v>0</v>
      </c>
      <c r="P73" s="286">
        <f t="array" ref="P73">MIN((INDEX([2]SourceData!$B:$B, MATCH($D73,[2]SourceData!$A:$A, 0))-SUM($D73:O73)),  (MaxPtsPerSprint12-SUM(P$7:P72)))</f>
        <v>0</v>
      </c>
      <c r="Q73" s="286">
        <f t="array" ref="Q73">MIN((INDEX([2]SourceData!$B:$B, MATCH($D73,[2]SourceData!$A:$A, 0))-SUM($D73:P73)),  (MaxPtsPerSprint13-SUM(Q$7:Q72)))</f>
        <v>0</v>
      </c>
      <c r="R73" s="286">
        <f t="array" ref="R73">MIN((INDEX([2]SourceData!$B:$B, MATCH($D73,[2]SourceData!$A:$A, 0))-SUM($D73:Q73)),  (MaxPtsPerSprint14-SUM(R$7:R72)))</f>
        <v>0</v>
      </c>
      <c r="S73" s="286">
        <f t="array" ref="S73">MIN((INDEX([2]SourceData!$B:$B, MATCH($D73,[2]SourceData!$A:$A, 0))-SUM($D73:R73)),  (MaxPtsPerSprint15-SUM(S$7:S72)))</f>
        <v>0</v>
      </c>
      <c r="T73" s="286">
        <f t="array" ref="T73">MIN((INDEX([2]SourceData!$B:$B, MATCH($D73,[2]SourceData!$A:$A, 0))-SUM($D73:S73)),  (MaxPtsPerSprint16-SUM(T$7:T72)))</f>
        <v>0</v>
      </c>
      <c r="U73" s="286">
        <f t="array" ref="U73">MIN((INDEX([2]SourceData!$B:$B, MATCH($D73,[2]SourceData!$A:$A, 0))-SUM($D73:T73)),  (MaxPtsPerSprint17-SUM(U$7:U72)))</f>
        <v>25.549999999999727</v>
      </c>
      <c r="V73" s="286">
        <f t="array" ref="V73">MIN((INDEX([2]SourceData!$B:$B, MATCH($D73,[2]SourceData!$A:$A, 0))-SUM($D73:U73)),  (MaxPtsPerSprint18-SUM(V$7:V72)))</f>
        <v>131.45000000000027</v>
      </c>
      <c r="W73" s="286">
        <f t="array" ref="W73">MIN((INDEX([2]SourceData!$B:$B, MATCH($D73,[2]SourceData!$A:$A, 0))-SUM($D73:V73)),  (MaxPtsPerSprint19-SUM(W$7:W72)))</f>
        <v>0</v>
      </c>
      <c r="X73" s="286">
        <f t="array" ref="X73">MIN((INDEX([2]SourceData!$B:$B, MATCH($D73,[2]SourceData!$A:$A, 0))-SUM($D73:W73)),  (MaxPtsPerSprint20-SUM(X$7:X72)))</f>
        <v>0</v>
      </c>
      <c r="Y73" s="287">
        <f t="array" ref="Y73">MIN((INDEX([2]SourceData!$B:$B, MATCH($D73,[2]SourceData!$A:$A, 0))-SUM($D73:X73)),  (MaxPtsPerSprint21-SUM(Y$7:Y72)))</f>
        <v>0</v>
      </c>
      <c r="Z73" s="287">
        <f t="array" ref="Z73">MIN((INDEX([2]SourceData!$B:$B, MATCH($D73,[2]SourceData!$A:$A, 0))-SUM($D73:Y73)),  (MaxPtsPerSprint22-SUM(Z$7:Z72)))</f>
        <v>0</v>
      </c>
      <c r="AA73" s="287">
        <f t="array" ref="AA73">MIN((INDEX([2]SourceData!$B:$B, MATCH($D73,[2]SourceData!$A:$A, 0))-SUM($D73:Z73)),  (MaxPtsPerSprint23-SUM(AA$7:AA72)))</f>
        <v>0</v>
      </c>
      <c r="AB73" s="287">
        <f t="array" ref="AB73">MIN((INDEX([2]SourceData!$B:$B, MATCH($D73,[2]SourceData!$A:$A, 0))-SUM($D73:AA73)),  (MaxPtsPerSprint24-SUM(AB$7:AB72)))</f>
        <v>0</v>
      </c>
      <c r="AC73" s="287">
        <f t="array" ref="AC73">MIN((INDEX([2]SourceData!$B:$B, MATCH($D73,[2]SourceData!$A:$A, 0))-SUM($D73:AB73)),  (MaxPtsPerSprint24-SUM(AC$7:AC72)))</f>
        <v>0</v>
      </c>
      <c r="AD73" s="287">
        <f t="array" ref="AD73">MIN((INDEX([2]SourceData!$B:$B, MATCH($D73,[2]SourceData!$A:$A, 0))-SUM($D73:AC73)),  (MaxPtsPerSprint24-SUM(AD$7:AD72)))</f>
        <v>0</v>
      </c>
      <c r="AE73" s="288">
        <f t="shared" si="6"/>
        <v>157</v>
      </c>
      <c r="AF73" s="289">
        <f>AE73/$AE$131</f>
        <v>7.7352285464421643E-3</v>
      </c>
    </row>
    <row r="74" spans="2:32" ht="18.649999999999999" customHeight="1" x14ac:dyDescent="0.45">
      <c r="B74" s="284" t="str">
        <f>VLOOKUP(D74,'[2]Work Item Vlookup'!$A$2:$B$119,2,FALSE)</f>
        <v>WI0325</v>
      </c>
      <c r="C74" s="284"/>
      <c r="D74" s="285" t="str">
        <f>[2]SourceData!A68</f>
        <v>ID Property Comp Rater(Orig Scope)</v>
      </c>
      <c r="E74" s="286"/>
      <c r="F74" s="286"/>
      <c r="G74" s="286"/>
      <c r="H74" s="286"/>
      <c r="I74" s="286"/>
      <c r="J74" s="286"/>
      <c r="K74" s="286"/>
      <c r="L74" s="286"/>
      <c r="M74" s="286"/>
      <c r="N74" s="286"/>
      <c r="O74" s="286">
        <f t="array" ref="O74">MIN((INDEX([2]SourceData!$B:$B, MATCH($D74,[2]SourceData!$A:$A, 0))-SUM($D74:N74)),  (MaxPtsPerSprint11-SUM(O$7:O73)))</f>
        <v>0</v>
      </c>
      <c r="P74" s="286">
        <f t="array" ref="P74">MIN((INDEX([2]SourceData!$B:$B, MATCH($D74,[2]SourceData!$A:$A, 0))-SUM($D74:O74)),  (MaxPtsPerSprint12-SUM(P$7:P73)))</f>
        <v>0</v>
      </c>
      <c r="Q74" s="286">
        <f t="array" ref="Q74">MIN((INDEX([2]SourceData!$B:$B, MATCH($D74,[2]SourceData!$A:$A, 0))-SUM($D74:P74)),  (MaxPtsPerSprint13-SUM(Q$7:Q73)))</f>
        <v>0</v>
      </c>
      <c r="R74" s="286">
        <f t="array" ref="R74">MIN((INDEX([2]SourceData!$B:$B, MATCH($D74,[2]SourceData!$A:$A, 0))-SUM($D74:Q74)),  (MaxPtsPerSprint14-SUM(R$7:R73)))</f>
        <v>0</v>
      </c>
      <c r="S74" s="286">
        <f t="array" ref="S74">MIN((INDEX([2]SourceData!$B:$B, MATCH($D74,[2]SourceData!$A:$A, 0))-SUM($D74:R74)),  (MaxPtsPerSprint15-SUM(S$7:S73)))</f>
        <v>0</v>
      </c>
      <c r="T74" s="286">
        <f t="array" ref="T74">MIN((INDEX([2]SourceData!$B:$B, MATCH($D74,[2]SourceData!$A:$A, 0))-SUM($D74:S74)),  (MaxPtsPerSprint16-SUM(T$7:T73)))</f>
        <v>0</v>
      </c>
      <c r="U74" s="286">
        <f t="array" ref="U74">MIN((INDEX([2]SourceData!$B:$B, MATCH($D74,[2]SourceData!$A:$A, 0))-SUM($D74:T74)),  (MaxPtsPerSprint17-SUM(U$7:U73)))</f>
        <v>0</v>
      </c>
      <c r="V74" s="286">
        <f t="array" ref="V74">MIN((INDEX([2]SourceData!$B:$B, MATCH($D74,[2]SourceData!$A:$A, 0))-SUM($D74:U74)),  (MaxPtsPerSprint18-SUM(V$7:V73)))</f>
        <v>19.080000000000002</v>
      </c>
      <c r="W74" s="286">
        <f t="array" ref="W74">MIN((INDEX([2]SourceData!$B:$B, MATCH($D74,[2]SourceData!$A:$A, 0))-SUM($D74:V74)),  (MaxPtsPerSprint19-SUM(W$7:W73)))</f>
        <v>0</v>
      </c>
      <c r="X74" s="286">
        <f t="array" ref="X74">MIN((INDEX([2]SourceData!$B:$B, MATCH($D74,[2]SourceData!$A:$A, 0))-SUM($D74:W74)),  (MaxPtsPerSprint20-SUM(X$7:X73)))</f>
        <v>0</v>
      </c>
      <c r="Y74" s="287">
        <f t="array" ref="Y74">MIN((INDEX([2]SourceData!$B:$B, MATCH($D74,[2]SourceData!$A:$A, 0))-SUM($D74:X74)),  (MaxPtsPerSprint21-SUM(Y$7:Y73)))</f>
        <v>0</v>
      </c>
      <c r="Z74" s="287">
        <f t="array" ref="Z74">MIN((INDEX([2]SourceData!$B:$B, MATCH($D74,[2]SourceData!$A:$A, 0))-SUM($D74:Y74)),  (MaxPtsPerSprint22-SUM(Z$7:Z73)))</f>
        <v>0</v>
      </c>
      <c r="AA74" s="287">
        <f t="array" ref="AA74">MIN((INDEX([2]SourceData!$B:$B, MATCH($D74,[2]SourceData!$A:$A, 0))-SUM($D74:Z74)),  (MaxPtsPerSprint23-SUM(AA$7:AA73)))</f>
        <v>0</v>
      </c>
      <c r="AB74" s="287">
        <f t="array" ref="AB74">MIN((INDEX([2]SourceData!$B:$B, MATCH($D74,[2]SourceData!$A:$A, 0))-SUM($D74:AA74)),  (MaxPtsPerSprint24-SUM(AB$7:AB73)))</f>
        <v>0</v>
      </c>
      <c r="AC74" s="287">
        <f t="array" ref="AC74">MIN((INDEX([2]SourceData!$B:$B, MATCH($D74,[2]SourceData!$A:$A, 0))-SUM($D74:AB74)),  (MaxPtsPerSprint24-SUM(AC$7:AC73)))</f>
        <v>0</v>
      </c>
      <c r="AD74" s="287">
        <f t="array" ref="AD74">MIN((INDEX([2]SourceData!$B:$B, MATCH($D74,[2]SourceData!$A:$A, 0))-SUM($D74:AC74)),  (MaxPtsPerSprint24-SUM(AD$7:AD73)))</f>
        <v>0</v>
      </c>
      <c r="AE74" s="288">
        <f t="shared" si="6"/>
        <v>19.080000000000002</v>
      </c>
      <c r="AF74" s="289"/>
    </row>
    <row r="75" spans="2:32" ht="18.649999999999999" customHeight="1" x14ac:dyDescent="0.45">
      <c r="B75" s="284" t="str">
        <f>VLOOKUP(D75,'[2]Work Item Vlookup'!$A$2:$B$119,2,FALSE)</f>
        <v>WI0326</v>
      </c>
      <c r="C75" s="284"/>
      <c r="D75" s="285" t="str">
        <f>[2]SourceData!A69</f>
        <v>OR Property Comp Rater (Orig Scope)</v>
      </c>
      <c r="E75" s="286"/>
      <c r="F75" s="286"/>
      <c r="G75" s="286"/>
      <c r="H75" s="286"/>
      <c r="I75" s="286"/>
      <c r="J75" s="286"/>
      <c r="K75" s="286"/>
      <c r="L75" s="286"/>
      <c r="M75" s="286"/>
      <c r="N75" s="286"/>
      <c r="O75" s="286">
        <f t="array" ref="O75">MIN((INDEX([2]SourceData!$B:$B, MATCH($D75,[2]SourceData!$A:$A, 0))-SUM($D75:N75)),  (MaxPtsPerSprint11-SUM(O$7:O74)))</f>
        <v>0</v>
      </c>
      <c r="P75" s="286">
        <f t="array" ref="P75">MIN((INDEX([2]SourceData!$B:$B, MATCH($D75,[2]SourceData!$A:$A, 0))-SUM($D75:O75)),  (MaxPtsPerSprint12-SUM(P$7:P74)))</f>
        <v>0</v>
      </c>
      <c r="Q75" s="286">
        <f t="array" ref="Q75">MIN((INDEX([2]SourceData!$B:$B, MATCH($D75,[2]SourceData!$A:$A, 0))-SUM($D75:P75)),  (MaxPtsPerSprint13-SUM(Q$7:Q74)))</f>
        <v>0</v>
      </c>
      <c r="R75" s="286">
        <f t="array" ref="R75">MIN((INDEX([2]SourceData!$B:$B, MATCH($D75,[2]SourceData!$A:$A, 0))-SUM($D75:Q75)),  (MaxPtsPerSprint14-SUM(R$7:R74)))</f>
        <v>0</v>
      </c>
      <c r="S75" s="286">
        <f t="array" ref="S75">MIN((INDEX([2]SourceData!$B:$B, MATCH($D75,[2]SourceData!$A:$A, 0))-SUM($D75:R75)),  (MaxPtsPerSprint15-SUM(S$7:S74)))</f>
        <v>0</v>
      </c>
      <c r="T75" s="286">
        <f t="array" ref="T75">MIN((INDEX([2]SourceData!$B:$B, MATCH($D75,[2]SourceData!$A:$A, 0))-SUM($D75:S75)),  (MaxPtsPerSprint16-SUM(T$7:T74)))</f>
        <v>0</v>
      </c>
      <c r="U75" s="286">
        <f t="array" ref="U75">MIN((INDEX([2]SourceData!$B:$B, MATCH($D75,[2]SourceData!$A:$A, 0))-SUM($D75:T75)),  (MaxPtsPerSprint17-SUM(U$7:U74)))</f>
        <v>0</v>
      </c>
      <c r="V75" s="286">
        <f t="array" ref="V75">MIN((INDEX([2]SourceData!$B:$B, MATCH($D75,[2]SourceData!$A:$A, 0))-SUM($D75:U75)),  (MaxPtsPerSprint18-SUM(V$7:V74)))</f>
        <v>44.52</v>
      </c>
      <c r="W75" s="286">
        <f t="array" ref="W75">MIN((INDEX([2]SourceData!$B:$B, MATCH($D75,[2]SourceData!$A:$A, 0))-SUM($D75:V75)),  (MaxPtsPerSprint19-SUM(W$7:W74)))</f>
        <v>0</v>
      </c>
      <c r="X75" s="286">
        <f t="array" ref="X75">MIN((INDEX([2]SourceData!$B:$B, MATCH($D75,[2]SourceData!$A:$A, 0))-SUM($D75:W75)),  (MaxPtsPerSprint20-SUM(X$7:X74)))</f>
        <v>0</v>
      </c>
      <c r="Y75" s="287">
        <f t="array" ref="Y75">MIN((INDEX([2]SourceData!$B:$B, MATCH($D75,[2]SourceData!$A:$A, 0))-SUM($D75:X75)),  (MaxPtsPerSprint21-SUM(Y$7:Y74)))</f>
        <v>0</v>
      </c>
      <c r="Z75" s="287">
        <f t="array" ref="Z75">MIN((INDEX([2]SourceData!$B:$B, MATCH($D75,[2]SourceData!$A:$A, 0))-SUM($D75:Y75)),  (MaxPtsPerSprint22-SUM(Z$7:Z74)))</f>
        <v>0</v>
      </c>
      <c r="AA75" s="287">
        <f t="array" ref="AA75">MIN((INDEX([2]SourceData!$B:$B, MATCH($D75,[2]SourceData!$A:$A, 0))-SUM($D75:Z75)),  (MaxPtsPerSprint23-SUM(AA$7:AA74)))</f>
        <v>0</v>
      </c>
      <c r="AB75" s="287">
        <f t="array" ref="AB75">MIN((INDEX([2]SourceData!$B:$B, MATCH($D75,[2]SourceData!$A:$A, 0))-SUM($D75:AA75)),  (MaxPtsPerSprint24-SUM(AB$7:AB74)))</f>
        <v>0</v>
      </c>
      <c r="AC75" s="287">
        <f t="array" ref="AC75">MIN((INDEX([2]SourceData!$B:$B, MATCH($D75,[2]SourceData!$A:$A, 0))-SUM($D75:AB75)),  (MaxPtsPerSprint24-SUM(AC$7:AC74)))</f>
        <v>0</v>
      </c>
      <c r="AD75" s="287">
        <f t="array" ref="AD75">MIN((INDEX([2]SourceData!$B:$B, MATCH($D75,[2]SourceData!$A:$A, 0))-SUM($D75:AC75)),  (MaxPtsPerSprint24-SUM(AD$7:AD74)))</f>
        <v>0</v>
      </c>
      <c r="AE75" s="288">
        <f t="shared" si="6"/>
        <v>44.52</v>
      </c>
      <c r="AF75" s="289"/>
    </row>
    <row r="76" spans="2:32" ht="18.5" x14ac:dyDescent="0.45">
      <c r="B76" s="284" t="str">
        <f>VLOOKUP(D76,'[2]Work Item Vlookup'!$A$2:$B$119,2,FALSE)</f>
        <v>WI0046</v>
      </c>
      <c r="C76" s="284"/>
      <c r="D76" s="285" t="str">
        <f>[2]SourceData!A70</f>
        <v>NY Property (Orig Scope)</v>
      </c>
      <c r="E76" s="286">
        <f t="array" ref="E76">MIN((INDEX([2]SourceData!$B:$B, MATCH($D76,[2]SourceData!$A:$A, 0))-SUM($D76:D76)),  (MaxPtsPerSprint1-SUM(E$7:E73)))</f>
        <v>0</v>
      </c>
      <c r="F76" s="286">
        <f t="array" ref="F76">MIN((INDEX([2]SourceData!$B:$B, MATCH($D76,[2]SourceData!$A:$A, 0))-SUM($D76:E76)),  (MaxPtsPerSprint2-SUM(F$7:F73)))</f>
        <v>0</v>
      </c>
      <c r="G76" s="286">
        <f t="array" ref="G76">MIN((INDEX([2]SourceData!$B:$B, MATCH($D76,[2]SourceData!$A:$A, 0))-SUM($D76:F76)),  (MaxPtsPerSprint3-SUM(G$7:G73)))</f>
        <v>0</v>
      </c>
      <c r="H76" s="286">
        <f t="array" ref="H76">MIN((INDEX([2]SourceData!$B:$B, MATCH($D76,[2]SourceData!$A:$A, 0))-SUM($D76:G76)),  (MaxPtsPerSprint4-SUM(H$7:H73)))</f>
        <v>0</v>
      </c>
      <c r="I76" s="286">
        <f t="array" ref="I76">MIN((INDEX([2]SourceData!$B:$B, MATCH($D76,[2]SourceData!$A:$A, 0))-SUM($D76:H76)),  (MaxPtsPerSprint5-SUM(I$7:I73)))</f>
        <v>0</v>
      </c>
      <c r="J76" s="286">
        <f t="array" ref="J76">MIN((INDEX([2]SourceData!$B:$B, MATCH($D76,[2]SourceData!$A:$A, 0))-SUM($D76:I76)),  (MaxPtsPerSprint6-SUM(J$7:J73)))</f>
        <v>0</v>
      </c>
      <c r="K76" s="286">
        <f t="array" ref="K76">MIN((INDEX([2]SourceData!$B:$B, MATCH($D76,[2]SourceData!$A:$A, 0))-SUM($D76:J76)),  (MaxPtsPerSprint7-SUM(K$7:K73)))</f>
        <v>0</v>
      </c>
      <c r="L76" s="286">
        <f t="array" ref="L76">MIN((INDEX([2]SourceData!$B:$B, MATCH($D76,[2]SourceData!$A:$A, 0))-SUM($D76:K76)),  (MaxPtsPerSprint8-SUM(L$7:L73)))</f>
        <v>0</v>
      </c>
      <c r="M76" s="286">
        <f t="array" ref="M76">MIN((INDEX([2]SourceData!$B:$B, MATCH($D76,[2]SourceData!$A:$A, 0))-SUM($D76:L76)),  (MaxPtsPerSprint9-SUM(M$7:M73)))</f>
        <v>0</v>
      </c>
      <c r="N76" s="286">
        <f t="array" ref="N76">MIN((INDEX([2]SourceData!$B:$B, MATCH($D76,[2]SourceData!$A:$A, 0))-SUM($D76:M76)),  (MaxPtsPerSprint10-SUM(N$7:N73)))</f>
        <v>0</v>
      </c>
      <c r="O76" s="286">
        <f t="array" ref="O76">MIN((INDEX([2]SourceData!$B:$B, MATCH($D76,[2]SourceData!$A:$A, 0))-SUM($D76:N76)),  (MaxPtsPerSprint11-SUM(O$7:O75)))</f>
        <v>0</v>
      </c>
      <c r="P76" s="286">
        <f t="array" ref="P76">MIN((INDEX([2]SourceData!$B:$B, MATCH($D76,[2]SourceData!$A:$A, 0))-SUM($D76:O76)),  (MaxPtsPerSprint12-SUM(P$7:P75)))</f>
        <v>0</v>
      </c>
      <c r="Q76" s="286">
        <f t="array" ref="Q76">MIN((INDEX([2]SourceData!$B:$B, MATCH($D76,[2]SourceData!$A:$A, 0))-SUM($D76:P76)),  (MaxPtsPerSprint13-SUM(Q$7:Q75)))</f>
        <v>0</v>
      </c>
      <c r="R76" s="286">
        <f t="array" ref="R76">MIN((INDEX([2]SourceData!$B:$B, MATCH($D76,[2]SourceData!$A:$A, 0))-SUM($D76:Q76)),  (MaxPtsPerSprint14-SUM(R$7:R75)))</f>
        <v>0</v>
      </c>
      <c r="S76" s="286">
        <f t="array" ref="S76">MIN((INDEX([2]SourceData!$B:$B, MATCH($D76,[2]SourceData!$A:$A, 0))-SUM($D76:R76)),  (MaxPtsPerSprint15-SUM(S$7:S75)))</f>
        <v>0</v>
      </c>
      <c r="T76" s="286">
        <f t="array" ref="T76">MIN((INDEX([2]SourceData!$B:$B, MATCH($D76,[2]SourceData!$A:$A, 0))-SUM($D76:S76)),  (MaxPtsPerSprint16-SUM(T$7:T75)))</f>
        <v>0</v>
      </c>
      <c r="U76" s="286">
        <f t="array" ref="U76">MIN((INDEX([2]SourceData!$B:$B, MATCH($D76,[2]SourceData!$A:$A, 0))-SUM($D76:T76)),  (MaxPtsPerSprint17-SUM(U$7:U75)))</f>
        <v>0</v>
      </c>
      <c r="V76" s="286">
        <f t="array" ref="V76">MIN((INDEX([2]SourceData!$B:$B, MATCH($D76,[2]SourceData!$A:$A, 0))-SUM($D76:U76)),  (MaxPtsPerSprint18-SUM(V$7:V75)))</f>
        <v>282.9499999999997</v>
      </c>
      <c r="W76" s="286">
        <f t="array" ref="W76">MIN((INDEX([2]SourceData!$B:$B, MATCH($D76,[2]SourceData!$A:$A, 0))-SUM($D76:V76)),  (MaxPtsPerSprint19-SUM(W$7:W75)))</f>
        <v>7.0000000000334239E-2</v>
      </c>
      <c r="X76" s="286">
        <f t="array" ref="X76">MIN((INDEX([2]SourceData!$B:$B, MATCH($D76,[2]SourceData!$A:$A, 0))-SUM($D76:W76)),  (MaxPtsPerSprint20-SUM(X$7:X75)))</f>
        <v>0</v>
      </c>
      <c r="Y76" s="287">
        <f t="array" ref="Y76">MIN((INDEX([2]SourceData!$B:$B, MATCH($D76,[2]SourceData!$A:$A, 0))-SUM($D76:X76)),  (MaxPtsPerSprint21-SUM(Y$7:Y75)))</f>
        <v>0</v>
      </c>
      <c r="Z76" s="287">
        <f t="array" ref="Z76">MIN((INDEX([2]SourceData!$B:$B, MATCH($D76,[2]SourceData!$A:$A, 0))-SUM($D76:Y76)),  (MaxPtsPerSprint22-SUM(Z$7:Z75)))</f>
        <v>0</v>
      </c>
      <c r="AA76" s="287">
        <f t="array" ref="AA76">MIN((INDEX([2]SourceData!$B:$B, MATCH($D76,[2]SourceData!$A:$A, 0))-SUM($D76:Z76)),  (MaxPtsPerSprint23-SUM(AA$7:AA75)))</f>
        <v>0</v>
      </c>
      <c r="AB76" s="287">
        <f t="array" ref="AB76">MIN((INDEX([2]SourceData!$B:$B, MATCH($D76,[2]SourceData!$A:$A, 0))-SUM($D76:AA76)),  (MaxPtsPerSprint24-SUM(AB$7:AB75)))</f>
        <v>0</v>
      </c>
      <c r="AC76" s="287">
        <f t="array" ref="AC76">MIN((INDEX([2]SourceData!$B:$B, MATCH($D76,[2]SourceData!$A:$A, 0))-SUM($D76:AB76)),  (MaxPtsPerSprint24-SUM(AC$7:AC75)))</f>
        <v>0</v>
      </c>
      <c r="AD76" s="287">
        <f t="array" ref="AD76">MIN((INDEX([2]SourceData!$B:$B, MATCH($D76,[2]SourceData!$A:$A, 0))-SUM($D76:AC76)),  (MaxPtsPerSprint24-SUM(AD$7:AD75)))</f>
        <v>0</v>
      </c>
      <c r="AE76" s="288">
        <f t="shared" si="6"/>
        <v>283.02000000000004</v>
      </c>
      <c r="AF76" s="286">
        <f t="array" ref="AF76">MIN((INDEX([2]SourceData!$B:$B, MATCH($D76,[2]SourceData!$A:$A, 0))-SUM($D76:AE76)),  (MaxPtsPerSprint8-SUM(AF$7:AF73)))</f>
        <v>-283.02000000000004</v>
      </c>
    </row>
    <row r="77" spans="2:32" ht="18.5" x14ac:dyDescent="0.45">
      <c r="B77" s="284" t="str">
        <f>VLOOKUP(D77,'[2]Work Item Vlookup'!$A$2:$B$119,2,FALSE)</f>
        <v>WI0041</v>
      </c>
      <c r="C77" s="284"/>
      <c r="D77" s="285" t="str">
        <f>[2]SourceData!A71</f>
        <v>MT Property (Orig Scope)- Dependency PAS10</v>
      </c>
      <c r="E77" s="286"/>
      <c r="F77" s="286"/>
      <c r="G77" s="286"/>
      <c r="H77" s="286"/>
      <c r="I77" s="286"/>
      <c r="J77" s="286"/>
      <c r="K77" s="286"/>
      <c r="L77" s="286"/>
      <c r="M77" s="286"/>
      <c r="N77" s="286"/>
      <c r="O77" s="286">
        <f t="array" ref="O77">MIN((INDEX([2]SourceData!$B:$B, MATCH($D77,[2]SourceData!$A:$A, 0))-SUM($D77:N77)),  (MaxPtsPerSprint11-SUM(O$7:O76)))</f>
        <v>0</v>
      </c>
      <c r="P77" s="286">
        <f t="array" ref="P77">MIN((INDEX([2]SourceData!$B:$B, MATCH($D77,[2]SourceData!$A:$A, 0))-SUM($D77:O77)),  (MaxPtsPerSprint12-SUM(P$7:P76)))</f>
        <v>0</v>
      </c>
      <c r="Q77" s="286">
        <f t="array" ref="Q77">MIN((INDEX([2]SourceData!$B:$B, MATCH($D77,[2]SourceData!$A:$A, 0))-SUM($D77:P77)),  (MaxPtsPerSprint13-SUM(Q$7:Q76)))</f>
        <v>0</v>
      </c>
      <c r="R77" s="286">
        <f t="array" ref="R77">MIN((INDEX([2]SourceData!$B:$B, MATCH($D77,[2]SourceData!$A:$A, 0))-SUM($D77:Q77)),  (MaxPtsPerSprint14-SUM(R$7:R76)))</f>
        <v>0</v>
      </c>
      <c r="S77" s="286">
        <f t="array" ref="S77">MIN((INDEX([2]SourceData!$B:$B, MATCH($D77,[2]SourceData!$A:$A, 0))-SUM($D77:R77)),  (MaxPtsPerSprint15-SUM(S$7:S76)))</f>
        <v>0</v>
      </c>
      <c r="T77" s="286">
        <f t="array" ref="T77">MIN((INDEX([2]SourceData!$B:$B, MATCH($D77,[2]SourceData!$A:$A, 0))-SUM($D77:S77)),  (MaxPtsPerSprint16-SUM(T$7:T76)))</f>
        <v>0</v>
      </c>
      <c r="U77" s="286">
        <f t="array" ref="U77">MIN((INDEX([2]SourceData!$B:$B, MATCH($D77,[2]SourceData!$A:$A, 0))-SUM($D77:T77)),  (MaxPtsPerSprint17-SUM(U$7:U76)))</f>
        <v>0</v>
      </c>
      <c r="V77" s="286">
        <f t="array" ref="V77">MIN((INDEX([2]SourceData!$B:$B, MATCH($D77,[2]SourceData!$A:$A, 0))-SUM($D77:U77)),  (MaxPtsPerSprint18-SUM(V$7:V76)))</f>
        <v>0</v>
      </c>
      <c r="W77" s="286">
        <f t="array" ref="W77">MIN((INDEX([2]SourceData!$B:$B, MATCH($D77,[2]SourceData!$A:$A, 0))-SUM($D77:V77)),  (MaxPtsPerSprint19-SUM(W$7:W76)))</f>
        <v>20</v>
      </c>
      <c r="X77" s="286">
        <f t="array" ref="X77">MIN((INDEX([2]SourceData!$B:$B, MATCH($D77,[2]SourceData!$A:$A, 0))-SUM($D77:W77)),  (MaxPtsPerSprint20-SUM(X$7:X76)))</f>
        <v>0</v>
      </c>
      <c r="Y77" s="287">
        <f t="array" ref="Y77">MIN((INDEX([2]SourceData!$B:$B, MATCH($D77,[2]SourceData!$A:$A, 0))-SUM($D77:X77)),  (MaxPtsPerSprint21-SUM(Y$7:Y76)))</f>
        <v>0</v>
      </c>
      <c r="Z77" s="287">
        <f t="array" ref="Z77">MIN((INDEX([2]SourceData!$B:$B, MATCH($D77,[2]SourceData!$A:$A, 0))-SUM($D77:Y77)),  (MaxPtsPerSprint22-SUM(Z$7:Z76)))</f>
        <v>0</v>
      </c>
      <c r="AA77" s="287">
        <f t="array" ref="AA77">MIN((INDEX([2]SourceData!$B:$B, MATCH($D77,[2]SourceData!$A:$A, 0))-SUM($D77:Z77)),  (MaxPtsPerSprint23-SUM(AA$7:AA76)))</f>
        <v>0</v>
      </c>
      <c r="AB77" s="287">
        <f t="array" ref="AB77">MIN((INDEX([2]SourceData!$B:$B, MATCH($D77,[2]SourceData!$A:$A, 0))-SUM($D77:AA77)),  (MaxPtsPerSprint24-SUM(AB$7:AB76)))</f>
        <v>0</v>
      </c>
      <c r="AC77" s="287">
        <f t="array" ref="AC77">MIN((INDEX([2]SourceData!$B:$B, MATCH($D77,[2]SourceData!$A:$A, 0))-SUM($D77:AB77)),  (MaxPtsPerSprint24-SUM(AC$7:AC76)))</f>
        <v>0</v>
      </c>
      <c r="AD77" s="287">
        <f t="array" ref="AD77">MIN((INDEX([2]SourceData!$B:$B, MATCH($D77,[2]SourceData!$A:$A, 0))-SUM($D77:AC77)),  (MaxPtsPerSprint24-SUM(AD$7:AD76)))</f>
        <v>0</v>
      </c>
      <c r="AE77" s="288">
        <f t="shared" si="6"/>
        <v>20</v>
      </c>
      <c r="AF77" s="286"/>
    </row>
    <row r="78" spans="2:32" ht="18.5" x14ac:dyDescent="0.45">
      <c r="B78" s="284" t="str">
        <f>VLOOKUP(D78,'[2]Work Item Vlookup'!$A$2:$B$119,2,FALSE)</f>
        <v>WI0044</v>
      </c>
      <c r="C78" s="284"/>
      <c r="D78" s="285" t="str">
        <f>[2]SourceData!A72</f>
        <v>WY Property (Orig Scope)- Dependency PAS10</v>
      </c>
      <c r="E78" s="286"/>
      <c r="F78" s="286"/>
      <c r="G78" s="286"/>
      <c r="H78" s="286"/>
      <c r="I78" s="286"/>
      <c r="J78" s="286"/>
      <c r="K78" s="286"/>
      <c r="L78" s="286"/>
      <c r="M78" s="286"/>
      <c r="N78" s="286"/>
      <c r="O78" s="286">
        <f t="array" ref="O78">MIN((INDEX([2]SourceData!$B:$B, MATCH($D78,[2]SourceData!$A:$A, 0))-SUM($D78:N78)),  (MaxPtsPerSprint11-SUM(O$7:O75)))</f>
        <v>0</v>
      </c>
      <c r="P78" s="286">
        <f t="array" ref="P78">MIN((INDEX([2]SourceData!$B:$B, MATCH($D78,[2]SourceData!$A:$A, 0))-SUM($D78:O78)),  (MaxPtsPerSprint12-SUM(P$7:P75)))</f>
        <v>0</v>
      </c>
      <c r="Q78" s="286">
        <f t="array" ref="Q78">MIN((INDEX([2]SourceData!$B:$B, MATCH($D78,[2]SourceData!$A:$A, 0))-SUM($D78:P78)),  (MaxPtsPerSprint13-SUM(Q$7:Q77)))</f>
        <v>0</v>
      </c>
      <c r="R78" s="286">
        <f t="array" ref="R78">MIN((INDEX([2]SourceData!$B:$B, MATCH($D78,[2]SourceData!$A:$A, 0))-SUM($D78:Q78)),  (MaxPtsPerSprint14-SUM(R$7:R77)))</f>
        <v>0</v>
      </c>
      <c r="S78" s="286">
        <f t="array" ref="S78">MIN((INDEX([2]SourceData!$B:$B, MATCH($D78,[2]SourceData!$A:$A, 0))-SUM($D78:R78)),  (MaxPtsPerSprint15-SUM(S$7:S77)))</f>
        <v>0</v>
      </c>
      <c r="T78" s="286">
        <f t="array" ref="T78">MIN((INDEX([2]SourceData!$B:$B, MATCH($D78,[2]SourceData!$A:$A, 0))-SUM($D78:S78)),  (MaxPtsPerSprint16-SUM(T$7:T77)))</f>
        <v>0</v>
      </c>
      <c r="U78" s="286">
        <f t="array" ref="U78">MIN((INDEX([2]SourceData!$B:$B, MATCH($D78,[2]SourceData!$A:$A, 0))-SUM($D78:T78)),  (MaxPtsPerSprint17-SUM(U$7:U77)))</f>
        <v>0</v>
      </c>
      <c r="V78" s="286">
        <f t="array" ref="V78">MIN((INDEX([2]SourceData!$B:$B, MATCH($D78,[2]SourceData!$A:$A, 0))-SUM($D78:U78)),  (MaxPtsPerSprint18-SUM(V$7:V77)))</f>
        <v>0</v>
      </c>
      <c r="W78" s="286">
        <f t="array" ref="W78">MIN((INDEX([2]SourceData!$B:$B, MATCH($D78,[2]SourceData!$A:$A, 0))-SUM($D78:V78)),  (MaxPtsPerSprint19-SUM(W$7:W77)))</f>
        <v>20</v>
      </c>
      <c r="X78" s="286">
        <f t="array" ref="X78">MIN((INDEX([2]SourceData!$B:$B, MATCH($D78,[2]SourceData!$A:$A, 0))-SUM($D78:W78)),  (MaxPtsPerSprint20-SUM(X$7:X77)))</f>
        <v>0</v>
      </c>
      <c r="Y78" s="287">
        <f t="array" ref="Y78">MIN((INDEX([2]SourceData!$B:$B, MATCH($D78,[2]SourceData!$A:$A, 0))-SUM($D78:X78)),  (MaxPtsPerSprint21-SUM(Y$7:Y77)))</f>
        <v>0</v>
      </c>
      <c r="Z78" s="287">
        <f t="array" ref="Z78">MIN((INDEX([2]SourceData!$B:$B, MATCH($D78,[2]SourceData!$A:$A, 0))-SUM($D78:Y78)),  (MaxPtsPerSprint22-SUM(Z$7:Z77)))</f>
        <v>0</v>
      </c>
      <c r="AA78" s="287">
        <f t="array" ref="AA78">MIN((INDEX([2]SourceData!$B:$B, MATCH($D78,[2]SourceData!$A:$A, 0))-SUM($D78:Z78)),  (MaxPtsPerSprint23-SUM(AA$7:AA77)))</f>
        <v>0</v>
      </c>
      <c r="AB78" s="287">
        <f t="array" ref="AB78">MIN((INDEX([2]SourceData!$B:$B, MATCH($D78,[2]SourceData!$A:$A, 0))-SUM($D78:AA78)),  (MaxPtsPerSprint24-SUM(AB$7:AB77)))</f>
        <v>0</v>
      </c>
      <c r="AC78" s="287">
        <f t="array" ref="AC78">MIN((INDEX([2]SourceData!$B:$B, MATCH($D78,[2]SourceData!$A:$A, 0))-SUM($D78:AB78)),  (MaxPtsPerSprint24-SUM(AC$7:AC77)))</f>
        <v>0</v>
      </c>
      <c r="AD78" s="287">
        <f t="array" ref="AD78">MIN((INDEX([2]SourceData!$B:$B, MATCH($D78,[2]SourceData!$A:$A, 0))-SUM($D78:AC78)),  (MaxPtsPerSprint24-SUM(AD$7:AD77)))</f>
        <v>0</v>
      </c>
      <c r="AE78" s="288">
        <f t="shared" si="6"/>
        <v>20</v>
      </c>
      <c r="AF78" s="286"/>
    </row>
    <row r="79" spans="2:32" ht="18.5" x14ac:dyDescent="0.45">
      <c r="B79" s="284" t="str">
        <f>VLOOKUP(D79,'[2]Work Item Vlookup'!$A$2:$B$119,2,FALSE)</f>
        <v>WI0042</v>
      </c>
      <c r="C79" s="284"/>
      <c r="D79" s="285" t="str">
        <f>[2]SourceData!A73</f>
        <v>ID Property (Orig Scope)</v>
      </c>
      <c r="E79" s="286">
        <f t="array" ref="E79">MIN((INDEX([2]SourceData!$B:$B, MATCH($D79,[2]SourceData!$A:$A, 0))-SUM($D79:D79)),  (MaxPtsPerSprint1-SUM(E$7:E76)))</f>
        <v>0</v>
      </c>
      <c r="F79" s="286">
        <f t="array" ref="F79">MIN((INDEX([2]SourceData!$B:$B, MATCH($D79,[2]SourceData!$A:$A, 0))-SUM($D79:E79)),  (MaxPtsPerSprint2-SUM(F$7:F76)))</f>
        <v>0</v>
      </c>
      <c r="G79" s="286">
        <f t="array" ref="G79">MIN((INDEX([2]SourceData!$B:$B, MATCH($D79,[2]SourceData!$A:$A, 0))-SUM($D79:F79)),  (MaxPtsPerSprint3-SUM(G$7:G76)))</f>
        <v>0</v>
      </c>
      <c r="H79" s="286">
        <f t="array" ref="H79">MIN((INDEX([2]SourceData!$B:$B, MATCH($D79,[2]SourceData!$A:$A, 0))-SUM($D79:G79)),  (MaxPtsPerSprint4-SUM(H$7:H76)))</f>
        <v>0</v>
      </c>
      <c r="I79" s="286">
        <f t="array" ref="I79">MIN((INDEX([2]SourceData!$B:$B, MATCH($D79,[2]SourceData!$A:$A, 0))-SUM($D79:H79)),  (MaxPtsPerSprint5-SUM(I$7:I76)))</f>
        <v>0</v>
      </c>
      <c r="J79" s="286">
        <f t="array" ref="J79">MIN((INDEX([2]SourceData!$B:$B, MATCH($D79,[2]SourceData!$A:$A, 0))-SUM($D79:I79)),  (MaxPtsPerSprint6-SUM(J$7:J76)))</f>
        <v>0</v>
      </c>
      <c r="K79" s="286">
        <f t="array" ref="K79">MIN((INDEX([2]SourceData!$B:$B, MATCH($D79,[2]SourceData!$A:$A, 0))-SUM($D79:J79)),  (MaxPtsPerSprint7-SUM(K$7:K76)))</f>
        <v>0</v>
      </c>
      <c r="L79" s="286">
        <f t="array" ref="L79">MIN((INDEX([2]SourceData!$B:$B, MATCH($D79,[2]SourceData!$A:$A, 0))-SUM($D79:K79)),  (MaxPtsPerSprint8-SUM(L$7:L76)))</f>
        <v>0</v>
      </c>
      <c r="M79" s="286">
        <f t="array" ref="M79">MIN((INDEX([2]SourceData!$B:$B, MATCH($D79,[2]SourceData!$A:$A, 0))-SUM($D79:L79)),  (MaxPtsPerSprint9-SUM(M$7:M76)))</f>
        <v>0</v>
      </c>
      <c r="N79" s="286">
        <f t="array" ref="N79">MIN((INDEX([2]SourceData!$B:$B, MATCH($D79,[2]SourceData!$A:$A, 0))-SUM($D79:M79)),  (MaxPtsPerSprint10-SUM(N$7:N76)))</f>
        <v>0</v>
      </c>
      <c r="O79" s="286">
        <f t="array" ref="O79">MIN((INDEX([2]SourceData!$B:$B, MATCH($D79,[2]SourceData!$A:$A, 0))-SUM($D79:N79)),  (MaxPtsPerSprint11-SUM(O$7:O76)))</f>
        <v>0</v>
      </c>
      <c r="P79" s="286">
        <f t="array" ref="P79">MIN((INDEX([2]SourceData!$B:$B, MATCH($D79,[2]SourceData!$A:$A, 0))-SUM($D79:O79)),  (MaxPtsPerSprint12-SUM(P$7:P76)))</f>
        <v>0</v>
      </c>
      <c r="Q79" s="286">
        <f t="array" ref="Q79">MIN((INDEX([2]SourceData!$B:$B, MATCH($D79,[2]SourceData!$A:$A, 0))-SUM($D79:P79)),  (MaxPtsPerSprint13-SUM(Q$7:Q78)))</f>
        <v>0</v>
      </c>
      <c r="R79" s="286">
        <f t="array" ref="R79">MIN((INDEX([2]SourceData!$B:$B, MATCH($D79,[2]SourceData!$A:$A, 0))-SUM($D79:Q79)),  (MaxPtsPerSprint14-SUM(R$7:R78)))</f>
        <v>0</v>
      </c>
      <c r="S79" s="286">
        <f t="array" ref="S79">MIN((INDEX([2]SourceData!$B:$B, MATCH($D79,[2]SourceData!$A:$A, 0))-SUM($D79:R79)),  (MaxPtsPerSprint15-SUM(S$7:S78)))</f>
        <v>0</v>
      </c>
      <c r="T79" s="286">
        <f t="array" ref="T79">MIN((INDEX([2]SourceData!$B:$B, MATCH($D79,[2]SourceData!$A:$A, 0))-SUM($D79:S79)),  (MaxPtsPerSprint16-SUM(T$7:T78)))</f>
        <v>0</v>
      </c>
      <c r="U79" s="286">
        <f t="array" ref="U79">MIN((INDEX([2]SourceData!$B:$B, MATCH($D79,[2]SourceData!$A:$A, 0))-SUM($D79:T79)),  (MaxPtsPerSprint17-SUM(U$7:U78)))</f>
        <v>0</v>
      </c>
      <c r="V79" s="286">
        <f t="array" ref="V79">MIN((INDEX([2]SourceData!$B:$B, MATCH($D79,[2]SourceData!$A:$A, 0))-SUM($D79:U79)),  (MaxPtsPerSprint18-SUM(V$7:V78)))</f>
        <v>0</v>
      </c>
      <c r="W79" s="286">
        <f t="array" ref="W79">MIN((INDEX([2]SourceData!$B:$B, MATCH($D79,[2]SourceData!$A:$A, 0))-SUM($D79:V79)),  (MaxPtsPerSprint19-SUM(W$7:W78)))</f>
        <v>23.729999999999997</v>
      </c>
      <c r="X79" s="286">
        <f t="array" ref="X79">MIN((INDEX([2]SourceData!$B:$B, MATCH($D79,[2]SourceData!$A:$A, 0))-SUM($D79:W79)),  (MaxPtsPerSprint20-SUM(X$7:X78)))</f>
        <v>0</v>
      </c>
      <c r="Y79" s="287">
        <f t="array" ref="Y79">MIN((INDEX([2]SourceData!$B:$B, MATCH($D79,[2]SourceData!$A:$A, 0))-SUM($D79:X79)),  (MaxPtsPerSprint21-SUM(Y$7:Y78)))</f>
        <v>0</v>
      </c>
      <c r="Z79" s="287">
        <f t="array" ref="Z79">MIN((INDEX([2]SourceData!$B:$B, MATCH($D79,[2]SourceData!$A:$A, 0))-SUM($D79:Y79)),  (MaxPtsPerSprint22-SUM(Z$7:Z78)))</f>
        <v>0</v>
      </c>
      <c r="AA79" s="287">
        <f t="array" ref="AA79">MIN((INDEX([2]SourceData!$B:$B, MATCH($D79,[2]SourceData!$A:$A, 0))-SUM($D79:Z79)),  (MaxPtsPerSprint23-SUM(AA$7:AA78)))</f>
        <v>0</v>
      </c>
      <c r="AB79" s="287">
        <f t="array" ref="AB79">MIN((INDEX([2]SourceData!$B:$B, MATCH($D79,[2]SourceData!$A:$A, 0))-SUM($D79:AA79)),  (MaxPtsPerSprint24-SUM(AB$7:AB78)))</f>
        <v>0</v>
      </c>
      <c r="AC79" s="287">
        <f t="array" ref="AC79">MIN((INDEX([2]SourceData!$B:$B, MATCH($D79,[2]SourceData!$A:$A, 0))-SUM($D79:AB79)),  (MaxPtsPerSprint24-SUM(AC$7:AC78)))</f>
        <v>0</v>
      </c>
      <c r="AD79" s="287">
        <f t="array" ref="AD79">MIN((INDEX([2]SourceData!$B:$B, MATCH($D79,[2]SourceData!$A:$A, 0))-SUM($D79:AC79)),  (MaxPtsPerSprint24-SUM(AD$7:AD78)))</f>
        <v>0</v>
      </c>
      <c r="AE79" s="288">
        <f t="shared" si="6"/>
        <v>23.729999999999997</v>
      </c>
      <c r="AF79" s="289">
        <f>AE79/$AE$131</f>
        <v>1.1691526968603345E-3</v>
      </c>
    </row>
    <row r="80" spans="2:32" ht="18.75" customHeight="1" x14ac:dyDescent="0.45">
      <c r="B80" s="284" t="str">
        <f>VLOOKUP(D80,'[2]Work Item Vlookup'!$A$2:$B$119,2,FALSE)</f>
        <v>WI0043</v>
      </c>
      <c r="C80" s="284"/>
      <c r="D80" s="285" t="str">
        <f>[2]SourceData!A74</f>
        <v>OR Property (Orig Scope)</v>
      </c>
      <c r="E80" s="286">
        <f t="array" ref="E80">MIN((INDEX([2]SourceData!$B:$B, MATCH($D80,[2]SourceData!$A:$A, 0))-SUM($D80:D80)),  (MaxPtsPerSprint1-SUM(E$7:E79)))</f>
        <v>0</v>
      </c>
      <c r="F80" s="286">
        <f t="array" ref="F80">MIN((INDEX([2]SourceData!$B:$B, MATCH($D80,[2]SourceData!$A:$A, 0))-SUM($D80:E80)),  (MaxPtsPerSprint2-SUM(F$7:F79)))</f>
        <v>0</v>
      </c>
      <c r="G80" s="286">
        <f t="array" ref="G80">MIN((INDEX([2]SourceData!$B:$B, MATCH($D80,[2]SourceData!$A:$A, 0))-SUM($D80:F80)),  (MaxPtsPerSprint3-SUM(G$7:G79)))</f>
        <v>0</v>
      </c>
      <c r="H80" s="286">
        <f t="array" ref="H80">MIN((INDEX([2]SourceData!$B:$B, MATCH($D80,[2]SourceData!$A:$A, 0))-SUM($D80:G80)),  (MaxPtsPerSprint4-SUM(H$7:H79)))</f>
        <v>0</v>
      </c>
      <c r="I80" s="286">
        <f t="array" ref="I80">MIN((INDEX([2]SourceData!$B:$B, MATCH($D80,[2]SourceData!$A:$A, 0))-SUM($D80:H80)),  (MaxPtsPerSprint5-SUM(I$7:I79)))</f>
        <v>0</v>
      </c>
      <c r="J80" s="286">
        <f t="array" ref="J80">MIN((INDEX([2]SourceData!$B:$B, MATCH($D80,[2]SourceData!$A:$A, 0))-SUM($D80:I80)),  (MaxPtsPerSprint6-SUM(J$7:J79)))</f>
        <v>0</v>
      </c>
      <c r="K80" s="286">
        <f t="array" ref="K80">MIN((INDEX([2]SourceData!$B:$B, MATCH($D80,[2]SourceData!$A:$A, 0))-SUM($D80:J80)),  (MaxPtsPerSprint7-SUM(K$7:K79)))</f>
        <v>0</v>
      </c>
      <c r="L80" s="286">
        <f t="array" ref="L80">MIN((INDEX([2]SourceData!$B:$B, MATCH($D80,[2]SourceData!$A:$A, 0))-SUM($D80:K80)),  (MaxPtsPerSprint8-SUM(L$7:L79)))</f>
        <v>0</v>
      </c>
      <c r="M80" s="286">
        <f t="array" ref="M80">MIN((INDEX([2]SourceData!$B:$B, MATCH($D80,[2]SourceData!$A:$A, 0))-SUM($D80:L80)),  (MaxPtsPerSprint9-SUM(M$7:M79)))</f>
        <v>0</v>
      </c>
      <c r="N80" s="286">
        <f t="array" ref="N80">MIN((INDEX([2]SourceData!$B:$B, MATCH($D80,[2]SourceData!$A:$A, 0))-SUM($D80:M80)),  (MaxPtsPerSprint10-SUM(N$7:N79)))</f>
        <v>0</v>
      </c>
      <c r="O80" s="286">
        <f t="array" ref="O80">MIN((INDEX([2]SourceData!$B:$B, MATCH($D80,[2]SourceData!$A:$A, 0))-SUM($D80:N80)),  (MaxPtsPerSprint11-SUM(O$7:O77)))</f>
        <v>0</v>
      </c>
      <c r="P80" s="286">
        <f t="array" ref="P80">MIN((INDEX([2]SourceData!$B:$B, MATCH($D80,[2]SourceData!$A:$A, 0))-SUM($D80:O80)),  (MaxPtsPerSprint12-SUM(P$7:P77)))</f>
        <v>0</v>
      </c>
      <c r="Q80" s="286">
        <f t="array" ref="Q80">MIN((INDEX([2]SourceData!$B:$B, MATCH($D80,[2]SourceData!$A:$A, 0))-SUM($D80:P80)),  (MaxPtsPerSprint13-SUM(Q$7:Q79)))</f>
        <v>0</v>
      </c>
      <c r="R80" s="286">
        <f t="array" ref="R80">MIN((INDEX([2]SourceData!$B:$B, MATCH($D80,[2]SourceData!$A:$A, 0))-SUM($D80:Q80)),  (MaxPtsPerSprint14-SUM(R$7:R79)))</f>
        <v>0</v>
      </c>
      <c r="S80" s="286">
        <f t="array" ref="S80">MIN((INDEX([2]SourceData!$B:$B, MATCH($D80,[2]SourceData!$A:$A, 0))-SUM($D80:R80)),  (MaxPtsPerSprint15-SUM(S$7:S79)))</f>
        <v>0</v>
      </c>
      <c r="T80" s="286">
        <f t="array" ref="T80">MIN((INDEX([2]SourceData!$B:$B, MATCH($D80,[2]SourceData!$A:$A, 0))-SUM($D80:S80)),  (MaxPtsPerSprint16-SUM(T$7:T79)))</f>
        <v>0</v>
      </c>
      <c r="U80" s="286">
        <f t="array" ref="U80">MIN((INDEX([2]SourceData!$B:$B, MATCH($D80,[2]SourceData!$A:$A, 0))-SUM($D80:T80)),  (MaxPtsPerSprint17-SUM(U$7:U79)))</f>
        <v>0</v>
      </c>
      <c r="V80" s="286">
        <f t="array" ref="V80">MIN((INDEX([2]SourceData!$B:$B, MATCH($D80,[2]SourceData!$A:$A, 0))-SUM($D80:U80)),  (MaxPtsPerSprint18-SUM(V$7:V79)))</f>
        <v>0</v>
      </c>
      <c r="W80" s="286">
        <f t="array" ref="W80">MIN((INDEX([2]SourceData!$B:$B, MATCH($D80,[2]SourceData!$A:$A, 0))-SUM($D80:V80)),  (MaxPtsPerSprint19-SUM(W$7:W79)))</f>
        <v>16.95</v>
      </c>
      <c r="X80" s="286">
        <f t="array" ref="X80">MIN((INDEX([2]SourceData!$B:$B, MATCH($D80,[2]SourceData!$A:$A, 0))-SUM($D80:W80)),  (MaxPtsPerSprint20-SUM(X$7:X79)))</f>
        <v>0</v>
      </c>
      <c r="Y80" s="287">
        <f t="array" ref="Y80">MIN((INDEX([2]SourceData!$B:$B, MATCH($D80,[2]SourceData!$A:$A, 0))-SUM($D80:X80)),  (MaxPtsPerSprint21-SUM(Y$7:Y79)))</f>
        <v>0</v>
      </c>
      <c r="Z80" s="287">
        <f t="array" ref="Z80">MIN((INDEX([2]SourceData!$B:$B, MATCH($D80,[2]SourceData!$A:$A, 0))-SUM($D80:Y80)),  (MaxPtsPerSprint22-SUM(Z$7:Z79)))</f>
        <v>0</v>
      </c>
      <c r="AA80" s="287">
        <f t="array" ref="AA80">MIN((INDEX([2]SourceData!$B:$B, MATCH($D80,[2]SourceData!$A:$A, 0))-SUM($D80:Z80)),  (MaxPtsPerSprint23-SUM(AA$7:AA79)))</f>
        <v>0</v>
      </c>
      <c r="AB80" s="287">
        <f t="array" ref="AB80">MIN((INDEX([2]SourceData!$B:$B, MATCH($D80,[2]SourceData!$A:$A, 0))-SUM($D80:AA80)),  (MaxPtsPerSprint24-SUM(AB$7:AB79)))</f>
        <v>0</v>
      </c>
      <c r="AC80" s="287">
        <f t="array" ref="AC80">MIN((INDEX([2]SourceData!$B:$B, MATCH($D80,[2]SourceData!$A:$A, 0))-SUM($D80:AB80)),  (MaxPtsPerSprint24-SUM(AC$7:AC79)))</f>
        <v>0</v>
      </c>
      <c r="AD80" s="287">
        <f t="array" ref="AD80">MIN((INDEX([2]SourceData!$B:$B, MATCH($D80,[2]SourceData!$A:$A, 0))-SUM($D80:AC80)),  (MaxPtsPerSprint24-SUM(AD$7:AD79)))</f>
        <v>0</v>
      </c>
      <c r="AE80" s="288">
        <f t="shared" si="6"/>
        <v>16.95</v>
      </c>
      <c r="AF80" s="289">
        <f>AE80/$AE$131</f>
        <v>8.3510906918595341E-4</v>
      </c>
    </row>
    <row r="81" spans="2:32" ht="18.5" x14ac:dyDescent="0.45">
      <c r="B81" s="284" t="str">
        <f>VLOOKUP(D81,'[2]Work Item Vlookup'!$A$2:$B$119,2,FALSE)</f>
        <v>WI0049</v>
      </c>
      <c r="C81" s="284"/>
      <c r="D81" s="285" t="str">
        <f>[2]SourceData!A75</f>
        <v>DC Property (Orig Scope)</v>
      </c>
      <c r="E81" s="286">
        <f t="array" ref="E81">MIN((INDEX([2]SourceData!$B:$B, MATCH($D81,[2]SourceData!$A:$A, 0))-SUM($D81:D81)),  (MaxPtsPerSprint1-SUM(E$7:E80)))</f>
        <v>0</v>
      </c>
      <c r="F81" s="286">
        <f t="array" ref="F81">MIN((INDEX([2]SourceData!$B:$B, MATCH($D81,[2]SourceData!$A:$A, 0))-SUM($D81:E81)),  (MaxPtsPerSprint2-SUM(F$7:F80)))</f>
        <v>0</v>
      </c>
      <c r="G81" s="286">
        <f t="array" ref="G81">MIN((INDEX([2]SourceData!$B:$B, MATCH($D81,[2]SourceData!$A:$A, 0))-SUM($D81:F81)),  (MaxPtsPerSprint3-SUM(G$7:G80)))</f>
        <v>0</v>
      </c>
      <c r="H81" s="286">
        <f t="array" ref="H81">MIN((INDEX([2]SourceData!$B:$B, MATCH($D81,[2]SourceData!$A:$A, 0))-SUM($D81:G81)),  (MaxPtsPerSprint4-SUM(H$7:H80)))</f>
        <v>0</v>
      </c>
      <c r="I81" s="286">
        <f t="array" ref="I81">MIN((INDEX([2]SourceData!$B:$B, MATCH($D81,[2]SourceData!$A:$A, 0))-SUM($D81:H81)),  (MaxPtsPerSprint5-SUM(I$7:I80)))</f>
        <v>0</v>
      </c>
      <c r="J81" s="286">
        <f t="array" ref="J81">MIN((INDEX([2]SourceData!$B:$B, MATCH($D81,[2]SourceData!$A:$A, 0))-SUM($D81:I81)),  (MaxPtsPerSprint6-SUM(J$7:J80)))</f>
        <v>0</v>
      </c>
      <c r="K81" s="286">
        <f t="array" ref="K81">MIN((INDEX([2]SourceData!$B:$B, MATCH($D81,[2]SourceData!$A:$A, 0))-SUM($D81:J81)),  (MaxPtsPerSprint7-SUM(K$7:K80)))</f>
        <v>0</v>
      </c>
      <c r="L81" s="286">
        <f t="array" ref="L81">MIN((INDEX([2]SourceData!$B:$B, MATCH($D81,[2]SourceData!$A:$A, 0))-SUM($D81:K81)),  (MaxPtsPerSprint8-SUM(L$7:L80)))</f>
        <v>0</v>
      </c>
      <c r="M81" s="286">
        <f t="array" ref="M81">MIN((INDEX([2]SourceData!$B:$B, MATCH($D81,[2]SourceData!$A:$A, 0))-SUM($D81:L81)),  (MaxPtsPerSprint9-SUM(M$7:M80)))</f>
        <v>0</v>
      </c>
      <c r="N81" s="286">
        <f t="array" ref="N81">MIN((INDEX([2]SourceData!$B:$B, MATCH($D81,[2]SourceData!$A:$A, 0))-SUM($D81:M81)),  (MaxPtsPerSprint10-SUM(N$7:N80)))</f>
        <v>0</v>
      </c>
      <c r="O81" s="286">
        <f t="array" ref="O81">MIN((INDEX([2]SourceData!$B:$B, MATCH($D81,[2]SourceData!$A:$A, 0))-SUM($D81:N81)),  (MaxPtsPerSprint11-SUM(O$7:O80)))</f>
        <v>0</v>
      </c>
      <c r="P81" s="286">
        <f t="array" ref="P81">MIN((INDEX([2]SourceData!$B:$B, MATCH($D81,[2]SourceData!$A:$A, 0))-SUM($D81:O81)),  (MaxPtsPerSprint12-SUM(P$7:P80)))</f>
        <v>0</v>
      </c>
      <c r="Q81" s="286">
        <f t="array" ref="Q81">MIN((INDEX([2]SourceData!$B:$B, MATCH($D81,[2]SourceData!$A:$A, 0))-SUM($D81:P81)),  (MaxPtsPerSprint13-SUM(Q$7:Q80)))</f>
        <v>0</v>
      </c>
      <c r="R81" s="286">
        <f t="array" ref="R81">MIN((INDEX([2]SourceData!$B:$B, MATCH($D81,[2]SourceData!$A:$A, 0))-SUM($D81:Q81)),  (MaxPtsPerSprint14-SUM(R$7:R80)))</f>
        <v>0</v>
      </c>
      <c r="S81" s="286">
        <f t="array" ref="S81">MIN((INDEX([2]SourceData!$B:$B, MATCH($D81,[2]SourceData!$A:$A, 0))-SUM($D81:R81)),  (MaxPtsPerSprint15-SUM(S$7:S80)))</f>
        <v>0</v>
      </c>
      <c r="T81" s="286">
        <f t="array" ref="T81">MIN((INDEX([2]SourceData!$B:$B, MATCH($D81,[2]SourceData!$A:$A, 0))-SUM($D81:S81)),  (MaxPtsPerSprint16-SUM(T$7:T80)))</f>
        <v>0</v>
      </c>
      <c r="U81" s="286">
        <f t="array" ref="U81">MIN((INDEX([2]SourceData!$B:$B, MATCH($D81,[2]SourceData!$A:$A, 0))-SUM($D81:T81)),  (MaxPtsPerSprint17-SUM(U$7:U80)))</f>
        <v>0</v>
      </c>
      <c r="V81" s="286">
        <f t="array" ref="V81">MIN((INDEX([2]SourceData!$B:$B, MATCH($D81,[2]SourceData!$A:$A, 0))-SUM($D81:U81)),  (MaxPtsPerSprint18-SUM(V$7:V80)))</f>
        <v>0</v>
      </c>
      <c r="W81" s="286">
        <f t="array" ref="W81">MIN((INDEX([2]SourceData!$B:$B, MATCH($D81,[2]SourceData!$A:$A, 0))-SUM($D81:V81)),  (MaxPtsPerSprint19-SUM(W$7:W80)))</f>
        <v>108.47999999999999</v>
      </c>
      <c r="X81" s="286">
        <f t="array" ref="X81">MIN((INDEX([2]SourceData!$B:$B, MATCH($D81,[2]SourceData!$A:$A, 0))-SUM($D81:W81)),  (MaxPtsPerSprint20-SUM(X$7:X80)))</f>
        <v>0</v>
      </c>
      <c r="Y81" s="287">
        <f t="array" ref="Y81">MIN((INDEX([2]SourceData!$B:$B, MATCH($D81,[2]SourceData!$A:$A, 0))-SUM($D81:X81)),  (MaxPtsPerSprint21-SUM(Y$7:Y80)))</f>
        <v>0</v>
      </c>
      <c r="Z81" s="287">
        <f t="array" ref="Z81">MIN((INDEX([2]SourceData!$B:$B, MATCH($D81,[2]SourceData!$A:$A, 0))-SUM($D81:Y81)),  (MaxPtsPerSprint22-SUM(Z$7:Z80)))</f>
        <v>0</v>
      </c>
      <c r="AA81" s="287">
        <f t="array" ref="AA81">MIN((INDEX([2]SourceData!$B:$B, MATCH($D81,[2]SourceData!$A:$A, 0))-SUM($D81:Z81)),  (MaxPtsPerSprint23-SUM(AA$7:AA80)))</f>
        <v>0</v>
      </c>
      <c r="AB81" s="287">
        <f t="array" ref="AB81">MIN((INDEX([2]SourceData!$B:$B, MATCH($D81,[2]SourceData!$A:$A, 0))-SUM($D81:AA81)),  (MaxPtsPerSprint24-SUM(AB$7:AB80)))</f>
        <v>0</v>
      </c>
      <c r="AC81" s="287">
        <f t="array" ref="AC81">MIN((INDEX([2]SourceData!$B:$B, MATCH($D81,[2]SourceData!$A:$A, 0))-SUM($D81:AB81)),  (MaxPtsPerSprint24-SUM(AC$7:AC80)))</f>
        <v>0</v>
      </c>
      <c r="AD81" s="287">
        <f t="array" ref="AD81">MIN((INDEX([2]SourceData!$B:$B, MATCH($D81,[2]SourceData!$A:$A, 0))-SUM($D81:AC81)),  (MaxPtsPerSprint24-SUM(AD$7:AD80)))</f>
        <v>0</v>
      </c>
      <c r="AE81" s="288">
        <f t="shared" si="6"/>
        <v>108.47999999999999</v>
      </c>
      <c r="AF81" s="289">
        <f>AE81/$AE$131</f>
        <v>5.3446980427901015E-3</v>
      </c>
    </row>
    <row r="82" spans="2:32" ht="18" customHeight="1" x14ac:dyDescent="0.45">
      <c r="B82" s="284" t="str">
        <f>VLOOKUP(D82,'[2]Work Item Vlookup'!$A$2:$B$119,2,FALSE)</f>
        <v>WI0162</v>
      </c>
      <c r="C82" s="284"/>
      <c r="D82" s="285" t="str">
        <f>[2]SourceData!A76</f>
        <v>CA HDES Conversion, Phase 2 (Orig Scope)</v>
      </c>
      <c r="E82" s="286">
        <f t="array" ref="E82">MIN((INDEX([2]SourceData!$B:$B, MATCH($D82,[2]SourceData!$A:$A, 0))-SUM($D82:D82)),  (MaxPtsPerSprint1-SUM(E$7:E81)))</f>
        <v>0</v>
      </c>
      <c r="F82" s="286">
        <f t="array" ref="F82">MIN((INDEX([2]SourceData!$B:$B, MATCH($D82,[2]SourceData!$A:$A, 0))-SUM($D82:E82)),  (MaxPtsPerSprint2-SUM(F$7:F81)))</f>
        <v>0</v>
      </c>
      <c r="G82" s="286">
        <f t="array" ref="G82">MIN((INDEX([2]SourceData!$B:$B, MATCH($D82,[2]SourceData!$A:$A, 0))-SUM($D82:F82)),  (MaxPtsPerSprint3-SUM(G$7:G81)))</f>
        <v>0</v>
      </c>
      <c r="H82" s="286">
        <f t="array" ref="H82">MIN((INDEX([2]SourceData!$B:$B, MATCH($D82,[2]SourceData!$A:$A, 0))-SUM($D82:G82)),  (MaxPtsPerSprint4-SUM(H$7:H81)))</f>
        <v>0</v>
      </c>
      <c r="I82" s="286">
        <f t="array" ref="I82">MIN((INDEX([2]SourceData!$B:$B, MATCH($D82,[2]SourceData!$A:$A, 0))-SUM($D82:H82)),  (MaxPtsPerSprint5-SUM(I$7:I81)))</f>
        <v>0</v>
      </c>
      <c r="J82" s="286">
        <f t="array" ref="J82">MIN((INDEX([2]SourceData!$B:$B, MATCH($D82,[2]SourceData!$A:$A, 0))-SUM($D82:I82)),  (MaxPtsPerSprint6-SUM(J$7:J81)))</f>
        <v>0</v>
      </c>
      <c r="K82" s="286">
        <f t="array" ref="K82">MIN((INDEX([2]SourceData!$B:$B, MATCH($D82,[2]SourceData!$A:$A, 0))-SUM($D82:J82)),  (MaxPtsPerSprint7-SUM(K$7:K81)))</f>
        <v>0</v>
      </c>
      <c r="L82" s="286">
        <f t="array" ref="L82">MIN((INDEX([2]SourceData!$B:$B, MATCH($D82,[2]SourceData!$A:$A, 0))-SUM($D82:K82)),  (MaxPtsPerSprint8-SUM(L$7:L81)))</f>
        <v>0</v>
      </c>
      <c r="M82" s="286">
        <f t="array" ref="M82">MIN((INDEX([2]SourceData!$B:$B, MATCH($D82,[2]SourceData!$A:$A, 0))-SUM($D82:L82)),  (MaxPtsPerSprint9-SUM(M$7:M81)))</f>
        <v>0</v>
      </c>
      <c r="N82" s="286">
        <f t="array" ref="N82">MIN((INDEX([2]SourceData!$B:$B, MATCH($D82,[2]SourceData!$A:$A, 0))-SUM($D82:M82)),  (MaxPtsPerSprint10-SUM(N$7:N81)))</f>
        <v>0</v>
      </c>
      <c r="O82" s="286">
        <f t="array" ref="O82">MIN((INDEX([2]SourceData!$B:$B, MATCH($D82,[2]SourceData!$A:$A, 0))-SUM($D82:N82)),  (MaxPtsPerSprint11-SUM(O$7:O81)))</f>
        <v>0</v>
      </c>
      <c r="P82" s="286">
        <f t="array" ref="P82">MIN((INDEX([2]SourceData!$B:$B, MATCH($D82,[2]SourceData!$A:$A, 0))-SUM($D82:O82)),  (MaxPtsPerSprint12-SUM(P$7:P81)))</f>
        <v>0</v>
      </c>
      <c r="Q82" s="286">
        <f t="array" ref="Q82">MIN((INDEX([2]SourceData!$B:$B, MATCH($D82,[2]SourceData!$A:$A, 0))-SUM($D82:P82)),  (MaxPtsPerSprint13-SUM(Q$7:Q81)))</f>
        <v>0</v>
      </c>
      <c r="R82" s="286">
        <f t="array" ref="R82">MIN((INDEX([2]SourceData!$B:$B, MATCH($D82,[2]SourceData!$A:$A, 0))-SUM($D82:Q82)),  (MaxPtsPerSprint14-SUM(R$7:R81)))</f>
        <v>0</v>
      </c>
      <c r="S82" s="286">
        <f t="array" ref="S82">MIN((INDEX([2]SourceData!$B:$B, MATCH($D82,[2]SourceData!$A:$A, 0))-SUM($D82:R82)),  (MaxPtsPerSprint15-SUM(S$7:S81)))</f>
        <v>0</v>
      </c>
      <c r="T82" s="286">
        <f t="array" ref="T82">MIN((INDEX([2]SourceData!$B:$B, MATCH($D82,[2]SourceData!$A:$A, 0))-SUM($D82:S82)),  (MaxPtsPerSprint16-SUM(T$7:T81)))</f>
        <v>0</v>
      </c>
      <c r="U82" s="286">
        <f t="array" ref="U82">MIN((INDEX([2]SourceData!$B:$B, MATCH($D82,[2]SourceData!$A:$A, 0))-SUM($D82:T82)),  (MaxPtsPerSprint17-SUM(U$7:U81)))</f>
        <v>0</v>
      </c>
      <c r="V82" s="286">
        <f t="array" ref="V82">MIN((INDEX([2]SourceData!$B:$B, MATCH($D82,[2]SourceData!$A:$A, 0))-SUM($D82:U82)),  (MaxPtsPerSprint18-SUM(V$7:V81)))</f>
        <v>0</v>
      </c>
      <c r="W82" s="286">
        <f t="array" ref="W82">MIN((INDEX([2]SourceData!$B:$B, MATCH($D82,[2]SourceData!$A:$A, 0))-SUM($D82:V82)),  (MaxPtsPerSprint19-SUM(W$7:W81)))</f>
        <v>200</v>
      </c>
      <c r="X82" s="286">
        <f t="array" ref="X82">MIN((INDEX([2]SourceData!$B:$B, MATCH($D82,[2]SourceData!$A:$A, 0))-SUM($D82:W82)),  (MaxPtsPerSprint20-SUM(X$7:X81)))</f>
        <v>0</v>
      </c>
      <c r="Y82" s="287">
        <f t="array" ref="Y82">MIN((INDEX([2]SourceData!$B:$B, MATCH($D82,[2]SourceData!$A:$A, 0))-SUM($D82:X82)),  (MaxPtsPerSprint21-SUM(Y$7:Y81)))</f>
        <v>0</v>
      </c>
      <c r="Z82" s="287">
        <f t="array" ref="Z82">MIN((INDEX([2]SourceData!$B:$B, MATCH($D82,[2]SourceData!$A:$A, 0))-SUM($D82:Y82)),  (MaxPtsPerSprint22-SUM(Z$7:Z81)))</f>
        <v>0</v>
      </c>
      <c r="AA82" s="287">
        <f t="array" ref="AA82">MIN((INDEX([2]SourceData!$B:$B, MATCH($D82,[2]SourceData!$A:$A, 0))-SUM($D82:Z82)),  (MaxPtsPerSprint23-SUM(AA$7:AA81)))</f>
        <v>0</v>
      </c>
      <c r="AB82" s="287">
        <f t="array" ref="AB82">MIN((INDEX([2]SourceData!$B:$B, MATCH($D82,[2]SourceData!$A:$A, 0))-SUM($D82:AA82)),  (MaxPtsPerSprint24-SUM(AB$7:AB81)))</f>
        <v>0</v>
      </c>
      <c r="AC82" s="287">
        <f t="array" ref="AC82">MIN((INDEX([2]SourceData!$B:$B, MATCH($D82,[2]SourceData!$A:$A, 0))-SUM($D82:AB82)),  (MaxPtsPerSprint24-SUM(AC$7:AC81)))</f>
        <v>0</v>
      </c>
      <c r="AD82" s="287">
        <f t="array" ref="AD82">MIN((INDEX([2]SourceData!$B:$B, MATCH($D82,[2]SourceData!$A:$A, 0))-SUM($D82:AC82)),  (MaxPtsPerSprint24-SUM(AD$7:AD81)))</f>
        <v>0</v>
      </c>
      <c r="AE82" s="288">
        <f t="shared" si="6"/>
        <v>200</v>
      </c>
      <c r="AF82" s="289">
        <f>AE82/$AE$131</f>
        <v>9.8537943266779164E-3</v>
      </c>
    </row>
    <row r="83" spans="2:32" ht="18" customHeight="1" x14ac:dyDescent="0.45">
      <c r="B83" s="284" t="str">
        <f>VLOOKUP(D83,'[2]Work Item Vlookup'!$A$2:$B$119,2,FALSE)</f>
        <v>WI0320</v>
      </c>
      <c r="C83" s="284"/>
      <c r="D83" s="285" t="str">
        <f>[2]SourceData!A77</f>
        <v>CA Property Rate Change (Prod Enh)</v>
      </c>
      <c r="E83" s="286"/>
      <c r="F83" s="286"/>
      <c r="G83" s="286"/>
      <c r="H83" s="286"/>
      <c r="I83" s="286"/>
      <c r="J83" s="286"/>
      <c r="K83" s="286"/>
      <c r="L83" s="286"/>
      <c r="M83" s="286"/>
      <c r="N83" s="286"/>
      <c r="O83" s="286">
        <f t="array" ref="O83">MIN((INDEX([2]SourceData!$B:$B, MATCH($D83,[2]SourceData!$A:$A, 0))-SUM($D83:N83)),  (MaxPtsPerSprint11-SUM(O$7:O82)))</f>
        <v>0</v>
      </c>
      <c r="P83" s="286">
        <f t="array" ref="P83">MIN((INDEX([2]SourceData!$B:$B, MATCH($D83,[2]SourceData!$A:$A, 0))-SUM($D83:O83)),  (MaxPtsPerSprint12-SUM(P$7:P82)))</f>
        <v>0</v>
      </c>
      <c r="Q83" s="286">
        <f t="array" ref="Q83">MIN((INDEX([2]SourceData!$B:$B, MATCH($D83,[2]SourceData!$A:$A, 0))-SUM($D83:P83)),  (MaxPtsPerSprint13-SUM(Q$7:Q82)))</f>
        <v>0</v>
      </c>
      <c r="R83" s="286">
        <f t="array" ref="R83">MIN((INDEX([2]SourceData!$B:$B, MATCH($D83,[2]SourceData!$A:$A, 0))-SUM($D83:Q83)),  (MaxPtsPerSprint14-SUM(R$7:R82)))</f>
        <v>0</v>
      </c>
      <c r="S83" s="286">
        <f t="array" ref="S83">MIN((INDEX([2]SourceData!$B:$B, MATCH($D83,[2]SourceData!$A:$A, 0))-SUM($D83:R83)),  (MaxPtsPerSprint15-SUM(S$7:S82)))</f>
        <v>0</v>
      </c>
      <c r="T83" s="286">
        <f t="array" ref="T83">MIN((INDEX([2]SourceData!$B:$B, MATCH($D83,[2]SourceData!$A:$A, 0))-SUM($D83:S83)),  (MaxPtsPerSprint16-SUM(T$7:T82)))</f>
        <v>0</v>
      </c>
      <c r="U83" s="286">
        <f t="array" ref="U83">MIN((INDEX([2]SourceData!$B:$B, MATCH($D83,[2]SourceData!$A:$A, 0))-SUM($D83:T83)),  (MaxPtsPerSprint17-SUM(U$7:U82)))</f>
        <v>0</v>
      </c>
      <c r="V83" s="286">
        <f t="array" ref="V83">MIN((INDEX([2]SourceData!$B:$B, MATCH($D83,[2]SourceData!$A:$A, 0))-SUM($D83:U83)),  (MaxPtsPerSprint18-SUM(V$7:V82)))</f>
        <v>0</v>
      </c>
      <c r="W83" s="286">
        <f t="array" ref="W83">MIN((INDEX([2]SourceData!$B:$B, MATCH($D83,[2]SourceData!$A:$A, 0))-SUM($D83:V83)),  (MaxPtsPerSprint19-SUM(W$7:W82)))</f>
        <v>130</v>
      </c>
      <c r="X83" s="286">
        <f t="array" ref="X83">MIN((INDEX([2]SourceData!$B:$B, MATCH($D83,[2]SourceData!$A:$A, 0))-SUM($D83:W83)),  (MaxPtsPerSprint20-SUM(X$7:X82)))</f>
        <v>0</v>
      </c>
      <c r="Y83" s="287">
        <f t="array" ref="Y83">MIN((INDEX([2]SourceData!$B:$B, MATCH($D83,[2]SourceData!$A:$A, 0))-SUM($D83:X83)),  (MaxPtsPerSprint21-SUM(Y$7:Y82)))</f>
        <v>0</v>
      </c>
      <c r="Z83" s="287">
        <f t="array" ref="Z83">MIN((INDEX([2]SourceData!$B:$B, MATCH($D83,[2]SourceData!$A:$A, 0))-SUM($D83:Y83)),  (MaxPtsPerSprint22-SUM(Z$7:Z82)))</f>
        <v>0</v>
      </c>
      <c r="AA83" s="287">
        <f t="array" ref="AA83">MIN((INDEX([2]SourceData!$B:$B, MATCH($D83,[2]SourceData!$A:$A, 0))-SUM($D83:Z83)),  (MaxPtsPerSprint23-SUM(AA$7:AA82)))</f>
        <v>0</v>
      </c>
      <c r="AB83" s="287">
        <f t="array" ref="AB83">MIN((INDEX([2]SourceData!$B:$B, MATCH($D83,[2]SourceData!$A:$A, 0))-SUM($D83:AA83)),  (MaxPtsPerSprint24-SUM(AB$7:AB82)))</f>
        <v>0</v>
      </c>
      <c r="AC83" s="287">
        <f t="array" ref="AC83">MIN((INDEX([2]SourceData!$B:$B, MATCH($D83,[2]SourceData!$A:$A, 0))-SUM($D83:AB83)),  (MaxPtsPerSprint24-SUM(AC$7:AC82)))</f>
        <v>0</v>
      </c>
      <c r="AD83" s="287">
        <f t="array" ref="AD83">MIN((INDEX([2]SourceData!$B:$B, MATCH($D83,[2]SourceData!$A:$A, 0))-SUM($D83:AC83)),  (MaxPtsPerSprint24-SUM(AD$7:AD82)))</f>
        <v>0</v>
      </c>
      <c r="AE83" s="288">
        <f t="shared" si="6"/>
        <v>130</v>
      </c>
      <c r="AF83" s="289"/>
    </row>
    <row r="84" spans="2:32" ht="18" customHeight="1" x14ac:dyDescent="0.45">
      <c r="B84" s="284" t="str">
        <f>VLOOKUP(D84,'[2]Work Item Vlookup'!$A$2:$B$119,2,FALSE)</f>
        <v>WI0318</v>
      </c>
      <c r="C84" s="284"/>
      <c r="D84" s="285" t="str">
        <f>[2]SourceData!A78</f>
        <v>Technical Design: Manual Change to Renewal Image (Orig Scope)</v>
      </c>
      <c r="E84" s="286"/>
      <c r="F84" s="286"/>
      <c r="G84" s="286"/>
      <c r="H84" s="286"/>
      <c r="I84" s="286"/>
      <c r="J84" s="286"/>
      <c r="K84" s="286"/>
      <c r="L84" s="286"/>
      <c r="M84" s="286"/>
      <c r="N84" s="286"/>
      <c r="O84" s="286">
        <f t="array" ref="O84">MIN((INDEX([2]SourceData!$B:$B, MATCH($D84,[2]SourceData!$A:$A, 0))-SUM($D84:N84)),  (MaxPtsPerSprint11-SUM(O$7:O83)))</f>
        <v>0</v>
      </c>
      <c r="P84" s="286">
        <f t="array" ref="P84">MIN((INDEX([2]SourceData!$B:$B, MATCH($D84,[2]SourceData!$A:$A, 0))-SUM($D84:O84)),  (MaxPtsPerSprint12-SUM(P$7:P83)))</f>
        <v>0</v>
      </c>
      <c r="Q84" s="286">
        <f t="array" ref="Q84">MIN((INDEX([2]SourceData!$B:$B, MATCH($D84,[2]SourceData!$A:$A, 0))-SUM($D84:P84)),  (MaxPtsPerSprint13-SUM(Q$7:Q83)))</f>
        <v>0</v>
      </c>
      <c r="R84" s="286">
        <f t="array" ref="R84">MIN((INDEX([2]SourceData!$B:$B, MATCH($D84,[2]SourceData!$A:$A, 0))-SUM($D84:Q84)),  (MaxPtsPerSprint14-SUM(R$7:R83)))</f>
        <v>0</v>
      </c>
      <c r="S84" s="286">
        <f t="array" ref="S84">MIN((INDEX([2]SourceData!$B:$B, MATCH($D84,[2]SourceData!$A:$A, 0))-SUM($D84:R84)),  (MaxPtsPerSprint15-SUM(S$7:S83)))</f>
        <v>0</v>
      </c>
      <c r="T84" s="286">
        <f t="array" ref="T84">MIN((INDEX([2]SourceData!$B:$B, MATCH($D84,[2]SourceData!$A:$A, 0))-SUM($D84:S84)),  (MaxPtsPerSprint16-SUM(T$7:T83)))</f>
        <v>0</v>
      </c>
      <c r="U84" s="286">
        <f t="array" ref="U84">MIN((INDEX([2]SourceData!$B:$B, MATCH($D84,[2]SourceData!$A:$A, 0))-SUM($D84:T84)),  (MaxPtsPerSprint17-SUM(U$7:U83)))</f>
        <v>0</v>
      </c>
      <c r="V84" s="286">
        <f t="array" ref="V84">MIN((INDEX([2]SourceData!$B:$B, MATCH($D84,[2]SourceData!$A:$A, 0))-SUM($D84:U84)),  (MaxPtsPerSprint18-SUM(V$7:V83)))</f>
        <v>0</v>
      </c>
      <c r="W84" s="286">
        <f t="array" ref="W84">MIN((INDEX([2]SourceData!$B:$B, MATCH($D84,[2]SourceData!$A:$A, 0))-SUM($D84:V84)),  (MaxPtsPerSprint19-SUM(W$7:W83)))</f>
        <v>84.749999999999986</v>
      </c>
      <c r="X84" s="286">
        <f t="array" ref="X84">MIN((INDEX([2]SourceData!$B:$B, MATCH($D84,[2]SourceData!$A:$A, 0))-SUM($D84:W84)),  (MaxPtsPerSprint20-SUM(X$7:X83)))</f>
        <v>0</v>
      </c>
      <c r="Y84" s="287">
        <f t="array" ref="Y84">MIN((INDEX([2]SourceData!$B:$B, MATCH($D84,[2]SourceData!$A:$A, 0))-SUM($D84:X84)),  (MaxPtsPerSprint21-SUM(Y$7:Y83)))</f>
        <v>0</v>
      </c>
      <c r="Z84" s="287">
        <f t="array" ref="Z84">MIN((INDEX([2]SourceData!$B:$B, MATCH($D84,[2]SourceData!$A:$A, 0))-SUM($D84:Y84)),  (MaxPtsPerSprint22-SUM(Z$7:Z83)))</f>
        <v>0</v>
      </c>
      <c r="AA84" s="287">
        <f t="array" ref="AA84">MIN((INDEX([2]SourceData!$B:$B, MATCH($D84,[2]SourceData!$A:$A, 0))-SUM($D84:Z84)),  (MaxPtsPerSprint23-SUM(AA$7:AA83)))</f>
        <v>0</v>
      </c>
      <c r="AB84" s="287">
        <f t="array" ref="AB84">MIN((INDEX([2]SourceData!$B:$B, MATCH($D84,[2]SourceData!$A:$A, 0))-SUM($D84:AA84)),  (MaxPtsPerSprint24-SUM(AB$7:AB83)))</f>
        <v>0</v>
      </c>
      <c r="AC84" s="287">
        <f t="array" ref="AC84">MIN((INDEX([2]SourceData!$B:$B, MATCH($D84,[2]SourceData!$A:$A, 0))-SUM($D84:AB84)),  (MaxPtsPerSprint24-SUM(AC$7:AC83)))</f>
        <v>0</v>
      </c>
      <c r="AD84" s="287">
        <f t="array" ref="AD84">MIN((INDEX([2]SourceData!$B:$B, MATCH($D84,[2]SourceData!$A:$A, 0))-SUM($D84:AC84)),  (MaxPtsPerSprint24-SUM(AD$7:AD83)))</f>
        <v>0</v>
      </c>
      <c r="AE84" s="288">
        <f t="shared" si="6"/>
        <v>84.749999999999986</v>
      </c>
      <c r="AF84" s="289"/>
    </row>
    <row r="85" spans="2:32" ht="18" customHeight="1" x14ac:dyDescent="0.45">
      <c r="B85" s="297" t="str">
        <f>VLOOKUP(D85,'[2]Work Item Vlookup'!$A$2:$B$119,2,FALSE)</f>
        <v>WI0316</v>
      </c>
      <c r="C85" s="298"/>
      <c r="D85" s="297" t="str">
        <f>[2]SourceData!A79</f>
        <v>Property PAS Simplification Phase 2 (Prod Enh)</v>
      </c>
      <c r="E85" s="287"/>
      <c r="F85" s="287"/>
      <c r="G85" s="287"/>
      <c r="H85" s="287"/>
      <c r="I85" s="287"/>
      <c r="J85" s="287"/>
      <c r="K85" s="287"/>
      <c r="L85" s="287"/>
      <c r="M85" s="287"/>
      <c r="N85" s="287"/>
      <c r="O85" s="287">
        <f t="array" ref="O85">MIN((INDEX([2]SourceData!$B:$B, MATCH($D85,[2]SourceData!$A:$A, 0))-SUM($D85:N85)),  (MaxPtsPerSprint11-SUM(O$7:O84)))</f>
        <v>0</v>
      </c>
      <c r="P85" s="287">
        <f t="array" ref="P85">MIN((INDEX([2]SourceData!$B:$B, MATCH($D85,[2]SourceData!$A:$A, 0))-SUM($D85:O85)),  (MaxPtsPerSprint12-SUM(P$7:P84)))</f>
        <v>0</v>
      </c>
      <c r="Q85" s="287">
        <f t="array" ref="Q85">MIN((INDEX([2]SourceData!$B:$B, MATCH($D85,[2]SourceData!$A:$A, 0))-SUM($D85:P85)),  (MaxPtsPerSprint13-SUM(Q$7:Q84)))</f>
        <v>0</v>
      </c>
      <c r="R85" s="287">
        <f t="array" ref="R85">MIN((INDEX([2]SourceData!$B:$B, MATCH($D85,[2]SourceData!$A:$A, 0))-SUM($D85:Q85)),  (MaxPtsPerSprint14-SUM(R$7:R84)))</f>
        <v>0</v>
      </c>
      <c r="S85" s="287">
        <f t="array" ref="S85">MIN((INDEX([2]SourceData!$B:$B, MATCH($D85,[2]SourceData!$A:$A, 0))-SUM($D85:R85)),  (MaxPtsPerSprint15-SUM(S$7:S84)))</f>
        <v>0</v>
      </c>
      <c r="T85" s="287">
        <f t="array" ref="T85">MIN((INDEX([2]SourceData!$B:$B, MATCH($D85,[2]SourceData!$A:$A, 0))-SUM($D85:S85)),  (MaxPtsPerSprint16-SUM(T$7:T84)))</f>
        <v>0</v>
      </c>
      <c r="U85" s="287">
        <f t="array" ref="U85">MIN((INDEX([2]SourceData!$B:$B, MATCH($D85,[2]SourceData!$A:$A, 0))-SUM($D85:T85)),  (MaxPtsPerSprint17-SUM(U$7:U84)))</f>
        <v>0</v>
      </c>
      <c r="V85" s="287">
        <f t="array" ref="V85">MIN((INDEX([2]SourceData!$B:$B, MATCH($D85,[2]SourceData!$A:$A, 0))-SUM($D85:U85)),  (MaxPtsPerSprint18-SUM(V$7:V84)))</f>
        <v>0</v>
      </c>
      <c r="W85" s="287">
        <f t="array" ref="W85">MIN((INDEX([2]SourceData!$B:$B, MATCH($D85,[2]SourceData!$A:$A, 0))-SUM($D85:V85)),  (MaxPtsPerSprint19-SUM(W$7:W84)))</f>
        <v>1.9999999999754436E-2</v>
      </c>
      <c r="X85" s="287">
        <f t="array" ref="X85">MIN((INDEX([2]SourceData!$B:$B, MATCH($D85,[2]SourceData!$A:$A, 0))-SUM($D85:W85)),  (MaxPtsPerSprint20-SUM(X$7:X84)))</f>
        <v>0</v>
      </c>
      <c r="Y85" s="287">
        <f t="array" ref="Y85">MIN((INDEX([2]SourceData!$B:$B, MATCH($D85,[2]SourceData!$A:$A, 0))-SUM($D85:X85)),  (MaxPtsPerSprint21-SUM(Y$7:Y84)))</f>
        <v>39.980000000000246</v>
      </c>
      <c r="Z85" s="287">
        <f t="array" ref="Z85">MIN((INDEX([2]SourceData!$B:$B, MATCH($D85,[2]SourceData!$A:$A, 0))-SUM($D85:Y85)),  (MaxPtsPerSprint22-SUM(Z$7:Z84)))</f>
        <v>0</v>
      </c>
      <c r="AA85" s="287">
        <f t="array" ref="AA85">MIN((INDEX([2]SourceData!$B:$B, MATCH($D85,[2]SourceData!$A:$A, 0))-SUM($D85:Z85)),  (MaxPtsPerSprint23-SUM(AA$7:AA84)))</f>
        <v>0</v>
      </c>
      <c r="AB85" s="287">
        <f t="array" ref="AB85">MIN((INDEX([2]SourceData!$B:$B, MATCH($D85,[2]SourceData!$A:$A, 0))-SUM($D85:AA85)),  (MaxPtsPerSprint24-SUM(AB$7:AB84)))</f>
        <v>0</v>
      </c>
      <c r="AC85" s="287">
        <f t="array" ref="AC85">MIN((INDEX([2]SourceData!$B:$B, MATCH($D85,[2]SourceData!$A:$A, 0))-SUM($D85:AB85)),  (MaxPtsPerSprint24-SUM(AC$7:AC84)))</f>
        <v>0</v>
      </c>
      <c r="AD85" s="287">
        <f t="array" ref="AD85">MIN((INDEX([2]SourceData!$B:$B, MATCH($D85,[2]SourceData!$A:$A, 0))-SUM($D85:AC85)),  (MaxPtsPerSprint24-SUM(AD$7:AD84)))</f>
        <v>0</v>
      </c>
      <c r="AE85" s="299">
        <f t="shared" si="6"/>
        <v>40</v>
      </c>
      <c r="AF85" s="289"/>
    </row>
    <row r="86" spans="2:32" ht="18" customHeight="1" x14ac:dyDescent="0.45">
      <c r="B86" s="297" t="str">
        <f>VLOOKUP(D86,'[2]Work Item Vlookup'!$A$2:$B$119,2,FALSE)</f>
        <v>WI0208</v>
      </c>
      <c r="C86" s="298"/>
      <c r="D86" s="297" t="str">
        <f>[2]SourceData!A80</f>
        <v>CA Prop Conversion SIS (DP3) &amp; Foxpro (PUP) (Orig Scope)</v>
      </c>
      <c r="E86" s="287">
        <f t="array" ref="E86">MIN((INDEX([2]SourceData!$B:$B, MATCH($D86,[2]SourceData!$A:$A, 0))-SUM($D86:D86)),  (MaxPtsPerSprint1-SUM(E$7:E82)))</f>
        <v>0</v>
      </c>
      <c r="F86" s="287">
        <f t="array" ref="F86">MIN((INDEX([2]SourceData!$B:$B, MATCH($D86,[2]SourceData!$A:$A, 0))-SUM($D86:E86)),  (MaxPtsPerSprint2-SUM(F$7:F82)))</f>
        <v>0</v>
      </c>
      <c r="G86" s="287">
        <f t="array" ref="G86">MIN((INDEX([2]SourceData!$B:$B, MATCH($D86,[2]SourceData!$A:$A, 0))-SUM($D86:F86)),  (MaxPtsPerSprint3-SUM(G$7:G82)))</f>
        <v>0</v>
      </c>
      <c r="H86" s="287">
        <f t="array" ref="H86">MIN((INDEX([2]SourceData!$B:$B, MATCH($D86,[2]SourceData!$A:$A, 0))-SUM($D86:G86)),  (MaxPtsPerSprint4-SUM(H$7:H82)))</f>
        <v>0</v>
      </c>
      <c r="I86" s="287">
        <f t="array" ref="I86">MIN((INDEX([2]SourceData!$B:$B, MATCH($D86,[2]SourceData!$A:$A, 0))-SUM($D86:H86)),  (MaxPtsPerSprint5-SUM(I$7:I82)))</f>
        <v>0</v>
      </c>
      <c r="J86" s="287">
        <f t="array" ref="J86">MIN((INDEX([2]SourceData!$B:$B, MATCH($D86,[2]SourceData!$A:$A, 0))-SUM($D86:I86)),  (MaxPtsPerSprint6-SUM(J$7:J82)))</f>
        <v>0</v>
      </c>
      <c r="K86" s="287">
        <f t="array" ref="K86">MIN((INDEX([2]SourceData!$B:$B, MATCH($D86,[2]SourceData!$A:$A, 0))-SUM($D86:J86)),  (MaxPtsPerSprint7-SUM(K$7:K82)))</f>
        <v>0</v>
      </c>
      <c r="L86" s="287">
        <f t="array" ref="L86">MIN((INDEX([2]SourceData!$B:$B, MATCH($D86,[2]SourceData!$A:$A, 0))-SUM($D86:K86)),  (MaxPtsPerSprint8-SUM(L$7:L82)))</f>
        <v>0</v>
      </c>
      <c r="M86" s="287">
        <f t="array" ref="M86">MIN((INDEX([2]SourceData!$B:$B, MATCH($D86,[2]SourceData!$A:$A, 0))-SUM($D86:L86)),  (MaxPtsPerSprint9-SUM(M$7:M82)))</f>
        <v>0</v>
      </c>
      <c r="N86" s="287">
        <f t="array" ref="N86">MIN((INDEX([2]SourceData!$B:$B, MATCH($D86,[2]SourceData!$A:$A, 0))-SUM($D86:M86)),  (MaxPtsPerSprint10-SUM(N$7:N82)))</f>
        <v>0</v>
      </c>
      <c r="O86" s="287">
        <f t="array" ref="O86">MIN((INDEX([2]SourceData!$B:$B, MATCH($D86,[2]SourceData!$A:$A, 0))-SUM($D86:N86)),  (MaxPtsPerSprint11-SUM(O$7:O85)))</f>
        <v>0</v>
      </c>
      <c r="P86" s="287">
        <f t="array" ref="P86">MIN((INDEX([2]SourceData!$B:$B, MATCH($D86,[2]SourceData!$A:$A, 0))-SUM($D86:O86)),  (MaxPtsPerSprint12-SUM(P$7:P85)))</f>
        <v>0</v>
      </c>
      <c r="Q86" s="287">
        <f t="array" ref="Q86">MIN((INDEX([2]SourceData!$B:$B, MATCH($D86,[2]SourceData!$A:$A, 0))-SUM($D86:P86)),  (MaxPtsPerSprint13-SUM(Q$7:Q85)))</f>
        <v>0</v>
      </c>
      <c r="R86" s="287">
        <f t="array" ref="R86">MIN((INDEX([2]SourceData!$B:$B, MATCH($D86,[2]SourceData!$A:$A, 0))-SUM($D86:Q86)),  (MaxPtsPerSprint14-SUM(R$7:R85)))</f>
        <v>0</v>
      </c>
      <c r="S86" s="287">
        <f t="array" ref="S86">MIN((INDEX([2]SourceData!$B:$B, MATCH($D86,[2]SourceData!$A:$A, 0))-SUM($D86:R86)),  (MaxPtsPerSprint15-SUM(S$7:S85)))</f>
        <v>0</v>
      </c>
      <c r="T86" s="287">
        <f t="array" ref="T86">MIN((INDEX([2]SourceData!$B:$B, MATCH($D86,[2]SourceData!$A:$A, 0))-SUM($D86:S86)),  (MaxPtsPerSprint16-SUM(T$7:T85)))</f>
        <v>0</v>
      </c>
      <c r="U86" s="287">
        <f t="array" ref="U86">MIN((INDEX([2]SourceData!$B:$B, MATCH($D86,[2]SourceData!$A:$A, 0))-SUM($D86:T86)),  (MaxPtsPerSprint17-SUM(U$7:U85)))</f>
        <v>0</v>
      </c>
      <c r="V86" s="287">
        <f t="array" ref="V86">MIN((INDEX([2]SourceData!$B:$B, MATCH($D86,[2]SourceData!$A:$A, 0))-SUM($D86:U86)),  (MaxPtsPerSprint18-SUM(V$7:V85)))</f>
        <v>0</v>
      </c>
      <c r="W86" s="287">
        <f t="array" ref="W86">MIN((INDEX([2]SourceData!$B:$B, MATCH($D86,[2]SourceData!$A:$A, 0))-SUM($D86:V86)),  (MaxPtsPerSprint19-SUM(W$7:W85)))</f>
        <v>0</v>
      </c>
      <c r="X86" s="287">
        <f t="array" ref="X86">MIN((INDEX([2]SourceData!$B:$B, MATCH($D86,[2]SourceData!$A:$A, 0))-SUM($D86:W86)),  (MaxPtsPerSprint20-SUM(X$7:X85)))</f>
        <v>0</v>
      </c>
      <c r="Y86" s="287">
        <f t="array" ref="Y86">MIN((INDEX([2]SourceData!$B:$B, MATCH($D86,[2]SourceData!$A:$A, 0))-SUM($D86:X86)),  (MaxPtsPerSprint21-SUM(Y$7:Y85)))</f>
        <v>59.889999999999993</v>
      </c>
      <c r="Z86" s="287">
        <f t="array" ref="Z86">MIN((INDEX([2]SourceData!$B:$B, MATCH($D86,[2]SourceData!$A:$A, 0))-SUM($D86:Y86)),  (MaxPtsPerSprint22-SUM(Z$7:Z85)))</f>
        <v>0</v>
      </c>
      <c r="AA86" s="299">
        <f t="array" ref="AA86">MIN((INDEX([2]SourceData!$B:$B, MATCH($D86,[2]SourceData!$A:$A, 0))-SUM($D86:Z86)),  (MaxPtsPerSprint23-SUM(AA$7:AA85)))</f>
        <v>0</v>
      </c>
      <c r="AB86" s="287">
        <f t="array" ref="AB86">MIN((INDEX([2]SourceData!$B:$B, MATCH($D86,[2]SourceData!$A:$A, 0))-SUM($D86:AA86)),  (MaxPtsPerSprint24-SUM(AB$7:AB85)))</f>
        <v>0</v>
      </c>
      <c r="AC86" s="287">
        <f t="array" ref="AC86">MIN((INDEX([2]SourceData!$B:$B, MATCH($D86,[2]SourceData!$A:$A, 0))-SUM($D86:AB86)),  (MaxPtsPerSprint24-SUM(AC$7:AC85)))</f>
        <v>0</v>
      </c>
      <c r="AD86" s="287">
        <f t="array" ref="AD86">MIN((INDEX([2]SourceData!$B:$B, MATCH($D86,[2]SourceData!$A:$A, 0))-SUM($D86:AC86)),  (MaxPtsPerSprint24-SUM(AD$7:AD85)))</f>
        <v>0</v>
      </c>
      <c r="AE86" s="299">
        <f t="shared" si="6"/>
        <v>59.889999999999993</v>
      </c>
      <c r="AF86" s="289">
        <f>AE86/$AE$131</f>
        <v>2.9507187111237018E-3</v>
      </c>
    </row>
    <row r="87" spans="2:32" ht="18" customHeight="1" x14ac:dyDescent="0.45">
      <c r="B87" s="297" t="str">
        <f>VLOOKUP(D87,'[2]Work Item Vlookup'!$A$2:$B$119,2,FALSE)</f>
        <v>WI0301</v>
      </c>
      <c r="C87" s="298"/>
      <c r="D87" s="297" t="str">
        <f>[2]SourceData!A81</f>
        <v>PAS System Controls (ProdEnh)</v>
      </c>
      <c r="E87" s="287">
        <f t="array" ref="E87">MIN((INDEX([2]SourceData!$B:$B, MATCH($D87,[2]SourceData!$A:$A, 0))-SUM($D87:D87)),  (MaxPtsPerSprint1-SUM(E$7:E86)))</f>
        <v>0</v>
      </c>
      <c r="F87" s="287">
        <f t="array" ref="F87">MIN((INDEX([2]SourceData!$B:$B, MATCH($D87,[2]SourceData!$A:$A, 0))-SUM($D87:E87)),  (MaxPtsPerSprint2-SUM(F$7:F86)))</f>
        <v>0</v>
      </c>
      <c r="G87" s="287">
        <f t="array" ref="G87">MIN((INDEX([2]SourceData!$B:$B, MATCH($D87,[2]SourceData!$A:$A, 0))-SUM($D87:F87)),  (MaxPtsPerSprint3-SUM(G$7:G86)))</f>
        <v>0</v>
      </c>
      <c r="H87" s="287">
        <f t="array" ref="H87">MIN((INDEX([2]SourceData!$B:$B, MATCH($D87,[2]SourceData!$A:$A, 0))-SUM($D87:G87)),  (MaxPtsPerSprint4-SUM(H$7:H86)))</f>
        <v>0</v>
      </c>
      <c r="I87" s="287">
        <f t="array" ref="I87">MIN((INDEX([2]SourceData!$B:$B, MATCH($D87,[2]SourceData!$A:$A, 0))-SUM($D87:H87)),  (MaxPtsPerSprint5-SUM(I$7:I86)))</f>
        <v>0</v>
      </c>
      <c r="J87" s="287">
        <f t="array" ref="J87">MIN((INDEX([2]SourceData!$B:$B, MATCH($D87,[2]SourceData!$A:$A, 0))-SUM($D87:I87)),  (MaxPtsPerSprint6-SUM(J$7:J86)))</f>
        <v>0</v>
      </c>
      <c r="K87" s="287">
        <f t="array" ref="K87">MIN((INDEX([2]SourceData!$B:$B, MATCH($D87,[2]SourceData!$A:$A, 0))-SUM($D87:J87)),  (MaxPtsPerSprint7-SUM(K$7:K86)))</f>
        <v>0</v>
      </c>
      <c r="L87" s="287">
        <f t="array" ref="L87">MIN((INDEX([2]SourceData!$B:$B, MATCH($D87,[2]SourceData!$A:$A, 0))-SUM($D87:K87)),  (MaxPtsPerSprint8-SUM(L$7:L86)))</f>
        <v>0</v>
      </c>
      <c r="M87" s="287">
        <f t="array" ref="M87">MIN((INDEX([2]SourceData!$B:$B, MATCH($D87,[2]SourceData!$A:$A, 0))-SUM($D87:L87)),  (MaxPtsPerSprint9-SUM(M$7:M86)))</f>
        <v>0</v>
      </c>
      <c r="N87" s="287">
        <f t="array" ref="N87">MIN((INDEX([2]SourceData!$B:$B, MATCH($D87,[2]SourceData!$A:$A, 0))-SUM($D87:M87)),  (MaxPtsPerSprint10-SUM(N$7:N86)))</f>
        <v>0</v>
      </c>
      <c r="O87" s="287">
        <f t="array" ref="O87">MIN((INDEX([2]SourceData!$B:$B, MATCH($D87,[2]SourceData!$A:$A, 0))-SUM($D87:N87)),  (MaxPtsPerSprint11-SUM(O$7:O86)))</f>
        <v>0</v>
      </c>
      <c r="P87" s="287">
        <f t="array" ref="P87">MIN((INDEX([2]SourceData!$B:$B, MATCH($D87,[2]SourceData!$A:$A, 0))-SUM($D87:O87)),  (MaxPtsPerSprint12-SUM(P$7:P86)))</f>
        <v>0</v>
      </c>
      <c r="Q87" s="287">
        <f t="array" ref="Q87">MIN((INDEX([2]SourceData!$B:$B, MATCH($D87,[2]SourceData!$A:$A, 0))-SUM($D87:P87)),  (MaxPtsPerSprint13-SUM(Q$7:Q86)))</f>
        <v>0</v>
      </c>
      <c r="R87" s="287">
        <f t="array" ref="R87">MIN((INDEX([2]SourceData!$B:$B, MATCH($D87,[2]SourceData!$A:$A, 0))-SUM($D87:Q87)),  (MaxPtsPerSprint14-SUM(R$7:R86)))</f>
        <v>0</v>
      </c>
      <c r="S87" s="287">
        <f t="array" ref="S87">MIN((INDEX([2]SourceData!$B:$B, MATCH($D87,[2]SourceData!$A:$A, 0))-SUM($D87:R87)),  (MaxPtsPerSprint15-SUM(S$7:S86)))</f>
        <v>0</v>
      </c>
      <c r="T87" s="287">
        <f t="array" ref="T87">MIN((INDEX([2]SourceData!$B:$B, MATCH($D87,[2]SourceData!$A:$A, 0))-SUM($D87:S87)),  (MaxPtsPerSprint16-SUM(T$7:T86)))</f>
        <v>0</v>
      </c>
      <c r="U87" s="287">
        <f t="array" ref="U87">MIN((INDEX([2]SourceData!$B:$B, MATCH($D87,[2]SourceData!$A:$A, 0))-SUM($D87:T87)),  (MaxPtsPerSprint17-SUM(U$7:U86)))</f>
        <v>0</v>
      </c>
      <c r="V87" s="287">
        <f t="array" ref="V87">MIN((INDEX([2]SourceData!$B:$B, MATCH($D87,[2]SourceData!$A:$A, 0))-SUM($D87:U87)),  (MaxPtsPerSprint18-SUM(V$7:V86)))</f>
        <v>0</v>
      </c>
      <c r="W87" s="287">
        <f t="array" ref="W87">MIN((INDEX([2]SourceData!$B:$B, MATCH($D87,[2]SourceData!$A:$A, 0))-SUM($D87:V87)),  (MaxPtsPerSprint19-SUM(W$7:W86)))</f>
        <v>0</v>
      </c>
      <c r="X87" s="287">
        <f t="array" ref="X87">MIN((INDEX([2]SourceData!$B:$B, MATCH($D87,[2]SourceData!$A:$A, 0))-SUM($D87:W87)),  (MaxPtsPerSprint20-SUM(X$7:X86)))</f>
        <v>0</v>
      </c>
      <c r="Y87" s="287">
        <f t="array" ref="Y87">MIN((INDEX([2]SourceData!$B:$B, MATCH($D87,[2]SourceData!$A:$A, 0))-SUM($D87:X87)),  (MaxPtsPerSprint21-SUM(Y$7:Y86)))</f>
        <v>0.12999999999976808</v>
      </c>
      <c r="Z87" s="287">
        <f t="array" ref="Z87">MIN((INDEX([2]SourceData!$B:$B, MATCH($D87,[2]SourceData!$A:$A, 0))-SUM($D87:Y87)),  (MaxPtsPerSprint22-SUM(Z$7:Z86)))</f>
        <v>0</v>
      </c>
      <c r="AA87" s="299">
        <f t="array" ref="AA87">MIN((INDEX([2]SourceData!$B:$B, MATCH($D87,[2]SourceData!$A:$A, 0))-SUM($D87:Z87)),  (MaxPtsPerSprint23-SUM(AA$7:AA86)))</f>
        <v>99.870000000000232</v>
      </c>
      <c r="AB87" s="287">
        <f t="array" ref="AB87">MIN((INDEX([2]SourceData!$B:$B, MATCH($D87,[2]SourceData!$A:$A, 0))-SUM($D87:AA87)),  (MaxPtsPerSprint24-SUM(AB$7:AB86)))</f>
        <v>0</v>
      </c>
      <c r="AC87" s="287">
        <f t="array" ref="AC87">MIN((INDEX([2]SourceData!$B:$B, MATCH($D87,[2]SourceData!$A:$A, 0))-SUM($D87:AB87)),  (MaxPtsPerSprint24-SUM(AC$7:AC86)))</f>
        <v>0</v>
      </c>
      <c r="AD87" s="287">
        <f t="array" ref="AD87">MIN((INDEX([2]SourceData!$B:$B, MATCH($D87,[2]SourceData!$A:$A, 0))-SUM($D87:AC87)),  (MaxPtsPerSprint24-SUM(AD$7:AD86)))</f>
        <v>0</v>
      </c>
      <c r="AE87" s="299">
        <f t="shared" si="6"/>
        <v>100</v>
      </c>
      <c r="AF87" s="289">
        <f>AE87/$AE$131</f>
        <v>4.9268971633389582E-3</v>
      </c>
    </row>
    <row r="88" spans="2:32" ht="18" customHeight="1" x14ac:dyDescent="0.45">
      <c r="B88" s="297" t="str">
        <f>VLOOKUP(D88,'[2]Work Item Vlookup'!$A$2:$B$119,2,FALSE)</f>
        <v>WI0037</v>
      </c>
      <c r="C88" s="298"/>
      <c r="D88" s="297" t="str">
        <f>[2]SourceData!A82</f>
        <v>PAS Upgrade x.x (Orig Scope)</v>
      </c>
      <c r="E88" s="287"/>
      <c r="F88" s="287"/>
      <c r="G88" s="287"/>
      <c r="H88" s="287"/>
      <c r="I88" s="287"/>
      <c r="J88" s="287"/>
      <c r="K88" s="287"/>
      <c r="L88" s="287"/>
      <c r="M88" s="287"/>
      <c r="N88" s="287"/>
      <c r="O88" s="287">
        <f t="array" ref="O88">MIN((INDEX([2]SourceData!$B:$B, MATCH($D88,[2]SourceData!$A:$A, 0))-SUM($D88:N88)),  (MaxPtsPerSprint11-SUM(O$7:O87)))</f>
        <v>0</v>
      </c>
      <c r="P88" s="287">
        <f t="array" ref="P88">MIN((INDEX([2]SourceData!$B:$B, MATCH($D88,[2]SourceData!$A:$A, 0))-SUM($D88:O88)),  (MaxPtsPerSprint12-SUM(P$7:P87)))</f>
        <v>0</v>
      </c>
      <c r="Q88" s="287">
        <f t="array" ref="Q88">MIN((INDEX([2]SourceData!$B:$B, MATCH($D88,[2]SourceData!$A:$A, 0))-SUM($D88:P88)),  (MaxPtsPerSprint13-SUM(Q$7:Q87)))</f>
        <v>0</v>
      </c>
      <c r="R88" s="287">
        <f t="array" ref="R88">MIN((INDEX([2]SourceData!$B:$B, MATCH($D88,[2]SourceData!$A:$A, 0))-SUM($D88:Q88)),  (MaxPtsPerSprint14-SUM(R$7:R87)))</f>
        <v>0</v>
      </c>
      <c r="S88" s="287">
        <f t="array" ref="S88">MIN((INDEX([2]SourceData!$B:$B, MATCH($D88,[2]SourceData!$A:$A, 0))-SUM($D88:R88)),  (MaxPtsPerSprint15-SUM(S$7:S87)))</f>
        <v>0</v>
      </c>
      <c r="T88" s="287">
        <f t="array" ref="T88">MIN((INDEX([2]SourceData!$B:$B, MATCH($D88,[2]SourceData!$A:$A, 0))-SUM($D88:S88)),  (MaxPtsPerSprint16-SUM(T$7:T87)))</f>
        <v>0</v>
      </c>
      <c r="U88" s="287">
        <f t="array" ref="U88">MIN((INDEX([2]SourceData!$B:$B, MATCH($D88,[2]SourceData!$A:$A, 0))-SUM($D88:T88)),  (MaxPtsPerSprint17-SUM(U$7:U87)))</f>
        <v>0</v>
      </c>
      <c r="V88" s="287">
        <f t="array" ref="V88">MIN((INDEX([2]SourceData!$B:$B, MATCH($D88,[2]SourceData!$A:$A, 0))-SUM($D88:U88)),  (MaxPtsPerSprint18-SUM(V$7:V87)))</f>
        <v>0</v>
      </c>
      <c r="W88" s="287">
        <f t="array" ref="W88">MIN((INDEX([2]SourceData!$B:$B, MATCH($D88,[2]SourceData!$A:$A, 0))-SUM($D88:V88)),  (MaxPtsPerSprint19-SUM(W$7:W87)))</f>
        <v>0</v>
      </c>
      <c r="X88" s="287">
        <f t="array" ref="X88">MIN((INDEX([2]SourceData!$B:$B, MATCH($D88,[2]SourceData!$A:$A, 0))-SUM($D88:W88)),  (MaxPtsPerSprint20-SUM(X$7:X87)))</f>
        <v>0</v>
      </c>
      <c r="Y88" s="287">
        <f t="array" ref="Y88">MIN((INDEX([2]SourceData!$B:$B, MATCH($D88,[2]SourceData!$A:$A, 0))-SUM($D88:X88)),  (MaxPtsPerSprint21-SUM(Y$7:Y87)))</f>
        <v>0</v>
      </c>
      <c r="Z88" s="287">
        <f t="array" ref="Z88">MIN((INDEX([2]SourceData!$B:$B, MATCH($D88,[2]SourceData!$A:$A, 0))-SUM($D88:Y88)),  (MaxPtsPerSprint22-SUM(Z$7:Z87)))</f>
        <v>0</v>
      </c>
      <c r="AA88" s="299">
        <f t="array" ref="AA88">MIN((INDEX([2]SourceData!$B:$B, MATCH($D88,[2]SourceData!$A:$A, 0))-SUM($D88:Z88)),  (MaxPtsPerSprint23-SUM(AA$7:AA87)))</f>
        <v>300</v>
      </c>
      <c r="AB88" s="287">
        <f t="array" ref="AB88">MIN((INDEX([2]SourceData!$B:$B, MATCH($D88,[2]SourceData!$A:$A, 0))-SUM($D88:AA88)),  (MaxPtsPerSprint24-SUM(AB$7:AB87)))</f>
        <v>0</v>
      </c>
      <c r="AC88" s="287">
        <f t="array" ref="AC88">MIN((INDEX([2]SourceData!$B:$B, MATCH($D88,[2]SourceData!$A:$A, 0))-SUM($D88:AB88)),  (MaxPtsPerSprint24-SUM(AC$7:AC87)))</f>
        <v>0</v>
      </c>
      <c r="AD88" s="287">
        <f t="array" ref="AD88">MIN((INDEX([2]SourceData!$B:$B, MATCH($D88,[2]SourceData!$A:$A, 0))-SUM($D88:AC88)),  (MaxPtsPerSprint24-SUM(AD$7:AD87)))</f>
        <v>0</v>
      </c>
      <c r="AE88" s="299">
        <f t="shared" si="6"/>
        <v>300</v>
      </c>
      <c r="AF88" s="289"/>
    </row>
    <row r="89" spans="2:32" ht="18" customHeight="1" x14ac:dyDescent="0.45">
      <c r="B89" s="297" t="str">
        <f>VLOOKUP(D89,'[2]Work Item Vlookup'!$A$2:$B$119,2,FALSE)</f>
        <v>WI0304</v>
      </c>
      <c r="C89" s="298"/>
      <c r="D89" s="297" t="str">
        <f>[2]SourceData!A83</f>
        <v>MVR Refactoring Phase 1 of 4 (Prod Enh)</v>
      </c>
      <c r="E89" s="287"/>
      <c r="F89" s="287"/>
      <c r="G89" s="287"/>
      <c r="H89" s="287"/>
      <c r="I89" s="287"/>
      <c r="J89" s="287"/>
      <c r="K89" s="287"/>
      <c r="L89" s="287"/>
      <c r="M89" s="287"/>
      <c r="N89" s="287"/>
      <c r="O89" s="287">
        <f t="array" ref="O89">MIN((INDEX([2]SourceData!$B:$B, MATCH($D89,[2]SourceData!$A:$A, 0))-SUM($D89:N89)),  (MaxPtsPerSprint11-SUM(O$7:O88)))</f>
        <v>0</v>
      </c>
      <c r="P89" s="287">
        <f t="array" ref="P89">MIN((INDEX([2]SourceData!$B:$B, MATCH($D89,[2]SourceData!$A:$A, 0))-SUM($D89:O89)),  (MaxPtsPerSprint12-SUM(P$7:P88)))</f>
        <v>0</v>
      </c>
      <c r="Q89" s="287">
        <f t="array" ref="Q89">MIN((INDEX([2]SourceData!$B:$B, MATCH($D89,[2]SourceData!$A:$A, 0))-SUM($D89:P89)),  (MaxPtsPerSprint13-SUM(Q$7:Q88)))</f>
        <v>0</v>
      </c>
      <c r="R89" s="287">
        <f t="array" ref="R89">MIN((INDEX([2]SourceData!$B:$B, MATCH($D89,[2]SourceData!$A:$A, 0))-SUM($D89:Q89)),  (MaxPtsPerSprint14-SUM(R$7:R88)))</f>
        <v>0</v>
      </c>
      <c r="S89" s="287">
        <f t="array" ref="S89">MIN((INDEX([2]SourceData!$B:$B, MATCH($D89,[2]SourceData!$A:$A, 0))-SUM($D89:R89)),  (MaxPtsPerSprint15-SUM(S$7:S88)))</f>
        <v>0</v>
      </c>
      <c r="T89" s="287">
        <f t="array" ref="T89">MIN((INDEX([2]SourceData!$B:$B, MATCH($D89,[2]SourceData!$A:$A, 0))-SUM($D89:S89)),  (MaxPtsPerSprint16-SUM(T$7:T88)))</f>
        <v>0</v>
      </c>
      <c r="U89" s="287">
        <f t="array" ref="U89">MIN((INDEX([2]SourceData!$B:$B, MATCH($D89,[2]SourceData!$A:$A, 0))-SUM($D89:T89)),  (MaxPtsPerSprint17-SUM(U$7:U88)))</f>
        <v>0</v>
      </c>
      <c r="V89" s="287">
        <f t="array" ref="V89">MIN((INDEX([2]SourceData!$B:$B, MATCH($D89,[2]SourceData!$A:$A, 0))-SUM($D89:U89)),  (MaxPtsPerSprint18-SUM(V$7:V88)))</f>
        <v>0</v>
      </c>
      <c r="W89" s="287">
        <f t="array" ref="W89">MIN((INDEX([2]SourceData!$B:$B, MATCH($D89,[2]SourceData!$A:$A, 0))-SUM($D89:V89)),  (MaxPtsPerSprint19-SUM(W$7:W88)))</f>
        <v>0</v>
      </c>
      <c r="X89" s="287">
        <f t="array" ref="X89">MIN((INDEX([2]SourceData!$B:$B, MATCH($D89,[2]SourceData!$A:$A, 0))-SUM($D89:W89)),  (MaxPtsPerSprint20-SUM(X$7:X88)))</f>
        <v>0</v>
      </c>
      <c r="Y89" s="287">
        <f t="array" ref="Y89">MIN((INDEX([2]SourceData!$B:$B, MATCH($D89,[2]SourceData!$A:$A, 0))-SUM($D89:X89)),  (MaxPtsPerSprint21-SUM(Y$7:Y88)))</f>
        <v>0</v>
      </c>
      <c r="Z89" s="287">
        <f t="array" ref="Z89">MIN((INDEX([2]SourceData!$B:$B, MATCH($D89,[2]SourceData!$A:$A, 0))-SUM($D89:Y89)),  (MaxPtsPerSprint22-SUM(Z$7:Z88)))</f>
        <v>0</v>
      </c>
      <c r="AA89" s="299">
        <f t="array" ref="AA89">MIN((INDEX([2]SourceData!$B:$B, MATCH($D89,[2]SourceData!$A:$A, 0))-SUM($D89:Z89)),  (MaxPtsPerSprint23-SUM(AA$7:AA88)))</f>
        <v>50</v>
      </c>
      <c r="AB89" s="287">
        <f t="array" ref="AB89">MIN((INDEX([2]SourceData!$B:$B, MATCH($D89,[2]SourceData!$A:$A, 0))-SUM($D89:AA89)),  (MaxPtsPerSprint24-SUM(AB$7:AB88)))</f>
        <v>0</v>
      </c>
      <c r="AC89" s="287">
        <f t="array" ref="AC89">MIN((INDEX([2]SourceData!$B:$B, MATCH($D89,[2]SourceData!$A:$A, 0))-SUM($D89:AB89)),  (MaxPtsPerSprint24-SUM(AC$7:AC88)))</f>
        <v>0</v>
      </c>
      <c r="AD89" s="287">
        <f t="array" ref="AD89">MIN((INDEX([2]SourceData!$B:$B, MATCH($D89,[2]SourceData!$A:$A, 0))-SUM($D89:AC89)),  (MaxPtsPerSprint24-SUM(AD$7:AD88)))</f>
        <v>0</v>
      </c>
      <c r="AE89" s="299">
        <f t="shared" si="6"/>
        <v>50</v>
      </c>
      <c r="AF89" s="289"/>
    </row>
    <row r="90" spans="2:32" ht="18" customHeight="1" x14ac:dyDescent="0.45">
      <c r="B90" s="297" t="str">
        <f>VLOOKUP(D90,'[2]Work Item Vlookup'!$A$2:$B$119,2,FALSE)</f>
        <v>WI0305</v>
      </c>
      <c r="C90" s="298"/>
      <c r="D90" s="297" t="str">
        <f>[2]SourceData!A84</f>
        <v>MVR Refactoring, Phase 2 of 4 (Prod Enh)</v>
      </c>
      <c r="E90" s="287"/>
      <c r="F90" s="287"/>
      <c r="G90" s="287"/>
      <c r="H90" s="287"/>
      <c r="I90" s="287"/>
      <c r="J90" s="287"/>
      <c r="K90" s="287"/>
      <c r="L90" s="287"/>
      <c r="M90" s="287"/>
      <c r="N90" s="287"/>
      <c r="O90" s="287">
        <f t="array" ref="O90">MIN((INDEX([2]SourceData!$B:$B, MATCH($D90,[2]SourceData!$A:$A, 0))-SUM($D90:N90)),  (MaxPtsPerSprint11-SUM(O$7:O89)))</f>
        <v>0</v>
      </c>
      <c r="P90" s="287">
        <f t="array" ref="P90">MIN((INDEX([2]SourceData!$B:$B, MATCH($D90,[2]SourceData!$A:$A, 0))-SUM($D90:O90)),  (MaxPtsPerSprint12-SUM(P$7:P89)))</f>
        <v>0</v>
      </c>
      <c r="Q90" s="287">
        <f t="array" ref="Q90">MIN((INDEX([2]SourceData!$B:$B, MATCH($D90,[2]SourceData!$A:$A, 0))-SUM($D90:P90)),  (MaxPtsPerSprint13-SUM(Q$7:Q89)))</f>
        <v>0</v>
      </c>
      <c r="R90" s="287">
        <f t="array" ref="R90">MIN((INDEX([2]SourceData!$B:$B, MATCH($D90,[2]SourceData!$A:$A, 0))-SUM($D90:Q90)),  (MaxPtsPerSprint14-SUM(R$7:R89)))</f>
        <v>0</v>
      </c>
      <c r="S90" s="287">
        <f t="array" ref="S90">MIN((INDEX([2]SourceData!$B:$B, MATCH($D90,[2]SourceData!$A:$A, 0))-SUM($D90:R90)),  (MaxPtsPerSprint15-SUM(S$7:S89)))</f>
        <v>0</v>
      </c>
      <c r="T90" s="287">
        <f t="array" ref="T90">MIN((INDEX([2]SourceData!$B:$B, MATCH($D90,[2]SourceData!$A:$A, 0))-SUM($D90:S90)),  (MaxPtsPerSprint16-SUM(T$7:T89)))</f>
        <v>0</v>
      </c>
      <c r="U90" s="287">
        <f t="array" ref="U90">MIN((INDEX([2]SourceData!$B:$B, MATCH($D90,[2]SourceData!$A:$A, 0))-SUM($D90:T90)),  (MaxPtsPerSprint17-SUM(U$7:U89)))</f>
        <v>0</v>
      </c>
      <c r="V90" s="287">
        <f t="array" ref="V90">MIN((INDEX([2]SourceData!$B:$B, MATCH($D90,[2]SourceData!$A:$A, 0))-SUM($D90:U90)),  (MaxPtsPerSprint18-SUM(V$7:V89)))</f>
        <v>0</v>
      </c>
      <c r="W90" s="287">
        <f t="array" ref="W90">MIN((INDEX([2]SourceData!$B:$B, MATCH($D90,[2]SourceData!$A:$A, 0))-SUM($D90:V90)),  (MaxPtsPerSprint19-SUM(W$7:W89)))</f>
        <v>0</v>
      </c>
      <c r="X90" s="287">
        <f t="array" ref="X90">MIN((INDEX([2]SourceData!$B:$B, MATCH($D90,[2]SourceData!$A:$A, 0))-SUM($D90:W90)),  (MaxPtsPerSprint20-SUM(X$7:X89)))</f>
        <v>0</v>
      </c>
      <c r="Y90" s="287">
        <f t="array" ref="Y90">MIN((INDEX([2]SourceData!$B:$B, MATCH($D90,[2]SourceData!$A:$A, 0))-SUM($D90:X90)),  (MaxPtsPerSprint21-SUM(Y$7:Y89)))</f>
        <v>0</v>
      </c>
      <c r="Z90" s="287">
        <f t="array" ref="Z90">MIN((INDEX([2]SourceData!$B:$B, MATCH($D90,[2]SourceData!$A:$A, 0))-SUM($D90:Y90)),  (MaxPtsPerSprint22-SUM(Z$7:Z89)))</f>
        <v>0</v>
      </c>
      <c r="AA90" s="299">
        <f t="array" ref="AA90">MIN((INDEX([2]SourceData!$B:$B, MATCH($D90,[2]SourceData!$A:$A, 0))-SUM($D90:Z90)),  (MaxPtsPerSprint23-SUM(AA$7:AA89)))</f>
        <v>52</v>
      </c>
      <c r="AB90" s="287">
        <f t="array" ref="AB90">MIN((INDEX([2]SourceData!$B:$B, MATCH($D90,[2]SourceData!$A:$A, 0))-SUM($D90:AA90)),  (MaxPtsPerSprint24-SUM(AB$7:AB89)))</f>
        <v>0</v>
      </c>
      <c r="AC90" s="287">
        <f t="array" ref="AC90">MIN((INDEX([2]SourceData!$B:$B, MATCH($D90,[2]SourceData!$A:$A, 0))-SUM($D90:AB90)),  (MaxPtsPerSprint24-SUM(AC$7:AC89)))</f>
        <v>0</v>
      </c>
      <c r="AD90" s="287">
        <f t="array" ref="AD90">MIN((INDEX([2]SourceData!$B:$B, MATCH($D90,[2]SourceData!$A:$A, 0))-SUM($D90:AC90)),  (MaxPtsPerSprint24-SUM(AD$7:AD89)))</f>
        <v>0</v>
      </c>
      <c r="AE90" s="299">
        <f t="shared" si="6"/>
        <v>52</v>
      </c>
      <c r="AF90" s="289"/>
    </row>
    <row r="91" spans="2:32" ht="18" customHeight="1" x14ac:dyDescent="0.45">
      <c r="B91" s="297" t="str">
        <f>VLOOKUP(D91,'[2]Work Item Vlookup'!$A$2:$B$119,2,FALSE)</f>
        <v>WI0312</v>
      </c>
      <c r="C91" s="298"/>
      <c r="D91" s="297" t="str">
        <f>[2]SourceData!A85</f>
        <v>Manual CNV + Auto Capping (NY, OR, ID, AZ-ACIC) (Orig Scope)</v>
      </c>
      <c r="E91" s="287">
        <f t="array" ref="E91">MIN((INDEX([2]SourceData!$B:$B, MATCH($D91,[2]SourceData!$A:$A, 0))-SUM($D91:D91)),  (MaxPtsPerSprint1-SUM(E$7:E87)))</f>
        <v>0</v>
      </c>
      <c r="F91" s="287">
        <f t="array" ref="F91">MIN((INDEX([2]SourceData!$B:$B, MATCH($D91,[2]SourceData!$A:$A, 0))-SUM($D91:E91)),  (MaxPtsPerSprint2-SUM(F$7:F87)))</f>
        <v>0</v>
      </c>
      <c r="G91" s="287">
        <f t="array" ref="G91">MIN((INDEX([2]SourceData!$B:$B, MATCH($D91,[2]SourceData!$A:$A, 0))-SUM($D91:F91)),  (MaxPtsPerSprint3-SUM(G$7:G87)))</f>
        <v>0</v>
      </c>
      <c r="H91" s="287">
        <f t="array" ref="H91">MIN((INDEX([2]SourceData!$B:$B, MATCH($D91,[2]SourceData!$A:$A, 0))-SUM($D91:G91)),  (MaxPtsPerSprint4-SUM(H$7:H87)))</f>
        <v>0</v>
      </c>
      <c r="I91" s="287">
        <f t="array" ref="I91">MIN((INDEX([2]SourceData!$B:$B, MATCH($D91,[2]SourceData!$A:$A, 0))-SUM($D91:H91)),  (MaxPtsPerSprint5-SUM(I$7:I87)))</f>
        <v>0</v>
      </c>
      <c r="J91" s="287">
        <f t="array" ref="J91">MIN((INDEX([2]SourceData!$B:$B, MATCH($D91,[2]SourceData!$A:$A, 0))-SUM($D91:I91)),  (MaxPtsPerSprint6-SUM(J$7:J87)))</f>
        <v>0</v>
      </c>
      <c r="K91" s="287">
        <f t="array" ref="K91">MIN((INDEX([2]SourceData!$B:$B, MATCH($D91,[2]SourceData!$A:$A, 0))-SUM($D91:J91)),  (MaxPtsPerSprint7-SUM(K$7:K87)))</f>
        <v>0</v>
      </c>
      <c r="L91" s="287">
        <f t="array" ref="L91">MIN((INDEX([2]SourceData!$B:$B, MATCH($D91,[2]SourceData!$A:$A, 0))-SUM($D91:K91)),  (MaxPtsPerSprint8-SUM(L$7:L87)))</f>
        <v>0</v>
      </c>
      <c r="M91" s="287">
        <f t="array" ref="M91">MIN((INDEX([2]SourceData!$B:$B, MATCH($D91,[2]SourceData!$A:$A, 0))-SUM($D91:L91)),  (MaxPtsPerSprint9-SUM(M$7:M87)))</f>
        <v>0</v>
      </c>
      <c r="N91" s="287">
        <f t="array" ref="N91">MIN((INDEX([2]SourceData!$B:$B, MATCH($D91,[2]SourceData!$A:$A, 0))-SUM($D91:M91)),  (MaxPtsPerSprint10-SUM(N$7:N87)))</f>
        <v>0</v>
      </c>
      <c r="O91" s="287">
        <f t="array" ref="O91">MIN((INDEX([2]SourceData!$B:$B, MATCH($D91,[2]SourceData!$A:$A, 0))-SUM($D91:N91)),  (MaxPtsPerSprint11-SUM(O$7:O90)))</f>
        <v>0</v>
      </c>
      <c r="P91" s="287">
        <f t="array" ref="P91">MIN((INDEX([2]SourceData!$B:$B, MATCH($D91,[2]SourceData!$A:$A, 0))-SUM($D91:O91)),  (MaxPtsPerSprint12-SUM(P$7:P90)))</f>
        <v>0</v>
      </c>
      <c r="Q91" s="287">
        <f t="array" ref="Q91">MIN((INDEX([2]SourceData!$B:$B, MATCH($D91,[2]SourceData!$A:$A, 0))-SUM($D91:P91)),  (MaxPtsPerSprint13-SUM(Q$7:Q90)))</f>
        <v>0</v>
      </c>
      <c r="R91" s="287">
        <f t="array" ref="R91">MIN((INDEX([2]SourceData!$B:$B, MATCH($D91,[2]SourceData!$A:$A, 0))-SUM($D91:Q91)),  (MaxPtsPerSprint14-SUM(R$7:R90)))</f>
        <v>0</v>
      </c>
      <c r="S91" s="287">
        <f t="array" ref="S91">MIN((INDEX([2]SourceData!$B:$B, MATCH($D91,[2]SourceData!$A:$A, 0))-SUM($D91:R91)),  (MaxPtsPerSprint15-SUM(S$7:S90)))</f>
        <v>0</v>
      </c>
      <c r="T91" s="287">
        <f t="array" ref="T91">MIN((INDEX([2]SourceData!$B:$B, MATCH($D91,[2]SourceData!$A:$A, 0))-SUM($D91:S91)),  (MaxPtsPerSprint16-SUM(T$7:T90)))</f>
        <v>0</v>
      </c>
      <c r="U91" s="287">
        <f t="array" ref="U91">MIN((INDEX([2]SourceData!$B:$B, MATCH($D91,[2]SourceData!$A:$A, 0))-SUM($D91:T91)),  (MaxPtsPerSprint17-SUM(U$7:U90)))</f>
        <v>0</v>
      </c>
      <c r="V91" s="287">
        <f t="array" ref="V91">MIN((INDEX([2]SourceData!$B:$B, MATCH($D91,[2]SourceData!$A:$A, 0))-SUM($D91:U91)),  (MaxPtsPerSprint18-SUM(V$7:V90)))</f>
        <v>0</v>
      </c>
      <c r="W91" s="287">
        <f t="array" ref="W91">MIN((INDEX([2]SourceData!$B:$B, MATCH($D91,[2]SourceData!$A:$A, 0))-SUM($D91:V91)),  (MaxPtsPerSprint19-SUM(W$7:W90)))</f>
        <v>0</v>
      </c>
      <c r="X91" s="287">
        <f t="array" ref="X91">MIN((INDEX([2]SourceData!$B:$B, MATCH($D91,[2]SourceData!$A:$A, 0))-SUM($D91:W91)),  (MaxPtsPerSprint20-SUM(X$7:X90)))</f>
        <v>0</v>
      </c>
      <c r="Y91" s="287">
        <f t="array" ref="Y91">MIN((INDEX([2]SourceData!$B:$B, MATCH($D91,[2]SourceData!$A:$A, 0))-SUM($D91:X91)),  (MaxPtsPerSprint21-SUM(Y$7:Y90)))</f>
        <v>0</v>
      </c>
      <c r="Z91" s="287">
        <f t="array" ref="Z91">MIN((INDEX([2]SourceData!$B:$B, MATCH($D91,[2]SourceData!$A:$A, 0))-SUM($D91:Y91)),  (MaxPtsPerSprint22-SUM(Z$7:Z90)))</f>
        <v>0</v>
      </c>
      <c r="AA91" s="299">
        <f t="array" ref="AA91">MIN((INDEX([2]SourceData!$B:$B, MATCH($D91,[2]SourceData!$A:$A, 0))-SUM($D91:Z91)),  (MaxPtsPerSprint23-SUM(AA$7:AA90)))</f>
        <v>81.359999999999985</v>
      </c>
      <c r="AB91" s="287">
        <f t="array" ref="AB91">MIN((INDEX([2]SourceData!$B:$B, MATCH($D91,[2]SourceData!$A:$A, 0))-SUM($D91:AA91)),  (MaxPtsPerSprint24-SUM(AB$7:AB90)))</f>
        <v>0</v>
      </c>
      <c r="AC91" s="287">
        <f t="array" ref="AC91">MIN((INDEX([2]SourceData!$B:$B, MATCH($D91,[2]SourceData!$A:$A, 0))-SUM($D91:AB91)),  (MaxPtsPerSprint24-SUM(AC$7:AC90)))</f>
        <v>0</v>
      </c>
      <c r="AD91" s="287">
        <f t="array" ref="AD91">MIN((INDEX([2]SourceData!$B:$B, MATCH($D91,[2]SourceData!$A:$A, 0))-SUM($D91:AC91)),  (MaxPtsPerSprint24-SUM(AD$7:AD90)))</f>
        <v>0</v>
      </c>
      <c r="AE91" s="299">
        <f t="shared" si="6"/>
        <v>81.359999999999985</v>
      </c>
      <c r="AF91" s="289">
        <f>AE91/$AE$131</f>
        <v>4.0085235320925757E-3</v>
      </c>
    </row>
    <row r="92" spans="2:32" ht="18" customHeight="1" x14ac:dyDescent="0.45">
      <c r="B92" s="297" t="str">
        <f>VLOOKUP(D92,'[2]Work Item Vlookup'!$A$2:$B$119,2,FALSE)</f>
        <v>WI0203</v>
      </c>
      <c r="C92" s="300"/>
      <c r="D92" s="297" t="str">
        <f>[2]SourceData!A86</f>
        <v>Manual CNV + Auto Capping (CT, KS, KY,MT, SD, UT, WV, WY, DC)  (Orig Scope)</v>
      </c>
      <c r="E92" s="287">
        <f t="array" ref="E92">MIN((INDEX([2]SourceData!$B:$B, MATCH($D92,[2]SourceData!$A:$A, 0))-SUM($D92:D92)),  (MaxPtsPerSprint1-SUM(E$7:E91)))</f>
        <v>0</v>
      </c>
      <c r="F92" s="287">
        <f t="array" ref="F92">MIN((INDEX([2]SourceData!$B:$B, MATCH($D92,[2]SourceData!$A:$A, 0))-SUM($D92:E92)),  (MaxPtsPerSprint2-SUM(F$7:F91)))</f>
        <v>0</v>
      </c>
      <c r="G92" s="287">
        <f t="array" ref="G92">MIN((INDEX([2]SourceData!$B:$B, MATCH($D92,[2]SourceData!$A:$A, 0))-SUM($D92:F92)),  (MaxPtsPerSprint3-SUM(G$7:G91)))</f>
        <v>0</v>
      </c>
      <c r="H92" s="287">
        <f t="array" ref="H92">MIN((INDEX([2]SourceData!$B:$B, MATCH($D92,[2]SourceData!$A:$A, 0))-SUM($D92:G92)),  (MaxPtsPerSprint4-SUM(H$7:H91)))</f>
        <v>0</v>
      </c>
      <c r="I92" s="287">
        <f t="array" ref="I92">MIN((INDEX([2]SourceData!$B:$B, MATCH($D92,[2]SourceData!$A:$A, 0))-SUM($D92:H92)),  (MaxPtsPerSprint5-SUM(I$7:I91)))</f>
        <v>0</v>
      </c>
      <c r="J92" s="287">
        <f t="array" ref="J92">MIN((INDEX([2]SourceData!$B:$B, MATCH($D92,[2]SourceData!$A:$A, 0))-SUM($D92:I92)),  (MaxPtsPerSprint6-SUM(J$7:J91)))</f>
        <v>0</v>
      </c>
      <c r="K92" s="287">
        <f t="array" ref="K92">MIN((INDEX([2]SourceData!$B:$B, MATCH($D92,[2]SourceData!$A:$A, 0))-SUM($D92:J92)),  (MaxPtsPerSprint7-SUM(K$7:K91)))</f>
        <v>0</v>
      </c>
      <c r="L92" s="287">
        <f t="array" ref="L92">MIN((INDEX([2]SourceData!$B:$B, MATCH($D92,[2]SourceData!$A:$A, 0))-SUM($D92:K92)),  (MaxPtsPerSprint8-SUM(L$7:L91)))</f>
        <v>0</v>
      </c>
      <c r="M92" s="287">
        <f t="array" ref="M92">MIN((INDEX([2]SourceData!$B:$B, MATCH($D92,[2]SourceData!$A:$A, 0))-SUM($D92:L92)),  (MaxPtsPerSprint9-SUM(M$7:M91)))</f>
        <v>0</v>
      </c>
      <c r="N92" s="287">
        <f t="array" ref="N92">MIN((INDEX([2]SourceData!$B:$B, MATCH($D92,[2]SourceData!$A:$A, 0))-SUM($D92:M92)),  (MaxPtsPerSprint10-SUM(N$7:N91)))</f>
        <v>0</v>
      </c>
      <c r="O92" s="287">
        <f t="array" ref="O92">MIN((INDEX([2]SourceData!$B:$B, MATCH($D92,[2]SourceData!$A:$A, 0))-SUM($D92:N92)),  (MaxPtsPerSprint11-SUM(O$7:O91)))</f>
        <v>0</v>
      </c>
      <c r="P92" s="287">
        <f t="array" ref="P92">MIN((INDEX([2]SourceData!$B:$B, MATCH($D92,[2]SourceData!$A:$A, 0))-SUM($D92:O92)),  (MaxPtsPerSprint12-SUM(P$7:P91)))</f>
        <v>0</v>
      </c>
      <c r="Q92" s="287">
        <f t="array" ref="Q92">MIN((INDEX([2]SourceData!$B:$B, MATCH($D92,[2]SourceData!$A:$A, 0))-SUM($D92:P92)),  (MaxPtsPerSprint13-SUM(Q$7:Q91)))</f>
        <v>0</v>
      </c>
      <c r="R92" s="287">
        <f t="array" ref="R92">MIN((INDEX([2]SourceData!$B:$B, MATCH($D92,[2]SourceData!$A:$A, 0))-SUM($D92:Q92)),  (MaxPtsPerSprint14-SUM(R$7:R91)))</f>
        <v>0</v>
      </c>
      <c r="S92" s="287">
        <f t="array" ref="S92">MIN((INDEX([2]SourceData!$B:$B, MATCH($D92,[2]SourceData!$A:$A, 0))-SUM($D92:R92)),  (MaxPtsPerSprint15-SUM(S$7:S91)))</f>
        <v>0</v>
      </c>
      <c r="T92" s="287">
        <f t="array" ref="T92">MIN((INDEX([2]SourceData!$B:$B, MATCH($D92,[2]SourceData!$A:$A, 0))-SUM($D92:S92)),  (MaxPtsPerSprint16-SUM(T$7:T91)))</f>
        <v>0</v>
      </c>
      <c r="U92" s="287">
        <f t="array" ref="U92">MIN((INDEX([2]SourceData!$B:$B, MATCH($D92,[2]SourceData!$A:$A, 0))-SUM($D92:T92)),  (MaxPtsPerSprint17-SUM(U$7:U91)))</f>
        <v>0</v>
      </c>
      <c r="V92" s="287">
        <f t="array" ref="V92">MIN((INDEX([2]SourceData!$B:$B, MATCH($D92,[2]SourceData!$A:$A, 0))-SUM($D92:U92)),  (MaxPtsPerSprint18-SUM(V$7:V91)))</f>
        <v>0</v>
      </c>
      <c r="W92" s="287">
        <f t="array" ref="W92">MIN((INDEX([2]SourceData!$B:$B, MATCH($D92,[2]SourceData!$A:$A, 0))-SUM($D92:V92)),  (MaxPtsPerSprint19-SUM(W$7:W91)))</f>
        <v>0</v>
      </c>
      <c r="X92" s="287">
        <f t="array" ref="X92">MIN((INDEX([2]SourceData!$B:$B, MATCH($D92,[2]SourceData!$A:$A, 0))-SUM($D92:W92)),  (MaxPtsPerSprint20-SUM(X$7:X91)))</f>
        <v>0</v>
      </c>
      <c r="Y92" s="287">
        <f t="array" ref="Y92">MIN((INDEX([2]SourceData!$B:$B, MATCH($D92,[2]SourceData!$A:$A, 0))-SUM($D92:X92)),  (MaxPtsPerSprint21-SUM(Y$7:Y91)))</f>
        <v>0</v>
      </c>
      <c r="Z92" s="287">
        <f t="array" ref="Z92">MIN((INDEX([2]SourceData!$B:$B, MATCH($D92,[2]SourceData!$A:$A, 0))-SUM($D92:Y92)),  (MaxPtsPerSprint22-SUM(Z$7:Z91)))</f>
        <v>0</v>
      </c>
      <c r="AA92" s="299">
        <f t="array" ref="AA92">MIN((INDEX([2]SourceData!$B:$B, MATCH($D92,[2]SourceData!$A:$A, 0))-SUM($D92:Z92)),  (MaxPtsPerSprint23-SUM(AA$7:AA91)))</f>
        <v>219.21999999999997</v>
      </c>
      <c r="AB92" s="287">
        <f t="array" ref="AB92">MIN((INDEX([2]SourceData!$B:$B, MATCH($D92,[2]SourceData!$A:$A, 0))-SUM($D92:AA92)),  (MaxPtsPerSprint24-SUM(AB$7:AB91)))</f>
        <v>0</v>
      </c>
      <c r="AC92" s="287">
        <f t="array" ref="AC92">MIN((INDEX([2]SourceData!$B:$B, MATCH($D92,[2]SourceData!$A:$A, 0))-SUM($D92:AB92)),  (MaxPtsPerSprint24-SUM(AC$7:AC91)))</f>
        <v>0</v>
      </c>
      <c r="AD92" s="287">
        <f t="array" ref="AD92">MIN((INDEX([2]SourceData!$B:$B, MATCH($D92,[2]SourceData!$A:$A, 0))-SUM($D92:AC92)),  (MaxPtsPerSprint24-SUM(AD$7:AD91)))</f>
        <v>0</v>
      </c>
      <c r="AE92" s="299">
        <f t="shared" si="6"/>
        <v>219.21999999999997</v>
      </c>
      <c r="AF92" s="289">
        <f>AE92/$AE$131</f>
        <v>1.0800743961471663E-2</v>
      </c>
    </row>
    <row r="93" spans="2:32" ht="18" customHeight="1" x14ac:dyDescent="0.45">
      <c r="B93" s="297" t="str">
        <f>VLOOKUP(D93,'[2]Work Item Vlookup'!$A$2:$B$119,2,FALSE)</f>
        <v>WI0030</v>
      </c>
      <c r="C93" s="298"/>
      <c r="D93" s="297" t="str">
        <f>[2]SourceData!A87</f>
        <v>Manual CNV + Prop Capping (DE, MD, NJ, PA, VA) (Orig Scope)</v>
      </c>
      <c r="E93" s="287">
        <f t="array" ref="E93">MIN((INDEX([2]SourceData!$B:$B, MATCH($D93,[2]SourceData!$A:$A, 0))-SUM($D93:D93)),  (MaxPtsPerSprint1-SUM(E$7:E86)))</f>
        <v>0</v>
      </c>
      <c r="F93" s="287">
        <f t="array" ref="F93">MIN((INDEX([2]SourceData!$B:$B, MATCH($D93,[2]SourceData!$A:$A, 0))-SUM($D93:E93)),  (MaxPtsPerSprint2-SUM(F$7:F86)))</f>
        <v>0</v>
      </c>
      <c r="G93" s="287">
        <f t="array" ref="G93">MIN((INDEX([2]SourceData!$B:$B, MATCH($D93,[2]SourceData!$A:$A, 0))-SUM($D93:F93)),  (MaxPtsPerSprint3-SUM(G$7:G86)))</f>
        <v>0</v>
      </c>
      <c r="H93" s="287">
        <f t="array" ref="H93">MIN((INDEX([2]SourceData!$B:$B, MATCH($D93,[2]SourceData!$A:$A, 0))-SUM($D93:G93)),  (MaxPtsPerSprint4-SUM(H$7:H86)))</f>
        <v>0</v>
      </c>
      <c r="I93" s="287">
        <f t="array" ref="I93">MIN((INDEX([2]SourceData!$B:$B, MATCH($D93,[2]SourceData!$A:$A, 0))-SUM($D93:H93)),  (MaxPtsPerSprint5-SUM(I$7:I86)))</f>
        <v>0</v>
      </c>
      <c r="J93" s="287">
        <f t="array" ref="J93">MIN((INDEX([2]SourceData!$B:$B, MATCH($D93,[2]SourceData!$A:$A, 0))-SUM($D93:I93)),  (MaxPtsPerSprint6-SUM(J$7:J86)))</f>
        <v>0</v>
      </c>
      <c r="K93" s="287">
        <f t="array" ref="K93">MIN((INDEX([2]SourceData!$B:$B, MATCH($D93,[2]SourceData!$A:$A, 0))-SUM($D93:J93)),  (MaxPtsPerSprint7-SUM(K$7:K86)))</f>
        <v>0</v>
      </c>
      <c r="L93" s="287">
        <f t="array" ref="L93">MIN((INDEX([2]SourceData!$B:$B, MATCH($D93,[2]SourceData!$A:$A, 0))-SUM($D93:K93)),  (MaxPtsPerSprint8-SUM(L$7:L86)))</f>
        <v>0</v>
      </c>
      <c r="M93" s="287">
        <f t="array" ref="M93">MIN((INDEX([2]SourceData!$B:$B, MATCH($D93,[2]SourceData!$A:$A, 0))-SUM($D93:L93)),  (MaxPtsPerSprint9-SUM(M$7:M86)))</f>
        <v>0</v>
      </c>
      <c r="N93" s="287">
        <f t="array" ref="N93">MIN((INDEX([2]SourceData!$B:$B, MATCH($D93,[2]SourceData!$A:$A, 0))-SUM($D93:M93)),  (MaxPtsPerSprint10-SUM(N$7:N86)))</f>
        <v>0</v>
      </c>
      <c r="O93" s="287">
        <f t="array" ref="O93">MIN((INDEX([2]SourceData!$B:$B, MATCH($D93,[2]SourceData!$A:$A, 0))-SUM($D93:N93)),  (MaxPtsPerSprint11-SUM(O$7:O92)))</f>
        <v>0</v>
      </c>
      <c r="P93" s="287">
        <f t="array" ref="P93">MIN((INDEX([2]SourceData!$B:$B, MATCH($D93,[2]SourceData!$A:$A, 0))-SUM($D93:O93)),  (MaxPtsPerSprint12-SUM(P$7:P92)))</f>
        <v>0</v>
      </c>
      <c r="Q93" s="287">
        <f t="array" ref="Q93">MIN((INDEX([2]SourceData!$B:$B, MATCH($D93,[2]SourceData!$A:$A, 0))-SUM($D93:P93)),  (MaxPtsPerSprint13-SUM(Q$7:Q92)))</f>
        <v>0</v>
      </c>
      <c r="R93" s="287">
        <f t="array" ref="R93">MIN((INDEX([2]SourceData!$B:$B, MATCH($D93,[2]SourceData!$A:$A, 0))-SUM($D93:Q93)),  (MaxPtsPerSprint14-SUM(R$7:R92)))</f>
        <v>0</v>
      </c>
      <c r="S93" s="287">
        <f t="array" ref="S93">MIN((INDEX([2]SourceData!$B:$B, MATCH($D93,[2]SourceData!$A:$A, 0))-SUM($D93:R93)),  (MaxPtsPerSprint15-SUM(S$7:S92)))</f>
        <v>0</v>
      </c>
      <c r="T93" s="287">
        <f t="array" ref="T93">MIN((INDEX([2]SourceData!$B:$B, MATCH($D93,[2]SourceData!$A:$A, 0))-SUM($D93:S93)),  (MaxPtsPerSprint16-SUM(T$7:T92)))</f>
        <v>0</v>
      </c>
      <c r="U93" s="287">
        <f t="array" ref="U93">MIN((INDEX([2]SourceData!$B:$B, MATCH($D93,[2]SourceData!$A:$A, 0))-SUM($D93:T93)),  (MaxPtsPerSprint17-SUM(U$7:U92)))</f>
        <v>0</v>
      </c>
      <c r="V93" s="287">
        <f t="array" ref="V93">MIN((INDEX([2]SourceData!$B:$B, MATCH($D93,[2]SourceData!$A:$A, 0))-SUM($D93:U93)),  (MaxPtsPerSprint18-SUM(V$7:V92)))</f>
        <v>0</v>
      </c>
      <c r="W93" s="287">
        <f t="array" ref="W93">MIN((INDEX([2]SourceData!$B:$B, MATCH($D93,[2]SourceData!$A:$A, 0))-SUM($D93:V93)),  (MaxPtsPerSprint19-SUM(W$7:W92)))</f>
        <v>0</v>
      </c>
      <c r="X93" s="287">
        <f t="array" ref="X93">MIN((INDEX([2]SourceData!$B:$B, MATCH($D93,[2]SourceData!$A:$A, 0))-SUM($D93:W93)),  (MaxPtsPerSprint20-SUM(X$7:X92)))</f>
        <v>0</v>
      </c>
      <c r="Y93" s="287">
        <f t="array" ref="Y93">MIN((INDEX([2]SourceData!$B:$B, MATCH($D93,[2]SourceData!$A:$A, 0))-SUM($D93:X93)),  (MaxPtsPerSprint21-SUM(Y$7:Y92)))</f>
        <v>0</v>
      </c>
      <c r="Z93" s="287">
        <f t="array" ref="Z93">MIN((INDEX([2]SourceData!$B:$B, MATCH($D93,[2]SourceData!$A:$A, 0))-SUM($D93:Y93)),  (MaxPtsPerSprint22-SUM(Z$7:Z92)))</f>
        <v>0</v>
      </c>
      <c r="AA93" s="299">
        <f t="array" ref="AA93">MIN((INDEX([2]SourceData!$B:$B, MATCH($D93,[2]SourceData!$A:$A, 0))-SUM($D93:Z93)),  (MaxPtsPerSprint23-SUM(AA$7:AA92)))</f>
        <v>69.549999999999727</v>
      </c>
      <c r="AB93" s="299">
        <f t="array" ref="AB93">MIN((INDEX([2]SourceData!$B:$B, MATCH($D93,[2]SourceData!$A:$A, 0))-SUM($D93:AA93)),  (MaxPtsPerSprint24-SUM(AB$7:AB92)))</f>
        <v>190.35000000000025</v>
      </c>
      <c r="AC93" s="299">
        <f t="array" ref="AC93">MIN((INDEX([2]SourceData!$B:$B, MATCH($D93,[2]SourceData!$A:$A, 0))-SUM($D93:AB93)),  (MaxPtsPerSprint24-SUM(AC$7:AC92)))</f>
        <v>0</v>
      </c>
      <c r="AD93" s="299">
        <f t="array" ref="AD93">MIN((INDEX([2]SourceData!$B:$B, MATCH($D93,[2]SourceData!$A:$A, 0))-SUM($D93:AC93)),  (MaxPtsPerSprint24-SUM(AD$7:AD92)))</f>
        <v>0</v>
      </c>
      <c r="AE93" s="299">
        <f t="shared" si="6"/>
        <v>259.89999999999998</v>
      </c>
      <c r="AF93" s="289">
        <f>AE93/$AE$131</f>
        <v>1.2805005727517952E-2</v>
      </c>
    </row>
    <row r="94" spans="2:32" ht="18" customHeight="1" x14ac:dyDescent="0.45">
      <c r="B94" s="297" t="str">
        <f>VLOOKUP(D94,'[2]Work Item Vlookup'!$A$2:$B$119,2,FALSE)</f>
        <v>WI0302</v>
      </c>
      <c r="C94" s="298"/>
      <c r="D94" s="297" t="str">
        <f>[2]SourceData!A88</f>
        <v>Manual CNV + Prop Capping (SD, NV, NY, WV) (Orig Scope)</v>
      </c>
      <c r="E94" s="287">
        <f t="array" ref="E94">MIN((INDEX([2]SourceData!$B:$B, MATCH($D94,[2]SourceData!$A:$A, 0))-SUM($D94:D94)),  (MaxPtsPerSprint1-SUM(E$7:E91)))</f>
        <v>0</v>
      </c>
      <c r="F94" s="287">
        <f t="array" ref="F94">MIN((INDEX([2]SourceData!$B:$B, MATCH($D94,[2]SourceData!$A:$A, 0))-SUM($D94:E94)),  (MaxPtsPerSprint2-SUM(F$7:F91)))</f>
        <v>0</v>
      </c>
      <c r="G94" s="287">
        <f t="array" ref="G94">MIN((INDEX([2]SourceData!$B:$B, MATCH($D94,[2]SourceData!$A:$A, 0))-SUM($D94:F94)),  (MaxPtsPerSprint3-SUM(G$7:G91)))</f>
        <v>0</v>
      </c>
      <c r="H94" s="287">
        <f t="array" ref="H94">MIN((INDEX([2]SourceData!$B:$B, MATCH($D94,[2]SourceData!$A:$A, 0))-SUM($D94:G94)),  (MaxPtsPerSprint4-SUM(H$7:H91)))</f>
        <v>0</v>
      </c>
      <c r="I94" s="287">
        <f t="array" ref="I94">MIN((INDEX([2]SourceData!$B:$B, MATCH($D94,[2]SourceData!$A:$A, 0))-SUM($D94:H94)),  (MaxPtsPerSprint5-SUM(I$7:I91)))</f>
        <v>0</v>
      </c>
      <c r="J94" s="287">
        <f t="array" ref="J94">MIN((INDEX([2]SourceData!$B:$B, MATCH($D94,[2]SourceData!$A:$A, 0))-SUM($D94:I94)),  (MaxPtsPerSprint6-SUM(J$7:J91)))</f>
        <v>0</v>
      </c>
      <c r="K94" s="287">
        <f t="array" ref="K94">MIN((INDEX([2]SourceData!$B:$B, MATCH($D94,[2]SourceData!$A:$A, 0))-SUM($D94:J94)),  (MaxPtsPerSprint7-SUM(K$7:K91)))</f>
        <v>0</v>
      </c>
      <c r="L94" s="287">
        <f t="array" ref="L94">MIN((INDEX([2]SourceData!$B:$B, MATCH($D94,[2]SourceData!$A:$A, 0))-SUM($D94:K94)),  (MaxPtsPerSprint8-SUM(L$7:L91)))</f>
        <v>0</v>
      </c>
      <c r="M94" s="287">
        <f t="array" ref="M94">MIN((INDEX([2]SourceData!$B:$B, MATCH($D94,[2]SourceData!$A:$A, 0))-SUM($D94:L94)),  (MaxPtsPerSprint9-SUM(M$7:M91)))</f>
        <v>0</v>
      </c>
      <c r="N94" s="287">
        <f t="array" ref="N94">MIN((INDEX([2]SourceData!$B:$B, MATCH($D94,[2]SourceData!$A:$A, 0))-SUM($D94:M94)),  (MaxPtsPerSprint10-SUM(N$7:N91)))</f>
        <v>0</v>
      </c>
      <c r="O94" s="287">
        <f t="array" ref="O94">MIN((INDEX([2]SourceData!$B:$B, MATCH($D94,[2]SourceData!$A:$A, 0))-SUM($D94:N94)),  (MaxPtsPerSprint11-SUM(O$7:O93)))</f>
        <v>0</v>
      </c>
      <c r="P94" s="287">
        <f t="array" ref="P94">MIN((INDEX([2]SourceData!$B:$B, MATCH($D94,[2]SourceData!$A:$A, 0))-SUM($D94:O94)),  (MaxPtsPerSprint12-SUM(P$7:P93)))</f>
        <v>0</v>
      </c>
      <c r="Q94" s="287">
        <f t="array" ref="Q94">MIN((INDEX([2]SourceData!$B:$B, MATCH($D94,[2]SourceData!$A:$A, 0))-SUM($D94:P94)),  (MaxPtsPerSprint13-SUM(Q$7:Q93)))</f>
        <v>0</v>
      </c>
      <c r="R94" s="287">
        <f t="array" ref="R94">MIN((INDEX([2]SourceData!$B:$B, MATCH($D94,[2]SourceData!$A:$A, 0))-SUM($D94:Q94)),  (MaxPtsPerSprint14-SUM(R$7:R93)))</f>
        <v>0</v>
      </c>
      <c r="S94" s="287">
        <f t="array" ref="S94">MIN((INDEX([2]SourceData!$B:$B, MATCH($D94,[2]SourceData!$A:$A, 0))-SUM($D94:R94)),  (MaxPtsPerSprint15-SUM(S$7:S93)))</f>
        <v>0</v>
      </c>
      <c r="T94" s="287">
        <f t="array" ref="T94">MIN((INDEX([2]SourceData!$B:$B, MATCH($D94,[2]SourceData!$A:$A, 0))-SUM($D94:S94)),  (MaxPtsPerSprint16-SUM(T$7:T93)))</f>
        <v>0</v>
      </c>
      <c r="U94" s="287">
        <f t="array" ref="U94">MIN((INDEX([2]SourceData!$B:$B, MATCH($D94,[2]SourceData!$A:$A, 0))-SUM($D94:T94)),  (MaxPtsPerSprint17-SUM(U$7:U93)))</f>
        <v>0</v>
      </c>
      <c r="V94" s="287">
        <f t="array" ref="V94">MIN((INDEX([2]SourceData!$B:$B, MATCH($D94,[2]SourceData!$A:$A, 0))-SUM($D94:U94)),  (MaxPtsPerSprint18-SUM(V$7:V93)))</f>
        <v>0</v>
      </c>
      <c r="W94" s="287">
        <f t="array" ref="W94">MIN((INDEX([2]SourceData!$B:$B, MATCH($D94,[2]SourceData!$A:$A, 0))-SUM($D94:V94)),  (MaxPtsPerSprint19-SUM(W$7:W93)))</f>
        <v>0</v>
      </c>
      <c r="X94" s="287">
        <f t="array" ref="X94">MIN((INDEX([2]SourceData!$B:$B, MATCH($D94,[2]SourceData!$A:$A, 0))-SUM($D94:W94)),  (MaxPtsPerSprint20-SUM(X$7:X93)))</f>
        <v>0</v>
      </c>
      <c r="Y94" s="287">
        <f t="array" ref="Y94">MIN((INDEX([2]SourceData!$B:$B, MATCH($D94,[2]SourceData!$A:$A, 0))-SUM($D94:X94)),  (MaxPtsPerSprint21-SUM(Y$7:Y93)))</f>
        <v>0</v>
      </c>
      <c r="Z94" s="287">
        <f t="array" ref="Z94">MIN((INDEX([2]SourceData!$B:$B, MATCH($D94,[2]SourceData!$A:$A, 0))-SUM($D94:Y94)),  (MaxPtsPerSprint22-SUM(Z$7:Z93)))</f>
        <v>0</v>
      </c>
      <c r="AA94" s="299">
        <f t="array" ref="AA94">MIN((INDEX([2]SourceData!$B:$B, MATCH($D94,[2]SourceData!$A:$A, 0))-SUM($D94:Z94)),  (MaxPtsPerSprint23-SUM(AA$7:AA93)))</f>
        <v>0</v>
      </c>
      <c r="AB94" s="299">
        <f t="array" ref="AB94">MIN((INDEX([2]SourceData!$B:$B, MATCH($D94,[2]SourceData!$A:$A, 0))-SUM($D94:AA94)),  (MaxPtsPerSprint24-SUM(AB$7:AB93)))</f>
        <v>302.83999999999997</v>
      </c>
      <c r="AC94" s="299">
        <f t="array" ref="AC94">MIN((INDEX([2]SourceData!$B:$B, MATCH($D94,[2]SourceData!$A:$A, 0))-SUM($D94:AB94)),  (MaxPtsPerSprint24-SUM(AC$7:AC93)))</f>
        <v>0</v>
      </c>
      <c r="AD94" s="299">
        <f t="array" ref="AD94">MIN((INDEX([2]SourceData!$B:$B, MATCH($D94,[2]SourceData!$A:$A, 0))-SUM($D94:AC94)),  (MaxPtsPerSprint24-SUM(AD$7:AD93)))</f>
        <v>0</v>
      </c>
      <c r="AE94" s="299">
        <f t="shared" si="6"/>
        <v>302.83999999999997</v>
      </c>
      <c r="AF94" s="289">
        <f>AE94/$AE$131</f>
        <v>1.49206153694557E-2</v>
      </c>
    </row>
    <row r="95" spans="2:32" ht="18" customHeight="1" x14ac:dyDescent="0.45">
      <c r="B95" s="297" t="str">
        <f>VLOOKUP(D95,'[2]Work Item Vlookup'!$A$2:$B$119,2,FALSE)</f>
        <v>WI0276</v>
      </c>
      <c r="C95" s="298"/>
      <c r="D95" s="297" t="str">
        <f>[2]SourceData!A89</f>
        <v>Manual CNV + Prop Capping (UT, AZ, CO, IN, OK, CT, OH, KS, KY) (Orig Scope)</v>
      </c>
      <c r="E95" s="287">
        <f t="array" ref="E95">MIN((INDEX([2]SourceData!$B:$B, MATCH($D95,[2]SourceData!$A:$A, 0))-SUM($D95:D95)),  (MaxPtsPerSprint1-SUM(E$7:E92)))</f>
        <v>0</v>
      </c>
      <c r="F95" s="287">
        <f t="array" ref="F95">MIN((INDEX([2]SourceData!$B:$B, MATCH($D95,[2]SourceData!$A:$A, 0))-SUM($D95:E95)),  (MaxPtsPerSprint2-SUM(F$7:F92)))</f>
        <v>0</v>
      </c>
      <c r="G95" s="287">
        <f t="array" ref="G95">MIN((INDEX([2]SourceData!$B:$B, MATCH($D95,[2]SourceData!$A:$A, 0))-SUM($D95:F95)),  (MaxPtsPerSprint3-SUM(G$7:G92)))</f>
        <v>0</v>
      </c>
      <c r="H95" s="287">
        <f t="array" ref="H95">MIN((INDEX([2]SourceData!$B:$B, MATCH($D95,[2]SourceData!$A:$A, 0))-SUM($D95:G95)),  (MaxPtsPerSprint4-SUM(H$7:H92)))</f>
        <v>0</v>
      </c>
      <c r="I95" s="287">
        <f t="array" ref="I95">MIN((INDEX([2]SourceData!$B:$B, MATCH($D95,[2]SourceData!$A:$A, 0))-SUM($D95:H95)),  (MaxPtsPerSprint5-SUM(I$7:I92)))</f>
        <v>0</v>
      </c>
      <c r="J95" s="287">
        <f t="array" ref="J95">MIN((INDEX([2]SourceData!$B:$B, MATCH($D95,[2]SourceData!$A:$A, 0))-SUM($D95:I95)),  (MaxPtsPerSprint6-SUM(J$7:J92)))</f>
        <v>0</v>
      </c>
      <c r="K95" s="287">
        <f t="array" ref="K95">MIN((INDEX([2]SourceData!$B:$B, MATCH($D95,[2]SourceData!$A:$A, 0))-SUM($D95:J95)),  (MaxPtsPerSprint7-SUM(K$7:K92)))</f>
        <v>0</v>
      </c>
      <c r="L95" s="287">
        <f t="array" ref="L95">MIN((INDEX([2]SourceData!$B:$B, MATCH($D95,[2]SourceData!$A:$A, 0))-SUM($D95:K95)),  (MaxPtsPerSprint8-SUM(L$7:L92)))</f>
        <v>0</v>
      </c>
      <c r="M95" s="287">
        <f t="array" ref="M95">MIN((INDEX([2]SourceData!$B:$B, MATCH($D95,[2]SourceData!$A:$A, 0))-SUM($D95:L95)),  (MaxPtsPerSprint9-SUM(M$7:M92)))</f>
        <v>0</v>
      </c>
      <c r="N95" s="287">
        <f t="array" ref="N95">MIN((INDEX([2]SourceData!$B:$B, MATCH($D95,[2]SourceData!$A:$A, 0))-SUM($D95:M95)),  (MaxPtsPerSprint10-SUM(N$7:N92)))</f>
        <v>0</v>
      </c>
      <c r="O95" s="287">
        <f t="array" ref="O95">MIN((INDEX([2]SourceData!$B:$B, MATCH($D95,[2]SourceData!$A:$A, 0))-SUM($D95:N95)),  (MaxPtsPerSprint11-SUM(O$7:O94)))</f>
        <v>0</v>
      </c>
      <c r="P95" s="287">
        <f t="array" ref="P95">MIN((INDEX([2]SourceData!$B:$B, MATCH($D95,[2]SourceData!$A:$A, 0))-SUM($D95:O95)),  (MaxPtsPerSprint12-SUM(P$7:P94)))</f>
        <v>0</v>
      </c>
      <c r="Q95" s="287">
        <f t="array" ref="Q95">MIN((INDEX([2]SourceData!$B:$B, MATCH($D95,[2]SourceData!$A:$A, 0))-SUM($D95:P95)),  (MaxPtsPerSprint13-SUM(Q$7:Q94)))</f>
        <v>0</v>
      </c>
      <c r="R95" s="287">
        <f t="array" ref="R95">MIN((INDEX([2]SourceData!$B:$B, MATCH($D95,[2]SourceData!$A:$A, 0))-SUM($D95:Q95)),  (MaxPtsPerSprint14-SUM(R$7:R94)))</f>
        <v>0</v>
      </c>
      <c r="S95" s="287">
        <f t="array" ref="S95">MIN((INDEX([2]SourceData!$B:$B, MATCH($D95,[2]SourceData!$A:$A, 0))-SUM($D95:R95)),  (MaxPtsPerSprint15-SUM(S$7:S94)))</f>
        <v>0</v>
      </c>
      <c r="T95" s="287">
        <f t="array" ref="T95">MIN((INDEX([2]SourceData!$B:$B, MATCH($D95,[2]SourceData!$A:$A, 0))-SUM($D95:S95)),  (MaxPtsPerSprint16-SUM(T$7:T94)))</f>
        <v>0</v>
      </c>
      <c r="U95" s="287">
        <f t="array" ref="U95">MIN((INDEX([2]SourceData!$B:$B, MATCH($D95,[2]SourceData!$A:$A, 0))-SUM($D95:T95)),  (MaxPtsPerSprint17-SUM(U$7:U94)))</f>
        <v>0</v>
      </c>
      <c r="V95" s="287">
        <f t="array" ref="V95">MIN((INDEX([2]SourceData!$B:$B, MATCH($D95,[2]SourceData!$A:$A, 0))-SUM($D95:U95)),  (MaxPtsPerSprint18-SUM(V$7:V94)))</f>
        <v>0</v>
      </c>
      <c r="W95" s="287">
        <f t="array" ref="W95">MIN((INDEX([2]SourceData!$B:$B, MATCH($D95,[2]SourceData!$A:$A, 0))-SUM($D95:V95)),  (MaxPtsPerSprint19-SUM(W$7:W94)))</f>
        <v>0</v>
      </c>
      <c r="X95" s="287">
        <f t="array" ref="X95">MIN((INDEX([2]SourceData!$B:$B, MATCH($D95,[2]SourceData!$A:$A, 0))-SUM($D95:W95)),  (MaxPtsPerSprint20-SUM(X$7:X94)))</f>
        <v>0</v>
      </c>
      <c r="Y95" s="287">
        <f t="array" ref="Y95">MIN((INDEX([2]SourceData!$B:$B, MATCH($D95,[2]SourceData!$A:$A, 0))-SUM($D95:X95)),  (MaxPtsPerSprint21-SUM(Y$7:Y94)))</f>
        <v>0</v>
      </c>
      <c r="Z95" s="287">
        <f t="array" ref="Z95">MIN((INDEX([2]SourceData!$B:$B, MATCH($D95,[2]SourceData!$A:$A, 0))-SUM($D95:Y95)),  (MaxPtsPerSprint22-SUM(Z$7:Z94)))</f>
        <v>0</v>
      </c>
      <c r="AA95" s="287">
        <f t="array" ref="AA95">MIN((INDEX([2]SourceData!$B:$B, MATCH($D95,[2]SourceData!$A:$A, 0))-SUM($D95:Z95)),  (MaxPtsPerSprint23-SUM(AA$7:AA94)))</f>
        <v>0</v>
      </c>
      <c r="AB95" s="299">
        <f t="array" ref="AB95">MIN((INDEX([2]SourceData!$B:$B, MATCH($D95,[2]SourceData!$A:$A, 0))-SUM($D95:AA95)),  (MaxPtsPerSprint24-SUM(AB$7:AB94)))</f>
        <v>358.80999999999977</v>
      </c>
      <c r="AC95" s="299">
        <f t="array" ref="AC95">MIN((INDEX([2]SourceData!$B:$B, MATCH($D95,[2]SourceData!$A:$A, 0))-SUM($D95:AB95)),  (MaxPtsPerSprint24-SUM(AC$7:AC94)))</f>
        <v>322.58000000000021</v>
      </c>
      <c r="AD95" s="299">
        <f t="array" ref="AD95">MIN((INDEX([2]SourceData!$B:$B, MATCH($D95,[2]SourceData!$A:$A, 0))-SUM($D95:AC95)),  (MaxPtsPerSprint24-SUM(AD$7:AD94)))</f>
        <v>0</v>
      </c>
      <c r="AE95" s="299">
        <f t="shared" si="6"/>
        <v>681.39</v>
      </c>
      <c r="AF95" s="289"/>
    </row>
    <row r="96" spans="2:32" ht="18" customHeight="1" x14ac:dyDescent="0.45">
      <c r="B96" s="297" t="str">
        <f>VLOOKUP(D96,'[2]Work Item Vlookup'!$A$2:$B$119,2,FALSE)</f>
        <v>WI0299</v>
      </c>
      <c r="C96" s="298"/>
      <c r="D96" s="297" t="str">
        <f>[2]SourceData!A90</f>
        <v>CA Choice Conversion (Orig Scope)</v>
      </c>
      <c r="E96" s="287">
        <f t="array" ref="E96">MIN((INDEX([2]SourceData!$B:$B, MATCH($D96,[2]SourceData!$A:$A, 0))-SUM($D96:D96)),  (MaxPtsPerSprint1-SUM(E$7:E94)))</f>
        <v>0</v>
      </c>
      <c r="F96" s="287">
        <f t="array" ref="F96">MIN((INDEX([2]SourceData!$B:$B, MATCH($D96,[2]SourceData!$A:$A, 0))-SUM($D96:E96)),  (MaxPtsPerSprint2-SUM(F$7:F94)))</f>
        <v>0</v>
      </c>
      <c r="G96" s="287">
        <f t="array" ref="G96">MIN((INDEX([2]SourceData!$B:$B, MATCH($D96,[2]SourceData!$A:$A, 0))-SUM($D96:F96)),  (MaxPtsPerSprint3-SUM(G$7:G94)))</f>
        <v>0</v>
      </c>
      <c r="H96" s="287">
        <f t="array" ref="H96">MIN((INDEX([2]SourceData!$B:$B, MATCH($D96,[2]SourceData!$A:$A, 0))-SUM($D96:G96)),  (MaxPtsPerSprint4-SUM(H$7:H94)))</f>
        <v>0</v>
      </c>
      <c r="I96" s="287">
        <f t="array" ref="I96">MIN((INDEX([2]SourceData!$B:$B, MATCH($D96,[2]SourceData!$A:$A, 0))-SUM($D96:H96)),  (MaxPtsPerSprint5-SUM(I$7:I94)))</f>
        <v>0</v>
      </c>
      <c r="J96" s="287">
        <f t="array" ref="J96">MIN((INDEX([2]SourceData!$B:$B, MATCH($D96,[2]SourceData!$A:$A, 0))-SUM($D96:I96)),  (MaxPtsPerSprint6-SUM(J$7:J94)))</f>
        <v>0</v>
      </c>
      <c r="K96" s="287">
        <f t="array" ref="K96">MIN((INDEX([2]SourceData!$B:$B, MATCH($D96,[2]SourceData!$A:$A, 0))-SUM($D96:J96)),  (MaxPtsPerSprint7-SUM(K$7:K94)))</f>
        <v>0</v>
      </c>
      <c r="L96" s="287">
        <f t="array" ref="L96">MIN((INDEX([2]SourceData!$B:$B, MATCH($D96,[2]SourceData!$A:$A, 0))-SUM($D96:K96)),  (MaxPtsPerSprint8-SUM(L$7:L94)))</f>
        <v>0</v>
      </c>
      <c r="M96" s="287">
        <f t="array" ref="M96">MIN((INDEX([2]SourceData!$B:$B, MATCH($D96,[2]SourceData!$A:$A, 0))-SUM($D96:L96)),  (MaxPtsPerSprint9-SUM(M$7:M94)))</f>
        <v>0</v>
      </c>
      <c r="N96" s="287">
        <f t="array" ref="N96">MIN((INDEX([2]SourceData!$B:$B, MATCH($D96,[2]SourceData!$A:$A, 0))-SUM($D96:M96)),  (MaxPtsPerSprint10-SUM(N$7:N94)))</f>
        <v>0</v>
      </c>
      <c r="O96" s="287">
        <f t="array" ref="O96">MIN((INDEX([2]SourceData!$B:$B, MATCH($D96,[2]SourceData!$A:$A, 0))-SUM($D96:N96)),  (MaxPtsPerSprint11-SUM(O$7:O95)))</f>
        <v>0</v>
      </c>
      <c r="P96" s="287">
        <f t="array" ref="P96">MIN((INDEX([2]SourceData!$B:$B, MATCH($D96,[2]SourceData!$A:$A, 0))-SUM($D96:O96)),  (MaxPtsPerSprint12-SUM(P$7:P95)))</f>
        <v>0</v>
      </c>
      <c r="Q96" s="287">
        <f t="array" ref="Q96">MIN((INDEX([2]SourceData!$B:$B, MATCH($D96,[2]SourceData!$A:$A, 0))-SUM($D96:P96)),  (MaxPtsPerSprint13-SUM(Q$7:Q95)))</f>
        <v>0</v>
      </c>
      <c r="R96" s="287">
        <f t="array" ref="R96">MIN((INDEX([2]SourceData!$B:$B, MATCH($D96,[2]SourceData!$A:$A, 0))-SUM($D96:Q96)),  (MaxPtsPerSprint14-SUM(R$7:R95)))</f>
        <v>0</v>
      </c>
      <c r="S96" s="287">
        <f t="array" ref="S96">MIN((INDEX([2]SourceData!$B:$B, MATCH($D96,[2]SourceData!$A:$A, 0))-SUM($D96:R96)),  (MaxPtsPerSprint15-SUM(S$7:S95)))</f>
        <v>0</v>
      </c>
      <c r="T96" s="287">
        <f t="array" ref="T96">MIN((INDEX([2]SourceData!$B:$B, MATCH($D96,[2]SourceData!$A:$A, 0))-SUM($D96:S96)),  (MaxPtsPerSprint16-SUM(T$7:T95)))</f>
        <v>0</v>
      </c>
      <c r="U96" s="287">
        <f t="array" ref="U96">MIN((INDEX([2]SourceData!$B:$B, MATCH($D96,[2]SourceData!$A:$A, 0))-SUM($D96:T96)),  (MaxPtsPerSprint17-SUM(U$7:U95)))</f>
        <v>0</v>
      </c>
      <c r="V96" s="287">
        <f t="array" ref="V96">MIN((INDEX([2]SourceData!$B:$B, MATCH($D96,[2]SourceData!$A:$A, 0))-SUM($D96:U96)),  (MaxPtsPerSprint18-SUM(V$7:V95)))</f>
        <v>0</v>
      </c>
      <c r="W96" s="287">
        <f t="array" ref="W96">MIN((INDEX([2]SourceData!$B:$B, MATCH($D96,[2]SourceData!$A:$A, 0))-SUM($D96:V96)),  (MaxPtsPerSprint19-SUM(W$7:W95)))</f>
        <v>0</v>
      </c>
      <c r="X96" s="287">
        <f t="array" ref="X96">MIN((INDEX([2]SourceData!$B:$B, MATCH($D96,[2]SourceData!$A:$A, 0))-SUM($D96:W96)),  (MaxPtsPerSprint20-SUM(X$7:X95)))</f>
        <v>0</v>
      </c>
      <c r="Y96" s="287">
        <f t="array" ref="Y96">MIN((INDEX([2]SourceData!$B:$B, MATCH($D96,[2]SourceData!$A:$A, 0))-SUM($D96:X96)),  (MaxPtsPerSprint21-SUM(Y$7:Y95)))</f>
        <v>0</v>
      </c>
      <c r="Z96" s="287">
        <f t="array" ref="Z96">MIN((INDEX([2]SourceData!$B:$B, MATCH($D96,[2]SourceData!$A:$A, 0))-SUM($D96:Y96)),  (MaxPtsPerSprint22-SUM(Z$7:Z95)))</f>
        <v>0</v>
      </c>
      <c r="AA96" s="287">
        <f t="array" ref="AA96">MIN((INDEX([2]SourceData!$B:$B, MATCH($D96,[2]SourceData!$A:$A, 0))-SUM($D96:Z96)),  (MaxPtsPerSprint23-SUM(AA$7:AA95)))</f>
        <v>0</v>
      </c>
      <c r="AB96" s="299">
        <f t="array" ref="AB96">MIN((INDEX([2]SourceData!$B:$B, MATCH($D96,[2]SourceData!$A:$A, 0))-SUM($D96:AA96)),  (MaxPtsPerSprint24-SUM(AB$7:AB95)))</f>
        <v>0</v>
      </c>
      <c r="AC96" s="299">
        <f t="array" ref="AC96">MIN((INDEX([2]SourceData!$B:$B, MATCH($D96,[2]SourceData!$A:$A, 0))-SUM($D96:AB96)),  (MaxPtsPerSprint24-SUM(AC$7:AC95)))</f>
        <v>112.99999999999999</v>
      </c>
      <c r="AD96" s="299">
        <f t="array" ref="AD96">MIN((INDEX([2]SourceData!$B:$B, MATCH($D96,[2]SourceData!$A:$A, 0))-SUM($D96:AC96)),  (MaxPtsPerSprint24-SUM(AD$7:AD95)))</f>
        <v>0</v>
      </c>
      <c r="AE96" s="299">
        <f t="shared" si="6"/>
        <v>112.99999999999999</v>
      </c>
      <c r="AF96" s="289"/>
    </row>
    <row r="97" spans="2:32" ht="18" customHeight="1" x14ac:dyDescent="0.45">
      <c r="B97" s="297" t="str">
        <f>VLOOKUP(D97,'[2]Work Item Vlookup'!$A$2:$B$119,2,FALSE)</f>
        <v>WI0303</v>
      </c>
      <c r="C97" s="298"/>
      <c r="D97" s="297" t="str">
        <f>[2]SourceData!A91</f>
        <v>Manual CNV + Prop Capping (MT, ID, OR, WY, DC) (Orig Scope)</v>
      </c>
      <c r="E97" s="287">
        <f t="array" ref="E97">MIN((INDEX([2]SourceData!$B:$B, MATCH($D97,[2]SourceData!$A:$A, 0))-SUM($D97:D97)),  (MaxPtsPerSprint1-SUM(E$7:E95)))</f>
        <v>0</v>
      </c>
      <c r="F97" s="287">
        <f t="array" ref="F97">MIN((INDEX([2]SourceData!$B:$B, MATCH($D97,[2]SourceData!$A:$A, 0))-SUM($D97:E97)),  (MaxPtsPerSprint2-SUM(F$7:F95)))</f>
        <v>0</v>
      </c>
      <c r="G97" s="287">
        <f t="array" ref="G97">MIN((INDEX([2]SourceData!$B:$B, MATCH($D97,[2]SourceData!$A:$A, 0))-SUM($D97:F97)),  (MaxPtsPerSprint3-SUM(G$7:G95)))</f>
        <v>0</v>
      </c>
      <c r="H97" s="287">
        <f t="array" ref="H97">MIN((INDEX([2]SourceData!$B:$B, MATCH($D97,[2]SourceData!$A:$A, 0))-SUM($D97:G97)),  (MaxPtsPerSprint4-SUM(H$7:H95)))</f>
        <v>0</v>
      </c>
      <c r="I97" s="287">
        <f t="array" ref="I97">MIN((INDEX([2]SourceData!$B:$B, MATCH($D97,[2]SourceData!$A:$A, 0))-SUM($D97:H97)),  (MaxPtsPerSprint5-SUM(I$7:I95)))</f>
        <v>0</v>
      </c>
      <c r="J97" s="287">
        <f t="array" ref="J97">MIN((INDEX([2]SourceData!$B:$B, MATCH($D97,[2]SourceData!$A:$A, 0))-SUM($D97:I97)),  (MaxPtsPerSprint6-SUM(J$7:J95)))</f>
        <v>0</v>
      </c>
      <c r="K97" s="287">
        <f t="array" ref="K97">MIN((INDEX([2]SourceData!$B:$B, MATCH($D97,[2]SourceData!$A:$A, 0))-SUM($D97:J97)),  (MaxPtsPerSprint7-SUM(K$7:K95)))</f>
        <v>0</v>
      </c>
      <c r="L97" s="287">
        <f t="array" ref="L97">MIN((INDEX([2]SourceData!$B:$B, MATCH($D97,[2]SourceData!$A:$A, 0))-SUM($D97:K97)),  (MaxPtsPerSprint8-SUM(L$7:L95)))</f>
        <v>0</v>
      </c>
      <c r="M97" s="287">
        <f t="array" ref="M97">MIN((INDEX([2]SourceData!$B:$B, MATCH($D97,[2]SourceData!$A:$A, 0))-SUM($D97:L97)),  (MaxPtsPerSprint9-SUM(M$7:M95)))</f>
        <v>0</v>
      </c>
      <c r="N97" s="287">
        <f t="array" ref="N97">MIN((INDEX([2]SourceData!$B:$B, MATCH($D97,[2]SourceData!$A:$A, 0))-SUM($D97:M97)),  (MaxPtsPerSprint10-SUM(N$7:N95)))</f>
        <v>0</v>
      </c>
      <c r="O97" s="287">
        <f t="array" ref="O97">MIN((INDEX([2]SourceData!$B:$B, MATCH($D97,[2]SourceData!$A:$A, 0))-SUM($D97:N97)),  (MaxPtsPerSprint11-SUM(O$7:O96)))</f>
        <v>0</v>
      </c>
      <c r="P97" s="287">
        <f t="array" ref="P97">MIN((INDEX([2]SourceData!$B:$B, MATCH($D97,[2]SourceData!$A:$A, 0))-SUM($D97:O97)),  (MaxPtsPerSprint12-SUM(P$7:P96)))</f>
        <v>0</v>
      </c>
      <c r="Q97" s="287">
        <f t="array" ref="Q97">MIN((INDEX([2]SourceData!$B:$B, MATCH($D97,[2]SourceData!$A:$A, 0))-SUM($D97:P97)),  (MaxPtsPerSprint13-SUM(Q$7:Q96)))</f>
        <v>0</v>
      </c>
      <c r="R97" s="287">
        <f t="array" ref="R97">MIN((INDEX([2]SourceData!$B:$B, MATCH($D97,[2]SourceData!$A:$A, 0))-SUM($D97:Q97)),  (MaxPtsPerSprint14-SUM(R$7:R96)))</f>
        <v>0</v>
      </c>
      <c r="S97" s="287">
        <f t="array" ref="S97">MIN((INDEX([2]SourceData!$B:$B, MATCH($D97,[2]SourceData!$A:$A, 0))-SUM($D97:R97)),  (MaxPtsPerSprint15-SUM(S$7:S96)))</f>
        <v>0</v>
      </c>
      <c r="T97" s="287">
        <f t="array" ref="T97">MIN((INDEX([2]SourceData!$B:$B, MATCH($D97,[2]SourceData!$A:$A, 0))-SUM($D97:S97)),  (MaxPtsPerSprint16-SUM(T$7:T96)))</f>
        <v>0</v>
      </c>
      <c r="U97" s="287">
        <f t="array" ref="U97">MIN((INDEX([2]SourceData!$B:$B, MATCH($D97,[2]SourceData!$A:$A, 0))-SUM($D97:T97)),  (MaxPtsPerSprint17-SUM(U$7:U96)))</f>
        <v>0</v>
      </c>
      <c r="V97" s="287">
        <f t="array" ref="V97">MIN((INDEX([2]SourceData!$B:$B, MATCH($D97,[2]SourceData!$A:$A, 0))-SUM($D97:U97)),  (MaxPtsPerSprint18-SUM(V$7:V96)))</f>
        <v>0</v>
      </c>
      <c r="W97" s="287">
        <f t="array" ref="W97">MIN((INDEX([2]SourceData!$B:$B, MATCH($D97,[2]SourceData!$A:$A, 0))-SUM($D97:V97)),  (MaxPtsPerSprint19-SUM(W$7:W96)))</f>
        <v>0</v>
      </c>
      <c r="X97" s="287">
        <f t="array" ref="X97">MIN((INDEX([2]SourceData!$B:$B, MATCH($D97,[2]SourceData!$A:$A, 0))-SUM($D97:W97)),  (MaxPtsPerSprint20-SUM(X$7:X96)))</f>
        <v>0</v>
      </c>
      <c r="Y97" s="287">
        <f t="array" ref="Y97">MIN((INDEX([2]SourceData!$B:$B, MATCH($D97,[2]SourceData!$A:$A, 0))-SUM($D97:X97)),  (MaxPtsPerSprint21-SUM(Y$7:Y96)))</f>
        <v>0</v>
      </c>
      <c r="Z97" s="287">
        <f t="array" ref="Z97">MIN((INDEX([2]SourceData!$B:$B, MATCH($D97,[2]SourceData!$A:$A, 0))-SUM($D97:Y97)),  (MaxPtsPerSprint22-SUM(Z$7:Z96)))</f>
        <v>0</v>
      </c>
      <c r="AA97" s="287">
        <f t="array" ref="AA97">MIN((INDEX([2]SourceData!$B:$B, MATCH($D97,[2]SourceData!$A:$A, 0))-SUM($D97:Z97)),  (MaxPtsPerSprint23-SUM(AA$7:AA96)))</f>
        <v>0</v>
      </c>
      <c r="AB97" s="299">
        <f t="array" ref="AB97">MIN((INDEX([2]SourceData!$B:$B, MATCH($D97,[2]SourceData!$A:$A, 0))-SUM($D97:AA97)),  (MaxPtsPerSprint24-SUM(AB$7:AB96)))</f>
        <v>0</v>
      </c>
      <c r="AC97" s="299">
        <f t="array" ref="AC97">MIN((INDEX([2]SourceData!$B:$B, MATCH($D97,[2]SourceData!$A:$A, 0))-SUM($D97:AB97)),  (MaxPtsPerSprint24-SUM(AC$7:AC96)))</f>
        <v>378.54999999999995</v>
      </c>
      <c r="AD97" s="299">
        <f t="array" ref="AD97">MIN((INDEX([2]SourceData!$B:$B, MATCH($D97,[2]SourceData!$A:$A, 0))-SUM($D97:AC97)),  (MaxPtsPerSprint24-SUM(AD$7:AD96)))</f>
        <v>0</v>
      </c>
      <c r="AE97" s="299">
        <f t="shared" si="6"/>
        <v>378.54999999999995</v>
      </c>
      <c r="AF97" s="289"/>
    </row>
    <row r="98" spans="2:32" ht="18" hidden="1" customHeight="1" outlineLevel="1" x14ac:dyDescent="0.45">
      <c r="B98" s="284" t="e">
        <f>VLOOKUP(D98,'[2]Work Item Vlookup'!$A$2:$B$119,2,FALSE)</f>
        <v>#REF!</v>
      </c>
      <c r="C98" s="284"/>
      <c r="D98" s="285" t="e">
        <f t="array" ref="D98">[2]SourceData!#REF!</f>
        <v>#REF!</v>
      </c>
      <c r="E98" s="286" t="e">
        <f t="array" ref="E98">MIN((INDEX([2]SourceData!$B:$B, MATCH($D98,[2]SourceData!$A:$A, 0))-SUM($D98:D98)),  (MaxPtsPerSprint1-SUM(E$7:E96)))</f>
        <v>#REF!</v>
      </c>
      <c r="F98" s="286" t="e">
        <f t="array" ref="F98">MIN((INDEX([2]SourceData!$B:$B, MATCH($D98,[2]SourceData!$A:$A, 0))-SUM($D98:E98)),  (MaxPtsPerSprint2-SUM(F$7:F96)))</f>
        <v>#REF!</v>
      </c>
      <c r="G98" s="286" t="e">
        <f t="array" ref="G98">MIN((INDEX([2]SourceData!$B:$B, MATCH($D98,[2]SourceData!$A:$A, 0))-SUM($D98:F98)),  (MaxPtsPerSprint3-SUM(G$7:G96)))</f>
        <v>#REF!</v>
      </c>
      <c r="H98" s="286" t="e">
        <f t="array" ref="H98">MIN((INDEX([2]SourceData!$B:$B, MATCH($D98,[2]SourceData!$A:$A, 0))-SUM($D98:G98)),  (MaxPtsPerSprint4-SUM(H$7:H96)))</f>
        <v>#REF!</v>
      </c>
      <c r="I98" s="286" t="e">
        <f t="array" ref="I98">MIN((INDEX([2]SourceData!$B:$B, MATCH($D98,[2]SourceData!$A:$A, 0))-SUM($D98:H98)),  (MaxPtsPerSprint5-SUM(I$7:I96)))</f>
        <v>#REF!</v>
      </c>
      <c r="J98" s="286" t="e">
        <f t="array" ref="J98">MIN((INDEX([2]SourceData!$B:$B, MATCH($D98,[2]SourceData!$A:$A, 0))-SUM($D98:I98)),  (MaxPtsPerSprint6-SUM(J$7:J96)))</f>
        <v>#REF!</v>
      </c>
      <c r="K98" s="286" t="e">
        <f t="array" ref="K98">MIN((INDEX([2]SourceData!$B:$B, MATCH($D98,[2]SourceData!$A:$A, 0))-SUM($D98:J98)),  (MaxPtsPerSprint7-SUM(K$7:K96)))</f>
        <v>#REF!</v>
      </c>
      <c r="L98" s="286" t="e">
        <f t="array" ref="L98">MIN((INDEX([2]SourceData!$B:$B, MATCH($D98,[2]SourceData!$A:$A, 0))-SUM($D98:K98)),  (MaxPtsPerSprint8-SUM(L$7:L96)))</f>
        <v>#REF!</v>
      </c>
      <c r="M98" s="286" t="e">
        <f t="array" ref="M98">MIN((INDEX([2]SourceData!$B:$B, MATCH($D98,[2]SourceData!$A:$A, 0))-SUM($D98:L98)),  (MaxPtsPerSprint9-SUM(M$7:M96)))</f>
        <v>#REF!</v>
      </c>
      <c r="N98" s="286" t="e">
        <f t="array" ref="N98">MIN((INDEX([2]SourceData!$B:$B, MATCH($D98,[2]SourceData!$A:$A, 0))-SUM($D98:M98)),  (MaxPtsPerSprint10-SUM(N$7:N96)))</f>
        <v>#REF!</v>
      </c>
      <c r="O98" s="286" t="e">
        <f t="array" ref="O98">MIN((INDEX([2]SourceData!$B:$B, MATCH($D98,[2]SourceData!$A:$A, 0))-SUM($D98:N98)),  (MaxPtsPerSprint11-SUM(O$7:O96)))</f>
        <v>#REF!</v>
      </c>
      <c r="P98" s="286" t="e">
        <f t="array" ref="P98">MIN((INDEX([2]SourceData!$B:$B, MATCH($D98,[2]SourceData!$A:$A, 0))-SUM($D98:O98)),  (MaxPtsPerSprint12-SUM(P$7:P96)))</f>
        <v>#REF!</v>
      </c>
      <c r="Q98" s="286" t="e">
        <f t="array" ref="Q98">MIN((INDEX([2]SourceData!$B:$B, MATCH($D98,[2]SourceData!$A:$A, 0))-SUM($D98:P98)),  (MaxPtsPerSprint13-SUM(Q$7:Q97)))</f>
        <v>#REF!</v>
      </c>
      <c r="R98" s="286" t="e">
        <f t="array" ref="R98">MIN((INDEX([2]SourceData!$B:$B, MATCH($D98,[2]SourceData!$A:$A, 0))-SUM($D98:Q98)),  (MaxPtsPerSprint14-SUM(R$7:R97)))</f>
        <v>#REF!</v>
      </c>
      <c r="S98" s="286" t="e">
        <f t="array" ref="S98">MIN((INDEX([2]SourceData!$B:$B, MATCH($D98,[2]SourceData!$A:$A, 0))-SUM($D98:R98)),  (MaxPtsPerSprint15-SUM(S$7:S97)))</f>
        <v>#REF!</v>
      </c>
      <c r="T98" s="286" t="e">
        <f t="array" ref="T98">MIN((INDEX([2]SourceData!$B:$B, MATCH($D98,[2]SourceData!$A:$A, 0))-SUM($D98:S98)),  (MaxPtsPerSprint16-SUM(T$7:T97)))</f>
        <v>#REF!</v>
      </c>
      <c r="U98" s="286" t="e">
        <f t="array" ref="U98">MIN((INDEX([2]SourceData!$B:$B, MATCH($D98,[2]SourceData!$A:$A, 0))-SUM($D98:T98)),  (MaxPtsPerSprint17-SUM(U$7:U97)))</f>
        <v>#REF!</v>
      </c>
      <c r="V98" s="286" t="e">
        <f t="array" ref="V98">MIN((INDEX([2]SourceData!$B:$B, MATCH($D98,[2]SourceData!$A:$A, 0))-SUM($D98:U98)),  (MaxPtsPerSprint18-SUM(V$7:V97)))</f>
        <v>#REF!</v>
      </c>
      <c r="W98" s="286" t="e">
        <f t="array" ref="W98">MIN((INDEX([2]SourceData!$B:$B, MATCH($D98,[2]SourceData!$A:$A, 0))-SUM($D98:V98)),  (MaxPtsPerSprint19-SUM(W$7:W97)))</f>
        <v>#REF!</v>
      </c>
      <c r="X98" s="286" t="e">
        <f t="array" ref="X98">MIN((INDEX([2]SourceData!$B:$B, MATCH($D98,[2]SourceData!$A:$A, 0))-SUM($D98:W98)),  (MaxPtsPerSprint20-SUM(X$7:X97)))</f>
        <v>#REF!</v>
      </c>
      <c r="Y98" s="287" t="e">
        <f t="array" ref="Y98">MIN((INDEX([2]SourceData!$B:$B, MATCH($D98,[2]SourceData!$A:$A, 0))-SUM($D98:X98)),  (MaxPtsPerSprint21-SUM(Y$7:Y97)))</f>
        <v>#REF!</v>
      </c>
      <c r="Z98" s="287" t="e">
        <f t="array" ref="Z98">MIN((INDEX([2]SourceData!$B:$B, MATCH($D98,[2]SourceData!$A:$A, 0))-SUM($D98:Y98)),  (MaxPtsPerSprint22-SUM(Z$7:Z97)))</f>
        <v>#REF!</v>
      </c>
      <c r="AA98" s="287" t="e">
        <f t="array" ref="AA98">MIN((INDEX([2]SourceData!$B:$B, MATCH($D98,[2]SourceData!$A:$A, 0))-SUM($D98:Z98)),  (MaxPtsPerSprint23-SUM(AA$7:AA97)))</f>
        <v>#REF!</v>
      </c>
      <c r="AB98" s="287" t="e">
        <f t="array" ref="AB98">MIN((INDEX([2]SourceData!$B:$B, MATCH($D98,[2]SourceData!$A:$A, 0))-SUM($D98:AA98)),  (MaxPtsPerSprint24-SUM(AB$7:AB97)))</f>
        <v>#REF!</v>
      </c>
      <c r="AC98" s="299" t="e">
        <f t="array" ref="AC98">MIN((INDEX([2]SourceData!$B:$B, MATCH($D98,[2]SourceData!$A:$A, 0))-SUM($D98:AB98)),  (MaxPtsPerSprint24-SUM(AC$7:AC97)))</f>
        <v>#REF!</v>
      </c>
      <c r="AD98" s="287"/>
      <c r="AE98" s="288" t="e">
        <f t="shared" ref="AE98:AE115" si="7">SUM(E98:AB98)</f>
        <v>#REF!</v>
      </c>
      <c r="AF98" s="289"/>
    </row>
    <row r="99" spans="2:32" ht="18" hidden="1" customHeight="1" outlineLevel="1" x14ac:dyDescent="0.45">
      <c r="B99" s="284" t="e">
        <f>VLOOKUP(D99,'[2]Work Item Vlookup'!$A$2:$B$119,2,FALSE)</f>
        <v>#N/A</v>
      </c>
      <c r="C99" s="284"/>
      <c r="D99" s="285">
        <f t="array" ref="D99">[2]SourceData!A92</f>
        <v>0</v>
      </c>
      <c r="E99" s="286" t="e">
        <f t="array" ref="E99">MIN((INDEX([2]SourceData!$B:$B, MATCH($D99,[2]SourceData!$A:$A, 0))-SUM($D99:D99)),  (MaxPtsPerSprint1-SUM(E$7:E97)))</f>
        <v>#N/A</v>
      </c>
      <c r="F99" s="286" t="e">
        <f t="array" ref="F99">MIN((INDEX([2]SourceData!$B:$B, MATCH($D99,[2]SourceData!$A:$A, 0))-SUM($D99:E99)),  (MaxPtsPerSprint2-SUM(F$7:F97)))</f>
        <v>#N/A</v>
      </c>
      <c r="G99" s="286" t="e">
        <f t="array" ref="G99">MIN((INDEX([2]SourceData!$B:$B, MATCH($D99,[2]SourceData!$A:$A, 0))-SUM($D99:F99)),  (MaxPtsPerSprint3-SUM(G$7:G97)))</f>
        <v>#N/A</v>
      </c>
      <c r="H99" s="286" t="e">
        <f t="array" ref="H99">MIN((INDEX([2]SourceData!$B:$B, MATCH($D99,[2]SourceData!$A:$A, 0))-SUM($D99:G99)),  (MaxPtsPerSprint4-SUM(H$7:H97)))</f>
        <v>#N/A</v>
      </c>
      <c r="I99" s="286" t="e">
        <f t="array" ref="I99">MIN((INDEX([2]SourceData!$B:$B, MATCH($D99,[2]SourceData!$A:$A, 0))-SUM($D99:H99)),  (MaxPtsPerSprint5-SUM(I$7:I97)))</f>
        <v>#N/A</v>
      </c>
      <c r="J99" s="286" t="e">
        <f t="array" ref="J99">MIN((INDEX([2]SourceData!$B:$B, MATCH($D99,[2]SourceData!$A:$A, 0))-SUM($D99:I99)),  (MaxPtsPerSprint6-SUM(J$7:J97)))</f>
        <v>#N/A</v>
      </c>
      <c r="K99" s="286" t="e">
        <f t="array" ref="K99">MIN((INDEX([2]SourceData!$B:$B, MATCH($D99,[2]SourceData!$A:$A, 0))-SUM($D99:J99)),  (MaxPtsPerSprint7-SUM(K$7:K97)))</f>
        <v>#N/A</v>
      </c>
      <c r="L99" s="286" t="e">
        <f t="array" ref="L99">MIN((INDEX([2]SourceData!$B:$B, MATCH($D99,[2]SourceData!$A:$A, 0))-SUM($D99:K99)),  (MaxPtsPerSprint8-SUM(L$7:L97)))</f>
        <v>#N/A</v>
      </c>
      <c r="M99" s="286" t="e">
        <f t="array" ref="M99">MIN((INDEX([2]SourceData!$B:$B, MATCH($D99,[2]SourceData!$A:$A, 0))-SUM($D99:L99)),  (MaxPtsPerSprint9-SUM(M$7:M97)))</f>
        <v>#N/A</v>
      </c>
      <c r="N99" s="286" t="e">
        <f t="array" ref="N99">MIN((INDEX([2]SourceData!$B:$B, MATCH($D99,[2]SourceData!$A:$A, 0))-SUM($D99:M99)),  (MaxPtsPerSprint10-SUM(N$7:N97)))</f>
        <v>#N/A</v>
      </c>
      <c r="O99" s="286" t="e">
        <f t="array" ref="O99">MIN((INDEX([2]SourceData!$B:$B, MATCH($D99,[2]SourceData!$A:$A, 0))-SUM($D99:N99)),  (MaxPtsPerSprint11-SUM(O$7:O97)))</f>
        <v>#N/A</v>
      </c>
      <c r="P99" s="286" t="e">
        <f t="array" ref="P99">MIN((INDEX([2]SourceData!$B:$B, MATCH($D99,[2]SourceData!$A:$A, 0))-SUM($D99:O99)),  (MaxPtsPerSprint12-SUM(P$7:P97)))</f>
        <v>#N/A</v>
      </c>
      <c r="Q99" s="286" t="e">
        <f t="array" ref="Q99">MIN((INDEX([2]SourceData!$B:$B, MATCH($D99,[2]SourceData!$A:$A, 0))-SUM($D99:P99)),  (MaxPtsPerSprint13-SUM(Q$7:Q98)))</f>
        <v>#N/A</v>
      </c>
      <c r="R99" s="286" t="e">
        <f t="array" ref="R99">MIN((INDEX([2]SourceData!$B:$B, MATCH($D99,[2]SourceData!$A:$A, 0))-SUM($D99:Q99)),  (MaxPtsPerSprint14-SUM(R$7:R98)))</f>
        <v>#N/A</v>
      </c>
      <c r="S99" s="286" t="e">
        <f t="array" ref="S99">MIN((INDEX([2]SourceData!$B:$B, MATCH($D99,[2]SourceData!$A:$A, 0))-SUM($D99:R99)),  (MaxPtsPerSprint15-SUM(S$7:S98)))</f>
        <v>#N/A</v>
      </c>
      <c r="T99" s="286" t="e">
        <f t="array" ref="T99">MIN((INDEX([2]SourceData!$B:$B, MATCH($D99,[2]SourceData!$A:$A, 0))-SUM($D99:S99)),  (MaxPtsPerSprint16-SUM(T$7:T98)))</f>
        <v>#N/A</v>
      </c>
      <c r="U99" s="286" t="e">
        <f t="array" ref="U99">MIN((INDEX([2]SourceData!$B:$B, MATCH($D99,[2]SourceData!$A:$A, 0))-SUM($D99:T99)),  (MaxPtsPerSprint17-SUM(U$7:U98)))</f>
        <v>#N/A</v>
      </c>
      <c r="V99" s="286" t="e">
        <f t="array" ref="V99">MIN((INDEX([2]SourceData!$B:$B, MATCH($D99,[2]SourceData!$A:$A, 0))-SUM($D99:U99)),  (MaxPtsPerSprint18-SUM(V$7:V98)))</f>
        <v>#N/A</v>
      </c>
      <c r="W99" s="286" t="e">
        <f t="array" ref="W99">MIN((INDEX([2]SourceData!$B:$B, MATCH($D99,[2]SourceData!$A:$A, 0))-SUM($D99:V99)),  (MaxPtsPerSprint19-SUM(W$7:W98)))</f>
        <v>#N/A</v>
      </c>
      <c r="X99" s="286" t="e">
        <f t="array" ref="X99">MIN((INDEX([2]SourceData!$B:$B, MATCH($D99,[2]SourceData!$A:$A, 0))-SUM($D99:W99)),  (MaxPtsPerSprint20-SUM(X$7:X98)))</f>
        <v>#N/A</v>
      </c>
      <c r="Y99" s="287" t="e">
        <f t="array" ref="Y99">MIN((INDEX([2]SourceData!$B:$B, MATCH($D99,[2]SourceData!$A:$A, 0))-SUM($D99:X99)),  (MaxPtsPerSprint21-SUM(Y$7:Y98)))</f>
        <v>#N/A</v>
      </c>
      <c r="Z99" s="287" t="e">
        <f t="array" ref="Z99">MIN((INDEX([2]SourceData!$B:$B, MATCH($D99,[2]SourceData!$A:$A, 0))-SUM($D99:Y99)),  (MaxPtsPerSprint22-SUM(Z$7:Z98)))</f>
        <v>#N/A</v>
      </c>
      <c r="AA99" s="287" t="e">
        <f t="array" ref="AA99">MIN((INDEX([2]SourceData!$B:$B, MATCH($D99,[2]SourceData!$A:$A, 0))-SUM($D99:Z99)),  (MaxPtsPerSprint23-SUM(AA$7:AA98)))</f>
        <v>#N/A</v>
      </c>
      <c r="AB99" s="287" t="e">
        <f t="array" ref="AB99">MIN((INDEX([2]SourceData!$B:$B, MATCH($D99,[2]SourceData!$A:$A, 0))-SUM($D99:AA99)),  (MaxPtsPerSprint24-SUM(AB$7:AB98)))</f>
        <v>#N/A</v>
      </c>
      <c r="AC99" s="287"/>
      <c r="AD99" s="287"/>
      <c r="AE99" s="288" t="e">
        <f t="shared" si="7"/>
        <v>#N/A</v>
      </c>
      <c r="AF99" s="289"/>
    </row>
    <row r="100" spans="2:32" ht="18" hidden="1" customHeight="1" outlineLevel="1" x14ac:dyDescent="0.45">
      <c r="B100" s="284" t="e">
        <f>VLOOKUP(D100,'[2]Work Item Vlookup'!$A$2:$B$119,2,FALSE)</f>
        <v>#N/A</v>
      </c>
      <c r="C100" s="284"/>
      <c r="D100" s="285">
        <f t="array" ref="D100">[2]SourceData!A93</f>
        <v>0</v>
      </c>
      <c r="E100" s="286" t="e">
        <f t="array" ref="E100">MIN((INDEX([2]SourceData!$B:$B, MATCH($D100,[2]SourceData!$A:$A, 0))-SUM($D100:D100)),  (MaxPtsPerSprint1-SUM(E$7:E97)))</f>
        <v>#N/A</v>
      </c>
      <c r="F100" s="286" t="e">
        <f t="array" ref="F100">MIN((INDEX([2]SourceData!$B:$B, MATCH($D100,[2]SourceData!$A:$A, 0))-SUM($D100:E100)),  (MaxPtsPerSprint2-SUM(F$7:F97)))</f>
        <v>#N/A</v>
      </c>
      <c r="G100" s="286" t="e">
        <f t="array" ref="G100">MIN((INDEX([2]SourceData!$B:$B, MATCH($D100,[2]SourceData!$A:$A, 0))-SUM($D100:F100)),  (MaxPtsPerSprint3-SUM(G$7:G97)))</f>
        <v>#N/A</v>
      </c>
      <c r="H100" s="286" t="e">
        <f t="array" ref="H100">MIN((INDEX([2]SourceData!$B:$B, MATCH($D100,[2]SourceData!$A:$A, 0))-SUM($D100:G100)),  (MaxPtsPerSprint4-SUM(H$7:H97)))</f>
        <v>#N/A</v>
      </c>
      <c r="I100" s="286" t="e">
        <f t="array" ref="I100">MIN((INDEX([2]SourceData!$B:$B, MATCH($D100,[2]SourceData!$A:$A, 0))-SUM($D100:H100)),  (MaxPtsPerSprint5-SUM(I$7:I97)))</f>
        <v>#N/A</v>
      </c>
      <c r="J100" s="286" t="e">
        <f t="array" ref="J100">MIN((INDEX([2]SourceData!$B:$B, MATCH($D100,[2]SourceData!$A:$A, 0))-SUM($D100:I100)),  (MaxPtsPerSprint6-SUM(J$7:J97)))</f>
        <v>#N/A</v>
      </c>
      <c r="K100" s="286" t="e">
        <f t="array" ref="K100">MIN((INDEX([2]SourceData!$B:$B, MATCH($D100,[2]SourceData!$A:$A, 0))-SUM($D100:J100)),  (MaxPtsPerSprint7-SUM(K$7:K97)))</f>
        <v>#N/A</v>
      </c>
      <c r="L100" s="286" t="e">
        <f t="array" ref="L100">MIN((INDEX([2]SourceData!$B:$B, MATCH($D100,[2]SourceData!$A:$A, 0))-SUM($D100:K100)),  (MaxPtsPerSprint8-SUM(L$7:L97)))</f>
        <v>#N/A</v>
      </c>
      <c r="M100" s="286" t="e">
        <f t="array" ref="M100">MIN((INDEX([2]SourceData!$B:$B, MATCH($D100,[2]SourceData!$A:$A, 0))-SUM($D100:L100)),  (MaxPtsPerSprint9-SUM(M$7:M97)))</f>
        <v>#N/A</v>
      </c>
      <c r="N100" s="286" t="e">
        <f t="array" ref="N100">MIN((INDEX([2]SourceData!$B:$B, MATCH($D100,[2]SourceData!$A:$A, 0))-SUM($D100:M100)),  (MaxPtsPerSprint10-SUM(N$7:N97)))</f>
        <v>#N/A</v>
      </c>
      <c r="O100" s="286" t="e">
        <f t="array" ref="O100">MIN((INDEX([2]SourceData!$B:$B, MATCH($D100,[2]SourceData!$A:$A, 0))-SUM($D100:N100)),  (MaxPtsPerSprint11-SUM(O$7:O97)))</f>
        <v>#N/A</v>
      </c>
      <c r="P100" s="286" t="e">
        <f t="array" ref="P100">MIN((INDEX([2]SourceData!$B:$B, MATCH($D100,[2]SourceData!$A:$A, 0))-SUM($D100:O100)),  (MaxPtsPerSprint12-SUM(P$7:P97)))</f>
        <v>#N/A</v>
      </c>
      <c r="Q100" s="286" t="e">
        <f t="array" ref="Q100">MIN((INDEX([2]SourceData!$B:$B, MATCH($D100,[2]SourceData!$A:$A, 0))-SUM($D100:P100)),  (MaxPtsPerSprint13-SUM(Q$7:Q99)))</f>
        <v>#N/A</v>
      </c>
      <c r="R100" s="286" t="e">
        <f t="array" ref="R100">MIN((INDEX([2]SourceData!$B:$B, MATCH($D100,[2]SourceData!$A:$A, 0))-SUM($D100:Q100)),  (MaxPtsPerSprint14-SUM(R$7:R99)))</f>
        <v>#N/A</v>
      </c>
      <c r="S100" s="286" t="e">
        <f t="array" ref="S100">MIN((INDEX([2]SourceData!$B:$B, MATCH($D100,[2]SourceData!$A:$A, 0))-SUM($D100:R100)),  (MaxPtsPerSprint15-SUM(S$7:S99)))</f>
        <v>#N/A</v>
      </c>
      <c r="T100" s="286" t="e">
        <f t="array" ref="T100">MIN((INDEX([2]SourceData!$B:$B, MATCH($D100,[2]SourceData!$A:$A, 0))-SUM($D100:S100)),  (MaxPtsPerSprint16-SUM(T$7:T99)))</f>
        <v>#N/A</v>
      </c>
      <c r="U100" s="286" t="e">
        <f t="array" ref="U100">MIN((INDEX([2]SourceData!$B:$B, MATCH($D100,[2]SourceData!$A:$A, 0))-SUM($D100:T100)),  (MaxPtsPerSprint17-SUM(U$7:U99)))</f>
        <v>#N/A</v>
      </c>
      <c r="V100" s="286" t="e">
        <f t="array" ref="V100">MIN((INDEX([2]SourceData!$B:$B, MATCH($D100,[2]SourceData!$A:$A, 0))-SUM($D100:U100)),  (MaxPtsPerSprint18-SUM(V$7:V99)))</f>
        <v>#N/A</v>
      </c>
      <c r="W100" s="286" t="e">
        <f t="array" ref="W100">MIN((INDEX([2]SourceData!$B:$B, MATCH($D100,[2]SourceData!$A:$A, 0))-SUM($D100:V100)),  (MaxPtsPerSprint19-SUM(W$7:W99)))</f>
        <v>#N/A</v>
      </c>
      <c r="X100" s="286" t="e">
        <f t="array" ref="X100">MIN((INDEX([2]SourceData!$B:$B, MATCH($D100,[2]SourceData!$A:$A, 0))-SUM($D100:W100)),  (MaxPtsPerSprint20-SUM(X$7:X99)))</f>
        <v>#N/A</v>
      </c>
      <c r="Y100" s="287" t="e">
        <f t="array" ref="Y100">MIN((INDEX([2]SourceData!$B:$B, MATCH($D100,[2]SourceData!$A:$A, 0))-SUM($D100:X100)),  (MaxPtsPerSprint21-SUM(Y$7:Y99)))</f>
        <v>#N/A</v>
      </c>
      <c r="Z100" s="287" t="e">
        <f t="array" ref="Z100">MIN((INDEX([2]SourceData!$B:$B, MATCH($D100,[2]SourceData!$A:$A, 0))-SUM($D100:Y100)),  (MaxPtsPerSprint22-SUM(Z$7:Z99)))</f>
        <v>#N/A</v>
      </c>
      <c r="AA100" s="287" t="e">
        <f t="array" ref="AA100">MIN((INDEX([2]SourceData!$B:$B, MATCH($D100,[2]SourceData!$A:$A, 0))-SUM($D100:Z100)),  (MaxPtsPerSprint23-SUM(AA$7:AA99)))</f>
        <v>#N/A</v>
      </c>
      <c r="AB100" s="287" t="e">
        <f t="array" ref="AB100">MIN((INDEX([2]SourceData!$B:$B, MATCH($D100,[2]SourceData!$A:$A, 0))-SUM($D100:AA100)),  (MaxPtsPerSprint24-SUM(AB$7:AB99)))</f>
        <v>#N/A</v>
      </c>
      <c r="AC100" s="287"/>
      <c r="AD100" s="287"/>
      <c r="AE100" s="288" t="e">
        <f t="shared" si="7"/>
        <v>#N/A</v>
      </c>
      <c r="AF100" s="289"/>
    </row>
    <row r="101" spans="2:32" ht="18" hidden="1" customHeight="1" outlineLevel="1" x14ac:dyDescent="0.45">
      <c r="B101" s="284" t="e">
        <f>VLOOKUP(D101,'[2]Work Item Vlookup'!$A$2:$B$119,2,FALSE)</f>
        <v>#N/A</v>
      </c>
      <c r="C101" s="284"/>
      <c r="D101" s="285">
        <f t="array" ref="D101">[2]SourceData!A95</f>
        <v>0</v>
      </c>
      <c r="E101" s="286" t="e">
        <f t="array" ref="E101">MIN((INDEX([2]SourceData!$B:$B, MATCH($D101,[2]SourceData!$A:$A, 0))-SUM($D101:D101)),  (MaxPtsPerSprint1-SUM(E$7:E97)))</f>
        <v>#N/A</v>
      </c>
      <c r="F101" s="286" t="e">
        <f t="array" ref="F101">MIN((INDEX([2]SourceData!$B:$B, MATCH($D101,[2]SourceData!$A:$A, 0))-SUM($D101:E101)),  (MaxPtsPerSprint2-SUM(F$7:F97)))</f>
        <v>#N/A</v>
      </c>
      <c r="G101" s="286" t="e">
        <f t="array" ref="G101">MIN((INDEX([2]SourceData!$B:$B, MATCH($D101,[2]SourceData!$A:$A, 0))-SUM($D101:F101)),  (MaxPtsPerSprint3-SUM(G$7:G97)))</f>
        <v>#N/A</v>
      </c>
      <c r="H101" s="286" t="e">
        <f t="array" ref="H101">MIN((INDEX([2]SourceData!$B:$B, MATCH($D101,[2]SourceData!$A:$A, 0))-SUM($D101:G101)),  (MaxPtsPerSprint4-SUM(H$7:H97)))</f>
        <v>#N/A</v>
      </c>
      <c r="I101" s="286" t="e">
        <f t="array" ref="I101">MIN((INDEX([2]SourceData!$B:$B, MATCH($D101,[2]SourceData!$A:$A, 0))-SUM($D101:H101)),  (MaxPtsPerSprint5-SUM(I$7:I97)))</f>
        <v>#N/A</v>
      </c>
      <c r="J101" s="286" t="e">
        <f t="array" ref="J101">MIN((INDEX([2]SourceData!$B:$B, MATCH($D101,[2]SourceData!$A:$A, 0))-SUM($D101:I101)),  (MaxPtsPerSprint6-SUM(J$7:J97)))</f>
        <v>#N/A</v>
      </c>
      <c r="K101" s="286" t="e">
        <f t="array" ref="K101">MIN((INDEX([2]SourceData!$B:$B, MATCH($D101,[2]SourceData!$A:$A, 0))-SUM($D101:J101)),  (MaxPtsPerSprint7-SUM(K$7:K97)))</f>
        <v>#N/A</v>
      </c>
      <c r="L101" s="286" t="e">
        <f t="array" ref="L101">MIN((INDEX([2]SourceData!$B:$B, MATCH($D101,[2]SourceData!$A:$A, 0))-SUM($D101:K101)),  (MaxPtsPerSprint8-SUM(L$7:L97)))</f>
        <v>#N/A</v>
      </c>
      <c r="M101" s="286" t="e">
        <f t="array" ref="M101">MIN((INDEX([2]SourceData!$B:$B, MATCH($D101,[2]SourceData!$A:$A, 0))-SUM($D101:L101)),  (MaxPtsPerSprint9-SUM(M$7:M97)))</f>
        <v>#N/A</v>
      </c>
      <c r="N101" s="286" t="e">
        <f t="array" ref="N101">MIN((INDEX([2]SourceData!$B:$B, MATCH($D101,[2]SourceData!$A:$A, 0))-SUM($D101:M101)),  (MaxPtsPerSprint10-SUM(N$7:N97)))</f>
        <v>#N/A</v>
      </c>
      <c r="O101" s="286" t="e">
        <f t="array" ref="O101">MIN((INDEX([2]SourceData!$B:$B, MATCH($D101,[2]SourceData!$A:$A, 0))-SUM($D101:N101)),  (MaxPtsPerSprint11-SUM(O$7:O97)))</f>
        <v>#N/A</v>
      </c>
      <c r="P101" s="286" t="e">
        <f t="array" ref="P101">MIN((INDEX([2]SourceData!$B:$B, MATCH($D101,[2]SourceData!$A:$A, 0))-SUM($D101:O101)),  (MaxPtsPerSprint12-SUM(P$7:P97)))</f>
        <v>#N/A</v>
      </c>
      <c r="Q101" s="286" t="e">
        <f t="array" ref="Q101">MIN((INDEX([2]SourceData!$B:$B, MATCH($D101,[2]SourceData!$A:$A, 0))-SUM($D101:P101)),  (MaxPtsPerSprint13-SUM(Q$7:Q100)))</f>
        <v>#N/A</v>
      </c>
      <c r="R101" s="286" t="e">
        <f t="array" ref="R101">MIN((INDEX([2]SourceData!$B:$B, MATCH($D101,[2]SourceData!$A:$A, 0))-SUM($D101:Q101)),  (MaxPtsPerSprint14-SUM(R$7:R100)))</f>
        <v>#N/A</v>
      </c>
      <c r="S101" s="286" t="e">
        <f t="array" ref="S101">MIN((INDEX([2]SourceData!$B:$B, MATCH($D101,[2]SourceData!$A:$A, 0))-SUM($D101:R101)),  (MaxPtsPerSprint15-SUM(S$7:S100)))</f>
        <v>#N/A</v>
      </c>
      <c r="T101" s="286" t="e">
        <f t="array" ref="T101">MIN((INDEX([2]SourceData!$B:$B, MATCH($D101,[2]SourceData!$A:$A, 0))-SUM($D101:S101)),  (MaxPtsPerSprint16-SUM(T$7:T100)))</f>
        <v>#N/A</v>
      </c>
      <c r="U101" s="286" t="e">
        <f t="array" ref="U101">MIN((INDEX([2]SourceData!$B:$B, MATCH($D101,[2]SourceData!$A:$A, 0))-SUM($D101:T101)),  (MaxPtsPerSprint17-SUM(U$7:U100)))</f>
        <v>#N/A</v>
      </c>
      <c r="V101" s="286" t="e">
        <f t="array" ref="V101">MIN((INDEX([2]SourceData!$B:$B, MATCH($D101,[2]SourceData!$A:$A, 0))-SUM($D101:U101)),  (MaxPtsPerSprint18-SUM(V$7:V100)))</f>
        <v>#N/A</v>
      </c>
      <c r="W101" s="286" t="e">
        <f t="array" ref="W101">MIN((INDEX([2]SourceData!$B:$B, MATCH($D101,[2]SourceData!$A:$A, 0))-SUM($D101:V101)),  (MaxPtsPerSprint19-SUM(W$7:W100)))</f>
        <v>#N/A</v>
      </c>
      <c r="X101" s="286" t="e">
        <f t="array" ref="X101">MIN((INDEX([2]SourceData!$B:$B, MATCH($D101,[2]SourceData!$A:$A, 0))-SUM($D101:W101)),  (MaxPtsPerSprint20-SUM(X$7:X100)))</f>
        <v>#N/A</v>
      </c>
      <c r="Y101" s="287" t="e">
        <f t="array" ref="Y101">MIN((INDEX([2]SourceData!$B:$B, MATCH($D101,[2]SourceData!$A:$A, 0))-SUM($D101:X101)),  (MaxPtsPerSprint21-SUM(Y$7:Y100)))</f>
        <v>#N/A</v>
      </c>
      <c r="Z101" s="287" t="e">
        <f t="array" ref="Z101">MIN((INDEX([2]SourceData!$B:$B, MATCH($D101,[2]SourceData!$A:$A, 0))-SUM($D101:Y101)),  (MaxPtsPerSprint22-SUM(Z$7:Z100)))</f>
        <v>#N/A</v>
      </c>
      <c r="AA101" s="287" t="e">
        <f t="array" ref="AA101">MIN((INDEX([2]SourceData!$B:$B, MATCH($D101,[2]SourceData!$A:$A, 0))-SUM($D101:Z101)),  (MaxPtsPerSprint23-SUM(AA$7:AA100)))</f>
        <v>#N/A</v>
      </c>
      <c r="AB101" s="287" t="e">
        <f t="array" ref="AB101">MIN((INDEX([2]SourceData!$B:$B, MATCH($D101,[2]SourceData!$A:$A, 0))-SUM($D101:AA101)),  (MaxPtsPerSprint24-SUM(AB$7:AB100)))</f>
        <v>#N/A</v>
      </c>
      <c r="AC101" s="287"/>
      <c r="AD101" s="287"/>
      <c r="AE101" s="288" t="e">
        <f t="shared" si="7"/>
        <v>#N/A</v>
      </c>
      <c r="AF101" s="289"/>
    </row>
    <row r="102" spans="2:32" ht="18" hidden="1" customHeight="1" outlineLevel="1" x14ac:dyDescent="0.45">
      <c r="B102" s="284" t="e">
        <f>VLOOKUP(D102,'[2]Work Item Vlookup'!$A$2:$B$119,2,FALSE)</f>
        <v>#N/A</v>
      </c>
      <c r="C102" s="284"/>
      <c r="D102" s="285">
        <f t="array" ref="D102">[2]SourceData!A96</f>
        <v>0</v>
      </c>
      <c r="E102" s="286" t="e">
        <f t="array" ref="E102">MIN((INDEX([2]SourceData!$B:$B, MATCH($D102,[2]SourceData!$A:$A, 0))-SUM($D102:D102)),  (MaxPtsPerSprint1-SUM(E$7:E98)))</f>
        <v>#N/A</v>
      </c>
      <c r="F102" s="286" t="e">
        <f t="array" ref="F102">MIN((INDEX([2]SourceData!$B:$B, MATCH($D102,[2]SourceData!$A:$A, 0))-SUM($D102:E102)),  (MaxPtsPerSprint2-SUM(F$7:F98)))</f>
        <v>#N/A</v>
      </c>
      <c r="G102" s="286" t="e">
        <f t="array" ref="G102">MIN((INDEX([2]SourceData!$B:$B, MATCH($D102,[2]SourceData!$A:$A, 0))-SUM($D102:F102)),  (MaxPtsPerSprint3-SUM(G$7:G98)))</f>
        <v>#N/A</v>
      </c>
      <c r="H102" s="286" t="e">
        <f t="array" ref="H102">MIN((INDEX([2]SourceData!$B:$B, MATCH($D102,[2]SourceData!$A:$A, 0))-SUM($D102:G102)),  (MaxPtsPerSprint4-SUM(H$7:H98)))</f>
        <v>#N/A</v>
      </c>
      <c r="I102" s="286" t="e">
        <f t="array" ref="I102">MIN((INDEX([2]SourceData!$B:$B, MATCH($D102,[2]SourceData!$A:$A, 0))-SUM($D102:H102)),  (MaxPtsPerSprint5-SUM(I$7:I98)))</f>
        <v>#N/A</v>
      </c>
      <c r="J102" s="286" t="e">
        <f t="array" ref="J102">MIN((INDEX([2]SourceData!$B:$B, MATCH($D102,[2]SourceData!$A:$A, 0))-SUM($D102:I102)),  (MaxPtsPerSprint6-SUM(J$7:J98)))</f>
        <v>#N/A</v>
      </c>
      <c r="K102" s="286" t="e">
        <f t="array" ref="K102">MIN((INDEX([2]SourceData!$B:$B, MATCH($D102,[2]SourceData!$A:$A, 0))-SUM($D102:J102)),  (MaxPtsPerSprint7-SUM(K$7:K98)))</f>
        <v>#N/A</v>
      </c>
      <c r="L102" s="286" t="e">
        <f t="array" ref="L102">MIN((INDEX([2]SourceData!$B:$B, MATCH($D102,[2]SourceData!$A:$A, 0))-SUM($D102:K102)),  (MaxPtsPerSprint8-SUM(L$7:L98)))</f>
        <v>#N/A</v>
      </c>
      <c r="M102" s="286" t="e">
        <f t="array" ref="M102">MIN((INDEX([2]SourceData!$B:$B, MATCH($D102,[2]SourceData!$A:$A, 0))-SUM($D102:L102)),  (MaxPtsPerSprint9-SUM(M$7:M98)))</f>
        <v>#N/A</v>
      </c>
      <c r="N102" s="286" t="e">
        <f t="array" ref="N102">MIN((INDEX([2]SourceData!$B:$B, MATCH($D102,[2]SourceData!$A:$A, 0))-SUM($D102:M102)),  (MaxPtsPerSprint10-SUM(N$7:N98)))</f>
        <v>#N/A</v>
      </c>
      <c r="O102" s="286" t="e">
        <f t="array" ref="O102">MIN((INDEX([2]SourceData!$B:$B, MATCH($D102,[2]SourceData!$A:$A, 0))-SUM($D102:N102)),  (MaxPtsPerSprint11-SUM(O$7:O98)))</f>
        <v>#N/A</v>
      </c>
      <c r="P102" s="286" t="e">
        <f t="array" ref="P102">MIN((INDEX([2]SourceData!$B:$B, MATCH($D102,[2]SourceData!$A:$A, 0))-SUM($D102:O102)),  (MaxPtsPerSprint12-SUM(P$7:P98)))</f>
        <v>#N/A</v>
      </c>
      <c r="Q102" s="286" t="e">
        <f t="array" ref="Q102">MIN((INDEX([2]SourceData!$B:$B, MATCH($D102,[2]SourceData!$A:$A, 0))-SUM($D102:P102)),  (MaxPtsPerSprint13-SUM(Q$7:Q101)))</f>
        <v>#N/A</v>
      </c>
      <c r="R102" s="286" t="e">
        <f t="array" ref="R102">MIN((INDEX([2]SourceData!$B:$B, MATCH($D102,[2]SourceData!$A:$A, 0))-SUM($D102:Q102)),  (MaxPtsPerSprint14-SUM(R$7:R101)))</f>
        <v>#N/A</v>
      </c>
      <c r="S102" s="286" t="e">
        <f t="array" ref="S102">MIN((INDEX([2]SourceData!$B:$B, MATCH($D102,[2]SourceData!$A:$A, 0))-SUM($D102:R102)),  (MaxPtsPerSprint15-SUM(S$7:S101)))</f>
        <v>#N/A</v>
      </c>
      <c r="T102" s="286" t="e">
        <f t="array" ref="T102">MIN((INDEX([2]SourceData!$B:$B, MATCH($D102,[2]SourceData!$A:$A, 0))-SUM($D102:S102)),  (MaxPtsPerSprint16-SUM(T$7:T101)))</f>
        <v>#N/A</v>
      </c>
      <c r="U102" s="286" t="e">
        <f t="array" ref="U102">MIN((INDEX([2]SourceData!$B:$B, MATCH($D102,[2]SourceData!$A:$A, 0))-SUM($D102:T102)),  (MaxPtsPerSprint17-SUM(U$7:U101)))</f>
        <v>#N/A</v>
      </c>
      <c r="V102" s="286" t="e">
        <f t="array" ref="V102">MIN((INDEX([2]SourceData!$B:$B, MATCH($D102,[2]SourceData!$A:$A, 0))-SUM($D102:U102)),  (MaxPtsPerSprint18-SUM(V$7:V101)))</f>
        <v>#N/A</v>
      </c>
      <c r="W102" s="286" t="e">
        <f t="array" ref="W102">MIN((INDEX([2]SourceData!$B:$B, MATCH($D102,[2]SourceData!$A:$A, 0))-SUM($D102:V102)),  (MaxPtsPerSprint19-SUM(W$7:W101)))</f>
        <v>#N/A</v>
      </c>
      <c r="X102" s="286" t="e">
        <f t="array" ref="X102">MIN((INDEX([2]SourceData!$B:$B, MATCH($D102,[2]SourceData!$A:$A, 0))-SUM($D102:W102)),  (MaxPtsPerSprint20-SUM(X$7:X101)))</f>
        <v>#N/A</v>
      </c>
      <c r="Y102" s="287" t="e">
        <f t="array" ref="Y102">MIN((INDEX([2]SourceData!$B:$B, MATCH($D102,[2]SourceData!$A:$A, 0))-SUM($D102:X102)),  (MaxPtsPerSprint21-SUM(Y$7:Y101)))</f>
        <v>#N/A</v>
      </c>
      <c r="Z102" s="287" t="e">
        <f t="array" ref="Z102">MIN((INDEX([2]SourceData!$B:$B, MATCH($D102,[2]SourceData!$A:$A, 0))-SUM($D102:Y102)),  (MaxPtsPerSprint22-SUM(Z$7:Z101)))</f>
        <v>#N/A</v>
      </c>
      <c r="AA102" s="287" t="e">
        <f t="array" ref="AA102">MIN((INDEX([2]SourceData!$B:$B, MATCH($D102,[2]SourceData!$A:$A, 0))-SUM($D102:Z102)),  (MaxPtsPerSprint23-SUM(AA$7:AA101)))</f>
        <v>#N/A</v>
      </c>
      <c r="AB102" s="287" t="e">
        <f t="array" ref="AB102">MIN((INDEX([2]SourceData!$B:$B, MATCH($D102,[2]SourceData!$A:$A, 0))-SUM($D102:AA102)),  (MaxPtsPerSprint24-SUM(AB$7:AB101)))</f>
        <v>#N/A</v>
      </c>
      <c r="AC102" s="287"/>
      <c r="AD102" s="287"/>
      <c r="AE102" s="288" t="e">
        <f t="shared" si="7"/>
        <v>#N/A</v>
      </c>
      <c r="AF102" s="289"/>
    </row>
    <row r="103" spans="2:32" ht="18" hidden="1" customHeight="1" outlineLevel="1" x14ac:dyDescent="0.45">
      <c r="B103" s="284" t="e">
        <f>VLOOKUP(D103,'[2]Work Item Vlookup'!$A$2:$B$119,2,FALSE)</f>
        <v>#N/A</v>
      </c>
      <c r="C103" s="284"/>
      <c r="D103" s="285">
        <f t="array" ref="D103">[2]SourceData!A97</f>
        <v>0</v>
      </c>
      <c r="E103" s="286" t="e">
        <f t="array" ref="E103">MIN((INDEX([2]SourceData!$B:$B, MATCH($D103,[2]SourceData!$A:$A, 0))-SUM($D103:D103)),  (MaxPtsPerSprint1-SUM(E$7:E99)))</f>
        <v>#N/A</v>
      </c>
      <c r="F103" s="286" t="e">
        <f t="array" ref="F103">MIN((INDEX([2]SourceData!$B:$B, MATCH($D103,[2]SourceData!$A:$A, 0))-SUM($D103:E103)),  (MaxPtsPerSprint2-SUM(F$7:F99)))</f>
        <v>#N/A</v>
      </c>
      <c r="G103" s="286" t="e">
        <f t="array" ref="G103">MIN((INDEX([2]SourceData!$B:$B, MATCH($D103,[2]SourceData!$A:$A, 0))-SUM($D103:F103)),  (MaxPtsPerSprint3-SUM(G$7:G99)))</f>
        <v>#N/A</v>
      </c>
      <c r="H103" s="286" t="e">
        <f t="array" ref="H103">MIN((INDEX([2]SourceData!$B:$B, MATCH($D103,[2]SourceData!$A:$A, 0))-SUM($D103:G103)),  (MaxPtsPerSprint4-SUM(H$7:H99)))</f>
        <v>#N/A</v>
      </c>
      <c r="I103" s="286" t="e">
        <f t="array" ref="I103">MIN((INDEX([2]SourceData!$B:$B, MATCH($D103,[2]SourceData!$A:$A, 0))-SUM($D103:H103)),  (MaxPtsPerSprint5-SUM(I$7:I99)))</f>
        <v>#N/A</v>
      </c>
      <c r="J103" s="286" t="e">
        <f t="array" ref="J103">MIN((INDEX([2]SourceData!$B:$B, MATCH($D103,[2]SourceData!$A:$A, 0))-SUM($D103:I103)),  (MaxPtsPerSprint6-SUM(J$7:J99)))</f>
        <v>#N/A</v>
      </c>
      <c r="K103" s="286" t="e">
        <f t="array" ref="K103">MIN((INDEX([2]SourceData!$B:$B, MATCH($D103,[2]SourceData!$A:$A, 0))-SUM($D103:J103)),  (MaxPtsPerSprint7-SUM(K$7:K99)))</f>
        <v>#N/A</v>
      </c>
      <c r="L103" s="286" t="e">
        <f t="array" ref="L103">MIN((INDEX([2]SourceData!$B:$B, MATCH($D103,[2]SourceData!$A:$A, 0))-SUM($D103:K103)),  (MaxPtsPerSprint8-SUM(L$7:L99)))</f>
        <v>#N/A</v>
      </c>
      <c r="M103" s="286" t="e">
        <f t="array" ref="M103">MIN((INDEX([2]SourceData!$B:$B, MATCH($D103,[2]SourceData!$A:$A, 0))-SUM($D103:L103)),  (MaxPtsPerSprint9-SUM(M$7:M99)))</f>
        <v>#N/A</v>
      </c>
      <c r="N103" s="286" t="e">
        <f t="array" ref="N103">MIN((INDEX([2]SourceData!$B:$B, MATCH($D103,[2]SourceData!$A:$A, 0))-SUM($D103:M103)),  (MaxPtsPerSprint10-SUM(N$7:N99)))</f>
        <v>#N/A</v>
      </c>
      <c r="O103" s="286" t="e">
        <f t="array" ref="O103">MIN((INDEX([2]SourceData!$B:$B, MATCH($D103,[2]SourceData!$A:$A, 0))-SUM($D103:N103)),  (MaxPtsPerSprint11-SUM(O$7:O99)))</f>
        <v>#N/A</v>
      </c>
      <c r="P103" s="286" t="e">
        <f t="array" ref="P103">MIN((INDEX([2]SourceData!$B:$B, MATCH($D103,[2]SourceData!$A:$A, 0))-SUM($D103:O103)),  (MaxPtsPerSprint12-SUM(P$7:P99)))</f>
        <v>#N/A</v>
      </c>
      <c r="Q103" s="286" t="e">
        <f t="array" ref="Q103">MIN((INDEX([2]SourceData!$B:$B, MATCH($D103,[2]SourceData!$A:$A, 0))-SUM($D103:P103)),  (MaxPtsPerSprint13-SUM(Q$7:Q102)))</f>
        <v>#N/A</v>
      </c>
      <c r="R103" s="286" t="e">
        <f t="array" ref="R103">MIN((INDEX([2]SourceData!$B:$B, MATCH($D103,[2]SourceData!$A:$A, 0))-SUM($D103:Q103)),  (MaxPtsPerSprint14-SUM(R$7:R102)))</f>
        <v>#N/A</v>
      </c>
      <c r="S103" s="286" t="e">
        <f t="array" ref="S103">MIN((INDEX([2]SourceData!$B:$B, MATCH($D103,[2]SourceData!$A:$A, 0))-SUM($D103:R103)),  (MaxPtsPerSprint15-SUM(S$7:S102)))</f>
        <v>#N/A</v>
      </c>
      <c r="T103" s="286" t="e">
        <f t="array" ref="T103">MIN((INDEX([2]SourceData!$B:$B, MATCH($D103,[2]SourceData!$A:$A, 0))-SUM($D103:S103)),  (MaxPtsPerSprint16-SUM(T$7:T102)))</f>
        <v>#N/A</v>
      </c>
      <c r="U103" s="286" t="e">
        <f t="array" ref="U103">MIN((INDEX([2]SourceData!$B:$B, MATCH($D103,[2]SourceData!$A:$A, 0))-SUM($D103:T103)),  (MaxPtsPerSprint17-SUM(U$7:U102)))</f>
        <v>#N/A</v>
      </c>
      <c r="V103" s="286" t="e">
        <f t="array" ref="V103">MIN((INDEX([2]SourceData!$B:$B, MATCH($D103,[2]SourceData!$A:$A, 0))-SUM($D103:U103)),  (MaxPtsPerSprint18-SUM(V$7:V102)))</f>
        <v>#N/A</v>
      </c>
      <c r="W103" s="286" t="e">
        <f t="array" ref="W103">MIN((INDEX([2]SourceData!$B:$B, MATCH($D103,[2]SourceData!$A:$A, 0))-SUM($D103:V103)),  (MaxPtsPerSprint19-SUM(W$7:W102)))</f>
        <v>#N/A</v>
      </c>
      <c r="X103" s="286" t="e">
        <f t="array" ref="X103">MIN((INDEX([2]SourceData!$B:$B, MATCH($D103,[2]SourceData!$A:$A, 0))-SUM($D103:W103)),  (MaxPtsPerSprint20-SUM(X$7:X102)))</f>
        <v>#N/A</v>
      </c>
      <c r="Y103" s="287" t="e">
        <f t="array" ref="Y103">MIN((INDEX([2]SourceData!$B:$B, MATCH($D103,[2]SourceData!$A:$A, 0))-SUM($D103:X103)),  (MaxPtsPerSprint21-SUM(Y$7:Y102)))</f>
        <v>#N/A</v>
      </c>
      <c r="Z103" s="287" t="e">
        <f t="array" ref="Z103">MIN((INDEX([2]SourceData!$B:$B, MATCH($D103,[2]SourceData!$A:$A, 0))-SUM($D103:Y103)),  (MaxPtsPerSprint22-SUM(Z$7:Z102)))</f>
        <v>#N/A</v>
      </c>
      <c r="AA103" s="287" t="e">
        <f t="array" ref="AA103">MIN((INDEX([2]SourceData!$B:$B, MATCH($D103,[2]SourceData!$A:$A, 0))-SUM($D103:Z103)),  (MaxPtsPerSprint23-SUM(AA$7:AA102)))</f>
        <v>#N/A</v>
      </c>
      <c r="AB103" s="287" t="e">
        <f t="array" ref="AB103">MIN((INDEX([2]SourceData!$B:$B, MATCH($D103,[2]SourceData!$A:$A, 0))-SUM($D103:AA103)),  (MaxPtsPerSprint24-SUM(AB$7:AB102)))</f>
        <v>#N/A</v>
      </c>
      <c r="AC103" s="287"/>
      <c r="AD103" s="287"/>
      <c r="AE103" s="288" t="e">
        <f t="shared" si="7"/>
        <v>#N/A</v>
      </c>
      <c r="AF103" s="289"/>
    </row>
    <row r="104" spans="2:32" ht="18" hidden="1" customHeight="1" outlineLevel="1" x14ac:dyDescent="0.45">
      <c r="B104" s="284" t="e">
        <f>VLOOKUP(D104,'[2]Work Item Vlookup'!$A$2:$B$119,2,FALSE)</f>
        <v>#N/A</v>
      </c>
      <c r="C104" s="284"/>
      <c r="D104" s="285">
        <f t="array" ref="D104">[2]SourceData!A98</f>
        <v>0</v>
      </c>
      <c r="E104" s="286" t="e">
        <f t="array" ref="E104">MIN((INDEX([2]SourceData!$B:$B, MATCH($D104,[2]SourceData!$A:$A, 0))-SUM($D104:D104)),  (MaxPtsPerSprint1-SUM(E$7:E100)))</f>
        <v>#N/A</v>
      </c>
      <c r="F104" s="286" t="e">
        <f t="array" ref="F104">MIN((INDEX([2]SourceData!$B:$B, MATCH($D104,[2]SourceData!$A:$A, 0))-SUM($D104:E104)),  (MaxPtsPerSprint2-SUM(F$7:F100)))</f>
        <v>#N/A</v>
      </c>
      <c r="G104" s="286" t="e">
        <f t="array" ref="G104">MIN((INDEX([2]SourceData!$B:$B, MATCH($D104,[2]SourceData!$A:$A, 0))-SUM($D104:F104)),  (MaxPtsPerSprint3-SUM(G$7:G100)))</f>
        <v>#N/A</v>
      </c>
      <c r="H104" s="286" t="e">
        <f t="array" ref="H104">MIN((INDEX([2]SourceData!$B:$B, MATCH($D104,[2]SourceData!$A:$A, 0))-SUM($D104:G104)),  (MaxPtsPerSprint4-SUM(H$7:H100)))</f>
        <v>#N/A</v>
      </c>
      <c r="I104" s="286" t="e">
        <f t="array" ref="I104">MIN((INDEX([2]SourceData!$B:$B, MATCH($D104,[2]SourceData!$A:$A, 0))-SUM($D104:H104)),  (MaxPtsPerSprint5-SUM(I$7:I100)))</f>
        <v>#N/A</v>
      </c>
      <c r="J104" s="286" t="e">
        <f t="array" ref="J104">MIN((INDEX([2]SourceData!$B:$B, MATCH($D104,[2]SourceData!$A:$A, 0))-SUM($D104:I104)),  (MaxPtsPerSprint6-SUM(J$7:J100)))</f>
        <v>#N/A</v>
      </c>
      <c r="K104" s="286" t="e">
        <f t="array" ref="K104">MIN((INDEX([2]SourceData!$B:$B, MATCH($D104,[2]SourceData!$A:$A, 0))-SUM($D104:J104)),  (MaxPtsPerSprint7-SUM(K$7:K100)))</f>
        <v>#N/A</v>
      </c>
      <c r="L104" s="286" t="e">
        <f t="array" ref="L104">MIN((INDEX([2]SourceData!$B:$B, MATCH($D104,[2]SourceData!$A:$A, 0))-SUM($D104:K104)),  (MaxPtsPerSprint8-SUM(L$7:L100)))</f>
        <v>#N/A</v>
      </c>
      <c r="M104" s="286" t="e">
        <f t="array" ref="M104">MIN((INDEX([2]SourceData!$B:$B, MATCH($D104,[2]SourceData!$A:$A, 0))-SUM($D104:L104)),  (MaxPtsPerSprint9-SUM(M$7:M100)))</f>
        <v>#N/A</v>
      </c>
      <c r="N104" s="286" t="e">
        <f t="array" ref="N104">MIN((INDEX([2]SourceData!$B:$B, MATCH($D104,[2]SourceData!$A:$A, 0))-SUM($D104:M104)),  (MaxPtsPerSprint10-SUM(N$7:N100)))</f>
        <v>#N/A</v>
      </c>
      <c r="O104" s="286" t="e">
        <f t="array" ref="O104">MIN((INDEX([2]SourceData!$B:$B, MATCH($D104,[2]SourceData!$A:$A, 0))-SUM($D104:N104)),  (MaxPtsPerSprint11-SUM(O$7:O100)))</f>
        <v>#N/A</v>
      </c>
      <c r="P104" s="286" t="e">
        <f t="array" ref="P104">MIN((INDEX([2]SourceData!$B:$B, MATCH($D104,[2]SourceData!$A:$A, 0))-SUM($D104:O104)),  (MaxPtsPerSprint12-SUM(P$7:P100)))</f>
        <v>#N/A</v>
      </c>
      <c r="Q104" s="286" t="e">
        <f t="array" ref="Q104">MIN((INDEX([2]SourceData!$B:$B, MATCH($D104,[2]SourceData!$A:$A, 0))-SUM($D104:P104)),  (MaxPtsPerSprint13-SUM(Q$7:Q103)))</f>
        <v>#N/A</v>
      </c>
      <c r="R104" s="286" t="e">
        <f t="array" ref="R104">MIN((INDEX([2]SourceData!$B:$B, MATCH($D104,[2]SourceData!$A:$A, 0))-SUM($D104:Q104)),  (MaxPtsPerSprint14-SUM(R$7:R103)))</f>
        <v>#N/A</v>
      </c>
      <c r="S104" s="286" t="e">
        <f t="array" ref="S104">MIN((INDEX([2]SourceData!$B:$B, MATCH($D104,[2]SourceData!$A:$A, 0))-SUM($D104:R104)),  (MaxPtsPerSprint15-SUM(S$7:S103)))</f>
        <v>#N/A</v>
      </c>
      <c r="T104" s="286" t="e">
        <f t="array" ref="T104">MIN((INDEX([2]SourceData!$B:$B, MATCH($D104,[2]SourceData!$A:$A, 0))-SUM($D104:S104)),  (MaxPtsPerSprint16-SUM(T$7:T103)))</f>
        <v>#N/A</v>
      </c>
      <c r="U104" s="286" t="e">
        <f t="array" ref="U104">MIN((INDEX([2]SourceData!$B:$B, MATCH($D104,[2]SourceData!$A:$A, 0))-SUM($D104:T104)),  (MaxPtsPerSprint17-SUM(U$7:U103)))</f>
        <v>#N/A</v>
      </c>
      <c r="V104" s="286" t="e">
        <f t="array" ref="V104">MIN((INDEX([2]SourceData!$B:$B, MATCH($D104,[2]SourceData!$A:$A, 0))-SUM($D104:U104)),  (MaxPtsPerSprint18-SUM(V$7:V103)))</f>
        <v>#N/A</v>
      </c>
      <c r="W104" s="286" t="e">
        <f t="array" ref="W104">MIN((INDEX([2]SourceData!$B:$B, MATCH($D104,[2]SourceData!$A:$A, 0))-SUM($D104:V104)),  (MaxPtsPerSprint19-SUM(W$7:W103)))</f>
        <v>#N/A</v>
      </c>
      <c r="X104" s="286" t="e">
        <f t="array" ref="X104">MIN((INDEX([2]SourceData!$B:$B, MATCH($D104,[2]SourceData!$A:$A, 0))-SUM($D104:W104)),  (MaxPtsPerSprint20-SUM(X$7:X103)))</f>
        <v>#N/A</v>
      </c>
      <c r="Y104" s="287" t="e">
        <f t="array" ref="Y104">MIN((INDEX([2]SourceData!$B:$B, MATCH($D104,[2]SourceData!$A:$A, 0))-SUM($D104:X104)),  (MaxPtsPerSprint21-SUM(Y$7:Y103)))</f>
        <v>#N/A</v>
      </c>
      <c r="Z104" s="287" t="e">
        <f t="array" ref="Z104">MIN((INDEX([2]SourceData!$B:$B, MATCH($D104,[2]SourceData!$A:$A, 0))-SUM($D104:Y104)),  (MaxPtsPerSprint22-SUM(Z$7:Z103)))</f>
        <v>#N/A</v>
      </c>
      <c r="AA104" s="287" t="e">
        <f t="array" ref="AA104">MIN((INDEX([2]SourceData!$B:$B, MATCH($D104,[2]SourceData!$A:$A, 0))-SUM($D104:Z104)),  (MaxPtsPerSprint23-SUM(AA$7:AA103)))</f>
        <v>#N/A</v>
      </c>
      <c r="AB104" s="287" t="e">
        <f t="array" ref="AB104">MIN((INDEX([2]SourceData!$B:$B, MATCH($D104,[2]SourceData!$A:$A, 0))-SUM($D104:AA104)),  (MaxPtsPerSprint24-SUM(AB$7:AB103)))</f>
        <v>#N/A</v>
      </c>
      <c r="AC104" s="287"/>
      <c r="AD104" s="287"/>
      <c r="AE104" s="288" t="e">
        <f t="shared" si="7"/>
        <v>#N/A</v>
      </c>
      <c r="AF104" s="289"/>
    </row>
    <row r="105" spans="2:32" ht="18" hidden="1" customHeight="1" outlineLevel="1" x14ac:dyDescent="0.45">
      <c r="B105" s="284" t="e">
        <f>VLOOKUP(D105,'[2]Work Item Vlookup'!$A$2:$B$119,2,FALSE)</f>
        <v>#N/A</v>
      </c>
      <c r="C105" s="284"/>
      <c r="D105" s="285">
        <f t="array" ref="D105">[2]SourceData!A99</f>
        <v>0</v>
      </c>
      <c r="E105" s="286" t="e">
        <f t="array" ref="E105">MIN((INDEX([2]SourceData!$B:$B, MATCH($D105,[2]SourceData!$A:$A, 0))-SUM($D105:D105)),  (MaxPtsPerSprint1-SUM(E$7:E101)))</f>
        <v>#N/A</v>
      </c>
      <c r="F105" s="286" t="e">
        <f t="array" ref="F105">MIN((INDEX([2]SourceData!$B:$B, MATCH($D105,[2]SourceData!$A:$A, 0))-SUM($D105:E105)),  (MaxPtsPerSprint2-SUM(F$7:F101)))</f>
        <v>#N/A</v>
      </c>
      <c r="G105" s="286" t="e">
        <f t="array" ref="G105">MIN((INDEX([2]SourceData!$B:$B, MATCH($D105,[2]SourceData!$A:$A, 0))-SUM($D105:F105)),  (MaxPtsPerSprint3-SUM(G$7:G101)))</f>
        <v>#N/A</v>
      </c>
      <c r="H105" s="286" t="e">
        <f t="array" ref="H105">MIN((INDEX([2]SourceData!$B:$B, MATCH($D105,[2]SourceData!$A:$A, 0))-SUM($D105:G105)),  (MaxPtsPerSprint4-SUM(H$7:H101)))</f>
        <v>#N/A</v>
      </c>
      <c r="I105" s="286" t="e">
        <f t="array" ref="I105">MIN((INDEX([2]SourceData!$B:$B, MATCH($D105,[2]SourceData!$A:$A, 0))-SUM($D105:H105)),  (MaxPtsPerSprint5-SUM(I$7:I101)))</f>
        <v>#N/A</v>
      </c>
      <c r="J105" s="286" t="e">
        <f t="array" ref="J105">MIN((INDEX([2]SourceData!$B:$B, MATCH($D105,[2]SourceData!$A:$A, 0))-SUM($D105:I105)),  (MaxPtsPerSprint6-SUM(J$7:J101)))</f>
        <v>#N/A</v>
      </c>
      <c r="K105" s="286" t="e">
        <f t="array" ref="K105">MIN((INDEX([2]SourceData!$B:$B, MATCH($D105,[2]SourceData!$A:$A, 0))-SUM($D105:J105)),  (MaxPtsPerSprint7-SUM(K$7:K101)))</f>
        <v>#N/A</v>
      </c>
      <c r="L105" s="286" t="e">
        <f t="array" ref="L105">MIN((INDEX([2]SourceData!$B:$B, MATCH($D105,[2]SourceData!$A:$A, 0))-SUM($D105:K105)),  (MaxPtsPerSprint8-SUM(L$7:L101)))</f>
        <v>#N/A</v>
      </c>
      <c r="M105" s="286" t="e">
        <f t="array" ref="M105">MIN((INDEX([2]SourceData!$B:$B, MATCH($D105,[2]SourceData!$A:$A, 0))-SUM($D105:L105)),  (MaxPtsPerSprint9-SUM(M$7:M101)))</f>
        <v>#N/A</v>
      </c>
      <c r="N105" s="286" t="e">
        <f t="array" ref="N105">MIN((INDEX([2]SourceData!$B:$B, MATCH($D105,[2]SourceData!$A:$A, 0))-SUM($D105:M105)),  (MaxPtsPerSprint10-SUM(N$7:N101)))</f>
        <v>#N/A</v>
      </c>
      <c r="O105" s="286" t="e">
        <f t="array" ref="O105">MIN((INDEX([2]SourceData!$B:$B, MATCH($D105,[2]SourceData!$A:$A, 0))-SUM($D105:N105)),  (MaxPtsPerSprint11-SUM(O$7:O101)))</f>
        <v>#N/A</v>
      </c>
      <c r="P105" s="286" t="e">
        <f t="array" ref="P105">MIN((INDEX([2]SourceData!$B:$B, MATCH($D105,[2]SourceData!$A:$A, 0))-SUM($D105:O105)),  (MaxPtsPerSprint12-SUM(P$7:P101)))</f>
        <v>#N/A</v>
      </c>
      <c r="Q105" s="286" t="e">
        <f t="array" ref="Q105">MIN((INDEX([2]SourceData!$B:$B, MATCH($D105,[2]SourceData!$A:$A, 0))-SUM($D105:P105)),  (MaxPtsPerSprint13-SUM(Q$7:Q104)))</f>
        <v>#N/A</v>
      </c>
      <c r="R105" s="286" t="e">
        <f t="array" ref="R105">MIN((INDEX([2]SourceData!$B:$B, MATCH($D105,[2]SourceData!$A:$A, 0))-SUM($D105:Q105)),  (MaxPtsPerSprint14-SUM(R$7:R104)))</f>
        <v>#N/A</v>
      </c>
      <c r="S105" s="286" t="e">
        <f t="array" ref="S105">MIN((INDEX([2]SourceData!$B:$B, MATCH($D105,[2]SourceData!$A:$A, 0))-SUM($D105:R105)),  (MaxPtsPerSprint15-SUM(S$7:S104)))</f>
        <v>#N/A</v>
      </c>
      <c r="T105" s="286" t="e">
        <f t="array" ref="T105">MIN((INDEX([2]SourceData!$B:$B, MATCH($D105,[2]SourceData!$A:$A, 0))-SUM($D105:S105)),  (MaxPtsPerSprint16-SUM(T$7:T104)))</f>
        <v>#N/A</v>
      </c>
      <c r="U105" s="286" t="e">
        <f t="array" ref="U105">MIN((INDEX([2]SourceData!$B:$B, MATCH($D105,[2]SourceData!$A:$A, 0))-SUM($D105:T105)),  (MaxPtsPerSprint17-SUM(U$7:U104)))</f>
        <v>#N/A</v>
      </c>
      <c r="V105" s="286" t="e">
        <f t="array" ref="V105">MIN((INDEX([2]SourceData!$B:$B, MATCH($D105,[2]SourceData!$A:$A, 0))-SUM($D105:U105)),  (MaxPtsPerSprint18-SUM(V$7:V104)))</f>
        <v>#N/A</v>
      </c>
      <c r="W105" s="286" t="e">
        <f t="array" ref="W105">MIN((INDEX([2]SourceData!$B:$B, MATCH($D105,[2]SourceData!$A:$A, 0))-SUM($D105:V105)),  (MaxPtsPerSprint19-SUM(W$7:W104)))</f>
        <v>#N/A</v>
      </c>
      <c r="X105" s="286" t="e">
        <f t="array" ref="X105">MIN((INDEX([2]SourceData!$B:$B, MATCH($D105,[2]SourceData!$A:$A, 0))-SUM($D105:W105)),  (MaxPtsPerSprint20-SUM(X$7:X104)))</f>
        <v>#N/A</v>
      </c>
      <c r="Y105" s="287" t="e">
        <f t="array" ref="Y105">MIN((INDEX([2]SourceData!$B:$B, MATCH($D105,[2]SourceData!$A:$A, 0))-SUM($D105:X105)),  (MaxPtsPerSprint21-SUM(Y$7:Y104)))</f>
        <v>#N/A</v>
      </c>
      <c r="Z105" s="287" t="e">
        <f t="array" ref="Z105">MIN((INDEX([2]SourceData!$B:$B, MATCH($D105,[2]SourceData!$A:$A, 0))-SUM($D105:Y105)),  (MaxPtsPerSprint22-SUM(Z$7:Z104)))</f>
        <v>#N/A</v>
      </c>
      <c r="AA105" s="287" t="e">
        <f t="array" ref="AA105">MIN((INDEX([2]SourceData!$B:$B, MATCH($D105,[2]SourceData!$A:$A, 0))-SUM($D105:Z105)),  (MaxPtsPerSprint23-SUM(AA$7:AA104)))</f>
        <v>#N/A</v>
      </c>
      <c r="AB105" s="287" t="e">
        <f t="array" ref="AB105">MIN((INDEX([2]SourceData!$B:$B, MATCH($D105,[2]SourceData!$A:$A, 0))-SUM($D105:AA105)),  (MaxPtsPerSprint24-SUM(AB$7:AB104)))</f>
        <v>#N/A</v>
      </c>
      <c r="AC105" s="287"/>
      <c r="AD105" s="287"/>
      <c r="AE105" s="288" t="e">
        <f t="shared" si="7"/>
        <v>#N/A</v>
      </c>
      <c r="AF105" s="289"/>
    </row>
    <row r="106" spans="2:32" ht="18" hidden="1" customHeight="1" outlineLevel="1" x14ac:dyDescent="0.45">
      <c r="B106" s="284" t="e">
        <f>VLOOKUP(D106,'[2]Work Item Vlookup'!$A$2:$B$119,2,FALSE)</f>
        <v>#N/A</v>
      </c>
      <c r="C106" s="284"/>
      <c r="D106" s="285">
        <f t="array" ref="D106">[2]SourceData!A100</f>
        <v>0</v>
      </c>
      <c r="E106" s="286" t="e">
        <f t="array" ref="E106">MIN((INDEX([2]SourceData!$B:$B, MATCH($D106,[2]SourceData!$A:$A, 0))-SUM($D106:D106)),  (MaxPtsPerSprint1-SUM(E$7:E102)))</f>
        <v>#N/A</v>
      </c>
      <c r="F106" s="286" t="e">
        <f t="array" ref="F106">MIN((INDEX([2]SourceData!$B:$B, MATCH($D106,[2]SourceData!$A:$A, 0))-SUM($D106:E106)),  (MaxPtsPerSprint2-SUM(F$7:F102)))</f>
        <v>#N/A</v>
      </c>
      <c r="G106" s="286" t="e">
        <f t="array" ref="G106">MIN((INDEX([2]SourceData!$B:$B, MATCH($D106,[2]SourceData!$A:$A, 0))-SUM($D106:F106)),  (MaxPtsPerSprint3-SUM(G$7:G102)))</f>
        <v>#N/A</v>
      </c>
      <c r="H106" s="286" t="e">
        <f t="array" ref="H106">MIN((INDEX([2]SourceData!$B:$B, MATCH($D106,[2]SourceData!$A:$A, 0))-SUM($D106:G106)),  (MaxPtsPerSprint4-SUM(H$7:H102)))</f>
        <v>#N/A</v>
      </c>
      <c r="I106" s="286" t="e">
        <f t="array" ref="I106">MIN((INDEX([2]SourceData!$B:$B, MATCH($D106,[2]SourceData!$A:$A, 0))-SUM($D106:H106)),  (MaxPtsPerSprint5-SUM(I$7:I102)))</f>
        <v>#N/A</v>
      </c>
      <c r="J106" s="286" t="e">
        <f t="array" ref="J106">MIN((INDEX([2]SourceData!$B:$B, MATCH($D106,[2]SourceData!$A:$A, 0))-SUM($D106:I106)),  (MaxPtsPerSprint6-SUM(J$7:J102)))</f>
        <v>#N/A</v>
      </c>
      <c r="K106" s="286" t="e">
        <f t="array" ref="K106">MIN((INDEX([2]SourceData!$B:$B, MATCH($D106,[2]SourceData!$A:$A, 0))-SUM($D106:J106)),  (MaxPtsPerSprint7-SUM(K$7:K102)))</f>
        <v>#N/A</v>
      </c>
      <c r="L106" s="286" t="e">
        <f t="array" ref="L106">MIN((INDEX([2]SourceData!$B:$B, MATCH($D106,[2]SourceData!$A:$A, 0))-SUM($D106:K106)),  (MaxPtsPerSprint8-SUM(L$7:L102)))</f>
        <v>#N/A</v>
      </c>
      <c r="M106" s="286" t="e">
        <f t="array" ref="M106">MIN((INDEX([2]SourceData!$B:$B, MATCH($D106,[2]SourceData!$A:$A, 0))-SUM($D106:L106)),  (MaxPtsPerSprint9-SUM(M$7:M102)))</f>
        <v>#N/A</v>
      </c>
      <c r="N106" s="286" t="e">
        <f t="array" ref="N106">MIN((INDEX([2]SourceData!$B:$B, MATCH($D106,[2]SourceData!$A:$A, 0))-SUM($D106:M106)),  (MaxPtsPerSprint10-SUM(N$7:N102)))</f>
        <v>#N/A</v>
      </c>
      <c r="O106" s="286" t="e">
        <f t="array" ref="O106">MIN((INDEX([2]SourceData!$B:$B, MATCH($D106,[2]SourceData!$A:$A, 0))-SUM($D106:N106)),  (MaxPtsPerSprint11-SUM(O$7:O102)))</f>
        <v>#N/A</v>
      </c>
      <c r="P106" s="286" t="e">
        <f t="array" ref="P106">MIN((INDEX([2]SourceData!$B:$B, MATCH($D106,[2]SourceData!$A:$A, 0))-SUM($D106:O106)),  (MaxPtsPerSprint12-SUM(P$7:P102)))</f>
        <v>#N/A</v>
      </c>
      <c r="Q106" s="286" t="e">
        <f t="array" ref="Q106">MIN((INDEX([2]SourceData!$B:$B, MATCH($D106,[2]SourceData!$A:$A, 0))-SUM($D106:P106)),  (MaxPtsPerSprint13-SUM(Q$7:Q105)))</f>
        <v>#N/A</v>
      </c>
      <c r="R106" s="286" t="e">
        <f t="array" ref="R106">MIN((INDEX([2]SourceData!$B:$B, MATCH($D106,[2]SourceData!$A:$A, 0))-SUM($D106:Q106)),  (MaxPtsPerSprint14-SUM(R$7:R105)))</f>
        <v>#N/A</v>
      </c>
      <c r="S106" s="286" t="e">
        <f t="array" ref="S106">MIN((INDEX([2]SourceData!$B:$B, MATCH($D106,[2]SourceData!$A:$A, 0))-SUM($D106:R106)),  (MaxPtsPerSprint15-SUM(S$7:S105)))</f>
        <v>#N/A</v>
      </c>
      <c r="T106" s="286" t="e">
        <f t="array" ref="T106">MIN((INDEX([2]SourceData!$B:$B, MATCH($D106,[2]SourceData!$A:$A, 0))-SUM($D106:S106)),  (MaxPtsPerSprint16-SUM(T$7:T105)))</f>
        <v>#N/A</v>
      </c>
      <c r="U106" s="286" t="e">
        <f t="array" ref="U106">MIN((INDEX([2]SourceData!$B:$B, MATCH($D106,[2]SourceData!$A:$A, 0))-SUM($D106:T106)),  (MaxPtsPerSprint17-SUM(U$7:U105)))</f>
        <v>#N/A</v>
      </c>
      <c r="V106" s="286" t="e">
        <f t="array" ref="V106">MIN((INDEX([2]SourceData!$B:$B, MATCH($D106,[2]SourceData!$A:$A, 0))-SUM($D106:U106)),  (MaxPtsPerSprint18-SUM(V$7:V105)))</f>
        <v>#N/A</v>
      </c>
      <c r="W106" s="286" t="e">
        <f t="array" ref="W106">MIN((INDEX([2]SourceData!$B:$B, MATCH($D106,[2]SourceData!$A:$A, 0))-SUM($D106:V106)),  (MaxPtsPerSprint19-SUM(W$7:W105)))</f>
        <v>#N/A</v>
      </c>
      <c r="X106" s="286" t="e">
        <f t="array" ref="X106">MIN((INDEX([2]SourceData!$B:$B, MATCH($D106,[2]SourceData!$A:$A, 0))-SUM($D106:W106)),  (MaxPtsPerSprint20-SUM(X$7:X105)))</f>
        <v>#N/A</v>
      </c>
      <c r="Y106" s="287" t="e">
        <f t="array" ref="Y106">MIN((INDEX([2]SourceData!$B:$B, MATCH($D106,[2]SourceData!$A:$A, 0))-SUM($D106:X106)),  (MaxPtsPerSprint21-SUM(Y$7:Y105)))</f>
        <v>#N/A</v>
      </c>
      <c r="Z106" s="287" t="e">
        <f t="array" ref="Z106">MIN((INDEX([2]SourceData!$B:$B, MATCH($D106,[2]SourceData!$A:$A, 0))-SUM($D106:Y106)),  (MaxPtsPerSprint22-SUM(Z$7:Z105)))</f>
        <v>#N/A</v>
      </c>
      <c r="AA106" s="287" t="e">
        <f t="array" ref="AA106">MIN((INDEX([2]SourceData!$B:$B, MATCH($D106,[2]SourceData!$A:$A, 0))-SUM($D106:Z106)),  (MaxPtsPerSprint23-SUM(AA$7:AA105)))</f>
        <v>#N/A</v>
      </c>
      <c r="AB106" s="287" t="e">
        <f t="array" ref="AB106">MIN((INDEX([2]SourceData!$B:$B, MATCH($D106,[2]SourceData!$A:$A, 0))-SUM($D106:AA106)),  (MaxPtsPerSprint24-SUM(AB$7:AB105)))</f>
        <v>#N/A</v>
      </c>
      <c r="AC106" s="287"/>
      <c r="AD106" s="287"/>
      <c r="AE106" s="288" t="e">
        <f t="shared" si="7"/>
        <v>#N/A</v>
      </c>
      <c r="AF106" s="289"/>
    </row>
    <row r="107" spans="2:32" ht="18" hidden="1" customHeight="1" outlineLevel="1" x14ac:dyDescent="0.45">
      <c r="B107" s="284" t="e">
        <f>VLOOKUP(D107,'[2]Work Item Vlookup'!$A$2:$B$119,2,FALSE)</f>
        <v>#N/A</v>
      </c>
      <c r="C107" s="284"/>
      <c r="D107" s="285">
        <f t="array" ref="D107">[2]SourceData!A101</f>
        <v>0</v>
      </c>
      <c r="E107" s="286" t="e">
        <f t="array" ref="E107">MIN((INDEX([2]SourceData!$B:$B, MATCH($D107,[2]SourceData!$A:$A, 0))-SUM($D107:D107)),  (MaxPtsPerSprint1-SUM(E$7:E103)))</f>
        <v>#N/A</v>
      </c>
      <c r="F107" s="286" t="e">
        <f t="array" ref="F107">MIN((INDEX([2]SourceData!$B:$B, MATCH($D107,[2]SourceData!$A:$A, 0))-SUM($D107:E107)),  (MaxPtsPerSprint2-SUM(F$7:F103)))</f>
        <v>#N/A</v>
      </c>
      <c r="G107" s="286" t="e">
        <f t="array" ref="G107">MIN((INDEX([2]SourceData!$B:$B, MATCH($D107,[2]SourceData!$A:$A, 0))-SUM($D107:F107)),  (MaxPtsPerSprint3-SUM(G$7:G103)))</f>
        <v>#N/A</v>
      </c>
      <c r="H107" s="286" t="e">
        <f t="array" ref="H107">MIN((INDEX([2]SourceData!$B:$B, MATCH($D107,[2]SourceData!$A:$A, 0))-SUM($D107:G107)),  (MaxPtsPerSprint4-SUM(H$7:H103)))</f>
        <v>#N/A</v>
      </c>
      <c r="I107" s="286" t="e">
        <f t="array" ref="I107">MIN((INDEX([2]SourceData!$B:$B, MATCH($D107,[2]SourceData!$A:$A, 0))-SUM($D107:H107)),  (MaxPtsPerSprint5-SUM(I$7:I103)))</f>
        <v>#N/A</v>
      </c>
      <c r="J107" s="286" t="e">
        <f t="array" ref="J107">MIN((INDEX([2]SourceData!$B:$B, MATCH($D107,[2]SourceData!$A:$A, 0))-SUM($D107:I107)),  (MaxPtsPerSprint6-SUM(J$7:J103)))</f>
        <v>#N/A</v>
      </c>
      <c r="K107" s="286" t="e">
        <f t="array" ref="K107">MIN((INDEX([2]SourceData!$B:$B, MATCH($D107,[2]SourceData!$A:$A, 0))-SUM($D107:J107)),  (MaxPtsPerSprint7-SUM(K$7:K103)))</f>
        <v>#N/A</v>
      </c>
      <c r="L107" s="286" t="e">
        <f t="array" ref="L107">MIN((INDEX([2]SourceData!$B:$B, MATCH($D107,[2]SourceData!$A:$A, 0))-SUM($D107:K107)),  (MaxPtsPerSprint8-SUM(L$7:L103)))</f>
        <v>#N/A</v>
      </c>
      <c r="M107" s="286" t="e">
        <f t="array" ref="M107">MIN((INDEX([2]SourceData!$B:$B, MATCH($D107,[2]SourceData!$A:$A, 0))-SUM($D107:L107)),  (MaxPtsPerSprint9-SUM(M$7:M103)))</f>
        <v>#N/A</v>
      </c>
      <c r="N107" s="286" t="e">
        <f t="array" ref="N107">MIN((INDEX([2]SourceData!$B:$B, MATCH($D107,[2]SourceData!$A:$A, 0))-SUM($D107:M107)),  (MaxPtsPerSprint10-SUM(N$7:N103)))</f>
        <v>#N/A</v>
      </c>
      <c r="O107" s="286" t="e">
        <f t="array" ref="O107">MIN((INDEX([2]SourceData!$B:$B, MATCH($D107,[2]SourceData!$A:$A, 0))-SUM($D107:N107)),  (MaxPtsPerSprint11-SUM(O$7:O103)))</f>
        <v>#N/A</v>
      </c>
      <c r="P107" s="286" t="e">
        <f t="array" ref="P107">MIN((INDEX([2]SourceData!$B:$B, MATCH($D107,[2]SourceData!$A:$A, 0))-SUM($D107:O107)),  (MaxPtsPerSprint12-SUM(P$7:P103)))</f>
        <v>#N/A</v>
      </c>
      <c r="Q107" s="286" t="e">
        <f t="array" ref="Q107">MIN((INDEX([2]SourceData!$B:$B, MATCH($D107,[2]SourceData!$A:$A, 0))-SUM($D107:P107)),  (MaxPtsPerSprint13-SUM(Q$7:Q106)))</f>
        <v>#N/A</v>
      </c>
      <c r="R107" s="286" t="e">
        <f t="array" ref="R107">MIN((INDEX([2]SourceData!$B:$B, MATCH($D107,[2]SourceData!$A:$A, 0))-SUM($D107:Q107)),  (MaxPtsPerSprint14-SUM(R$7:R106)))</f>
        <v>#N/A</v>
      </c>
      <c r="S107" s="286" t="e">
        <f t="array" ref="S107">MIN((INDEX([2]SourceData!$B:$B, MATCH($D107,[2]SourceData!$A:$A, 0))-SUM($D107:R107)),  (MaxPtsPerSprint15-SUM(S$7:S106)))</f>
        <v>#N/A</v>
      </c>
      <c r="T107" s="286" t="e">
        <f t="array" ref="T107">MIN((INDEX([2]SourceData!$B:$B, MATCH($D107,[2]SourceData!$A:$A, 0))-SUM($D107:S107)),  (MaxPtsPerSprint16-SUM(T$7:T106)))</f>
        <v>#N/A</v>
      </c>
      <c r="U107" s="286" t="e">
        <f t="array" ref="U107">MIN((INDEX([2]SourceData!$B:$B, MATCH($D107,[2]SourceData!$A:$A, 0))-SUM($D107:T107)),  (MaxPtsPerSprint17-SUM(U$7:U106)))</f>
        <v>#N/A</v>
      </c>
      <c r="V107" s="286" t="e">
        <f t="array" ref="V107">MIN((INDEX([2]SourceData!$B:$B, MATCH($D107,[2]SourceData!$A:$A, 0))-SUM($D107:U107)),  (MaxPtsPerSprint18-SUM(V$7:V106)))</f>
        <v>#N/A</v>
      </c>
      <c r="W107" s="286" t="e">
        <f t="array" ref="W107">MIN((INDEX([2]SourceData!$B:$B, MATCH($D107,[2]SourceData!$A:$A, 0))-SUM($D107:V107)),  (MaxPtsPerSprint19-SUM(W$7:W106)))</f>
        <v>#N/A</v>
      </c>
      <c r="X107" s="286" t="e">
        <f t="array" ref="X107">MIN((INDEX([2]SourceData!$B:$B, MATCH($D107,[2]SourceData!$A:$A, 0))-SUM($D107:W107)),  (MaxPtsPerSprint20-SUM(X$7:X106)))</f>
        <v>#N/A</v>
      </c>
      <c r="Y107" s="287" t="e">
        <f t="array" ref="Y107">MIN((INDEX([2]SourceData!$B:$B, MATCH($D107,[2]SourceData!$A:$A, 0))-SUM($D107:X107)),  (MaxPtsPerSprint21-SUM(Y$7:Y106)))</f>
        <v>#N/A</v>
      </c>
      <c r="Z107" s="287" t="e">
        <f t="array" ref="Z107">MIN((INDEX([2]SourceData!$B:$B, MATCH($D107,[2]SourceData!$A:$A, 0))-SUM($D107:Y107)),  (MaxPtsPerSprint22-SUM(Z$7:Z106)))</f>
        <v>#N/A</v>
      </c>
      <c r="AA107" s="287" t="e">
        <f t="array" ref="AA107">MIN((INDEX([2]SourceData!$B:$B, MATCH($D107,[2]SourceData!$A:$A, 0))-SUM($D107:Z107)),  (MaxPtsPerSprint23-SUM(AA$7:AA106)))</f>
        <v>#N/A</v>
      </c>
      <c r="AB107" s="287" t="e">
        <f t="array" ref="AB107">MIN((INDEX([2]SourceData!$B:$B, MATCH($D107,[2]SourceData!$A:$A, 0))-SUM($D107:AA107)),  (MaxPtsPerSprint24-SUM(AB$7:AB106)))</f>
        <v>#N/A</v>
      </c>
      <c r="AC107" s="287"/>
      <c r="AD107" s="287"/>
      <c r="AE107" s="288" t="e">
        <f t="shared" si="7"/>
        <v>#N/A</v>
      </c>
      <c r="AF107" s="289"/>
    </row>
    <row r="108" spans="2:32" ht="18" hidden="1" customHeight="1" outlineLevel="1" x14ac:dyDescent="0.45">
      <c r="B108" s="284" t="e">
        <f>VLOOKUP(D108,'[2]Work Item Vlookup'!$A$2:$B$119,2,FALSE)</f>
        <v>#N/A</v>
      </c>
      <c r="C108" s="284"/>
      <c r="D108" s="285">
        <f t="array" ref="D108">[2]SourceData!A102</f>
        <v>0</v>
      </c>
      <c r="E108" s="286" t="e">
        <f t="array" ref="E108">MIN((INDEX([2]SourceData!$B:$B, MATCH($D108,[2]SourceData!$A:$A, 0))-SUM($D108:D108)),  (MaxPtsPerSprint1-SUM(E$7:E104)))</f>
        <v>#N/A</v>
      </c>
      <c r="F108" s="286" t="e">
        <f t="array" ref="F108">MIN((INDEX([2]SourceData!$B:$B, MATCH($D108,[2]SourceData!$A:$A, 0))-SUM($D108:E108)),  (MaxPtsPerSprint2-SUM(F$7:F104)))</f>
        <v>#N/A</v>
      </c>
      <c r="G108" s="286" t="e">
        <f t="array" ref="G108">MIN((INDEX([2]SourceData!$B:$B, MATCH($D108,[2]SourceData!$A:$A, 0))-SUM($D108:F108)),  (MaxPtsPerSprint3-SUM(G$7:G104)))</f>
        <v>#N/A</v>
      </c>
      <c r="H108" s="286" t="e">
        <f t="array" ref="H108">MIN((INDEX([2]SourceData!$B:$B, MATCH($D108,[2]SourceData!$A:$A, 0))-SUM($D108:G108)),  (MaxPtsPerSprint4-SUM(H$7:H104)))</f>
        <v>#N/A</v>
      </c>
      <c r="I108" s="286" t="e">
        <f t="array" ref="I108">MIN((INDEX([2]SourceData!$B:$B, MATCH($D108,[2]SourceData!$A:$A, 0))-SUM($D108:H108)),  (MaxPtsPerSprint5-SUM(I$7:I104)))</f>
        <v>#N/A</v>
      </c>
      <c r="J108" s="286" t="e">
        <f t="array" ref="J108">MIN((INDEX([2]SourceData!$B:$B, MATCH($D108,[2]SourceData!$A:$A, 0))-SUM($D108:I108)),  (MaxPtsPerSprint6-SUM(J$7:J104)))</f>
        <v>#N/A</v>
      </c>
      <c r="K108" s="286" t="e">
        <f t="array" ref="K108">MIN((INDEX([2]SourceData!$B:$B, MATCH($D108,[2]SourceData!$A:$A, 0))-SUM($D108:J108)),  (MaxPtsPerSprint7-SUM(K$7:K104)))</f>
        <v>#N/A</v>
      </c>
      <c r="L108" s="286" t="e">
        <f t="array" ref="L108">MIN((INDEX([2]SourceData!$B:$B, MATCH($D108,[2]SourceData!$A:$A, 0))-SUM($D108:K108)),  (MaxPtsPerSprint8-SUM(L$7:L104)))</f>
        <v>#N/A</v>
      </c>
      <c r="M108" s="286" t="e">
        <f t="array" ref="M108">MIN((INDEX([2]SourceData!$B:$B, MATCH($D108,[2]SourceData!$A:$A, 0))-SUM($D108:L108)),  (MaxPtsPerSprint9-SUM(M$7:M104)))</f>
        <v>#N/A</v>
      </c>
      <c r="N108" s="286" t="e">
        <f t="array" ref="N108">MIN((INDEX([2]SourceData!$B:$B, MATCH($D108,[2]SourceData!$A:$A, 0))-SUM($D108:M108)),  (MaxPtsPerSprint10-SUM(N$7:N104)))</f>
        <v>#N/A</v>
      </c>
      <c r="O108" s="286" t="e">
        <f t="array" ref="O108">MIN((INDEX([2]SourceData!$B:$B, MATCH($D108,[2]SourceData!$A:$A, 0))-SUM($D108:N108)),  (MaxPtsPerSprint11-SUM(O$7:O104)))</f>
        <v>#N/A</v>
      </c>
      <c r="P108" s="286" t="e">
        <f t="array" ref="P108">MIN((INDEX([2]SourceData!$B:$B, MATCH($D108,[2]SourceData!$A:$A, 0))-SUM($D108:O108)),  (MaxPtsPerSprint12-SUM(P$7:P104)))</f>
        <v>#N/A</v>
      </c>
      <c r="Q108" s="286" t="e">
        <f t="array" ref="Q108">MIN((INDEX([2]SourceData!$B:$B, MATCH($D108,[2]SourceData!$A:$A, 0))-SUM($D108:P108)),  (MaxPtsPerSprint13-SUM(Q$7:Q107)))</f>
        <v>#N/A</v>
      </c>
      <c r="R108" s="286" t="e">
        <f t="array" ref="R108">MIN((INDEX([2]SourceData!$B:$B, MATCH($D108,[2]SourceData!$A:$A, 0))-SUM($D108:Q108)),  (MaxPtsPerSprint14-SUM(R$7:R107)))</f>
        <v>#N/A</v>
      </c>
      <c r="S108" s="286" t="e">
        <f t="array" ref="S108">MIN((INDEX([2]SourceData!$B:$B, MATCH($D108,[2]SourceData!$A:$A, 0))-SUM($D108:R108)),  (MaxPtsPerSprint15-SUM(S$7:S107)))</f>
        <v>#N/A</v>
      </c>
      <c r="T108" s="286" t="e">
        <f t="array" ref="T108">MIN((INDEX([2]SourceData!$B:$B, MATCH($D108,[2]SourceData!$A:$A, 0))-SUM($D108:S108)),  (MaxPtsPerSprint16-SUM(T$7:T107)))</f>
        <v>#N/A</v>
      </c>
      <c r="U108" s="286" t="e">
        <f t="array" ref="U108">MIN((INDEX([2]SourceData!$B:$B, MATCH($D108,[2]SourceData!$A:$A, 0))-SUM($D108:T108)),  (MaxPtsPerSprint17-SUM(U$7:U107)))</f>
        <v>#N/A</v>
      </c>
      <c r="V108" s="286" t="e">
        <f t="array" ref="V108">MIN((INDEX([2]SourceData!$B:$B, MATCH($D108,[2]SourceData!$A:$A, 0))-SUM($D108:U108)),  (MaxPtsPerSprint18-SUM(V$7:V107)))</f>
        <v>#N/A</v>
      </c>
      <c r="W108" s="286" t="e">
        <f t="array" ref="W108">MIN((INDEX([2]SourceData!$B:$B, MATCH($D108,[2]SourceData!$A:$A, 0))-SUM($D108:V108)),  (MaxPtsPerSprint19-SUM(W$7:W107)))</f>
        <v>#N/A</v>
      </c>
      <c r="X108" s="286" t="e">
        <f t="array" ref="X108">MIN((INDEX([2]SourceData!$B:$B, MATCH($D108,[2]SourceData!$A:$A, 0))-SUM($D108:W108)),  (MaxPtsPerSprint20-SUM(X$7:X107)))</f>
        <v>#N/A</v>
      </c>
      <c r="Y108" s="287" t="e">
        <f t="array" ref="Y108">MIN((INDEX([2]SourceData!$B:$B, MATCH($D108,[2]SourceData!$A:$A, 0))-SUM($D108:X108)),  (MaxPtsPerSprint21-SUM(Y$7:Y107)))</f>
        <v>#N/A</v>
      </c>
      <c r="Z108" s="287" t="e">
        <f t="array" ref="Z108">MIN((INDEX([2]SourceData!$B:$B, MATCH($D108,[2]SourceData!$A:$A, 0))-SUM($D108:Y108)),  (MaxPtsPerSprint22-SUM(Z$7:Z107)))</f>
        <v>#N/A</v>
      </c>
      <c r="AA108" s="287" t="e">
        <f t="array" ref="AA108">MIN((INDEX([2]SourceData!$B:$B, MATCH($D108,[2]SourceData!$A:$A, 0))-SUM($D108:Z108)),  (MaxPtsPerSprint23-SUM(AA$7:AA107)))</f>
        <v>#N/A</v>
      </c>
      <c r="AB108" s="287" t="e">
        <f t="array" ref="AB108">MIN((INDEX([2]SourceData!$B:$B, MATCH($D108,[2]SourceData!$A:$A, 0))-SUM($D108:AA108)),  (MaxPtsPerSprint24-SUM(AB$7:AB107)))</f>
        <v>#N/A</v>
      </c>
      <c r="AC108" s="287"/>
      <c r="AD108" s="287"/>
      <c r="AE108" s="288" t="e">
        <f t="shared" si="7"/>
        <v>#N/A</v>
      </c>
      <c r="AF108" s="289"/>
    </row>
    <row r="109" spans="2:32" ht="18" hidden="1" customHeight="1" outlineLevel="1" x14ac:dyDescent="0.45">
      <c r="B109" s="284" t="e">
        <f>VLOOKUP(D109,'[2]Work Item Vlookup'!$A$2:$B$119,2,FALSE)</f>
        <v>#N/A</v>
      </c>
      <c r="C109" s="284"/>
      <c r="D109" s="285">
        <f t="array" ref="D109">[2]SourceData!A103</f>
        <v>0</v>
      </c>
      <c r="E109" s="286" t="e">
        <f t="array" ref="E109">MIN((INDEX([2]SourceData!$B:$B, MATCH($D109,[2]SourceData!$A:$A, 0))-SUM($D109:D109)),  (MaxPtsPerSprint1-SUM(E$7:E105)))</f>
        <v>#N/A</v>
      </c>
      <c r="F109" s="286" t="e">
        <f t="array" ref="F109">MIN((INDEX([2]SourceData!$B:$B, MATCH($D109,[2]SourceData!$A:$A, 0))-SUM($D109:E109)),  (MaxPtsPerSprint2-SUM(F$7:F105)))</f>
        <v>#N/A</v>
      </c>
      <c r="G109" s="286" t="e">
        <f t="array" ref="G109">MIN((INDEX([2]SourceData!$B:$B, MATCH($D109,[2]SourceData!$A:$A, 0))-SUM($D109:F109)),  (MaxPtsPerSprint3-SUM(G$7:G105)))</f>
        <v>#N/A</v>
      </c>
      <c r="H109" s="286" t="e">
        <f t="array" ref="H109">MIN((INDEX([2]SourceData!$B:$B, MATCH($D109,[2]SourceData!$A:$A, 0))-SUM($D109:G109)),  (MaxPtsPerSprint4-SUM(H$7:H105)))</f>
        <v>#N/A</v>
      </c>
      <c r="I109" s="286" t="e">
        <f t="array" ref="I109">MIN((INDEX([2]SourceData!$B:$B, MATCH($D109,[2]SourceData!$A:$A, 0))-SUM($D109:H109)),  (MaxPtsPerSprint5-SUM(I$7:I105)))</f>
        <v>#N/A</v>
      </c>
      <c r="J109" s="286" t="e">
        <f t="array" ref="J109">MIN((INDEX([2]SourceData!$B:$B, MATCH($D109,[2]SourceData!$A:$A, 0))-SUM($D109:I109)),  (MaxPtsPerSprint6-SUM(J$7:J105)))</f>
        <v>#N/A</v>
      </c>
      <c r="K109" s="286" t="e">
        <f t="array" ref="K109">MIN((INDEX([2]SourceData!$B:$B, MATCH($D109,[2]SourceData!$A:$A, 0))-SUM($D109:J109)),  (MaxPtsPerSprint7-SUM(K$7:K105)))</f>
        <v>#N/A</v>
      </c>
      <c r="L109" s="286" t="e">
        <f t="array" ref="L109">MIN((INDEX([2]SourceData!$B:$B, MATCH($D109,[2]SourceData!$A:$A, 0))-SUM($D109:K109)),  (MaxPtsPerSprint8-SUM(L$7:L105)))</f>
        <v>#N/A</v>
      </c>
      <c r="M109" s="286" t="e">
        <f t="array" ref="M109">MIN((INDEX([2]SourceData!$B:$B, MATCH($D109,[2]SourceData!$A:$A, 0))-SUM($D109:L109)),  (MaxPtsPerSprint9-SUM(M$7:M105)))</f>
        <v>#N/A</v>
      </c>
      <c r="N109" s="286" t="e">
        <f t="array" ref="N109">MIN((INDEX([2]SourceData!$B:$B, MATCH($D109,[2]SourceData!$A:$A, 0))-SUM($D109:M109)),  (MaxPtsPerSprint10-SUM(N$7:N105)))</f>
        <v>#N/A</v>
      </c>
      <c r="O109" s="286" t="e">
        <f t="array" ref="O109">MIN((INDEX([2]SourceData!$B:$B, MATCH($D109,[2]SourceData!$A:$A, 0))-SUM($D109:N109)),  (MaxPtsPerSprint11-SUM(O$7:O105)))</f>
        <v>#N/A</v>
      </c>
      <c r="P109" s="286" t="e">
        <f t="array" ref="P109">MIN((INDEX([2]SourceData!$B:$B, MATCH($D109,[2]SourceData!$A:$A, 0))-SUM($D109:O109)),  (MaxPtsPerSprint12-SUM(P$7:P105)))</f>
        <v>#N/A</v>
      </c>
      <c r="Q109" s="286" t="e">
        <f t="array" ref="Q109">MIN((INDEX([2]SourceData!$B:$B, MATCH($D109,[2]SourceData!$A:$A, 0))-SUM($D109:P109)),  (MaxPtsPerSprint13-SUM(Q$7:Q108)))</f>
        <v>#N/A</v>
      </c>
      <c r="R109" s="286" t="e">
        <f t="array" ref="R109">MIN((INDEX([2]SourceData!$B:$B, MATCH($D109,[2]SourceData!$A:$A, 0))-SUM($D109:Q109)),  (MaxPtsPerSprint14-SUM(R$7:R108)))</f>
        <v>#N/A</v>
      </c>
      <c r="S109" s="286" t="e">
        <f t="array" ref="S109">MIN((INDEX([2]SourceData!$B:$B, MATCH($D109,[2]SourceData!$A:$A, 0))-SUM($D109:R109)),  (MaxPtsPerSprint15-SUM(S$7:S108)))</f>
        <v>#N/A</v>
      </c>
      <c r="T109" s="286" t="e">
        <f t="array" ref="T109">MIN((INDEX([2]SourceData!$B:$B, MATCH($D109,[2]SourceData!$A:$A, 0))-SUM($D109:S109)),  (MaxPtsPerSprint16-SUM(T$7:T108)))</f>
        <v>#N/A</v>
      </c>
      <c r="U109" s="286" t="e">
        <f t="array" ref="U109">MIN((INDEX([2]SourceData!$B:$B, MATCH($D109,[2]SourceData!$A:$A, 0))-SUM($D109:T109)),  (MaxPtsPerSprint17-SUM(U$7:U108)))</f>
        <v>#N/A</v>
      </c>
      <c r="V109" s="286" t="e">
        <f t="array" ref="V109">MIN((INDEX([2]SourceData!$B:$B, MATCH($D109,[2]SourceData!$A:$A, 0))-SUM($D109:U109)),  (MaxPtsPerSprint18-SUM(V$7:V108)))</f>
        <v>#N/A</v>
      </c>
      <c r="W109" s="286" t="e">
        <f t="array" ref="W109">MIN((INDEX([2]SourceData!$B:$B, MATCH($D109,[2]SourceData!$A:$A, 0))-SUM($D109:V109)),  (MaxPtsPerSprint19-SUM(W$7:W108)))</f>
        <v>#N/A</v>
      </c>
      <c r="X109" s="286" t="e">
        <f t="array" ref="X109">MIN((INDEX([2]SourceData!$B:$B, MATCH($D109,[2]SourceData!$A:$A, 0))-SUM($D109:W109)),  (MaxPtsPerSprint20-SUM(X$7:X108)))</f>
        <v>#N/A</v>
      </c>
      <c r="Y109" s="287" t="e">
        <f t="array" ref="Y109">MIN((INDEX([2]SourceData!$B:$B, MATCH($D109,[2]SourceData!$A:$A, 0))-SUM($D109:X109)),  (MaxPtsPerSprint21-SUM(Y$7:Y108)))</f>
        <v>#N/A</v>
      </c>
      <c r="Z109" s="287" t="e">
        <f t="array" ref="Z109">MIN((INDEX([2]SourceData!$B:$B, MATCH($D109,[2]SourceData!$A:$A, 0))-SUM($D109:Y109)),  (MaxPtsPerSprint22-SUM(Z$7:Z108)))</f>
        <v>#N/A</v>
      </c>
      <c r="AA109" s="287" t="e">
        <f t="array" ref="AA109">MIN((INDEX([2]SourceData!$B:$B, MATCH($D109,[2]SourceData!$A:$A, 0))-SUM($D109:Z109)),  (MaxPtsPerSprint23-SUM(AA$7:AA108)))</f>
        <v>#N/A</v>
      </c>
      <c r="AB109" s="287" t="e">
        <f t="array" ref="AB109">MIN((INDEX([2]SourceData!$B:$B, MATCH($D109,[2]SourceData!$A:$A, 0))-SUM($D109:AA109)),  (MaxPtsPerSprint24-SUM(AB$7:AB108)))</f>
        <v>#N/A</v>
      </c>
      <c r="AC109" s="287"/>
      <c r="AD109" s="287"/>
      <c r="AE109" s="288" t="e">
        <f t="shared" si="7"/>
        <v>#N/A</v>
      </c>
      <c r="AF109" s="289"/>
    </row>
    <row r="110" spans="2:32" ht="18" hidden="1" customHeight="1" outlineLevel="1" x14ac:dyDescent="0.45">
      <c r="B110" s="284" t="e">
        <f>VLOOKUP(D110,'[2]Work Item Vlookup'!$A$2:$B$119,2,FALSE)</f>
        <v>#N/A</v>
      </c>
      <c r="C110" s="284"/>
      <c r="D110" s="285">
        <f t="array" ref="D110">[2]SourceData!A104</f>
        <v>0</v>
      </c>
      <c r="E110" s="286" t="e">
        <f t="array" ref="E110">MIN((INDEX([2]SourceData!$B:$B, MATCH($D110,[2]SourceData!$A:$A, 0))-SUM($D110:D110)),  (MaxPtsPerSprint1-SUM(E$7:E106)))</f>
        <v>#N/A</v>
      </c>
      <c r="F110" s="286" t="e">
        <f t="array" ref="F110">MIN((INDEX([2]SourceData!$B:$B, MATCH($D110,[2]SourceData!$A:$A, 0))-SUM($D110:E110)),  (MaxPtsPerSprint2-SUM(F$7:F106)))</f>
        <v>#N/A</v>
      </c>
      <c r="G110" s="286" t="e">
        <f t="array" ref="G110">MIN((INDEX([2]SourceData!$B:$B, MATCH($D110,[2]SourceData!$A:$A, 0))-SUM($D110:F110)),  (MaxPtsPerSprint3-SUM(G$7:G106)))</f>
        <v>#N/A</v>
      </c>
      <c r="H110" s="286" t="e">
        <f t="array" ref="H110">MIN((INDEX([2]SourceData!$B:$B, MATCH($D110,[2]SourceData!$A:$A, 0))-SUM($D110:G110)),  (MaxPtsPerSprint4-SUM(H$7:H106)))</f>
        <v>#N/A</v>
      </c>
      <c r="I110" s="286" t="e">
        <f t="array" ref="I110">MIN((INDEX([2]SourceData!$B:$B, MATCH($D110,[2]SourceData!$A:$A, 0))-SUM($D110:H110)),  (MaxPtsPerSprint5-SUM(I$7:I106)))</f>
        <v>#N/A</v>
      </c>
      <c r="J110" s="286" t="e">
        <f t="array" ref="J110">MIN((INDEX([2]SourceData!$B:$B, MATCH($D110,[2]SourceData!$A:$A, 0))-SUM($D110:I110)),  (MaxPtsPerSprint6-SUM(J$7:J106)))</f>
        <v>#N/A</v>
      </c>
      <c r="K110" s="286" t="e">
        <f t="array" ref="K110">MIN((INDEX([2]SourceData!$B:$B, MATCH($D110,[2]SourceData!$A:$A, 0))-SUM($D110:J110)),  (MaxPtsPerSprint7-SUM(K$7:K106)))</f>
        <v>#N/A</v>
      </c>
      <c r="L110" s="286" t="e">
        <f t="array" ref="L110">MIN((INDEX([2]SourceData!$B:$B, MATCH($D110,[2]SourceData!$A:$A, 0))-SUM($D110:K110)),  (MaxPtsPerSprint8-SUM(L$7:L106)))</f>
        <v>#N/A</v>
      </c>
      <c r="M110" s="286" t="e">
        <f t="array" ref="M110">MIN((INDEX([2]SourceData!$B:$B, MATCH($D110,[2]SourceData!$A:$A, 0))-SUM($D110:L110)),  (MaxPtsPerSprint9-SUM(M$7:M106)))</f>
        <v>#N/A</v>
      </c>
      <c r="N110" s="286" t="e">
        <f t="array" ref="N110">MIN((INDEX([2]SourceData!$B:$B, MATCH($D110,[2]SourceData!$A:$A, 0))-SUM($D110:M110)),  (MaxPtsPerSprint10-SUM(N$7:N106)))</f>
        <v>#N/A</v>
      </c>
      <c r="O110" s="286" t="e">
        <f t="array" ref="O110">MIN((INDEX([2]SourceData!$B:$B, MATCH($D110,[2]SourceData!$A:$A, 0))-SUM($D110:N110)),  (MaxPtsPerSprint11-SUM(O$7:O106)))</f>
        <v>#N/A</v>
      </c>
      <c r="P110" s="286" t="e">
        <f t="array" ref="P110">MIN((INDEX([2]SourceData!$B:$B, MATCH($D110,[2]SourceData!$A:$A, 0))-SUM($D110:O110)),  (MaxPtsPerSprint12-SUM(P$7:P106)))</f>
        <v>#N/A</v>
      </c>
      <c r="Q110" s="286" t="e">
        <f t="array" ref="Q110">MIN((INDEX([2]SourceData!$B:$B, MATCH($D110,[2]SourceData!$A:$A, 0))-SUM($D110:P110)),  (MaxPtsPerSprint13-SUM(Q$7:Q109)))</f>
        <v>#N/A</v>
      </c>
      <c r="R110" s="286" t="e">
        <f t="array" ref="R110">MIN((INDEX([2]SourceData!$B:$B, MATCH($D110,[2]SourceData!$A:$A, 0))-SUM($D110:Q110)),  (MaxPtsPerSprint14-SUM(R$7:R109)))</f>
        <v>#N/A</v>
      </c>
      <c r="S110" s="286" t="e">
        <f t="array" ref="S110">MIN((INDEX([2]SourceData!$B:$B, MATCH($D110,[2]SourceData!$A:$A, 0))-SUM($D110:R110)),  (MaxPtsPerSprint15-SUM(S$7:S109)))</f>
        <v>#N/A</v>
      </c>
      <c r="T110" s="286" t="e">
        <f t="array" ref="T110">MIN((INDEX([2]SourceData!$B:$B, MATCH($D110,[2]SourceData!$A:$A, 0))-SUM($D110:S110)),  (MaxPtsPerSprint16-SUM(T$7:T109)))</f>
        <v>#N/A</v>
      </c>
      <c r="U110" s="286" t="e">
        <f t="array" ref="U110">MIN((INDEX([2]SourceData!$B:$B, MATCH($D110,[2]SourceData!$A:$A, 0))-SUM($D110:T110)),  (MaxPtsPerSprint17-SUM(U$7:U109)))</f>
        <v>#N/A</v>
      </c>
      <c r="V110" s="286" t="e">
        <f t="array" ref="V110">MIN((INDEX([2]SourceData!$B:$B, MATCH($D110,[2]SourceData!$A:$A, 0))-SUM($D110:U110)),  (MaxPtsPerSprint18-SUM(V$7:V109)))</f>
        <v>#N/A</v>
      </c>
      <c r="W110" s="286" t="e">
        <f t="array" ref="W110">MIN((INDEX([2]SourceData!$B:$B, MATCH($D110,[2]SourceData!$A:$A, 0))-SUM($D110:V110)),  (MaxPtsPerSprint19-SUM(W$7:W109)))</f>
        <v>#N/A</v>
      </c>
      <c r="X110" s="286" t="e">
        <f t="array" ref="X110">MIN((INDEX([2]SourceData!$B:$B, MATCH($D110,[2]SourceData!$A:$A, 0))-SUM($D110:W110)),  (MaxPtsPerSprint20-SUM(X$7:X109)))</f>
        <v>#N/A</v>
      </c>
      <c r="Y110" s="287" t="e">
        <f t="array" ref="Y110">MIN((INDEX([2]SourceData!$B:$B, MATCH($D110,[2]SourceData!$A:$A, 0))-SUM($D110:X110)),  (MaxPtsPerSprint21-SUM(Y$7:Y109)))</f>
        <v>#N/A</v>
      </c>
      <c r="Z110" s="287" t="e">
        <f t="array" ref="Z110">MIN((INDEX([2]SourceData!$B:$B, MATCH($D110,[2]SourceData!$A:$A, 0))-SUM($D110:Y110)),  (MaxPtsPerSprint22-SUM(Z$7:Z109)))</f>
        <v>#N/A</v>
      </c>
      <c r="AA110" s="287" t="e">
        <f t="array" ref="AA110">MIN((INDEX([2]SourceData!$B:$B, MATCH($D110,[2]SourceData!$A:$A, 0))-SUM($D110:Z110)),  (MaxPtsPerSprint23-SUM(AA$7:AA109)))</f>
        <v>#N/A</v>
      </c>
      <c r="AB110" s="287" t="e">
        <f t="array" ref="AB110">MIN((INDEX([2]SourceData!$B:$B, MATCH($D110,[2]SourceData!$A:$A, 0))-SUM($D110:AA110)),  (MaxPtsPerSprint24-SUM(AB$7:AB109)))</f>
        <v>#N/A</v>
      </c>
      <c r="AC110" s="287"/>
      <c r="AD110" s="287"/>
      <c r="AE110" s="288" t="e">
        <f t="shared" si="7"/>
        <v>#N/A</v>
      </c>
      <c r="AF110" s="289"/>
    </row>
    <row r="111" spans="2:32" ht="18" hidden="1" customHeight="1" outlineLevel="1" x14ac:dyDescent="0.45">
      <c r="B111" s="284" t="e">
        <f>VLOOKUP(D111,'[2]Work Item Vlookup'!$A$2:$B$119,2,FALSE)</f>
        <v>#N/A</v>
      </c>
      <c r="C111" s="284"/>
      <c r="D111" s="285">
        <f t="array" ref="D111">[2]SourceData!A105</f>
        <v>0</v>
      </c>
      <c r="E111" s="286" t="e">
        <f t="array" ref="E111">MIN((INDEX([2]SourceData!$B:$B, MATCH($D111,[2]SourceData!$A:$A, 0))-SUM($D111:D111)),  (MaxPtsPerSprint1-SUM(E$7:E107)))</f>
        <v>#N/A</v>
      </c>
      <c r="F111" s="286" t="e">
        <f t="array" ref="F111">MIN((INDEX([2]SourceData!$B:$B, MATCH($D111,[2]SourceData!$A:$A, 0))-SUM($D111:E111)),  (MaxPtsPerSprint2-SUM(F$7:F107)))</f>
        <v>#N/A</v>
      </c>
      <c r="G111" s="286" t="e">
        <f t="array" ref="G111">MIN((INDEX([2]SourceData!$B:$B, MATCH($D111,[2]SourceData!$A:$A, 0))-SUM($D111:F111)),  (MaxPtsPerSprint3-SUM(G$7:G107)))</f>
        <v>#N/A</v>
      </c>
      <c r="H111" s="286" t="e">
        <f t="array" ref="H111">MIN((INDEX([2]SourceData!$B:$B, MATCH($D111,[2]SourceData!$A:$A, 0))-SUM($D111:G111)),  (MaxPtsPerSprint4-SUM(H$7:H107)))</f>
        <v>#N/A</v>
      </c>
      <c r="I111" s="286" t="e">
        <f t="array" ref="I111">MIN((INDEX([2]SourceData!$B:$B, MATCH($D111,[2]SourceData!$A:$A, 0))-SUM($D111:H111)),  (MaxPtsPerSprint5-SUM(I$7:I107)))</f>
        <v>#N/A</v>
      </c>
      <c r="J111" s="286" t="e">
        <f t="array" ref="J111">MIN((INDEX([2]SourceData!$B:$B, MATCH($D111,[2]SourceData!$A:$A, 0))-SUM($D111:I111)),  (MaxPtsPerSprint6-SUM(J$7:J107)))</f>
        <v>#N/A</v>
      </c>
      <c r="K111" s="286" t="e">
        <f t="array" ref="K111">MIN((INDEX([2]SourceData!$B:$B, MATCH($D111,[2]SourceData!$A:$A, 0))-SUM($D111:J111)),  (MaxPtsPerSprint7-SUM(K$7:K107)))</f>
        <v>#N/A</v>
      </c>
      <c r="L111" s="286" t="e">
        <f t="array" ref="L111">MIN((INDEX([2]SourceData!$B:$B, MATCH($D111,[2]SourceData!$A:$A, 0))-SUM($D111:K111)),  (MaxPtsPerSprint8-SUM(L$7:L107)))</f>
        <v>#N/A</v>
      </c>
      <c r="M111" s="286" t="e">
        <f t="array" ref="M111">MIN((INDEX([2]SourceData!$B:$B, MATCH($D111,[2]SourceData!$A:$A, 0))-SUM($D111:L111)),  (MaxPtsPerSprint9-SUM(M$7:M107)))</f>
        <v>#N/A</v>
      </c>
      <c r="N111" s="286" t="e">
        <f t="array" ref="N111">MIN((INDEX([2]SourceData!$B:$B, MATCH($D111,[2]SourceData!$A:$A, 0))-SUM($D111:M111)),  (MaxPtsPerSprint10-SUM(N$7:N107)))</f>
        <v>#N/A</v>
      </c>
      <c r="O111" s="286" t="e">
        <f t="array" ref="O111">MIN((INDEX([2]SourceData!$B:$B, MATCH($D111,[2]SourceData!$A:$A, 0))-SUM($D111:N111)),  (MaxPtsPerSprint11-SUM(O$7:O107)))</f>
        <v>#N/A</v>
      </c>
      <c r="P111" s="286" t="e">
        <f t="array" ref="P111">MIN((INDEX([2]SourceData!$B:$B, MATCH($D111,[2]SourceData!$A:$A, 0))-SUM($D111:O111)),  (MaxPtsPerSprint12-SUM(P$7:P107)))</f>
        <v>#N/A</v>
      </c>
      <c r="Q111" s="286" t="e">
        <f t="array" ref="Q111">MIN((INDEX([2]SourceData!$B:$B, MATCH($D111,[2]SourceData!$A:$A, 0))-SUM($D111:P111)),  (MaxPtsPerSprint13-SUM(Q$7:Q110)))</f>
        <v>#N/A</v>
      </c>
      <c r="R111" s="286" t="e">
        <f t="array" ref="R111">MIN((INDEX([2]SourceData!$B:$B, MATCH($D111,[2]SourceData!$A:$A, 0))-SUM($D111:Q111)),  (MaxPtsPerSprint14-SUM(R$7:R110)))</f>
        <v>#N/A</v>
      </c>
      <c r="S111" s="286" t="e">
        <f t="array" ref="S111">MIN((INDEX([2]SourceData!$B:$B, MATCH($D111,[2]SourceData!$A:$A, 0))-SUM($D111:R111)),  (MaxPtsPerSprint15-SUM(S$7:S110)))</f>
        <v>#N/A</v>
      </c>
      <c r="T111" s="286" t="e">
        <f t="array" ref="T111">MIN((INDEX([2]SourceData!$B:$B, MATCH($D111,[2]SourceData!$A:$A, 0))-SUM($D111:S111)),  (MaxPtsPerSprint16-SUM(T$7:T110)))</f>
        <v>#N/A</v>
      </c>
      <c r="U111" s="286" t="e">
        <f t="array" ref="U111">MIN((INDEX([2]SourceData!$B:$B, MATCH($D111,[2]SourceData!$A:$A, 0))-SUM($D111:T111)),  (MaxPtsPerSprint17-SUM(U$7:U110)))</f>
        <v>#N/A</v>
      </c>
      <c r="V111" s="286" t="e">
        <f t="array" ref="V111">MIN((INDEX([2]SourceData!$B:$B, MATCH($D111,[2]SourceData!$A:$A, 0))-SUM($D111:U111)),  (MaxPtsPerSprint18-SUM(V$7:V110)))</f>
        <v>#N/A</v>
      </c>
      <c r="W111" s="286" t="e">
        <f t="array" ref="W111">MIN((INDEX([2]SourceData!$B:$B, MATCH($D111,[2]SourceData!$A:$A, 0))-SUM($D111:V111)),  (MaxPtsPerSprint19-SUM(W$7:W110)))</f>
        <v>#N/A</v>
      </c>
      <c r="X111" s="286" t="e">
        <f t="array" ref="X111">MIN((INDEX([2]SourceData!$B:$B, MATCH($D111,[2]SourceData!$A:$A, 0))-SUM($D111:W111)),  (MaxPtsPerSprint20-SUM(X$7:X110)))</f>
        <v>#N/A</v>
      </c>
      <c r="Y111" s="287" t="e">
        <f t="array" ref="Y111">MIN((INDEX([2]SourceData!$B:$B, MATCH($D111,[2]SourceData!$A:$A, 0))-SUM($D111:X111)),  (MaxPtsPerSprint21-SUM(Y$7:Y110)))</f>
        <v>#N/A</v>
      </c>
      <c r="Z111" s="287" t="e">
        <f t="array" ref="Z111">MIN((INDEX([2]SourceData!$B:$B, MATCH($D111,[2]SourceData!$A:$A, 0))-SUM($D111:Y111)),  (MaxPtsPerSprint22-SUM(Z$7:Z110)))</f>
        <v>#N/A</v>
      </c>
      <c r="AA111" s="287" t="e">
        <f t="array" ref="AA111">MIN((INDEX([2]SourceData!$B:$B, MATCH($D111,[2]SourceData!$A:$A, 0))-SUM($D111:Z111)),  (MaxPtsPerSprint23-SUM(AA$7:AA110)))</f>
        <v>#N/A</v>
      </c>
      <c r="AB111" s="287" t="e">
        <f t="array" ref="AB111">MIN((INDEX([2]SourceData!$B:$B, MATCH($D111,[2]SourceData!$A:$A, 0))-SUM($D111:AA111)),  (MaxPtsPerSprint24-SUM(AB$7:AB110)))</f>
        <v>#N/A</v>
      </c>
      <c r="AC111" s="287"/>
      <c r="AD111" s="287"/>
      <c r="AE111" s="288" t="e">
        <f t="shared" si="7"/>
        <v>#N/A</v>
      </c>
      <c r="AF111" s="289"/>
    </row>
    <row r="112" spans="2:32" ht="18" hidden="1" customHeight="1" outlineLevel="1" x14ac:dyDescent="0.45">
      <c r="B112" s="284" t="e">
        <f>VLOOKUP(D112,'[2]Work Item Vlookup'!$A$2:$B$119,2,FALSE)</f>
        <v>#N/A</v>
      </c>
      <c r="C112" s="284"/>
      <c r="D112" s="285">
        <f t="array" ref="D112">[2]SourceData!A106</f>
        <v>0</v>
      </c>
      <c r="E112" s="286" t="e">
        <f t="array" ref="E112">MIN((INDEX([2]SourceData!$B:$B, MATCH($D112,[2]SourceData!$A:$A, 0))-SUM($D112:D112)),  (MaxPtsPerSprint1-SUM(E$7:E108)))</f>
        <v>#N/A</v>
      </c>
      <c r="F112" s="286" t="e">
        <f t="array" ref="F112">MIN((INDEX([2]SourceData!$B:$B, MATCH($D112,[2]SourceData!$A:$A, 0))-SUM($D112:E112)),  (MaxPtsPerSprint2-SUM(F$7:F108)))</f>
        <v>#N/A</v>
      </c>
      <c r="G112" s="286" t="e">
        <f t="array" ref="G112">MIN((INDEX([2]SourceData!$B:$B, MATCH($D112,[2]SourceData!$A:$A, 0))-SUM($D112:F112)),  (MaxPtsPerSprint3-SUM(G$7:G108)))</f>
        <v>#N/A</v>
      </c>
      <c r="H112" s="286" t="e">
        <f t="array" ref="H112">MIN((INDEX([2]SourceData!$B:$B, MATCH($D112,[2]SourceData!$A:$A, 0))-SUM($D112:G112)),  (MaxPtsPerSprint4-SUM(H$7:H108)))</f>
        <v>#N/A</v>
      </c>
      <c r="I112" s="286" t="e">
        <f t="array" ref="I112">MIN((INDEX([2]SourceData!$B:$B, MATCH($D112,[2]SourceData!$A:$A, 0))-SUM($D112:H112)),  (MaxPtsPerSprint5-SUM(I$7:I108)))</f>
        <v>#N/A</v>
      </c>
      <c r="J112" s="286" t="e">
        <f t="array" ref="J112">MIN((INDEX([2]SourceData!$B:$B, MATCH($D112,[2]SourceData!$A:$A, 0))-SUM($D112:I112)),  (MaxPtsPerSprint6-SUM(J$7:J108)))</f>
        <v>#N/A</v>
      </c>
      <c r="K112" s="286" t="e">
        <f t="array" ref="K112">MIN((INDEX([2]SourceData!$B:$B, MATCH($D112,[2]SourceData!$A:$A, 0))-SUM($D112:J112)),  (MaxPtsPerSprint7-SUM(K$7:K108)))</f>
        <v>#N/A</v>
      </c>
      <c r="L112" s="286" t="e">
        <f t="array" ref="L112">MIN((INDEX([2]SourceData!$B:$B, MATCH($D112,[2]SourceData!$A:$A, 0))-SUM($D112:K112)),  (MaxPtsPerSprint8-SUM(L$7:L108)))</f>
        <v>#N/A</v>
      </c>
      <c r="M112" s="286" t="e">
        <f t="array" ref="M112">MIN((INDEX([2]SourceData!$B:$B, MATCH($D112,[2]SourceData!$A:$A, 0))-SUM($D112:L112)),  (MaxPtsPerSprint9-SUM(M$7:M108)))</f>
        <v>#N/A</v>
      </c>
      <c r="N112" s="286" t="e">
        <f t="array" ref="N112">MIN((INDEX([2]SourceData!$B:$B, MATCH($D112,[2]SourceData!$A:$A, 0))-SUM($D112:M112)),  (MaxPtsPerSprint10-SUM(N$7:N108)))</f>
        <v>#N/A</v>
      </c>
      <c r="O112" s="286" t="e">
        <f t="array" ref="O112">MIN((INDEX([2]SourceData!$B:$B, MATCH($D112,[2]SourceData!$A:$A, 0))-SUM($D112:N112)),  (MaxPtsPerSprint11-SUM(O$7:O108)))</f>
        <v>#N/A</v>
      </c>
      <c r="P112" s="286" t="e">
        <f t="array" ref="P112">MIN((INDEX([2]SourceData!$B:$B, MATCH($D112,[2]SourceData!$A:$A, 0))-SUM($D112:O112)),  (MaxPtsPerSprint12-SUM(P$7:P108)))</f>
        <v>#N/A</v>
      </c>
      <c r="Q112" s="286" t="e">
        <f t="array" ref="Q112">MIN((INDEX([2]SourceData!$B:$B, MATCH($D112,[2]SourceData!$A:$A, 0))-SUM($D112:P112)),  (MaxPtsPerSprint13-SUM(Q$7:Q111)))</f>
        <v>#N/A</v>
      </c>
      <c r="R112" s="286" t="e">
        <f t="array" ref="R112">MIN((INDEX([2]SourceData!$B:$B, MATCH($D112,[2]SourceData!$A:$A, 0))-SUM($D112:Q112)),  (MaxPtsPerSprint14-SUM(R$7:R111)))</f>
        <v>#N/A</v>
      </c>
      <c r="S112" s="286" t="e">
        <f t="array" ref="S112">MIN((INDEX([2]SourceData!$B:$B, MATCH($D112,[2]SourceData!$A:$A, 0))-SUM($D112:R112)),  (MaxPtsPerSprint15-SUM(S$7:S111)))</f>
        <v>#N/A</v>
      </c>
      <c r="T112" s="286" t="e">
        <f t="array" ref="T112">MIN((INDEX([2]SourceData!$B:$B, MATCH($D112,[2]SourceData!$A:$A, 0))-SUM($D112:S112)),  (MaxPtsPerSprint16-SUM(T$7:T111)))</f>
        <v>#N/A</v>
      </c>
      <c r="U112" s="286" t="e">
        <f t="array" ref="U112">MIN((INDEX([2]SourceData!$B:$B, MATCH($D112,[2]SourceData!$A:$A, 0))-SUM($D112:T112)),  (MaxPtsPerSprint17-SUM(U$7:U111)))</f>
        <v>#N/A</v>
      </c>
      <c r="V112" s="286" t="e">
        <f t="array" ref="V112">MIN((INDEX([2]SourceData!$B:$B, MATCH($D112,[2]SourceData!$A:$A, 0))-SUM($D112:U112)),  (MaxPtsPerSprint18-SUM(V$7:V111)))</f>
        <v>#N/A</v>
      </c>
      <c r="W112" s="286" t="e">
        <f t="array" ref="W112">MIN((INDEX([2]SourceData!$B:$B, MATCH($D112,[2]SourceData!$A:$A, 0))-SUM($D112:V112)),  (MaxPtsPerSprint19-SUM(W$7:W111)))</f>
        <v>#N/A</v>
      </c>
      <c r="X112" s="286" t="e">
        <f t="array" ref="X112">MIN((INDEX([2]SourceData!$B:$B, MATCH($D112,[2]SourceData!$A:$A, 0))-SUM($D112:W112)),  (MaxPtsPerSprint20-SUM(X$7:X111)))</f>
        <v>#N/A</v>
      </c>
      <c r="Y112" s="287" t="e">
        <f t="array" ref="Y112">MIN((INDEX([2]SourceData!$B:$B, MATCH($D112,[2]SourceData!$A:$A, 0))-SUM($D112:X112)),  (MaxPtsPerSprint21-SUM(Y$7:Y111)))</f>
        <v>#N/A</v>
      </c>
      <c r="Z112" s="287" t="e">
        <f t="array" ref="Z112">MIN((INDEX([2]SourceData!$B:$B, MATCH($D112,[2]SourceData!$A:$A, 0))-SUM($D112:Y112)),  (MaxPtsPerSprint22-SUM(Z$7:Z111)))</f>
        <v>#N/A</v>
      </c>
      <c r="AA112" s="287" t="e">
        <f t="array" ref="AA112">MIN((INDEX([2]SourceData!$B:$B, MATCH($D112,[2]SourceData!$A:$A, 0))-SUM($D112:Z112)),  (MaxPtsPerSprint23-SUM(AA$7:AA111)))</f>
        <v>#N/A</v>
      </c>
      <c r="AB112" s="287" t="e">
        <f t="array" ref="AB112">MIN((INDEX([2]SourceData!$B:$B, MATCH($D112,[2]SourceData!$A:$A, 0))-SUM($D112:AA112)),  (MaxPtsPerSprint24-SUM(AB$7:AB111)))</f>
        <v>#N/A</v>
      </c>
      <c r="AC112" s="287"/>
      <c r="AD112" s="287"/>
      <c r="AE112" s="288" t="e">
        <f t="shared" si="7"/>
        <v>#N/A</v>
      </c>
      <c r="AF112" s="289" t="e">
        <f>AE112/$AE$131</f>
        <v>#N/A</v>
      </c>
    </row>
    <row r="113" spans="1:35" ht="18" hidden="1" customHeight="1" outlineLevel="1" x14ac:dyDescent="0.45">
      <c r="B113" s="284" t="e">
        <f>VLOOKUP(D113,'[2]Work Item Vlookup'!$A$2:$B$119,2,FALSE)</f>
        <v>#N/A</v>
      </c>
      <c r="C113" s="301"/>
      <c r="D113" s="285">
        <f t="array" ref="D113">[2]SourceData!A107</f>
        <v>0</v>
      </c>
      <c r="E113" s="286" t="e">
        <f t="array" ref="E113">MIN((INDEX([2]SourceData!$B:$B, MATCH($D113,[2]SourceData!$A:$A, 0))-SUM($D113:D113)),  (MaxPtsPerSprint1-SUM(E$7:E109)))</f>
        <v>#N/A</v>
      </c>
      <c r="F113" s="286" t="e">
        <f t="array" ref="F113">MIN((INDEX([2]SourceData!$B:$B, MATCH($D113,[2]SourceData!$A:$A, 0))-SUM($D113:E113)),  (MaxPtsPerSprint2-SUM(F$7:F109)))</f>
        <v>#N/A</v>
      </c>
      <c r="G113" s="286" t="e">
        <f t="array" ref="G113">MIN((INDEX([2]SourceData!$B:$B, MATCH($D113,[2]SourceData!$A:$A, 0))-SUM($D113:F113)),  (MaxPtsPerSprint3-SUM(G$7:G109)))</f>
        <v>#N/A</v>
      </c>
      <c r="H113" s="286" t="e">
        <f t="array" ref="H113">MIN((INDEX([2]SourceData!$B:$B, MATCH($D113,[2]SourceData!$A:$A, 0))-SUM($D113:G113)),  (MaxPtsPerSprint4-SUM(H$7:H109)))</f>
        <v>#N/A</v>
      </c>
      <c r="I113" s="286" t="e">
        <f t="array" ref="I113">MIN((INDEX([2]SourceData!$B:$B, MATCH($D113,[2]SourceData!$A:$A, 0))-SUM($D113:H113)),  (MaxPtsPerSprint5-SUM(I$7:I109)))</f>
        <v>#N/A</v>
      </c>
      <c r="J113" s="286" t="e">
        <f t="array" ref="J113">MIN((INDEX([2]SourceData!$B:$B, MATCH($D113,[2]SourceData!$A:$A, 0))-SUM($D113:I113)),  (MaxPtsPerSprint6-SUM(J$7:J109)))</f>
        <v>#N/A</v>
      </c>
      <c r="K113" s="286" t="e">
        <f t="array" ref="K113">MIN((INDEX([2]SourceData!$B:$B, MATCH($D113,[2]SourceData!$A:$A, 0))-SUM($D113:J113)),  (MaxPtsPerSprint7-SUM(K$7:K109)))</f>
        <v>#N/A</v>
      </c>
      <c r="L113" s="286" t="e">
        <f t="array" ref="L113">MIN((INDEX([2]SourceData!$B:$B, MATCH($D113,[2]SourceData!$A:$A, 0))-SUM($D113:K113)),  (MaxPtsPerSprint8-SUM(L$7:L109)))</f>
        <v>#N/A</v>
      </c>
      <c r="M113" s="286" t="e">
        <f t="array" ref="M113">MIN((INDEX([2]SourceData!$B:$B, MATCH($D113,[2]SourceData!$A:$A, 0))-SUM($D113:L113)),  (MaxPtsPerSprint9-SUM(M$7:M109)))</f>
        <v>#N/A</v>
      </c>
      <c r="N113" s="286" t="e">
        <f t="array" ref="N113">MIN((INDEX([2]SourceData!$B:$B, MATCH($D113,[2]SourceData!$A:$A, 0))-SUM($D113:M113)),  (MaxPtsPerSprint10-SUM(N$7:N109)))</f>
        <v>#N/A</v>
      </c>
      <c r="O113" s="286" t="e">
        <f t="array" ref="O113">MIN((INDEX([2]SourceData!$B:$B, MATCH($D113,[2]SourceData!$A:$A, 0))-SUM($D113:N113)),  (MaxPtsPerSprint11-SUM(O$7:O109)))</f>
        <v>#N/A</v>
      </c>
      <c r="P113" s="286" t="e">
        <f t="array" ref="P113">MIN((INDEX([2]SourceData!$B:$B, MATCH($D113,[2]SourceData!$A:$A, 0))-SUM($D113:O113)),  (MaxPtsPerSprint12-SUM(P$7:P109)))</f>
        <v>#N/A</v>
      </c>
      <c r="Q113" s="286" t="e">
        <f t="array" ref="Q113">MIN((INDEX([2]SourceData!$B:$B, MATCH($D113,[2]SourceData!$A:$A, 0))-SUM($D113:P113)),  (MaxPtsPerSprint13-SUM(Q$7:Q112)))</f>
        <v>#N/A</v>
      </c>
      <c r="R113" s="286" t="e">
        <f t="array" ref="R113">MIN((INDEX([2]SourceData!$B:$B, MATCH($D113,[2]SourceData!$A:$A, 0))-SUM($D113:Q113)),  (MaxPtsPerSprint14-SUM(R$7:R112)))</f>
        <v>#N/A</v>
      </c>
      <c r="S113" s="286" t="e">
        <f t="array" ref="S113">MIN((INDEX([2]SourceData!$B:$B, MATCH($D113,[2]SourceData!$A:$A, 0))-SUM($D113:R113)),  (MaxPtsPerSprint15-SUM(S$7:S112)))</f>
        <v>#N/A</v>
      </c>
      <c r="T113" s="286" t="e">
        <f t="array" ref="T113">MIN((INDEX([2]SourceData!$B:$B, MATCH($D113,[2]SourceData!$A:$A, 0))-SUM($D113:S113)),  (MaxPtsPerSprint16-SUM(T$7:T112)))</f>
        <v>#N/A</v>
      </c>
      <c r="U113" s="286" t="e">
        <f t="array" ref="U113">MIN((INDEX([2]SourceData!$B:$B, MATCH($D113,[2]SourceData!$A:$A, 0))-SUM($D113:T113)),  (MaxPtsPerSprint17-SUM(U$7:U112)))</f>
        <v>#N/A</v>
      </c>
      <c r="V113" s="286" t="e">
        <f t="array" ref="V113">MIN((INDEX([2]SourceData!$B:$B, MATCH($D113,[2]SourceData!$A:$A, 0))-SUM($D113:U113)),  (MaxPtsPerSprint18-SUM(V$7:V112)))</f>
        <v>#N/A</v>
      </c>
      <c r="W113" s="286" t="e">
        <f t="array" ref="W113">MIN((INDEX([2]SourceData!$B:$B, MATCH($D113,[2]SourceData!$A:$A, 0))-SUM($D113:V113)),  (MaxPtsPerSprint19-SUM(W$7:W112)))</f>
        <v>#N/A</v>
      </c>
      <c r="X113" s="286" t="e">
        <f t="array" ref="X113">MIN((INDEX([2]SourceData!$B:$B, MATCH($D113,[2]SourceData!$A:$A, 0))-SUM($D113:W113)),  (MaxPtsPerSprint20-SUM(X$7:X112)))</f>
        <v>#N/A</v>
      </c>
      <c r="Y113" s="287" t="e">
        <f t="array" ref="Y113">MIN((INDEX([2]SourceData!$B:$B, MATCH($D113,[2]SourceData!$A:$A, 0))-SUM($D113:X113)),  (MaxPtsPerSprint21-SUM(Y$7:Y112)))</f>
        <v>#N/A</v>
      </c>
      <c r="Z113" s="287" t="e">
        <f t="array" ref="Z113">MIN((INDEX([2]SourceData!$B:$B, MATCH($D113,[2]SourceData!$A:$A, 0))-SUM($D113:Y113)),  (MaxPtsPerSprint22-SUM(Z$7:Z112)))</f>
        <v>#N/A</v>
      </c>
      <c r="AA113" s="287" t="e">
        <f t="array" ref="AA113">MIN((INDEX([2]SourceData!$B:$B, MATCH($D113,[2]SourceData!$A:$A, 0))-SUM($D113:Z113)),  (MaxPtsPerSprint23-SUM(AA$7:AA112)))</f>
        <v>#N/A</v>
      </c>
      <c r="AB113" s="287" t="e">
        <f t="array" ref="AB113">MIN((INDEX([2]SourceData!$B:$B, MATCH($D113,[2]SourceData!$A:$A, 0))-SUM($D113:AA113)),  (MaxPtsPerSprint24-SUM(AB$7:AB112)))</f>
        <v>#N/A</v>
      </c>
      <c r="AC113" s="287"/>
      <c r="AD113" s="287"/>
      <c r="AE113" s="288" t="e">
        <f t="shared" si="7"/>
        <v>#N/A</v>
      </c>
      <c r="AF113" s="302"/>
    </row>
    <row r="114" spans="1:35" ht="18" hidden="1" customHeight="1" outlineLevel="1" x14ac:dyDescent="0.45">
      <c r="B114" s="284" t="e">
        <f>VLOOKUP(D114,'[2]Work Item Vlookup'!$A$2:$B$119,2,FALSE)</f>
        <v>#N/A</v>
      </c>
      <c r="C114" s="301"/>
      <c r="D114" s="285">
        <f t="array" ref="D114">[2]SourceData!A108</f>
        <v>0</v>
      </c>
      <c r="E114" s="286" t="e">
        <f t="array" ref="E114">MIN((INDEX([2]SourceData!$B:$B, MATCH($D114,[2]SourceData!$A:$A, 0))-SUM($D114:D114)),  (MaxPtsPerSprint1-SUM(E$7:E110)))</f>
        <v>#N/A</v>
      </c>
      <c r="F114" s="286" t="e">
        <f t="array" ref="F114">MIN((INDEX([2]SourceData!$B:$B, MATCH($D114,[2]SourceData!$A:$A, 0))-SUM($D114:E114)),  (MaxPtsPerSprint2-SUM(F$7:F110)))</f>
        <v>#N/A</v>
      </c>
      <c r="G114" s="286" t="e">
        <f t="array" ref="G114">MIN((INDEX([2]SourceData!$B:$B, MATCH($D114,[2]SourceData!$A:$A, 0))-SUM($D114:F114)),  (MaxPtsPerSprint3-SUM(G$7:G110)))</f>
        <v>#N/A</v>
      </c>
      <c r="H114" s="286" t="e">
        <f t="array" ref="H114">MIN((INDEX([2]SourceData!$B:$B, MATCH($D114,[2]SourceData!$A:$A, 0))-SUM($D114:G114)),  (MaxPtsPerSprint4-SUM(H$7:H110)))</f>
        <v>#N/A</v>
      </c>
      <c r="I114" s="286" t="e">
        <f t="array" ref="I114">MIN((INDEX([2]SourceData!$B:$B, MATCH($D114,[2]SourceData!$A:$A, 0))-SUM($D114:H114)),  (MaxPtsPerSprint5-SUM(I$7:I110)))</f>
        <v>#N/A</v>
      </c>
      <c r="J114" s="286" t="e">
        <f t="array" ref="J114">MIN((INDEX([2]SourceData!$B:$B, MATCH($D114,[2]SourceData!$A:$A, 0))-SUM($D114:I114)),  (MaxPtsPerSprint6-SUM(J$7:J110)))</f>
        <v>#N/A</v>
      </c>
      <c r="K114" s="286" t="e">
        <f t="array" ref="K114">MIN((INDEX([2]SourceData!$B:$B, MATCH($D114,[2]SourceData!$A:$A, 0))-SUM($D114:J114)),  (MaxPtsPerSprint7-SUM(K$7:K110)))</f>
        <v>#N/A</v>
      </c>
      <c r="L114" s="286" t="e">
        <f t="array" ref="L114">MIN((INDEX([2]SourceData!$B:$B, MATCH($D114,[2]SourceData!$A:$A, 0))-SUM($D114:K114)),  (MaxPtsPerSprint8-SUM(L$7:L110)))</f>
        <v>#N/A</v>
      </c>
      <c r="M114" s="286" t="e">
        <f t="array" ref="M114">MIN((INDEX([2]SourceData!$B:$B, MATCH($D114,[2]SourceData!$A:$A, 0))-SUM($D114:L114)),  (MaxPtsPerSprint9-SUM(M$7:M110)))</f>
        <v>#N/A</v>
      </c>
      <c r="N114" s="286" t="e">
        <f t="array" ref="N114">MIN((INDEX([2]SourceData!$B:$B, MATCH($D114,[2]SourceData!$A:$A, 0))-SUM($D114:M114)),  (MaxPtsPerSprint10-SUM(N$7:N110)))</f>
        <v>#N/A</v>
      </c>
      <c r="O114" s="286" t="e">
        <f t="array" ref="O114">MIN((INDEX([2]SourceData!$B:$B, MATCH($D114,[2]SourceData!$A:$A, 0))-SUM($D114:N114)),  (MaxPtsPerSprint11-SUM(O$7:O110)))</f>
        <v>#N/A</v>
      </c>
      <c r="P114" s="286" t="e">
        <f t="array" ref="P114">MIN((INDEX([2]SourceData!$B:$B, MATCH($D114,[2]SourceData!$A:$A, 0))-SUM($D114:O114)),  (MaxPtsPerSprint12-SUM(P$7:P110)))</f>
        <v>#N/A</v>
      </c>
      <c r="Q114" s="286" t="e">
        <f t="array" ref="Q114">MIN((INDEX([2]SourceData!$B:$B, MATCH($D114,[2]SourceData!$A:$A, 0))-SUM($D114:P114)),  (MaxPtsPerSprint13-SUM(Q$7:Q113)))</f>
        <v>#N/A</v>
      </c>
      <c r="R114" s="286" t="e">
        <f t="array" ref="R114">MIN((INDEX([2]SourceData!$B:$B, MATCH($D114,[2]SourceData!$A:$A, 0))-SUM($D114:Q114)),  (MaxPtsPerSprint14-SUM(R$7:R113)))</f>
        <v>#N/A</v>
      </c>
      <c r="S114" s="286" t="e">
        <f t="array" ref="S114">MIN((INDEX([2]SourceData!$B:$B, MATCH($D114,[2]SourceData!$A:$A, 0))-SUM($D114:R114)),  (MaxPtsPerSprint15-SUM(S$7:S113)))</f>
        <v>#N/A</v>
      </c>
      <c r="T114" s="286" t="e">
        <f t="array" ref="T114">MIN((INDEX([2]SourceData!$B:$B, MATCH($D114,[2]SourceData!$A:$A, 0))-SUM($D114:S114)),  (MaxPtsPerSprint16-SUM(T$7:T113)))</f>
        <v>#N/A</v>
      </c>
      <c r="U114" s="286" t="e">
        <f t="array" ref="U114">MIN((INDEX([2]SourceData!$B:$B, MATCH($D114,[2]SourceData!$A:$A, 0))-SUM($D114:T114)),  (MaxPtsPerSprint17-SUM(U$7:U113)))</f>
        <v>#N/A</v>
      </c>
      <c r="V114" s="286" t="e">
        <f t="array" ref="V114">MIN((INDEX([2]SourceData!$B:$B, MATCH($D114,[2]SourceData!$A:$A, 0))-SUM($D114:U114)),  (MaxPtsPerSprint18-SUM(V$7:V113)))</f>
        <v>#N/A</v>
      </c>
      <c r="W114" s="286" t="e">
        <f t="array" ref="W114">MIN((INDEX([2]SourceData!$B:$B, MATCH($D114,[2]SourceData!$A:$A, 0))-SUM($D114:V114)),  (MaxPtsPerSprint19-SUM(W$7:W113)))</f>
        <v>#N/A</v>
      </c>
      <c r="X114" s="286" t="e">
        <f t="array" ref="X114">MIN((INDEX([2]SourceData!$B:$B, MATCH($D114,[2]SourceData!$A:$A, 0))-SUM($D114:W114)),  (MaxPtsPerSprint20-SUM(X$7:X113)))</f>
        <v>#N/A</v>
      </c>
      <c r="Y114" s="287" t="e">
        <f t="array" ref="Y114">MIN((INDEX([2]SourceData!$B:$B, MATCH($D114,[2]SourceData!$A:$A, 0))-SUM($D114:X114)),  (MaxPtsPerSprint21-SUM(Y$7:Y113)))</f>
        <v>#N/A</v>
      </c>
      <c r="Z114" s="287" t="e">
        <f t="array" ref="Z114">MIN((INDEX([2]SourceData!$B:$B, MATCH($D114,[2]SourceData!$A:$A, 0))-SUM($D114:Y114)),  (MaxPtsPerSprint22-SUM(Z$7:Z113)))</f>
        <v>#N/A</v>
      </c>
      <c r="AA114" s="287" t="e">
        <f t="array" ref="AA114">MIN((INDEX([2]SourceData!$B:$B, MATCH($D114,[2]SourceData!$A:$A, 0))-SUM($D114:Z114)),  (MaxPtsPerSprint23-SUM(AA$7:AA113)))</f>
        <v>#N/A</v>
      </c>
      <c r="AB114" s="287" t="e">
        <f t="array" ref="AB114">MIN((INDEX([2]SourceData!$B:$B, MATCH($D114,[2]SourceData!$A:$A, 0))-SUM($D114:AA114)),  (MaxPtsPerSprint24-SUM(AB$7:AB113)))</f>
        <v>#N/A</v>
      </c>
      <c r="AC114" s="287"/>
      <c r="AD114" s="287"/>
      <c r="AE114" s="288" t="e">
        <f t="shared" si="7"/>
        <v>#N/A</v>
      </c>
      <c r="AF114" s="302"/>
    </row>
    <row r="115" spans="1:35" ht="18" hidden="1" customHeight="1" outlineLevel="1" x14ac:dyDescent="0.45">
      <c r="B115" s="284" t="e">
        <f>VLOOKUP(D115,'[2]Work Item Vlookup'!$A$2:$B$119,2,FALSE)</f>
        <v>#N/A</v>
      </c>
      <c r="C115" s="301"/>
      <c r="D115" s="285">
        <f t="array" ref="D115">[2]SourceData!A109</f>
        <v>0</v>
      </c>
      <c r="E115" s="286" t="e">
        <f t="array" ref="E115">MIN((INDEX([2]SourceData!$B:$B, MATCH($D115,[2]SourceData!$A:$A, 0))-SUM($D115:D115)),  (MaxPtsPerSprint1-SUM(E$7:E111)))</f>
        <v>#N/A</v>
      </c>
      <c r="F115" s="286" t="e">
        <f t="array" ref="F115">MIN((INDEX([2]SourceData!$B:$B, MATCH($D115,[2]SourceData!$A:$A, 0))-SUM($D115:E115)),  (MaxPtsPerSprint2-SUM(F$7:F111)))</f>
        <v>#N/A</v>
      </c>
      <c r="G115" s="286" t="e">
        <f t="array" ref="G115">MIN((INDEX([2]SourceData!$B:$B, MATCH($D115,[2]SourceData!$A:$A, 0))-SUM($D115:F115)),  (MaxPtsPerSprint3-SUM(G$7:G111)))</f>
        <v>#N/A</v>
      </c>
      <c r="H115" s="286" t="e">
        <f t="array" ref="H115">MIN((INDEX([2]SourceData!$B:$B, MATCH($D115,[2]SourceData!$A:$A, 0))-SUM($D115:G115)),  (MaxPtsPerSprint4-SUM(H$7:H111)))</f>
        <v>#N/A</v>
      </c>
      <c r="I115" s="286" t="e">
        <f t="array" ref="I115">MIN((INDEX([2]SourceData!$B:$B, MATCH($D115,[2]SourceData!$A:$A, 0))-SUM($D115:H115)),  (MaxPtsPerSprint5-SUM(I$7:I111)))</f>
        <v>#N/A</v>
      </c>
      <c r="J115" s="286" t="e">
        <f t="array" ref="J115">MIN((INDEX([2]SourceData!$B:$B, MATCH($D115,[2]SourceData!$A:$A, 0))-SUM($D115:I115)),  (MaxPtsPerSprint6-SUM(J$7:J111)))</f>
        <v>#N/A</v>
      </c>
      <c r="K115" s="286" t="e">
        <f t="array" ref="K115">MIN((INDEX([2]SourceData!$B:$B, MATCH($D115,[2]SourceData!$A:$A, 0))-SUM($D115:J115)),  (MaxPtsPerSprint7-SUM(K$7:K111)))</f>
        <v>#N/A</v>
      </c>
      <c r="L115" s="286" t="e">
        <f t="array" ref="L115">MIN((INDEX([2]SourceData!$B:$B, MATCH($D115,[2]SourceData!$A:$A, 0))-SUM($D115:K115)),  (MaxPtsPerSprint8-SUM(L$7:L111)))</f>
        <v>#N/A</v>
      </c>
      <c r="M115" s="286" t="e">
        <f t="array" ref="M115">MIN((INDEX([2]SourceData!$B:$B, MATCH($D115,[2]SourceData!$A:$A, 0))-SUM($D115:L115)),  (MaxPtsPerSprint9-SUM(M$7:M111)))</f>
        <v>#N/A</v>
      </c>
      <c r="N115" s="286" t="e">
        <f t="array" ref="N115">MIN((INDEX([2]SourceData!$B:$B, MATCH($D115,[2]SourceData!$A:$A, 0))-SUM($D115:M115)),  (MaxPtsPerSprint10-SUM(N$7:N111)))</f>
        <v>#N/A</v>
      </c>
      <c r="O115" s="286" t="e">
        <f t="array" ref="O115">MIN((INDEX([2]SourceData!$B:$B, MATCH($D115,[2]SourceData!$A:$A, 0))-SUM($D115:N115)),  (MaxPtsPerSprint11-SUM(O$7:O111)))</f>
        <v>#N/A</v>
      </c>
      <c r="P115" s="286" t="e">
        <f t="array" ref="P115">MIN((INDEX([2]SourceData!$B:$B, MATCH($D115,[2]SourceData!$A:$A, 0))-SUM($D115:O115)),  (MaxPtsPerSprint12-SUM(P$7:P111)))</f>
        <v>#N/A</v>
      </c>
      <c r="Q115" s="286" t="e">
        <f t="array" ref="Q115">MIN((INDEX([2]SourceData!$B:$B, MATCH($D115,[2]SourceData!$A:$A, 0))-SUM($D115:P115)),  (MaxPtsPerSprint13-SUM(Q$7:Q114)))</f>
        <v>#N/A</v>
      </c>
      <c r="R115" s="286" t="e">
        <f t="array" ref="R115">MIN((INDEX([2]SourceData!$B:$B, MATCH($D115,[2]SourceData!$A:$A, 0))-SUM($D115:Q115)),  (MaxPtsPerSprint14-SUM(R$7:R114)))</f>
        <v>#N/A</v>
      </c>
      <c r="S115" s="286" t="e">
        <f t="array" ref="S115">MIN((INDEX([2]SourceData!$B:$B, MATCH($D115,[2]SourceData!$A:$A, 0))-SUM($D115:R115)),  (MaxPtsPerSprint15-SUM(S$7:S114)))</f>
        <v>#N/A</v>
      </c>
      <c r="T115" s="286" t="e">
        <f t="array" ref="T115">MIN((INDEX([2]SourceData!$B:$B, MATCH($D115,[2]SourceData!$A:$A, 0))-SUM($D115:S115)),  (MaxPtsPerSprint16-SUM(T$7:T114)))</f>
        <v>#N/A</v>
      </c>
      <c r="U115" s="286" t="e">
        <f t="array" ref="U115">MIN((INDEX([2]SourceData!$B:$B, MATCH($D115,[2]SourceData!$A:$A, 0))-SUM($D115:T115)),  (MaxPtsPerSprint17-SUM(U$7:U114)))</f>
        <v>#N/A</v>
      </c>
      <c r="V115" s="286" t="e">
        <f t="array" ref="V115">MIN((INDEX([2]SourceData!$B:$B, MATCH($D115,[2]SourceData!$A:$A, 0))-SUM($D115:U115)),  (MaxPtsPerSprint18-SUM(V$7:V114)))</f>
        <v>#N/A</v>
      </c>
      <c r="W115" s="286" t="e">
        <f t="array" ref="W115">MIN((INDEX([2]SourceData!$B:$B, MATCH($D115,[2]SourceData!$A:$A, 0))-SUM($D115:V115)),  (MaxPtsPerSprint19-SUM(W$7:W114)))</f>
        <v>#N/A</v>
      </c>
      <c r="X115" s="286" t="e">
        <f t="array" ref="X115">MIN((INDEX([2]SourceData!$B:$B, MATCH($D115,[2]SourceData!$A:$A, 0))-SUM($D115:W115)),  (MaxPtsPerSprint20-SUM(X$7:X114)))</f>
        <v>#N/A</v>
      </c>
      <c r="Y115" s="287" t="e">
        <f t="array" ref="Y115">MIN((INDEX([2]SourceData!$B:$B, MATCH($D115,[2]SourceData!$A:$A, 0))-SUM($D115:X115)),  (MaxPtsPerSprint21-SUM(Y$7:Y114)))</f>
        <v>#N/A</v>
      </c>
      <c r="Z115" s="287" t="e">
        <f t="array" ref="Z115">MIN((INDEX([2]SourceData!$B:$B, MATCH($D115,[2]SourceData!$A:$A, 0))-SUM($D115:Y115)),  (MaxPtsPerSprint22-SUM(Z$7:Z114)))</f>
        <v>#N/A</v>
      </c>
      <c r="AA115" s="287" t="e">
        <f t="array" ref="AA115">MIN((INDEX([2]SourceData!$B:$B, MATCH($D115,[2]SourceData!$A:$A, 0))-SUM($D115:Z115)),  (MaxPtsPerSprint23-SUM(AA$7:AA114)))</f>
        <v>#N/A</v>
      </c>
      <c r="AB115" s="287" t="e">
        <f t="array" ref="AB115">MIN((INDEX([2]SourceData!$B:$B, MATCH($D115,[2]SourceData!$A:$A, 0))-SUM($D115:AA115)),  (MaxPtsPerSprint24-SUM(AB$7:AB114)))</f>
        <v>#N/A</v>
      </c>
      <c r="AC115" s="287"/>
      <c r="AD115" s="287"/>
      <c r="AE115" s="288" t="e">
        <f t="shared" si="7"/>
        <v>#N/A</v>
      </c>
      <c r="AF115" s="302"/>
    </row>
    <row r="116" spans="1:35" ht="15" customHeight="1" collapsed="1" x14ac:dyDescent="0.35">
      <c r="Y116" s="303"/>
      <c r="Z116" s="303"/>
      <c r="AA116" s="303"/>
      <c r="AB116" s="303"/>
      <c r="AC116" s="303"/>
      <c r="AD116" s="303"/>
      <c r="AF116" s="304"/>
    </row>
    <row r="117" spans="1:35" ht="18.5" x14ac:dyDescent="0.45">
      <c r="B117" s="305"/>
      <c r="C117" s="306"/>
      <c r="D117" s="307" t="s">
        <v>446</v>
      </c>
      <c r="E117" s="308">
        <f t="array" aca="1" ref="E117" ca="1">SUMPRODUCT(IFERROR(SUBTOTAL(9,OFFSET(E$8,ROW(E$8:E$112)-ROW(E$8),0,1)),0))</f>
        <v>614</v>
      </c>
      <c r="F117" s="308">
        <f t="array" aca="1" ref="F117" ca="1">SUMPRODUCT(IFERROR(SUBTOTAL(9,OFFSET(F$8,ROW(F$8:F$112)-ROW(F$8),0,1)),0))</f>
        <v>653</v>
      </c>
      <c r="G117" s="308">
        <f t="array" aca="1" ref="G117" ca="1">SUMPRODUCT(IFERROR(SUBTOTAL(9,OFFSET(G$8,ROW(G$8:G$112)-ROW(G$8),0,1)),0))</f>
        <v>813</v>
      </c>
      <c r="H117" s="308">
        <f t="array" aca="1" ref="H117" ca="1">SUMPRODUCT(IFERROR(SUBTOTAL(9,OFFSET(H$8,ROW(H$8:H$112)-ROW(H$8),0,1)),0))</f>
        <v>1337</v>
      </c>
      <c r="I117" s="308">
        <f t="array" aca="1" ref="I117" ca="1">SUMPRODUCT(IFERROR(SUBTOTAL(9,OFFSET(I$8,ROW(I$8:I$112)-ROW(I$8),0,1)),0))</f>
        <v>836</v>
      </c>
      <c r="J117" s="308">
        <f t="array" aca="1" ref="J117" ca="1">SUMPRODUCT(IFERROR(SUBTOTAL(9,OFFSET(J$8,ROW(J$8:J$112)-ROW(J$8),0,1)),0))</f>
        <v>729</v>
      </c>
      <c r="K117" s="309">
        <f t="array" aca="1" ref="K117" ca="1">SUMPRODUCT(IFERROR(SUBTOTAL(9,OFFSET(K$8,ROW(K$8:K$112)-ROW(K$8),0,1)),0))</f>
        <v>673</v>
      </c>
      <c r="L117" s="309">
        <f t="array" aca="1" ref="L117" ca="1">SUMPRODUCT(IFERROR(SUBTOTAL(9,OFFSET(L$8,ROW(L$8:L$112)-ROW(L$8),0,1)),0))</f>
        <v>541.6</v>
      </c>
      <c r="M117" s="308">
        <f t="array" aca="1" ref="M117" ca="1">SUMPRODUCT(IFERROR(SUBTOTAL(9,OFFSET(M$8,ROW(M$8:M$112)-ROW(M$8),0,1)),0))</f>
        <v>845</v>
      </c>
      <c r="N117" s="309">
        <f t="array" aca="1" ref="N117" ca="1">SUMPRODUCT(IFERROR(SUBTOTAL(9,OFFSET(N$8,ROW(N$8:N$112)-ROW(N$8),0,1)),0))</f>
        <v>889.5</v>
      </c>
      <c r="O117" s="309">
        <f t="array" aca="1" ref="O117" ca="1">SUMPRODUCT(IFERROR(SUBTOTAL(9,OFFSET(O$8,ROW(O$8:O$112)-ROW(O$8),0,1)),0))</f>
        <v>364.5</v>
      </c>
      <c r="P117" s="309">
        <f t="array" aca="1" ref="P117" ca="1">SUMPRODUCT(IFERROR(SUBTOTAL(9,OFFSET(P$8,ROW(P$8:P$112)-ROW(P$8),0,1)),0))</f>
        <v>587.5</v>
      </c>
      <c r="Q117" s="308">
        <f t="array" aca="1" ref="Q117" ca="1">SUMPRODUCT(IFERROR(SUBTOTAL(9,OFFSET(Q$8,ROW(Q$8:Q$112)-ROW(Q$8),0,1)),0))</f>
        <v>632.5</v>
      </c>
      <c r="R117" s="308">
        <f t="array" aca="1" ref="R117" ca="1">SUMPRODUCT(IFERROR(SUBTOTAL(9,OFFSET(R$8,ROW(R$8:R$112)-ROW(R$8),0,1)),0))</f>
        <v>738</v>
      </c>
      <c r="S117" s="308">
        <f t="array" aca="1" ref="S117" ca="1">SUMPRODUCT(IFERROR(SUBTOTAL(9,OFFSET(S$8,ROW(S$8:S$112)-ROW(S$8),0,1)),0))</f>
        <v>872</v>
      </c>
      <c r="T117" s="308">
        <f t="array" aca="1" ref="T117" ca="1">SUMPRODUCT(IFERROR(SUBTOTAL(9,OFFSET(T$8,ROW(T$8:T$112)-ROW(T$8),0,1)),0))</f>
        <v>823.5</v>
      </c>
      <c r="U117" s="309">
        <f t="array" aca="1" ref="U117" ca="1">SUMPRODUCT(IFERROR(SUBTOTAL(9,OFFSET(U$8,ROW(U$8:U$112)-ROW(U$8),0,1)),0))</f>
        <v>872</v>
      </c>
      <c r="V117" s="309">
        <f t="array" aca="1" ref="V117" ca="1">SUMPRODUCT(IFERROR(SUBTOTAL(9,OFFSET(V$8,ROW(V$8:V$112)-ROW(V$8),0,1)),0))</f>
        <v>478</v>
      </c>
      <c r="W117" s="308">
        <f t="array" aca="1" ref="W117" ca="1">SUMPRODUCT(IFERROR(SUBTOTAL(9,OFFSET(W$8,ROW(W$8:W$112)-ROW(W$8),0,1)),0))</f>
        <v>604</v>
      </c>
      <c r="X117" s="308">
        <f t="array" aca="1" ref="X117" ca="1">SUMPRODUCT(IFERROR(SUBTOTAL(9,OFFSET(X$8,ROW(X$8:X$112)-ROW(X$8),0,1)),0))</f>
        <v>0</v>
      </c>
      <c r="Y117" s="310">
        <f t="array" aca="1" ref="Y117" ca="1">SUMPRODUCT(IFERROR(SUBTOTAL(9,OFFSET(Y$8,ROW(Y$8:Y$112)-ROW(Y$8),0,1)),0))</f>
        <v>100</v>
      </c>
      <c r="Z117" s="310">
        <f t="array" aca="1" ref="Z117" ca="1">SUMPRODUCT(IFERROR(SUBTOTAL(9,OFFSET(Z$8,ROW(Z$8:Z$112)-ROW(Z$8),0,1)),0))</f>
        <v>0</v>
      </c>
      <c r="AA117" s="310">
        <f t="array" aca="1" ref="AA117" ca="1">SUMPRODUCT(IFERROR(SUBTOTAL(9,OFFSET(AA$8,ROW(AA$8:AA$112)-ROW(AA$8),0,1)),0))</f>
        <v>872</v>
      </c>
      <c r="AB117" s="310">
        <f t="array" aca="1" ref="AB117" ca="1">SUMPRODUCT(IFERROR(SUBTOTAL(9,OFFSET(AB$8,ROW(AB$8:AB$112)-ROW(AB$8),0,1)),0))</f>
        <v>852</v>
      </c>
      <c r="AC117" s="310">
        <f t="array" aca="1" ref="AC117" ca="1">SUMPRODUCT(IFERROR(SUBTOTAL(9,OFFSET(AC$8,ROW(AC$8:AC$112)-ROW(AC$8),0,1)),0))</f>
        <v>814.13000000000011</v>
      </c>
      <c r="AD117" s="310">
        <f t="array" aca="1" ref="AD117" ca="1">SUMPRODUCT(IFERROR(SUBTOTAL(9,OFFSET(AD$8,ROW(AD$8:AD$112)-ROW(AD$8),0,1)),0))</f>
        <v>0</v>
      </c>
      <c r="AE117" s="310">
        <f ca="1">SUM(E117:AD117)</f>
        <v>16541.23</v>
      </c>
      <c r="AF117" s="289">
        <f ca="1">AE117/$AE$131</f>
        <v>0.81496939165137272</v>
      </c>
    </row>
    <row r="118" spans="1:35" ht="9" customHeight="1" x14ac:dyDescent="0.35">
      <c r="B118" s="311"/>
      <c r="Y118" s="303"/>
      <c r="Z118" s="303"/>
      <c r="AA118" s="303"/>
      <c r="AB118" s="303"/>
      <c r="AC118" s="303"/>
      <c r="AD118" s="303"/>
      <c r="AF118" s="304"/>
    </row>
    <row r="119" spans="1:35" ht="6.65" customHeight="1" x14ac:dyDescent="0.35">
      <c r="B119" s="311"/>
      <c r="Y119" s="303"/>
      <c r="Z119" s="303"/>
      <c r="AA119" s="303"/>
      <c r="AB119" s="303"/>
      <c r="AC119" s="303"/>
      <c r="AD119" s="303"/>
      <c r="AF119" s="304"/>
    </row>
    <row r="120" spans="1:35" ht="23.15" customHeight="1" x14ac:dyDescent="0.45">
      <c r="B120" s="305"/>
      <c r="C120" s="312"/>
      <c r="D120" s="313" t="s">
        <v>447</v>
      </c>
      <c r="E120" s="314">
        <f>650+5</f>
        <v>655</v>
      </c>
      <c r="F120" s="314">
        <f>703+8</f>
        <v>711</v>
      </c>
      <c r="G120" s="314">
        <f>901-9</f>
        <v>892</v>
      </c>
      <c r="H120" s="314">
        <f>1294+22+80</f>
        <v>1396</v>
      </c>
      <c r="I120" s="314">
        <f>850+22-12</f>
        <v>860</v>
      </c>
      <c r="J120" s="315">
        <f>850+22+11</f>
        <v>883</v>
      </c>
      <c r="K120" s="315">
        <f>850+22-134.25</f>
        <v>737.75</v>
      </c>
      <c r="L120" s="314">
        <f>850+22+14</f>
        <v>886</v>
      </c>
      <c r="M120" s="314">
        <f>850+22-23</f>
        <v>849</v>
      </c>
      <c r="N120" s="316">
        <f>850+22+19+89</f>
        <v>980</v>
      </c>
      <c r="O120" s="316">
        <f>850+22-69-126</f>
        <v>677</v>
      </c>
      <c r="P120" s="315">
        <f>872-1+300</f>
        <v>1171</v>
      </c>
      <c r="Q120" s="315">
        <f>831</f>
        <v>831</v>
      </c>
      <c r="R120" s="315">
        <f>872+38</f>
        <v>910</v>
      </c>
      <c r="S120" s="315">
        <f>872</f>
        <v>872</v>
      </c>
      <c r="T120" s="315">
        <f>872-90+20+50-7</f>
        <v>845</v>
      </c>
      <c r="U120" s="315">
        <f>872</f>
        <v>872</v>
      </c>
      <c r="V120" s="315">
        <f>872-395+26</f>
        <v>503</v>
      </c>
      <c r="W120" s="315">
        <f>872-268</f>
        <v>604</v>
      </c>
      <c r="X120" s="315">
        <f>872-843</f>
        <v>29</v>
      </c>
      <c r="Y120" s="317">
        <f>872-772</f>
        <v>100</v>
      </c>
      <c r="Z120" s="317">
        <f>872-852</f>
        <v>20</v>
      </c>
      <c r="AA120" s="317">
        <f>872</f>
        <v>872</v>
      </c>
      <c r="AB120" s="317">
        <v>872</v>
      </c>
      <c r="AC120" s="317">
        <v>872</v>
      </c>
      <c r="AD120" s="317">
        <v>872</v>
      </c>
      <c r="AE120" s="288">
        <f>SUM(E120:AD120)</f>
        <v>19771.75</v>
      </c>
      <c r="AF120" s="289">
        <f>AE120/$AE$131</f>
        <v>0.97413378989247046</v>
      </c>
      <c r="AG120" s="305"/>
      <c r="AH120" s="305"/>
      <c r="AI120" s="305"/>
    </row>
    <row r="121" spans="1:35" ht="23.15" customHeight="1" x14ac:dyDescent="0.45">
      <c r="B121" s="305"/>
      <c r="C121" s="318"/>
      <c r="D121" s="319" t="s">
        <v>448</v>
      </c>
      <c r="E121" s="320">
        <f t="shared" ref="E121:O121" si="8">E120-E122-E123-E124</f>
        <v>614</v>
      </c>
      <c r="F121" s="320">
        <f t="shared" si="8"/>
        <v>653</v>
      </c>
      <c r="G121" s="320">
        <f t="shared" si="8"/>
        <v>813</v>
      </c>
      <c r="H121" s="320">
        <f t="shared" si="8"/>
        <v>1337</v>
      </c>
      <c r="I121" s="320">
        <f t="shared" si="8"/>
        <v>836</v>
      </c>
      <c r="J121" s="320">
        <f t="shared" si="8"/>
        <v>729</v>
      </c>
      <c r="K121" s="321">
        <f t="shared" si="8"/>
        <v>673</v>
      </c>
      <c r="L121" s="321">
        <f t="shared" si="8"/>
        <v>541.6</v>
      </c>
      <c r="M121" s="320">
        <f t="shared" si="8"/>
        <v>845</v>
      </c>
      <c r="N121" s="321">
        <f t="shared" si="8"/>
        <v>889.5</v>
      </c>
      <c r="O121" s="321">
        <f t="shared" si="8"/>
        <v>364.5</v>
      </c>
      <c r="P121" s="321">
        <f>P120-P122-P123-P124</f>
        <v>587.5</v>
      </c>
      <c r="Q121" s="321">
        <f>Q120-Q122-Q123-Q124</f>
        <v>632.5</v>
      </c>
      <c r="R121" s="321">
        <f t="shared" ref="R121:AD121" si="9">R120-R122-R123-R124</f>
        <v>738</v>
      </c>
      <c r="S121" s="321">
        <f t="shared" si="9"/>
        <v>872</v>
      </c>
      <c r="T121" s="321">
        <f>T120-T122-T123-T124</f>
        <v>823.5</v>
      </c>
      <c r="U121" s="321">
        <f t="shared" si="9"/>
        <v>872</v>
      </c>
      <c r="V121" s="321">
        <f t="shared" si="9"/>
        <v>478</v>
      </c>
      <c r="W121" s="321">
        <f t="shared" si="9"/>
        <v>604</v>
      </c>
      <c r="X121" s="321">
        <f t="shared" si="9"/>
        <v>0</v>
      </c>
      <c r="Y121" s="322">
        <f t="shared" si="9"/>
        <v>100</v>
      </c>
      <c r="Z121" s="322">
        <f t="shared" si="9"/>
        <v>0</v>
      </c>
      <c r="AA121" s="322">
        <f t="shared" si="9"/>
        <v>872</v>
      </c>
      <c r="AB121" s="322">
        <f t="shared" si="9"/>
        <v>852</v>
      </c>
      <c r="AC121" s="322">
        <f t="shared" si="9"/>
        <v>872</v>
      </c>
      <c r="AD121" s="322">
        <f t="shared" si="9"/>
        <v>852</v>
      </c>
      <c r="AE121" s="288">
        <f t="shared" ref="AE121:AE124" si="10">SUM(E121:AD121)</f>
        <v>17451.099999999999</v>
      </c>
      <c r="AF121" s="289">
        <f>AE121/$AE$131</f>
        <v>0.85979775087144483</v>
      </c>
      <c r="AH121" s="323"/>
    </row>
    <row r="122" spans="1:35" ht="23.15" customHeight="1" x14ac:dyDescent="0.45">
      <c r="B122" s="305"/>
      <c r="C122" s="318"/>
      <c r="D122" s="319" t="s">
        <v>449</v>
      </c>
      <c r="E122" s="324">
        <v>36</v>
      </c>
      <c r="F122" s="324">
        <v>50</v>
      </c>
      <c r="G122" s="324">
        <v>68</v>
      </c>
      <c r="H122" s="324">
        <v>24</v>
      </c>
      <c r="I122" s="324">
        <v>2</v>
      </c>
      <c r="J122" s="324">
        <v>50</v>
      </c>
      <c r="K122" s="325">
        <f>'[2]PAS4 Earmarks'!F29</f>
        <v>0</v>
      </c>
      <c r="L122" s="325">
        <f>'[2]PAS4 Earmarks'!G29</f>
        <v>45</v>
      </c>
      <c r="M122" s="325">
        <f>'[2]PAS5 Earmarks'!F26</f>
        <v>0</v>
      </c>
      <c r="N122" s="325">
        <f>'[2]PAS5 Earmarks'!G26</f>
        <v>50</v>
      </c>
      <c r="O122" s="325">
        <f>'[2]PAS6 Earmarks'!G51</f>
        <v>0</v>
      </c>
      <c r="P122" s="325">
        <f>'[2]PAS6 Earmarks'!H51</f>
        <v>50</v>
      </c>
      <c r="Q122" s="325">
        <v>0</v>
      </c>
      <c r="R122" s="325">
        <v>0</v>
      </c>
      <c r="S122" s="326">
        <v>0</v>
      </c>
      <c r="T122" s="326">
        <v>0</v>
      </c>
      <c r="U122" s="326">
        <v>0</v>
      </c>
      <c r="V122" s="326">
        <v>0</v>
      </c>
      <c r="W122" s="326">
        <v>0</v>
      </c>
      <c r="X122" s="326">
        <v>0</v>
      </c>
      <c r="Y122" s="327">
        <v>0</v>
      </c>
      <c r="Z122" s="327">
        <v>0</v>
      </c>
      <c r="AA122" s="327">
        <v>0</v>
      </c>
      <c r="AB122" s="328">
        <v>0</v>
      </c>
      <c r="AC122" s="328">
        <v>0</v>
      </c>
      <c r="AD122" s="328">
        <v>0</v>
      </c>
      <c r="AE122" s="288">
        <f t="shared" si="10"/>
        <v>375</v>
      </c>
      <c r="AF122" s="289">
        <f>AE122/$AE$131</f>
        <v>1.8475864362521095E-2</v>
      </c>
    </row>
    <row r="123" spans="1:35" ht="23.15" customHeight="1" x14ac:dyDescent="0.45">
      <c r="A123" s="329"/>
      <c r="B123" s="305"/>
      <c r="C123" s="318"/>
      <c r="D123" s="319" t="s">
        <v>450</v>
      </c>
      <c r="E123" s="324">
        <v>0</v>
      </c>
      <c r="F123" s="324">
        <v>0</v>
      </c>
      <c r="G123" s="324">
        <v>4</v>
      </c>
      <c r="H123" s="324">
        <v>0</v>
      </c>
      <c r="I123" s="324">
        <v>0</v>
      </c>
      <c r="J123" s="330">
        <v>82</v>
      </c>
      <c r="K123" s="325">
        <f>'[2]PAS4 Earmarks'!F30</f>
        <v>51.75</v>
      </c>
      <c r="L123" s="325">
        <f>'[2]PAS4 Earmarks'!G30</f>
        <v>294.39999999999998</v>
      </c>
      <c r="M123" s="331">
        <f>'[2]PAS5 Earmarks'!F27</f>
        <v>4</v>
      </c>
      <c r="N123" s="331">
        <f>'[2]PAS5 Earmarks'!G27</f>
        <v>40.5</v>
      </c>
      <c r="O123" s="332">
        <f>'[2]PAS6 Earmarks'!G50</f>
        <v>312.5</v>
      </c>
      <c r="P123" s="332">
        <f>'[2]PAS6 Earmarks'!H50</f>
        <v>533.5</v>
      </c>
      <c r="Q123" s="325">
        <f>'[2]PAS7 Earmarks'!G6</f>
        <v>198.5</v>
      </c>
      <c r="R123" s="325">
        <f>'[2]PAS7 Earmarks'!H6</f>
        <v>172</v>
      </c>
      <c r="S123" s="325">
        <v>0</v>
      </c>
      <c r="T123" s="325">
        <f>'[2]PAS8 Earmarks '!H6</f>
        <v>21.5</v>
      </c>
      <c r="U123" s="325">
        <f>'[2]PAS9 Earmarks '!G6</f>
        <v>0</v>
      </c>
      <c r="V123" s="325">
        <v>25</v>
      </c>
      <c r="W123" s="325">
        <v>0</v>
      </c>
      <c r="X123" s="325">
        <v>29</v>
      </c>
      <c r="Y123" s="333">
        <v>0</v>
      </c>
      <c r="Z123" s="333">
        <v>20</v>
      </c>
      <c r="AA123" s="333">
        <v>0</v>
      </c>
      <c r="AB123" s="328">
        <v>20</v>
      </c>
      <c r="AC123" s="328">
        <v>0</v>
      </c>
      <c r="AD123" s="328">
        <v>20</v>
      </c>
      <c r="AE123" s="288">
        <f t="shared" si="10"/>
        <v>1828.65</v>
      </c>
      <c r="AF123" s="289">
        <f>AE123/$AE$131</f>
        <v>9.009570497739787E-2</v>
      </c>
    </row>
    <row r="124" spans="1:35" ht="23.15" customHeight="1" x14ac:dyDescent="0.45">
      <c r="A124" s="329"/>
      <c r="B124" s="305"/>
      <c r="C124" s="318"/>
      <c r="D124" s="319" t="s">
        <v>451</v>
      </c>
      <c r="E124" s="334">
        <v>5</v>
      </c>
      <c r="F124" s="334">
        <v>8</v>
      </c>
      <c r="G124" s="334">
        <v>7</v>
      </c>
      <c r="H124" s="334">
        <v>35</v>
      </c>
      <c r="I124" s="334">
        <v>22</v>
      </c>
      <c r="J124" s="334">
        <v>22</v>
      </c>
      <c r="K124" s="335">
        <f>'[2]PAS4 Earmarks'!F31</f>
        <v>13</v>
      </c>
      <c r="L124" s="335">
        <f>'[2]PAS4 Earmarks'!G31</f>
        <v>5</v>
      </c>
      <c r="M124" s="335">
        <f>'[2]PAS5 Earmarks'!F28</f>
        <v>0</v>
      </c>
      <c r="N124" s="335">
        <f>'[2]PAS5 Earmarks'!G28</f>
        <v>0</v>
      </c>
      <c r="O124" s="335">
        <v>0</v>
      </c>
      <c r="P124" s="335">
        <v>0</v>
      </c>
      <c r="Q124" s="335">
        <v>0</v>
      </c>
      <c r="R124" s="335">
        <v>0</v>
      </c>
      <c r="S124" s="335">
        <v>0</v>
      </c>
      <c r="T124" s="335">
        <v>0</v>
      </c>
      <c r="U124" s="335">
        <v>0</v>
      </c>
      <c r="V124" s="335">
        <v>0</v>
      </c>
      <c r="W124" s="335">
        <v>0</v>
      </c>
      <c r="X124" s="335">
        <v>0</v>
      </c>
      <c r="Y124" s="336">
        <v>0</v>
      </c>
      <c r="Z124" s="336">
        <v>0</v>
      </c>
      <c r="AA124" s="336">
        <v>0</v>
      </c>
      <c r="AB124" s="336">
        <v>0</v>
      </c>
      <c r="AC124" s="336">
        <v>0</v>
      </c>
      <c r="AD124" s="336">
        <v>0</v>
      </c>
      <c r="AE124" s="288">
        <f t="shared" si="10"/>
        <v>117</v>
      </c>
      <c r="AF124" s="289">
        <f>AE124/$AE$131</f>
        <v>5.7644696811065812E-3</v>
      </c>
    </row>
    <row r="125" spans="1:35" x14ac:dyDescent="0.35">
      <c r="B125" s="311"/>
      <c r="Y125" s="303"/>
      <c r="Z125" s="303"/>
      <c r="AA125" s="303"/>
      <c r="AB125" s="303"/>
      <c r="AC125" s="303"/>
      <c r="AD125" s="303"/>
      <c r="AF125" s="304"/>
    </row>
    <row r="126" spans="1:35" ht="28.5" x14ac:dyDescent="0.65">
      <c r="B126" s="337"/>
      <c r="C126" s="338"/>
      <c r="D126" s="339" t="s">
        <v>452</v>
      </c>
      <c r="K126" s="340"/>
      <c r="Y126" s="303"/>
      <c r="Z126" s="303"/>
      <c r="AA126" s="303"/>
      <c r="AB126" s="303"/>
      <c r="AC126" s="303"/>
      <c r="AD126" s="303"/>
      <c r="AF126" s="304"/>
    </row>
    <row r="127" spans="1:35" ht="22" customHeight="1" x14ac:dyDescent="0.45">
      <c r="B127" s="305"/>
      <c r="C127" s="341"/>
      <c r="D127" s="319" t="s">
        <v>453</v>
      </c>
      <c r="E127" s="319">
        <f t="shared" ref="E127:AD127" si="11">E120</f>
        <v>655</v>
      </c>
      <c r="F127" s="319">
        <f t="shared" si="11"/>
        <v>711</v>
      </c>
      <c r="G127" s="319">
        <f t="shared" si="11"/>
        <v>892</v>
      </c>
      <c r="H127" s="319">
        <f t="shared" si="11"/>
        <v>1396</v>
      </c>
      <c r="I127" s="319">
        <f t="shared" si="11"/>
        <v>860</v>
      </c>
      <c r="J127" s="319">
        <f t="shared" si="11"/>
        <v>883</v>
      </c>
      <c r="K127" s="342">
        <f t="shared" si="11"/>
        <v>737.75</v>
      </c>
      <c r="L127" s="319">
        <f t="shared" si="11"/>
        <v>886</v>
      </c>
      <c r="M127" s="319">
        <f t="shared" si="11"/>
        <v>849</v>
      </c>
      <c r="N127" s="319">
        <f t="shared" si="11"/>
        <v>980</v>
      </c>
      <c r="O127" s="319">
        <f t="shared" si="11"/>
        <v>677</v>
      </c>
      <c r="P127" s="342">
        <f t="shared" si="11"/>
        <v>1171</v>
      </c>
      <c r="Q127" s="342">
        <f t="shared" si="11"/>
        <v>831</v>
      </c>
      <c r="R127" s="342">
        <f t="shared" si="11"/>
        <v>910</v>
      </c>
      <c r="S127" s="342">
        <f t="shared" si="11"/>
        <v>872</v>
      </c>
      <c r="T127" s="342">
        <f t="shared" si="11"/>
        <v>845</v>
      </c>
      <c r="U127" s="342">
        <f t="shared" si="11"/>
        <v>872</v>
      </c>
      <c r="V127" s="342">
        <f t="shared" si="11"/>
        <v>503</v>
      </c>
      <c r="W127" s="342">
        <f t="shared" si="11"/>
        <v>604</v>
      </c>
      <c r="X127" s="342">
        <f t="shared" si="11"/>
        <v>29</v>
      </c>
      <c r="Y127" s="343">
        <f t="shared" si="11"/>
        <v>100</v>
      </c>
      <c r="Z127" s="343">
        <f t="shared" si="11"/>
        <v>20</v>
      </c>
      <c r="AA127" s="343">
        <f t="shared" si="11"/>
        <v>872</v>
      </c>
      <c r="AB127" s="344">
        <f t="shared" si="11"/>
        <v>872</v>
      </c>
      <c r="AC127" s="344">
        <f t="shared" si="11"/>
        <v>872</v>
      </c>
      <c r="AD127" s="344">
        <f t="shared" si="11"/>
        <v>872</v>
      </c>
      <c r="AE127" s="288">
        <f t="shared" ref="AE127:AE130" si="12">SUM(E127:AD127)</f>
        <v>19771.75</v>
      </c>
      <c r="AF127" s="289">
        <f>AE127/$AE$131</f>
        <v>0.97413378989247046</v>
      </c>
    </row>
    <row r="128" spans="1:35" ht="22" customHeight="1" x14ac:dyDescent="0.45">
      <c r="B128" s="305"/>
      <c r="C128" s="345"/>
      <c r="D128" s="346" t="s">
        <v>454</v>
      </c>
      <c r="E128" s="346">
        <v>15</v>
      </c>
      <c r="F128" s="346">
        <v>15</v>
      </c>
      <c r="G128" s="346">
        <v>15</v>
      </c>
      <c r="H128" s="346">
        <v>15</v>
      </c>
      <c r="I128" s="346">
        <v>15</v>
      </c>
      <c r="J128" s="346">
        <v>15</v>
      </c>
      <c r="K128" s="347">
        <v>15</v>
      </c>
      <c r="L128" s="346">
        <v>15</v>
      </c>
      <c r="M128" s="346">
        <v>15</v>
      </c>
      <c r="N128" s="346">
        <v>15</v>
      </c>
      <c r="O128" s="346">
        <v>15</v>
      </c>
      <c r="P128" s="346">
        <v>15</v>
      </c>
      <c r="Q128" s="346">
        <v>15</v>
      </c>
      <c r="R128" s="346">
        <v>15</v>
      </c>
      <c r="S128" s="346">
        <v>15</v>
      </c>
      <c r="T128" s="346">
        <v>15</v>
      </c>
      <c r="U128" s="346">
        <v>15</v>
      </c>
      <c r="V128" s="346">
        <v>15</v>
      </c>
      <c r="W128" s="346">
        <v>15</v>
      </c>
      <c r="X128" s="346">
        <v>15</v>
      </c>
      <c r="Y128" s="348">
        <v>15</v>
      </c>
      <c r="Z128" s="348">
        <v>15</v>
      </c>
      <c r="AA128" s="348">
        <v>15</v>
      </c>
      <c r="AB128" s="348">
        <v>0</v>
      </c>
      <c r="AC128" s="348">
        <v>0</v>
      </c>
      <c r="AD128" s="348">
        <v>0</v>
      </c>
      <c r="AE128" s="288">
        <f t="shared" si="12"/>
        <v>345</v>
      </c>
      <c r="AF128" s="289">
        <f>AE128/$AE$131</f>
        <v>1.6997795213519407E-2</v>
      </c>
    </row>
    <row r="129" spans="1:32" ht="23.15" customHeight="1" x14ac:dyDescent="0.45">
      <c r="A129" s="329"/>
      <c r="B129" s="305"/>
      <c r="C129" s="318"/>
      <c r="D129" s="319" t="s">
        <v>455</v>
      </c>
      <c r="E129" s="349"/>
      <c r="F129" s="349"/>
      <c r="G129" s="349"/>
      <c r="H129" s="349"/>
      <c r="I129" s="350"/>
      <c r="J129" s="350"/>
      <c r="K129" s="351"/>
      <c r="L129" s="350">
        <v>20</v>
      </c>
      <c r="M129" s="334">
        <v>0</v>
      </c>
      <c r="N129" s="350">
        <v>20</v>
      </c>
      <c r="O129" s="334">
        <v>0</v>
      </c>
      <c r="P129" s="334">
        <v>20</v>
      </c>
      <c r="Q129" s="334">
        <v>0</v>
      </c>
      <c r="R129" s="334">
        <v>20</v>
      </c>
      <c r="S129" s="334">
        <v>0</v>
      </c>
      <c r="T129" s="334">
        <v>20</v>
      </c>
      <c r="U129" s="334">
        <v>0</v>
      </c>
      <c r="V129" s="334">
        <v>20</v>
      </c>
      <c r="W129" s="334">
        <v>0</v>
      </c>
      <c r="X129" s="334">
        <v>20</v>
      </c>
      <c r="Y129" s="352">
        <v>0</v>
      </c>
      <c r="Z129" s="352">
        <v>20</v>
      </c>
      <c r="AA129" s="352">
        <v>0</v>
      </c>
      <c r="AB129" s="352">
        <v>20</v>
      </c>
      <c r="AC129" s="352">
        <v>0</v>
      </c>
      <c r="AD129" s="352">
        <v>0</v>
      </c>
      <c r="AE129" s="288">
        <f t="shared" si="12"/>
        <v>180</v>
      </c>
      <c r="AF129" s="353">
        <f>AE129/$AE$131</f>
        <v>8.8684148940101244E-3</v>
      </c>
    </row>
    <row r="130" spans="1:32" ht="23.15" customHeight="1" x14ac:dyDescent="0.45">
      <c r="A130" s="329"/>
      <c r="B130" s="305"/>
      <c r="C130" s="318"/>
      <c r="D130" s="319" t="s">
        <v>456</v>
      </c>
      <c r="E130" s="349"/>
      <c r="F130" s="349"/>
      <c r="G130" s="349"/>
      <c r="H130" s="349"/>
      <c r="I130" s="350"/>
      <c r="J130" s="350"/>
      <c r="K130" s="351"/>
      <c r="L130" s="350"/>
      <c r="M130" s="334"/>
      <c r="N130" s="350"/>
      <c r="O130" s="334"/>
      <c r="P130" s="334"/>
      <c r="Q130" s="334"/>
      <c r="R130" s="334"/>
      <c r="S130" s="334"/>
      <c r="T130" s="334"/>
      <c r="U130" s="334"/>
      <c r="V130" s="334"/>
      <c r="W130" s="334"/>
      <c r="X130" s="334"/>
      <c r="Y130" s="352"/>
      <c r="Z130" s="352"/>
      <c r="AA130" s="352"/>
      <c r="AB130" s="352"/>
      <c r="AC130" s="354"/>
      <c r="AD130" s="354"/>
      <c r="AE130" s="288">
        <f t="shared" si="12"/>
        <v>0</v>
      </c>
      <c r="AF130" s="353"/>
    </row>
    <row r="131" spans="1:32" ht="22" customHeight="1" x14ac:dyDescent="0.45">
      <c r="B131" s="305"/>
      <c r="C131" s="355"/>
      <c r="D131" s="356" t="s">
        <v>408</v>
      </c>
      <c r="E131" s="357">
        <f t="shared" ref="E131:J131" si="13">SUM(E127:E128)</f>
        <v>670</v>
      </c>
      <c r="F131" s="357">
        <f t="shared" si="13"/>
        <v>726</v>
      </c>
      <c r="G131" s="357">
        <f t="shared" si="13"/>
        <v>907</v>
      </c>
      <c r="H131" s="357">
        <f t="shared" si="13"/>
        <v>1411</v>
      </c>
      <c r="I131" s="357">
        <f t="shared" si="13"/>
        <v>875</v>
      </c>
      <c r="J131" s="357">
        <f t="shared" si="13"/>
        <v>898</v>
      </c>
      <c r="K131" s="358">
        <f>SUM(K127:K130)</f>
        <v>752.75</v>
      </c>
      <c r="L131" s="358">
        <f>SUM(L127:L130)</f>
        <v>921</v>
      </c>
      <c r="M131" s="358">
        <f>SUM(M127:M130)</f>
        <v>864</v>
      </c>
      <c r="N131" s="358">
        <f>SUM(N127:N130)</f>
        <v>1015</v>
      </c>
      <c r="O131" s="358">
        <f>SUM(O127:O130)</f>
        <v>692</v>
      </c>
      <c r="P131" s="358">
        <f t="shared" ref="P131:AA131" si="14">SUM(P127:P130)</f>
        <v>1206</v>
      </c>
      <c r="Q131" s="358">
        <f t="shared" si="14"/>
        <v>846</v>
      </c>
      <c r="R131" s="358">
        <f t="shared" si="14"/>
        <v>945</v>
      </c>
      <c r="S131" s="358">
        <f t="shared" si="14"/>
        <v>887</v>
      </c>
      <c r="T131" s="358">
        <f t="shared" si="14"/>
        <v>880</v>
      </c>
      <c r="U131" s="358">
        <f t="shared" si="14"/>
        <v>887</v>
      </c>
      <c r="V131" s="358">
        <f t="shared" si="14"/>
        <v>538</v>
      </c>
      <c r="W131" s="358">
        <f t="shared" si="14"/>
        <v>619</v>
      </c>
      <c r="X131" s="358">
        <f t="shared" si="14"/>
        <v>64</v>
      </c>
      <c r="Y131" s="359">
        <f t="shared" si="14"/>
        <v>115</v>
      </c>
      <c r="Z131" s="359">
        <f t="shared" si="14"/>
        <v>55</v>
      </c>
      <c r="AA131" s="359">
        <f t="shared" si="14"/>
        <v>887</v>
      </c>
      <c r="AB131" s="359">
        <f>SUM(AB127:AB130)</f>
        <v>892</v>
      </c>
      <c r="AC131" s="359">
        <f t="shared" ref="AC131:AD131" si="15">SUM(AC127:AC130)</f>
        <v>872</v>
      </c>
      <c r="AD131" s="359">
        <f t="shared" si="15"/>
        <v>872</v>
      </c>
      <c r="AE131" s="360">
        <f>SUM(AE127:AE130)</f>
        <v>20296.75</v>
      </c>
      <c r="AF131" s="361">
        <f>AE131/$AE$131</f>
        <v>1</v>
      </c>
    </row>
    <row r="135" spans="1:32" x14ac:dyDescent="0.35">
      <c r="AE135" s="323"/>
    </row>
    <row r="178" spans="15:15" x14ac:dyDescent="0.35">
      <c r="O178" s="362"/>
    </row>
  </sheetData>
  <mergeCells count="29">
    <mergeCell ref="AC3:AD3"/>
    <mergeCell ref="Q3:R3"/>
    <mergeCell ref="S3:T3"/>
    <mergeCell ref="U3:V3"/>
    <mergeCell ref="W3:X3"/>
    <mergeCell ref="Y3:Z3"/>
    <mergeCell ref="AA3:AB3"/>
    <mergeCell ref="Y2:Z2"/>
    <mergeCell ref="E3:F3"/>
    <mergeCell ref="G3:H3"/>
    <mergeCell ref="I3:J3"/>
    <mergeCell ref="K3:L3"/>
    <mergeCell ref="M3:N3"/>
    <mergeCell ref="AA2:AB2"/>
    <mergeCell ref="AC2:AD2"/>
    <mergeCell ref="E1:M1"/>
    <mergeCell ref="W1:AB1"/>
    <mergeCell ref="B2:D3"/>
    <mergeCell ref="E2:F2"/>
    <mergeCell ref="G2:H2"/>
    <mergeCell ref="I2:J2"/>
    <mergeCell ref="K2:L2"/>
    <mergeCell ref="M2:N2"/>
    <mergeCell ref="O2:P2"/>
    <mergeCell ref="Q2:R2"/>
    <mergeCell ref="O3:P3"/>
    <mergeCell ref="S2:T2"/>
    <mergeCell ref="U2:V2"/>
    <mergeCell ref="W2:X2"/>
  </mergeCells>
  <conditionalFormatting sqref="B8:C8 C38:C40 C42:C47 C32:C36 C9:D31 C50:C59 D32:D47 C61:D63 E70:N72 E77:N80 E81:P83 C73:N76 B9:B47 B79:B83 D79:D83 B98:B115 E86:P87 AF76:AF78 E84:N85 E88:N92 D99:AE115 Q78:AB83 O67:AB77 Z84:AB84 D49:D59 E8:AE37 E94:N97 D98:AB98 AD98:AE98 E38:AB63 AE38:AF38 B49:B76 C64:AB64 C65:N69">
    <cfRule type="expression" dxfId="136" priority="137">
      <formula>MOD(ROW(),2)=0</formula>
    </cfRule>
  </conditionalFormatting>
  <conditionalFormatting sqref="D8">
    <cfRule type="expression" dxfId="135" priority="136">
      <formula>MOD(ROW(),2)=0</formula>
    </cfRule>
  </conditionalFormatting>
  <conditionalFormatting sqref="K131:AE131">
    <cfRule type="cellIs" dxfId="134" priority="135" operator="greaterThan">
      <formula>909</formula>
    </cfRule>
  </conditionalFormatting>
  <conditionalFormatting sqref="C37">
    <cfRule type="expression" dxfId="133" priority="134">
      <formula>MOD(ROW(),2)=0</formula>
    </cfRule>
  </conditionalFormatting>
  <conditionalFormatting sqref="C41">
    <cfRule type="expression" dxfId="132" priority="133">
      <formula>MOD(ROW(),2)=0</formula>
    </cfRule>
  </conditionalFormatting>
  <conditionalFormatting sqref="C49">
    <cfRule type="expression" dxfId="131" priority="132">
      <formula>MOD(ROW(),2)=0</formula>
    </cfRule>
  </conditionalFormatting>
  <conditionalFormatting sqref="E93:N93">
    <cfRule type="expression" dxfId="130" priority="131">
      <formula>MOD(ROW(),2)=0</formula>
    </cfRule>
  </conditionalFormatting>
  <conditionalFormatting sqref="D97 Y85:Y87 Z85:AB85">
    <cfRule type="expression" dxfId="129" priority="130">
      <formula>MOD(ROW(),2)=0</formula>
    </cfRule>
  </conditionalFormatting>
  <conditionalFormatting sqref="C70:D72">
    <cfRule type="expression" dxfId="128" priority="129">
      <formula>MOD(ROW(),2)=0</formula>
    </cfRule>
  </conditionalFormatting>
  <conditionalFormatting sqref="D90">
    <cfRule type="expression" dxfId="127" priority="128">
      <formula>MOD(ROW(),2)=0</formula>
    </cfRule>
  </conditionalFormatting>
  <conditionalFormatting sqref="Q87:X87 Z87 AB87">
    <cfRule type="expression" dxfId="126" priority="127">
      <formula>MOD(ROW(),2)=0</formula>
    </cfRule>
  </conditionalFormatting>
  <conditionalFormatting sqref="Q86:X86 Z86 AB86">
    <cfRule type="expression" dxfId="125" priority="126">
      <formula>MOD(ROW(),2)=0</formula>
    </cfRule>
  </conditionalFormatting>
  <conditionalFormatting sqref="C60:D60">
    <cfRule type="expression" dxfId="124" priority="125">
      <formula>MOD(ROW(),2)=0</formula>
    </cfRule>
  </conditionalFormatting>
  <conditionalFormatting sqref="O79:P79">
    <cfRule type="expression" dxfId="123" priority="121">
      <formula>MOD(ROW(),2)=0</formula>
    </cfRule>
  </conditionalFormatting>
  <conditionalFormatting sqref="B77:D77">
    <cfRule type="expression" dxfId="122" priority="124">
      <formula>MOD(ROW(),2)=0</formula>
    </cfRule>
  </conditionalFormatting>
  <conditionalFormatting sqref="B78:D78">
    <cfRule type="expression" dxfId="121" priority="123">
      <formula>MOD(ROW(),2)=0</formula>
    </cfRule>
  </conditionalFormatting>
  <conditionalFormatting sqref="O78:P78">
    <cfRule type="expression" dxfId="120" priority="122">
      <formula>MOD(ROW(),2)=0</formula>
    </cfRule>
  </conditionalFormatting>
  <conditionalFormatting sqref="O80:P80">
    <cfRule type="expression" dxfId="119" priority="120">
      <formula>MOD(ROW(),2)=0</formula>
    </cfRule>
  </conditionalFormatting>
  <conditionalFormatting sqref="O85:X85">
    <cfRule type="expression" dxfId="118" priority="119">
      <formula>MOD(ROW(),2)=0</formula>
    </cfRule>
  </conditionalFormatting>
  <conditionalFormatting sqref="D91">
    <cfRule type="expression" dxfId="117" priority="118">
      <formula>MOD(ROW(),2)=0</formula>
    </cfRule>
  </conditionalFormatting>
  <conditionalFormatting sqref="B87">
    <cfRule type="expression" dxfId="116" priority="117">
      <formula>MOD(ROW(),2)=0</formula>
    </cfRule>
  </conditionalFormatting>
  <conditionalFormatting sqref="D87">
    <cfRule type="expression" dxfId="115" priority="116">
      <formula>MOD(ROW(),2)=0</formula>
    </cfRule>
  </conditionalFormatting>
  <conditionalFormatting sqref="D85">
    <cfRule type="expression" dxfId="114" priority="115">
      <formula>MOD(ROW(),2)=0</formula>
    </cfRule>
  </conditionalFormatting>
  <conditionalFormatting sqref="B85">
    <cfRule type="expression" dxfId="113" priority="114">
      <formula>MOD(ROW(),2)=0</formula>
    </cfRule>
  </conditionalFormatting>
  <conditionalFormatting sqref="B90">
    <cfRule type="expression" dxfId="112" priority="113">
      <formula>MOD(ROW(),2)=0</formula>
    </cfRule>
  </conditionalFormatting>
  <conditionalFormatting sqref="B91">
    <cfRule type="expression" dxfId="111" priority="112">
      <formula>MOD(ROW(),2)=0</formula>
    </cfRule>
  </conditionalFormatting>
  <conditionalFormatting sqref="D93">
    <cfRule type="expression" dxfId="110" priority="111">
      <formula>MOD(ROW(),2)=0</formula>
    </cfRule>
  </conditionalFormatting>
  <conditionalFormatting sqref="D95">
    <cfRule type="expression" dxfId="109" priority="110">
      <formula>MOD(ROW(),2)=0</formula>
    </cfRule>
  </conditionalFormatting>
  <conditionalFormatting sqref="B93">
    <cfRule type="expression" dxfId="108" priority="109">
      <formula>MOD(ROW(),2)=0</formula>
    </cfRule>
  </conditionalFormatting>
  <conditionalFormatting sqref="B95">
    <cfRule type="expression" dxfId="107" priority="108">
      <formula>MOD(ROW(),2)=0</formula>
    </cfRule>
  </conditionalFormatting>
  <conditionalFormatting sqref="B97">
    <cfRule type="expression" dxfId="106" priority="107">
      <formula>MOD(ROW(),2)=0</formula>
    </cfRule>
  </conditionalFormatting>
  <conditionalFormatting sqref="B84 D84">
    <cfRule type="expression" dxfId="105" priority="106">
      <formula>MOD(ROW(),2)=0</formula>
    </cfRule>
  </conditionalFormatting>
  <conditionalFormatting sqref="O84:X84">
    <cfRule type="expression" dxfId="104" priority="105">
      <formula>MOD(ROW(),2)=0</formula>
    </cfRule>
  </conditionalFormatting>
  <conditionalFormatting sqref="D86">
    <cfRule type="expression" dxfId="103" priority="104">
      <formula>MOD(ROW(),2)=0</formula>
    </cfRule>
  </conditionalFormatting>
  <conditionalFormatting sqref="D89">
    <cfRule type="expression" dxfId="102" priority="103">
      <formula>MOD(ROW(),2)=0</formula>
    </cfRule>
  </conditionalFormatting>
  <conditionalFormatting sqref="B86">
    <cfRule type="expression" dxfId="101" priority="102">
      <formula>MOD(ROW(),2)=0</formula>
    </cfRule>
  </conditionalFormatting>
  <conditionalFormatting sqref="B89">
    <cfRule type="expression" dxfId="100" priority="101">
      <formula>MOD(ROW(),2)=0</formula>
    </cfRule>
  </conditionalFormatting>
  <conditionalFormatting sqref="Y84">
    <cfRule type="expression" dxfId="99" priority="100">
      <formula>MOD(ROW(),2)=0</formula>
    </cfRule>
  </conditionalFormatting>
  <conditionalFormatting sqref="B88">
    <cfRule type="expression" dxfId="98" priority="99">
      <formula>MOD(ROW(),2)=0</formula>
    </cfRule>
  </conditionalFormatting>
  <conditionalFormatting sqref="D88">
    <cfRule type="expression" dxfId="97" priority="98">
      <formula>MOD(ROW(),2)=0</formula>
    </cfRule>
  </conditionalFormatting>
  <conditionalFormatting sqref="O88:P88">
    <cfRule type="expression" dxfId="96" priority="97">
      <formula>MOD(ROW(),2)=0</formula>
    </cfRule>
  </conditionalFormatting>
  <conditionalFormatting sqref="Y88">
    <cfRule type="expression" dxfId="95" priority="96">
      <formula>MOD(ROW(),2)=0</formula>
    </cfRule>
  </conditionalFormatting>
  <conditionalFormatting sqref="Q88:X88 Z88 AB88">
    <cfRule type="expression" dxfId="94" priority="95">
      <formula>MOD(ROW(),2)=0</formula>
    </cfRule>
  </conditionalFormatting>
  <conditionalFormatting sqref="O89:P89">
    <cfRule type="expression" dxfId="93" priority="94">
      <formula>MOD(ROW(),2)=0</formula>
    </cfRule>
  </conditionalFormatting>
  <conditionalFormatting sqref="Y89">
    <cfRule type="expression" dxfId="92" priority="93">
      <formula>MOD(ROW(),2)=0</formula>
    </cfRule>
  </conditionalFormatting>
  <conditionalFormatting sqref="Q89:X89 Z89 AB89">
    <cfRule type="expression" dxfId="91" priority="92">
      <formula>MOD(ROW(),2)=0</formula>
    </cfRule>
  </conditionalFormatting>
  <conditionalFormatting sqref="O90:P90">
    <cfRule type="expression" dxfId="90" priority="91">
      <formula>MOD(ROW(),2)=0</formula>
    </cfRule>
  </conditionalFormatting>
  <conditionalFormatting sqref="Y90">
    <cfRule type="expression" dxfId="89" priority="90">
      <formula>MOD(ROW(),2)=0</formula>
    </cfRule>
  </conditionalFormatting>
  <conditionalFormatting sqref="Q90:X90 Z90 AB90">
    <cfRule type="expression" dxfId="88" priority="89">
      <formula>MOD(ROW(),2)=0</formula>
    </cfRule>
  </conditionalFormatting>
  <conditionalFormatting sqref="O91:P91">
    <cfRule type="expression" dxfId="87" priority="88">
      <formula>MOD(ROW(),2)=0</formula>
    </cfRule>
  </conditionalFormatting>
  <conditionalFormatting sqref="Y91">
    <cfRule type="expression" dxfId="86" priority="87">
      <formula>MOD(ROW(),2)=0</formula>
    </cfRule>
  </conditionalFormatting>
  <conditionalFormatting sqref="Q91:X91 Z91 AB91">
    <cfRule type="expression" dxfId="85" priority="86">
      <formula>MOD(ROW(),2)=0</formula>
    </cfRule>
  </conditionalFormatting>
  <conditionalFormatting sqref="O92:P92">
    <cfRule type="expression" dxfId="84" priority="85">
      <formula>MOD(ROW(),2)=0</formula>
    </cfRule>
  </conditionalFormatting>
  <conditionalFormatting sqref="Y92">
    <cfRule type="expression" dxfId="83" priority="84">
      <formula>MOD(ROW(),2)=0</formula>
    </cfRule>
  </conditionalFormatting>
  <conditionalFormatting sqref="Q92:X92 AB92">
    <cfRule type="expression" dxfId="82" priority="83">
      <formula>MOD(ROW(),2)=0</formula>
    </cfRule>
  </conditionalFormatting>
  <conditionalFormatting sqref="O93:P93">
    <cfRule type="expression" dxfId="81" priority="82">
      <formula>MOD(ROW(),2)=0</formula>
    </cfRule>
  </conditionalFormatting>
  <conditionalFormatting sqref="Y93">
    <cfRule type="expression" dxfId="80" priority="81">
      <formula>MOD(ROW(),2)=0</formula>
    </cfRule>
  </conditionalFormatting>
  <conditionalFormatting sqref="Q93:X93 Z93">
    <cfRule type="expression" dxfId="79" priority="80">
      <formula>MOD(ROW(),2)=0</formula>
    </cfRule>
  </conditionalFormatting>
  <conditionalFormatting sqref="O94:P94">
    <cfRule type="expression" dxfId="78" priority="79">
      <formula>MOD(ROW(),2)=0</formula>
    </cfRule>
  </conditionalFormatting>
  <conditionalFormatting sqref="Y94">
    <cfRule type="expression" dxfId="77" priority="78">
      <formula>MOD(ROW(),2)=0</formula>
    </cfRule>
  </conditionalFormatting>
  <conditionalFormatting sqref="Q94:X94">
    <cfRule type="expression" dxfId="76" priority="77">
      <formula>MOD(ROW(),2)=0</formula>
    </cfRule>
  </conditionalFormatting>
  <conditionalFormatting sqref="D92">
    <cfRule type="expression" dxfId="75" priority="76">
      <formula>MOD(ROW(),2)=0</formula>
    </cfRule>
  </conditionalFormatting>
  <conditionalFormatting sqref="B92">
    <cfRule type="expression" dxfId="74" priority="75">
      <formula>MOD(ROW(),2)=0</formula>
    </cfRule>
  </conditionalFormatting>
  <conditionalFormatting sqref="B94">
    <cfRule type="expression" dxfId="73" priority="74">
      <formula>MOD(ROW(),2)=0</formula>
    </cfRule>
  </conditionalFormatting>
  <conditionalFormatting sqref="B96">
    <cfRule type="expression" dxfId="72" priority="73">
      <formula>MOD(ROW(),2)=0</formula>
    </cfRule>
  </conditionalFormatting>
  <conditionalFormatting sqref="D94">
    <cfRule type="expression" dxfId="71" priority="72">
      <formula>MOD(ROW(),2)=0</formula>
    </cfRule>
  </conditionalFormatting>
  <conditionalFormatting sqref="D96">
    <cfRule type="expression" dxfId="70" priority="71">
      <formula>MOD(ROW(),2)=0</formula>
    </cfRule>
  </conditionalFormatting>
  <conditionalFormatting sqref="Z92">
    <cfRule type="expression" dxfId="69" priority="70">
      <formula>MOD(ROW(),2)=0</formula>
    </cfRule>
  </conditionalFormatting>
  <conditionalFormatting sqref="Z94">
    <cfRule type="expression" dxfId="68" priority="69">
      <formula>MOD(ROW(),2)=0</formula>
    </cfRule>
  </conditionalFormatting>
  <conditionalFormatting sqref="AA86">
    <cfRule type="expression" dxfId="67" priority="68">
      <formula>MOD(ROW(),2)=0</formula>
    </cfRule>
  </conditionalFormatting>
  <conditionalFormatting sqref="AA88">
    <cfRule type="expression" dxfId="66" priority="67">
      <formula>MOD(ROW(),2)=0</formula>
    </cfRule>
  </conditionalFormatting>
  <conditionalFormatting sqref="AA90">
    <cfRule type="expression" dxfId="65" priority="66">
      <formula>MOD(ROW(),2)=0</formula>
    </cfRule>
  </conditionalFormatting>
  <conditionalFormatting sqref="AA92">
    <cfRule type="expression" dxfId="64" priority="65">
      <formula>MOD(ROW(),2)=0</formula>
    </cfRule>
  </conditionalFormatting>
  <conditionalFormatting sqref="AB94">
    <cfRule type="expression" dxfId="63" priority="64">
      <formula>MOD(ROW(),2)=0</formula>
    </cfRule>
  </conditionalFormatting>
  <conditionalFormatting sqref="B48:D48">
    <cfRule type="expression" dxfId="62" priority="63">
      <formula>MOD(ROW(),2)=0</formula>
    </cfRule>
  </conditionalFormatting>
  <conditionalFormatting sqref="AA91">
    <cfRule type="expression" dxfId="61" priority="62">
      <formula>MOD(ROW(),2)=0</formula>
    </cfRule>
  </conditionalFormatting>
  <conditionalFormatting sqref="AA87">
    <cfRule type="expression" dxfId="60" priority="61">
      <formula>MOD(ROW(),2)=0</formula>
    </cfRule>
  </conditionalFormatting>
  <conditionalFormatting sqref="AA89">
    <cfRule type="expression" dxfId="59" priority="60">
      <formula>MOD(ROW(),2)=0</formula>
    </cfRule>
  </conditionalFormatting>
  <conditionalFormatting sqref="AB93">
    <cfRule type="expression" dxfId="58" priority="59">
      <formula>MOD(ROW(),2)=0</formula>
    </cfRule>
  </conditionalFormatting>
  <conditionalFormatting sqref="AA93">
    <cfRule type="expression" dxfId="57" priority="58">
      <formula>MOD(ROW(),2)=0</formula>
    </cfRule>
  </conditionalFormatting>
  <conditionalFormatting sqref="AC98">
    <cfRule type="expression" dxfId="56" priority="57">
      <formula>MOD(ROW(),2)=0</formula>
    </cfRule>
  </conditionalFormatting>
  <conditionalFormatting sqref="AC38:AC64 AC67:AC84">
    <cfRule type="expression" dxfId="55" priority="56">
      <formula>MOD(ROW(),2)=0</formula>
    </cfRule>
  </conditionalFormatting>
  <conditionalFormatting sqref="AC85">
    <cfRule type="expression" dxfId="54" priority="55">
      <formula>MOD(ROW(),2)=0</formula>
    </cfRule>
  </conditionalFormatting>
  <conditionalFormatting sqref="AC87">
    <cfRule type="expression" dxfId="53" priority="54">
      <formula>MOD(ROW(),2)=0</formula>
    </cfRule>
  </conditionalFormatting>
  <conditionalFormatting sqref="AC86">
    <cfRule type="expression" dxfId="52" priority="53">
      <formula>MOD(ROW(),2)=0</formula>
    </cfRule>
  </conditionalFormatting>
  <conditionalFormatting sqref="AC88">
    <cfRule type="expression" dxfId="51" priority="52">
      <formula>MOD(ROW(),2)=0</formula>
    </cfRule>
  </conditionalFormatting>
  <conditionalFormatting sqref="AC89">
    <cfRule type="expression" dxfId="50" priority="51">
      <formula>MOD(ROW(),2)=0</formula>
    </cfRule>
  </conditionalFormatting>
  <conditionalFormatting sqref="AC90">
    <cfRule type="expression" dxfId="49" priority="50">
      <formula>MOD(ROW(),2)=0</formula>
    </cfRule>
  </conditionalFormatting>
  <conditionalFormatting sqref="AC91">
    <cfRule type="expression" dxfId="48" priority="49">
      <formula>MOD(ROW(),2)=0</formula>
    </cfRule>
  </conditionalFormatting>
  <conditionalFormatting sqref="AC92">
    <cfRule type="expression" dxfId="47" priority="48">
      <formula>MOD(ROW(),2)=0</formula>
    </cfRule>
  </conditionalFormatting>
  <conditionalFormatting sqref="AC94">
    <cfRule type="expression" dxfId="46" priority="47">
      <formula>MOD(ROW(),2)=0</formula>
    </cfRule>
  </conditionalFormatting>
  <conditionalFormatting sqref="AC93">
    <cfRule type="expression" dxfId="45" priority="46">
      <formula>MOD(ROW(),2)=0</formula>
    </cfRule>
  </conditionalFormatting>
  <conditionalFormatting sqref="AD38:AD64 AD67:AD84">
    <cfRule type="expression" dxfId="44" priority="45">
      <formula>MOD(ROW(),2)=0</formula>
    </cfRule>
  </conditionalFormatting>
  <conditionalFormatting sqref="AD85">
    <cfRule type="expression" dxfId="43" priority="44">
      <formula>MOD(ROW(),2)=0</formula>
    </cfRule>
  </conditionalFormatting>
  <conditionalFormatting sqref="AD87">
    <cfRule type="expression" dxfId="42" priority="43">
      <formula>MOD(ROW(),2)=0</formula>
    </cfRule>
  </conditionalFormatting>
  <conditionalFormatting sqref="AD86">
    <cfRule type="expression" dxfId="41" priority="42">
      <formula>MOD(ROW(),2)=0</formula>
    </cfRule>
  </conditionalFormatting>
  <conditionalFormatting sqref="AD88">
    <cfRule type="expression" dxfId="40" priority="41">
      <formula>MOD(ROW(),2)=0</formula>
    </cfRule>
  </conditionalFormatting>
  <conditionalFormatting sqref="AD89">
    <cfRule type="expression" dxfId="39" priority="40">
      <formula>MOD(ROW(),2)=0</formula>
    </cfRule>
  </conditionalFormatting>
  <conditionalFormatting sqref="AD90">
    <cfRule type="expression" dxfId="38" priority="39">
      <formula>MOD(ROW(),2)=0</formula>
    </cfRule>
  </conditionalFormatting>
  <conditionalFormatting sqref="AD91">
    <cfRule type="expression" dxfId="37" priority="38">
      <formula>MOD(ROW(),2)=0</formula>
    </cfRule>
  </conditionalFormatting>
  <conditionalFormatting sqref="AD92">
    <cfRule type="expression" dxfId="36" priority="37">
      <formula>MOD(ROW(),2)=0</formula>
    </cfRule>
  </conditionalFormatting>
  <conditionalFormatting sqref="AD94">
    <cfRule type="expression" dxfId="35" priority="36">
      <formula>MOD(ROW(),2)=0</formula>
    </cfRule>
  </conditionalFormatting>
  <conditionalFormatting sqref="AD93">
    <cfRule type="expression" dxfId="34" priority="35">
      <formula>MOD(ROW(),2)=0</formula>
    </cfRule>
  </conditionalFormatting>
  <conditionalFormatting sqref="O95:P95">
    <cfRule type="expression" dxfId="33" priority="34">
      <formula>MOD(ROW(),2)=0</formula>
    </cfRule>
  </conditionalFormatting>
  <conditionalFormatting sqref="Y95">
    <cfRule type="expression" dxfId="32" priority="33">
      <formula>MOD(ROW(),2)=0</formula>
    </cfRule>
  </conditionalFormatting>
  <conditionalFormatting sqref="Q95:X95 AA95">
    <cfRule type="expression" dxfId="31" priority="32">
      <formula>MOD(ROW(),2)=0</formula>
    </cfRule>
  </conditionalFormatting>
  <conditionalFormatting sqref="Z95">
    <cfRule type="expression" dxfId="30" priority="31">
      <formula>MOD(ROW(),2)=0</formula>
    </cfRule>
  </conditionalFormatting>
  <conditionalFormatting sqref="AB95">
    <cfRule type="expression" dxfId="29" priority="30">
      <formula>MOD(ROW(),2)=0</formula>
    </cfRule>
  </conditionalFormatting>
  <conditionalFormatting sqref="AC95">
    <cfRule type="expression" dxfId="28" priority="29">
      <formula>MOD(ROW(),2)=0</formula>
    </cfRule>
  </conditionalFormatting>
  <conditionalFormatting sqref="AD95">
    <cfRule type="expression" dxfId="27" priority="28">
      <formula>MOD(ROW(),2)=0</formula>
    </cfRule>
  </conditionalFormatting>
  <conditionalFormatting sqref="O96:P96">
    <cfRule type="expression" dxfId="26" priority="27">
      <formula>MOD(ROW(),2)=0</formula>
    </cfRule>
  </conditionalFormatting>
  <conditionalFormatting sqref="Y96">
    <cfRule type="expression" dxfId="25" priority="26">
      <formula>MOD(ROW(),2)=0</formula>
    </cfRule>
  </conditionalFormatting>
  <conditionalFormatting sqref="Q96:X96 AA96">
    <cfRule type="expression" dxfId="24" priority="25">
      <formula>MOD(ROW(),2)=0</formula>
    </cfRule>
  </conditionalFormatting>
  <conditionalFormatting sqref="Z96">
    <cfRule type="expression" dxfId="23" priority="24">
      <formula>MOD(ROW(),2)=0</formula>
    </cfRule>
  </conditionalFormatting>
  <conditionalFormatting sqref="AB96">
    <cfRule type="expression" dxfId="22" priority="23">
      <formula>MOD(ROW(),2)=0</formula>
    </cfRule>
  </conditionalFormatting>
  <conditionalFormatting sqref="AC96">
    <cfRule type="expression" dxfId="21" priority="22">
      <formula>MOD(ROW(),2)=0</formula>
    </cfRule>
  </conditionalFormatting>
  <conditionalFormatting sqref="AD96">
    <cfRule type="expression" dxfId="20" priority="21">
      <formula>MOD(ROW(),2)=0</formula>
    </cfRule>
  </conditionalFormatting>
  <conditionalFormatting sqref="O97:P97">
    <cfRule type="expression" dxfId="19" priority="20">
      <formula>MOD(ROW(),2)=0</formula>
    </cfRule>
  </conditionalFormatting>
  <conditionalFormatting sqref="Y97">
    <cfRule type="expression" dxfId="18" priority="19">
      <formula>MOD(ROW(),2)=0</formula>
    </cfRule>
  </conditionalFormatting>
  <conditionalFormatting sqref="Q97:X97 AA97">
    <cfRule type="expression" dxfId="17" priority="18">
      <formula>MOD(ROW(),2)=0</formula>
    </cfRule>
  </conditionalFormatting>
  <conditionalFormatting sqref="Z97">
    <cfRule type="expression" dxfId="16" priority="17">
      <formula>MOD(ROW(),2)=0</formula>
    </cfRule>
  </conditionalFormatting>
  <conditionalFormatting sqref="AB97">
    <cfRule type="expression" dxfId="15" priority="16">
      <formula>MOD(ROW(),2)=0</formula>
    </cfRule>
  </conditionalFormatting>
  <conditionalFormatting sqref="AC97">
    <cfRule type="expression" dxfId="14" priority="15">
      <formula>MOD(ROW(),2)=0</formula>
    </cfRule>
  </conditionalFormatting>
  <conditionalFormatting sqref="AD97">
    <cfRule type="expression" dxfId="13" priority="14">
      <formula>MOD(ROW(),2)=0</formula>
    </cfRule>
  </conditionalFormatting>
  <conditionalFormatting sqref="AE39:AE64 AE67:AE84">
    <cfRule type="expression" dxfId="12" priority="13">
      <formula>MOD(ROW(),2)=0</formula>
    </cfRule>
  </conditionalFormatting>
  <conditionalFormatting sqref="AE85">
    <cfRule type="expression" dxfId="11" priority="12">
      <formula>MOD(ROW(),2)=0</formula>
    </cfRule>
  </conditionalFormatting>
  <conditionalFormatting sqref="AE86:AE94">
    <cfRule type="expression" dxfId="10" priority="11">
      <formula>MOD(ROW(),2)=0</formula>
    </cfRule>
  </conditionalFormatting>
  <conditionalFormatting sqref="AE95:AE97">
    <cfRule type="expression" dxfId="9" priority="10">
      <formula>MOD(ROW(),2)=0</formula>
    </cfRule>
  </conditionalFormatting>
  <conditionalFormatting sqref="O65:AB65">
    <cfRule type="expression" dxfId="8" priority="9">
      <formula>MOD(ROW(),2)=0</formula>
    </cfRule>
  </conditionalFormatting>
  <conditionalFormatting sqref="AC65">
    <cfRule type="expression" dxfId="7" priority="8">
      <formula>MOD(ROW(),2)=0</formula>
    </cfRule>
  </conditionalFormatting>
  <conditionalFormatting sqref="AD65">
    <cfRule type="expression" dxfId="6" priority="7">
      <formula>MOD(ROW(),2)=0</formula>
    </cfRule>
  </conditionalFormatting>
  <conditionalFormatting sqref="AE65">
    <cfRule type="expression" dxfId="5" priority="6">
      <formula>MOD(ROW(),2)=0</formula>
    </cfRule>
  </conditionalFormatting>
  <conditionalFormatting sqref="O66:AB66">
    <cfRule type="expression" dxfId="4" priority="5">
      <formula>MOD(ROW(),2)=0</formula>
    </cfRule>
  </conditionalFormatting>
  <conditionalFormatting sqref="AC66">
    <cfRule type="expression" dxfId="3" priority="4">
      <formula>MOD(ROW(),2)=0</formula>
    </cfRule>
  </conditionalFormatting>
  <conditionalFormatting sqref="AD66">
    <cfRule type="expression" dxfId="2" priority="3">
      <formula>MOD(ROW(),2)=0</formula>
    </cfRule>
  </conditionalFormatting>
  <conditionalFormatting sqref="AE66">
    <cfRule type="expression" dxfId="1" priority="2">
      <formula>MOD(ROW(),2)=0</formula>
    </cfRule>
  </conditionalFormatting>
  <conditionalFormatting sqref="AA94">
    <cfRule type="expression" dxfId="0" priority="1">
      <formula>MOD(ROW(),2)=0</formula>
    </cfRule>
  </conditionalFormatting>
  <pageMargins left="0.75" right="0.75" top="1" bottom="1" header="0.5" footer="0.5"/>
  <headerFooter alignWithMargin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B2:AI37"/>
  <sheetViews>
    <sheetView zoomScale="85" zoomScaleNormal="85" workbookViewId="0">
      <selection activeCell="AH25" sqref="AH25"/>
    </sheetView>
  </sheetViews>
  <sheetFormatPr defaultColWidth="9.08984375" defaultRowHeight="14.5" outlineLevelCol="1" x14ac:dyDescent="0.35"/>
  <cols>
    <col min="1" max="1" width="4.81640625" style="152" customWidth="1"/>
    <col min="2" max="2" width="7.08984375" style="156" bestFit="1" customWidth="1"/>
    <col min="3" max="3" width="8" style="152" customWidth="1"/>
    <col min="4" max="4" width="6.6328125" style="156" bestFit="1" customWidth="1"/>
    <col min="5" max="5" width="21.81640625" style="157" customWidth="1"/>
    <col min="6" max="10" width="3.81640625" style="153" bestFit="1" customWidth="1"/>
    <col min="11" max="11" width="9.54296875" style="153" bestFit="1" customWidth="1"/>
    <col min="12" max="12" width="9.54296875" style="153" bestFit="1" customWidth="1" collapsed="1"/>
    <col min="13" max="17" width="6.6328125" style="153" hidden="1" customWidth="1" outlineLevel="1"/>
    <col min="18" max="18" width="3.81640625" style="153" bestFit="1" customWidth="1"/>
    <col min="19" max="19" width="6.6328125" style="153" bestFit="1" customWidth="1"/>
    <col min="20" max="20" width="5.08984375" style="153" hidden="1" customWidth="1"/>
    <col min="21" max="21" width="6.6328125" style="153" bestFit="1" customWidth="1"/>
    <col min="22" max="22" width="9.54296875" style="153" bestFit="1" customWidth="1" collapsed="1"/>
    <col min="23" max="23" width="3.81640625" style="153" hidden="1" customWidth="1" outlineLevel="1"/>
    <col min="24" max="24" width="6.6328125" style="153" hidden="1" customWidth="1" outlineLevel="1"/>
    <col min="25" max="25" width="3.81640625" style="153" hidden="1" customWidth="1" outlineLevel="1"/>
    <col min="26" max="26" width="6.6328125" style="153" hidden="1" customWidth="1" outlineLevel="1"/>
    <col min="27" max="27" width="3.81640625" style="153" hidden="1" customWidth="1" outlineLevel="1"/>
    <col min="28" max="28" width="12.54296875" style="153" hidden="1" customWidth="1" outlineLevel="1"/>
    <col min="29" max="29" width="6.6328125" style="153" hidden="1" customWidth="1" outlineLevel="1"/>
    <col min="30" max="30" width="4.08984375" style="153" hidden="1" customWidth="1" outlineLevel="1"/>
    <col min="31" max="31" width="3.81640625" style="153" bestFit="1" customWidth="1" collapsed="1"/>
    <col min="32" max="33" width="3.81640625" style="153" hidden="1" customWidth="1" outlineLevel="1"/>
    <col min="34" max="34" width="30.1796875" style="152" bestFit="1" customWidth="1"/>
    <col min="35" max="35" width="28.453125" style="152" bestFit="1" customWidth="1"/>
    <col min="36" max="16384" width="9.08984375" style="152"/>
  </cols>
  <sheetData>
    <row r="2" spans="2:35" s="133" customFormat="1" ht="109.5" customHeight="1" x14ac:dyDescent="0.35">
      <c r="B2" s="396" t="s">
        <v>39</v>
      </c>
      <c r="C2" s="397" t="s">
        <v>268</v>
      </c>
      <c r="D2" s="396" t="s">
        <v>269</v>
      </c>
      <c r="E2" s="398" t="s">
        <v>47</v>
      </c>
      <c r="F2" s="399" t="s">
        <v>0</v>
      </c>
      <c r="G2" s="399" t="s">
        <v>197</v>
      </c>
      <c r="H2" s="399" t="s">
        <v>206</v>
      </c>
      <c r="I2" s="399" t="s">
        <v>467</v>
      </c>
      <c r="J2" s="396" t="s">
        <v>194</v>
      </c>
      <c r="K2" s="400" t="s">
        <v>213</v>
      </c>
      <c r="L2" s="400" t="s">
        <v>214</v>
      </c>
      <c r="M2" s="401" t="s">
        <v>198</v>
      </c>
      <c r="N2" s="401" t="s">
        <v>199</v>
      </c>
      <c r="O2" s="401" t="s">
        <v>200</v>
      </c>
      <c r="P2" s="401" t="s">
        <v>201</v>
      </c>
      <c r="Q2" s="401" t="s">
        <v>203</v>
      </c>
      <c r="R2" s="402" t="s">
        <v>215</v>
      </c>
      <c r="S2" s="403" t="s">
        <v>36</v>
      </c>
      <c r="T2" s="402" t="s">
        <v>216</v>
      </c>
      <c r="U2" s="402" t="s">
        <v>208</v>
      </c>
      <c r="V2" s="403" t="s">
        <v>209</v>
      </c>
      <c r="W2" s="404" t="s">
        <v>210</v>
      </c>
      <c r="X2" s="404" t="s">
        <v>211</v>
      </c>
      <c r="Y2" s="404" t="s">
        <v>212</v>
      </c>
      <c r="Z2" s="404" t="s">
        <v>24</v>
      </c>
      <c r="AA2" s="404" t="s">
        <v>25</v>
      </c>
      <c r="AB2" s="404" t="s">
        <v>202</v>
      </c>
      <c r="AC2" s="404" t="s">
        <v>8</v>
      </c>
      <c r="AD2" s="404" t="s">
        <v>9</v>
      </c>
      <c r="AE2" s="404" t="s">
        <v>30</v>
      </c>
      <c r="AF2" s="404" t="s">
        <v>31</v>
      </c>
      <c r="AG2" s="405" t="s">
        <v>42</v>
      </c>
      <c r="AH2" s="406" t="s">
        <v>532</v>
      </c>
    </row>
    <row r="3" spans="2:35" s="177" customFormat="1" ht="12.75" customHeight="1" x14ac:dyDescent="0.35">
      <c r="B3" s="407" t="s">
        <v>565</v>
      </c>
      <c r="C3" s="408" t="s">
        <v>564</v>
      </c>
      <c r="D3" s="163"/>
      <c r="E3" s="162"/>
      <c r="F3" s="154"/>
      <c r="G3" s="210"/>
      <c r="H3" s="154"/>
      <c r="I3" s="154"/>
      <c r="J3" s="164"/>
      <c r="K3" s="154"/>
      <c r="L3" s="165"/>
      <c r="M3" s="166"/>
      <c r="N3" s="166"/>
      <c r="O3" s="166"/>
      <c r="P3" s="166"/>
      <c r="Q3" s="166"/>
      <c r="R3" s="154"/>
      <c r="S3" s="167"/>
      <c r="T3" s="167"/>
      <c r="U3" s="167"/>
      <c r="V3" s="167"/>
      <c r="W3" s="167"/>
      <c r="X3" s="167"/>
      <c r="Y3" s="167"/>
      <c r="Z3" s="167"/>
      <c r="AA3" s="167"/>
      <c r="AB3" s="167"/>
      <c r="AC3" s="167"/>
      <c r="AD3" s="167"/>
      <c r="AE3" s="163"/>
      <c r="AF3" s="167"/>
      <c r="AG3" s="168"/>
    </row>
    <row r="4" spans="2:35" ht="12.75" customHeight="1" x14ac:dyDescent="0.35">
      <c r="B4" s="427">
        <v>42552</v>
      </c>
      <c r="C4" s="428" t="s">
        <v>260</v>
      </c>
      <c r="D4" s="428" t="s">
        <v>531</v>
      </c>
      <c r="E4" s="429" t="s">
        <v>265</v>
      </c>
      <c r="F4" s="430">
        <v>4</v>
      </c>
      <c r="G4" s="431">
        <f>F4*10%</f>
        <v>0.4</v>
      </c>
      <c r="H4" s="431">
        <v>0</v>
      </c>
      <c r="I4" s="431">
        <v>0</v>
      </c>
      <c r="J4" s="432">
        <f t="shared" ref="J4:J15" si="0">F4-(G4+H4+I4)</f>
        <v>3.6</v>
      </c>
      <c r="K4" s="430">
        <v>3.6</v>
      </c>
      <c r="L4" s="430">
        <v>0</v>
      </c>
      <c r="M4" s="433">
        <f t="shared" ref="M4:M12" si="1">(W4+(($AB4*($K4/$J4))/(1+Hr_Review)))/$AG4</f>
        <v>2.287179487179487</v>
      </c>
      <c r="N4" s="433">
        <f t="shared" ref="N4:N12" si="2">(X4+(($AB4*($K4/$J4))/(1+Hr_Review))*Hr_Review)/$AG4</f>
        <v>0.68615384615384611</v>
      </c>
      <c r="O4" s="433">
        <f t="shared" ref="O4:O12" si="3">(Y4+(($AB4*($L4/$J4))/(1+Hr_Review)))/$AG4</f>
        <v>0</v>
      </c>
      <c r="P4" s="433">
        <f t="shared" ref="P4:P12" si="4">(Z4+(($AB4*($L4/$J4))/(1+Hr_Review))*Hr_Review)/$AG4</f>
        <v>0</v>
      </c>
      <c r="Q4" s="433">
        <f t="shared" ref="Q4:Q12" si="5">AA4/$AG4</f>
        <v>0.54</v>
      </c>
      <c r="R4" s="434">
        <f t="shared" ref="R4:R12" si="6">ROUNDDOWN(W4/(Analysis_Hr_AC*NO_AC_US),0)</f>
        <v>62</v>
      </c>
      <c r="S4" s="435">
        <f>R4+S3</f>
        <v>62</v>
      </c>
      <c r="T4" s="436">
        <f t="shared" ref="T4" si="7">W4/Analysis_Hr_AC</f>
        <v>312</v>
      </c>
      <c r="U4" s="437">
        <f t="shared" ref="U4:U15" si="8">Y4/$B$21</f>
        <v>0</v>
      </c>
      <c r="V4" s="435">
        <f>V3+U4</f>
        <v>0</v>
      </c>
      <c r="W4" s="438">
        <f t="shared" ref="W4:W12" si="9">K4*(AG4-AG4*Hr_Query-AG4*Hr_OtherAnalysis)*(1/(1+Hr_Query+Hr_OtherAnalysis))</f>
        <v>78</v>
      </c>
      <c r="X4" s="438">
        <f t="shared" ref="X4:X12" si="10">(W4)*Hr_Review</f>
        <v>23.4</v>
      </c>
      <c r="Y4" s="438">
        <f t="shared" ref="Y4:Y12" si="11">L4*(AG4-AG4*Hr_Query-AG4*Hr_OtherAnalysis)*(1/(1+Hr_Query+Hr_OtherAnalysis))</f>
        <v>0</v>
      </c>
      <c r="Z4" s="438">
        <f t="shared" ref="Z4:Z12" si="12">(Y4)*Hr_Review</f>
        <v>0</v>
      </c>
      <c r="AA4" s="438">
        <f t="shared" ref="AA4:AA12" si="13">AD4*Hr_OtherAnalysis</f>
        <v>24.3</v>
      </c>
      <c r="AB4" s="438">
        <f t="shared" ref="AB4:AB12" si="14">ROUND(AD4*Hr_Query,1)</f>
        <v>32.4</v>
      </c>
      <c r="AC4" s="438">
        <f t="shared" ref="AC4:AC12" si="15">W4+Y4+X4+Z4+AB4+AA4</f>
        <v>158.10000000000002</v>
      </c>
      <c r="AD4" s="438">
        <f t="shared" ref="AD4:AD12" si="16">J4*AE4*AF4</f>
        <v>162</v>
      </c>
      <c r="AE4" s="428">
        <v>5</v>
      </c>
      <c r="AF4" s="438">
        <v>9</v>
      </c>
      <c r="AG4" s="439">
        <f t="shared" ref="AG4:AG12" si="17">AE4*AF4</f>
        <v>45</v>
      </c>
      <c r="AH4" s="428" t="s">
        <v>563</v>
      </c>
    </row>
    <row r="5" spans="2:35" ht="12.75" customHeight="1" x14ac:dyDescent="0.35">
      <c r="B5" s="427">
        <f>+B4+7</f>
        <v>42559</v>
      </c>
      <c r="C5" s="428" t="s">
        <v>260</v>
      </c>
      <c r="D5" s="428" t="s">
        <v>531</v>
      </c>
      <c r="E5" s="429" t="s">
        <v>265</v>
      </c>
      <c r="F5" s="430">
        <v>4</v>
      </c>
      <c r="G5" s="431">
        <f t="shared" ref="G5:G14" si="18">F5*10%</f>
        <v>0.4</v>
      </c>
      <c r="H5" s="431">
        <v>0</v>
      </c>
      <c r="I5" s="431">
        <v>0</v>
      </c>
      <c r="J5" s="432">
        <f t="shared" si="0"/>
        <v>3.6</v>
      </c>
      <c r="K5" s="430">
        <v>3.6</v>
      </c>
      <c r="L5" s="430">
        <v>0</v>
      </c>
      <c r="M5" s="433">
        <f t="shared" si="1"/>
        <v>2.2867521367521371</v>
      </c>
      <c r="N5" s="433">
        <f t="shared" si="2"/>
        <v>0.68602564102564101</v>
      </c>
      <c r="O5" s="433">
        <f t="shared" si="3"/>
        <v>0</v>
      </c>
      <c r="P5" s="433">
        <f t="shared" si="4"/>
        <v>0</v>
      </c>
      <c r="Q5" s="433">
        <f t="shared" si="5"/>
        <v>0.53999999999999992</v>
      </c>
      <c r="R5" s="434">
        <f t="shared" si="6"/>
        <v>49</v>
      </c>
      <c r="S5" s="435">
        <f>R5+S4</f>
        <v>111</v>
      </c>
      <c r="T5" s="436">
        <f t="shared" ref="T5:T14" si="19">W5/Analysis_Hr_AC+T4</f>
        <v>561.6</v>
      </c>
      <c r="U5" s="437">
        <f t="shared" si="8"/>
        <v>0</v>
      </c>
      <c r="V5" s="435">
        <f>V4+U5</f>
        <v>0</v>
      </c>
      <c r="W5" s="438">
        <f t="shared" si="9"/>
        <v>62.400000000000013</v>
      </c>
      <c r="X5" s="438">
        <f t="shared" si="10"/>
        <v>18.720000000000002</v>
      </c>
      <c r="Y5" s="438">
        <f t="shared" si="11"/>
        <v>0</v>
      </c>
      <c r="Z5" s="438">
        <f t="shared" si="12"/>
        <v>0</v>
      </c>
      <c r="AA5" s="438">
        <f t="shared" si="13"/>
        <v>19.439999999999998</v>
      </c>
      <c r="AB5" s="438">
        <f t="shared" si="14"/>
        <v>25.9</v>
      </c>
      <c r="AC5" s="438">
        <f t="shared" si="15"/>
        <v>126.46000000000001</v>
      </c>
      <c r="AD5" s="438">
        <f t="shared" si="16"/>
        <v>129.6</v>
      </c>
      <c r="AE5" s="428">
        <v>4</v>
      </c>
      <c r="AF5" s="438">
        <v>9</v>
      </c>
      <c r="AG5" s="439">
        <f t="shared" si="17"/>
        <v>36</v>
      </c>
      <c r="AH5" s="428" t="s">
        <v>563</v>
      </c>
    </row>
    <row r="6" spans="2:35" ht="12.75" customHeight="1" x14ac:dyDescent="0.35">
      <c r="B6" s="427">
        <f t="shared" ref="B6:B15" si="20">+B5+7</f>
        <v>42566</v>
      </c>
      <c r="C6" s="428" t="s">
        <v>260</v>
      </c>
      <c r="D6" s="428" t="s">
        <v>531</v>
      </c>
      <c r="E6" s="429" t="s">
        <v>265</v>
      </c>
      <c r="F6" s="430">
        <v>4</v>
      </c>
      <c r="G6" s="431">
        <f t="shared" si="18"/>
        <v>0.4</v>
      </c>
      <c r="H6" s="431">
        <v>0</v>
      </c>
      <c r="I6" s="431">
        <v>0</v>
      </c>
      <c r="J6" s="432">
        <f t="shared" si="0"/>
        <v>3.6</v>
      </c>
      <c r="K6" s="430">
        <v>3.6</v>
      </c>
      <c r="L6" s="430">
        <v>0</v>
      </c>
      <c r="M6" s="433">
        <f t="shared" si="1"/>
        <v>2.287179487179487</v>
      </c>
      <c r="N6" s="433">
        <f t="shared" si="2"/>
        <v>0.68615384615384611</v>
      </c>
      <c r="O6" s="433">
        <f t="shared" si="3"/>
        <v>0</v>
      </c>
      <c r="P6" s="433">
        <f t="shared" si="4"/>
        <v>0</v>
      </c>
      <c r="Q6" s="433">
        <f t="shared" si="5"/>
        <v>0.54</v>
      </c>
      <c r="R6" s="434">
        <f t="shared" si="6"/>
        <v>62</v>
      </c>
      <c r="S6" s="435">
        <f t="shared" ref="S6:S12" si="21">R6+S5</f>
        <v>173</v>
      </c>
      <c r="T6" s="436">
        <f t="shared" si="19"/>
        <v>873.6</v>
      </c>
      <c r="U6" s="437">
        <f t="shared" si="8"/>
        <v>0</v>
      </c>
      <c r="V6" s="435">
        <f t="shared" ref="V6:V12" si="22">V5+U6</f>
        <v>0</v>
      </c>
      <c r="W6" s="438">
        <f t="shared" si="9"/>
        <v>78</v>
      </c>
      <c r="X6" s="438">
        <f t="shared" si="10"/>
        <v>23.4</v>
      </c>
      <c r="Y6" s="438">
        <f t="shared" si="11"/>
        <v>0</v>
      </c>
      <c r="Z6" s="438">
        <f t="shared" si="12"/>
        <v>0</v>
      </c>
      <c r="AA6" s="438">
        <f t="shared" si="13"/>
        <v>24.3</v>
      </c>
      <c r="AB6" s="438">
        <f t="shared" si="14"/>
        <v>32.4</v>
      </c>
      <c r="AC6" s="438">
        <f t="shared" si="15"/>
        <v>158.10000000000002</v>
      </c>
      <c r="AD6" s="438">
        <f t="shared" si="16"/>
        <v>162</v>
      </c>
      <c r="AE6" s="428">
        <v>5</v>
      </c>
      <c r="AF6" s="438">
        <v>9</v>
      </c>
      <c r="AG6" s="439">
        <f t="shared" si="17"/>
        <v>45</v>
      </c>
      <c r="AH6" s="428" t="s">
        <v>563</v>
      </c>
    </row>
    <row r="7" spans="2:35" ht="12.75" customHeight="1" x14ac:dyDescent="0.35">
      <c r="B7" s="427">
        <f t="shared" si="20"/>
        <v>42573</v>
      </c>
      <c r="C7" s="428" t="s">
        <v>260</v>
      </c>
      <c r="D7" s="428" t="s">
        <v>531</v>
      </c>
      <c r="E7" s="429" t="s">
        <v>265</v>
      </c>
      <c r="F7" s="430">
        <v>4</v>
      </c>
      <c r="G7" s="431">
        <f t="shared" si="18"/>
        <v>0.4</v>
      </c>
      <c r="H7" s="431">
        <v>0</v>
      </c>
      <c r="I7" s="431">
        <v>0</v>
      </c>
      <c r="J7" s="432">
        <f t="shared" si="0"/>
        <v>3.6</v>
      </c>
      <c r="K7" s="430">
        <v>3.6</v>
      </c>
      <c r="L7" s="430">
        <v>0</v>
      </c>
      <c r="M7" s="433">
        <f t="shared" si="1"/>
        <v>2.287179487179487</v>
      </c>
      <c r="N7" s="433">
        <f t="shared" si="2"/>
        <v>0.68615384615384611</v>
      </c>
      <c r="O7" s="433">
        <f t="shared" si="3"/>
        <v>0</v>
      </c>
      <c r="P7" s="433">
        <f t="shared" si="4"/>
        <v>0</v>
      </c>
      <c r="Q7" s="433">
        <f t="shared" si="5"/>
        <v>0.54</v>
      </c>
      <c r="R7" s="434">
        <f t="shared" si="6"/>
        <v>62</v>
      </c>
      <c r="S7" s="435">
        <f t="shared" si="21"/>
        <v>235</v>
      </c>
      <c r="T7" s="436">
        <f t="shared" si="19"/>
        <v>1185.5999999999999</v>
      </c>
      <c r="U7" s="437">
        <f t="shared" si="8"/>
        <v>0</v>
      </c>
      <c r="V7" s="435">
        <f t="shared" si="22"/>
        <v>0</v>
      </c>
      <c r="W7" s="438">
        <f t="shared" si="9"/>
        <v>78</v>
      </c>
      <c r="X7" s="438">
        <f t="shared" si="10"/>
        <v>23.4</v>
      </c>
      <c r="Y7" s="438">
        <f t="shared" si="11"/>
        <v>0</v>
      </c>
      <c r="Z7" s="438">
        <f t="shared" si="12"/>
        <v>0</v>
      </c>
      <c r="AA7" s="438">
        <f t="shared" si="13"/>
        <v>24.3</v>
      </c>
      <c r="AB7" s="438">
        <f t="shared" si="14"/>
        <v>32.4</v>
      </c>
      <c r="AC7" s="438">
        <f t="shared" si="15"/>
        <v>158.10000000000002</v>
      </c>
      <c r="AD7" s="438">
        <f t="shared" si="16"/>
        <v>162</v>
      </c>
      <c r="AE7" s="428">
        <v>5</v>
      </c>
      <c r="AF7" s="438">
        <v>9</v>
      </c>
      <c r="AG7" s="439">
        <f t="shared" si="17"/>
        <v>45</v>
      </c>
      <c r="AH7" s="428" t="s">
        <v>563</v>
      </c>
    </row>
    <row r="8" spans="2:35" ht="12.75" customHeight="1" x14ac:dyDescent="0.35">
      <c r="B8" s="427">
        <f t="shared" si="20"/>
        <v>42580</v>
      </c>
      <c r="C8" s="428" t="s">
        <v>260</v>
      </c>
      <c r="D8" s="428" t="s">
        <v>531</v>
      </c>
      <c r="E8" s="429" t="s">
        <v>265</v>
      </c>
      <c r="F8" s="430">
        <v>4</v>
      </c>
      <c r="G8" s="431">
        <f t="shared" si="18"/>
        <v>0.4</v>
      </c>
      <c r="H8" s="431">
        <v>0</v>
      </c>
      <c r="I8" s="431">
        <v>0</v>
      </c>
      <c r="J8" s="432">
        <f t="shared" si="0"/>
        <v>3.6</v>
      </c>
      <c r="K8" s="430">
        <v>3.6</v>
      </c>
      <c r="L8" s="430">
        <v>0</v>
      </c>
      <c r="M8" s="433">
        <f t="shared" si="1"/>
        <v>2.287179487179487</v>
      </c>
      <c r="N8" s="433">
        <f t="shared" si="2"/>
        <v>0.68615384615384611</v>
      </c>
      <c r="O8" s="433">
        <f t="shared" si="3"/>
        <v>0</v>
      </c>
      <c r="P8" s="433">
        <f t="shared" si="4"/>
        <v>0</v>
      </c>
      <c r="Q8" s="433">
        <f t="shared" si="5"/>
        <v>0.54</v>
      </c>
      <c r="R8" s="434">
        <f t="shared" si="6"/>
        <v>62</v>
      </c>
      <c r="S8" s="435">
        <f t="shared" si="21"/>
        <v>297</v>
      </c>
      <c r="T8" s="436">
        <f t="shared" si="19"/>
        <v>1497.6</v>
      </c>
      <c r="U8" s="437">
        <f t="shared" si="8"/>
        <v>0</v>
      </c>
      <c r="V8" s="435">
        <f t="shared" si="22"/>
        <v>0</v>
      </c>
      <c r="W8" s="438">
        <f t="shared" si="9"/>
        <v>78</v>
      </c>
      <c r="X8" s="438">
        <f t="shared" si="10"/>
        <v>23.4</v>
      </c>
      <c r="Y8" s="438">
        <f t="shared" si="11"/>
        <v>0</v>
      </c>
      <c r="Z8" s="438">
        <f t="shared" si="12"/>
        <v>0</v>
      </c>
      <c r="AA8" s="438">
        <f t="shared" si="13"/>
        <v>24.3</v>
      </c>
      <c r="AB8" s="438">
        <f t="shared" si="14"/>
        <v>32.4</v>
      </c>
      <c r="AC8" s="438">
        <f t="shared" si="15"/>
        <v>158.10000000000002</v>
      </c>
      <c r="AD8" s="438">
        <f t="shared" si="16"/>
        <v>162</v>
      </c>
      <c r="AE8" s="428">
        <v>5</v>
      </c>
      <c r="AF8" s="438">
        <v>9</v>
      </c>
      <c r="AG8" s="439">
        <f t="shared" si="17"/>
        <v>45</v>
      </c>
      <c r="AH8" s="428" t="s">
        <v>563</v>
      </c>
    </row>
    <row r="9" spans="2:35" ht="12.75" customHeight="1" x14ac:dyDescent="0.35">
      <c r="B9" s="427">
        <f t="shared" si="20"/>
        <v>42587</v>
      </c>
      <c r="C9" s="428" t="s">
        <v>260</v>
      </c>
      <c r="D9" s="428" t="s">
        <v>531</v>
      </c>
      <c r="E9" s="429" t="s">
        <v>265</v>
      </c>
      <c r="F9" s="430">
        <v>4</v>
      </c>
      <c r="G9" s="431">
        <f t="shared" si="18"/>
        <v>0.4</v>
      </c>
      <c r="H9" s="431">
        <f>F9*23%</f>
        <v>0.92</v>
      </c>
      <c r="I9" s="431">
        <v>0</v>
      </c>
      <c r="J9" s="432">
        <f t="shared" si="0"/>
        <v>2.6799999999999997</v>
      </c>
      <c r="K9" s="430">
        <v>2.7</v>
      </c>
      <c r="L9" s="430">
        <v>0</v>
      </c>
      <c r="M9" s="433">
        <f t="shared" si="1"/>
        <v>1.7150401836969005</v>
      </c>
      <c r="N9" s="433">
        <f t="shared" si="2"/>
        <v>0.51451205510907017</v>
      </c>
      <c r="O9" s="433">
        <f t="shared" si="3"/>
        <v>0</v>
      </c>
      <c r="P9" s="433">
        <f t="shared" si="4"/>
        <v>0</v>
      </c>
      <c r="Q9" s="433">
        <f t="shared" si="5"/>
        <v>0.40200000000000002</v>
      </c>
      <c r="R9" s="434">
        <f t="shared" si="6"/>
        <v>46</v>
      </c>
      <c r="S9" s="435">
        <f t="shared" si="21"/>
        <v>343</v>
      </c>
      <c r="T9" s="436">
        <f t="shared" si="19"/>
        <v>1731.6</v>
      </c>
      <c r="U9" s="437">
        <f t="shared" si="8"/>
        <v>0</v>
      </c>
      <c r="V9" s="435">
        <f t="shared" si="22"/>
        <v>0</v>
      </c>
      <c r="W9" s="438">
        <f t="shared" si="9"/>
        <v>58.500000000000014</v>
      </c>
      <c r="X9" s="438">
        <f t="shared" si="10"/>
        <v>17.550000000000004</v>
      </c>
      <c r="Y9" s="438">
        <f t="shared" si="11"/>
        <v>0</v>
      </c>
      <c r="Z9" s="438">
        <f t="shared" si="12"/>
        <v>0</v>
      </c>
      <c r="AA9" s="438">
        <f t="shared" si="13"/>
        <v>18.09</v>
      </c>
      <c r="AB9" s="438">
        <f t="shared" si="14"/>
        <v>24.1</v>
      </c>
      <c r="AC9" s="438">
        <f t="shared" si="15"/>
        <v>118.24000000000001</v>
      </c>
      <c r="AD9" s="438">
        <f t="shared" si="16"/>
        <v>120.6</v>
      </c>
      <c r="AE9" s="428">
        <v>5</v>
      </c>
      <c r="AF9" s="438">
        <v>9</v>
      </c>
      <c r="AG9" s="439">
        <f t="shared" si="17"/>
        <v>45</v>
      </c>
      <c r="AH9" s="428" t="s">
        <v>563</v>
      </c>
      <c r="AI9" s="152" t="s">
        <v>566</v>
      </c>
    </row>
    <row r="10" spans="2:35" ht="12.75" customHeight="1" x14ac:dyDescent="0.35">
      <c r="B10" s="427">
        <f t="shared" si="20"/>
        <v>42594</v>
      </c>
      <c r="C10" s="428" t="s">
        <v>260</v>
      </c>
      <c r="D10" s="428" t="s">
        <v>531</v>
      </c>
      <c r="E10" s="429" t="s">
        <v>265</v>
      </c>
      <c r="F10" s="430">
        <v>4</v>
      </c>
      <c r="G10" s="431">
        <f t="shared" si="18"/>
        <v>0.4</v>
      </c>
      <c r="H10" s="431">
        <f>F10*35%</f>
        <v>1.4</v>
      </c>
      <c r="I10" s="431">
        <v>0</v>
      </c>
      <c r="J10" s="432">
        <f t="shared" si="0"/>
        <v>2.2000000000000002</v>
      </c>
      <c r="K10" s="430">
        <v>2.2000000000000002</v>
      </c>
      <c r="L10" s="431">
        <v>0</v>
      </c>
      <c r="M10" s="433">
        <f t="shared" si="1"/>
        <v>1.3977207977207979</v>
      </c>
      <c r="N10" s="433">
        <f t="shared" si="2"/>
        <v>0.41931623931623935</v>
      </c>
      <c r="O10" s="433">
        <f t="shared" si="3"/>
        <v>0</v>
      </c>
      <c r="P10" s="433">
        <f t="shared" si="4"/>
        <v>0</v>
      </c>
      <c r="Q10" s="433">
        <f t="shared" si="5"/>
        <v>0.33</v>
      </c>
      <c r="R10" s="434">
        <f t="shared" si="6"/>
        <v>38</v>
      </c>
      <c r="S10" s="435">
        <f t="shared" si="21"/>
        <v>381</v>
      </c>
      <c r="T10" s="436">
        <f t="shared" si="19"/>
        <v>1922.2666666666667</v>
      </c>
      <c r="U10" s="437">
        <f t="shared" si="8"/>
        <v>0</v>
      </c>
      <c r="V10" s="435">
        <f t="shared" si="22"/>
        <v>0</v>
      </c>
      <c r="W10" s="438">
        <f t="shared" si="9"/>
        <v>47.666666666666679</v>
      </c>
      <c r="X10" s="438">
        <f t="shared" si="10"/>
        <v>14.300000000000002</v>
      </c>
      <c r="Y10" s="438">
        <f t="shared" si="11"/>
        <v>0</v>
      </c>
      <c r="Z10" s="438">
        <f t="shared" si="12"/>
        <v>0</v>
      </c>
      <c r="AA10" s="438">
        <f t="shared" si="13"/>
        <v>14.85</v>
      </c>
      <c r="AB10" s="438">
        <f t="shared" si="14"/>
        <v>19.8</v>
      </c>
      <c r="AC10" s="438">
        <f t="shared" si="15"/>
        <v>96.616666666666674</v>
      </c>
      <c r="AD10" s="438">
        <f t="shared" si="16"/>
        <v>99</v>
      </c>
      <c r="AE10" s="428">
        <v>5</v>
      </c>
      <c r="AF10" s="438">
        <v>9</v>
      </c>
      <c r="AG10" s="439">
        <f t="shared" si="17"/>
        <v>45</v>
      </c>
      <c r="AH10" s="428" t="s">
        <v>563</v>
      </c>
      <c r="AI10" s="152" t="s">
        <v>567</v>
      </c>
    </row>
    <row r="11" spans="2:35" ht="12.75" customHeight="1" x14ac:dyDescent="0.35">
      <c r="B11" s="427">
        <f t="shared" si="20"/>
        <v>42601</v>
      </c>
      <c r="C11" s="428" t="s">
        <v>260</v>
      </c>
      <c r="D11" s="428" t="s">
        <v>531</v>
      </c>
      <c r="E11" s="429" t="s">
        <v>548</v>
      </c>
      <c r="F11" s="430">
        <v>4</v>
      </c>
      <c r="G11" s="431">
        <f>F11*10%</f>
        <v>0.4</v>
      </c>
      <c r="H11" s="431">
        <f>F11*23%</f>
        <v>0.92</v>
      </c>
      <c r="I11" s="431">
        <v>0</v>
      </c>
      <c r="J11" s="432">
        <f t="shared" si="0"/>
        <v>2.6799999999999997</v>
      </c>
      <c r="K11" s="430">
        <v>0.2</v>
      </c>
      <c r="L11" s="430">
        <v>2.5</v>
      </c>
      <c r="M11" s="433">
        <f t="shared" si="1"/>
        <v>0.1270719054301144</v>
      </c>
      <c r="N11" s="433">
        <f t="shared" si="2"/>
        <v>3.8121571629034318E-2</v>
      </c>
      <c r="O11" s="433">
        <f t="shared" si="3"/>
        <v>1.5883988178764303</v>
      </c>
      <c r="P11" s="433">
        <f t="shared" si="4"/>
        <v>0.47651964536292901</v>
      </c>
      <c r="Q11" s="433">
        <f t="shared" si="5"/>
        <v>0.40199999999999991</v>
      </c>
      <c r="R11" s="434">
        <f t="shared" si="6"/>
        <v>2</v>
      </c>
      <c r="S11" s="435">
        <f t="shared" si="21"/>
        <v>383</v>
      </c>
      <c r="T11" s="436">
        <f t="shared" si="19"/>
        <v>1936.1333333333332</v>
      </c>
      <c r="U11" s="437">
        <f t="shared" si="8"/>
        <v>43.333333333333343</v>
      </c>
      <c r="V11" s="435">
        <f t="shared" si="22"/>
        <v>43.333333333333343</v>
      </c>
      <c r="W11" s="438">
        <f t="shared" si="9"/>
        <v>3.4666666666666672</v>
      </c>
      <c r="X11" s="438">
        <f t="shared" si="10"/>
        <v>1.04</v>
      </c>
      <c r="Y11" s="438">
        <f t="shared" si="11"/>
        <v>43.333333333333343</v>
      </c>
      <c r="Z11" s="438">
        <f t="shared" si="12"/>
        <v>13.000000000000002</v>
      </c>
      <c r="AA11" s="438">
        <f t="shared" si="13"/>
        <v>14.471999999999998</v>
      </c>
      <c r="AB11" s="438">
        <f t="shared" si="14"/>
        <v>19.3</v>
      </c>
      <c r="AC11" s="438">
        <f t="shared" si="15"/>
        <v>94.612000000000009</v>
      </c>
      <c r="AD11" s="438">
        <f t="shared" si="16"/>
        <v>96.47999999999999</v>
      </c>
      <c r="AE11" s="428">
        <v>4</v>
      </c>
      <c r="AF11" s="438">
        <v>9</v>
      </c>
      <c r="AG11" s="439">
        <f t="shared" si="17"/>
        <v>36</v>
      </c>
      <c r="AH11" s="428" t="s">
        <v>563</v>
      </c>
      <c r="AI11" s="152" t="s">
        <v>568</v>
      </c>
    </row>
    <row r="12" spans="2:35" ht="12.75" customHeight="1" x14ac:dyDescent="0.35">
      <c r="B12" s="427">
        <f t="shared" si="20"/>
        <v>42608</v>
      </c>
      <c r="C12" s="428" t="s">
        <v>260</v>
      </c>
      <c r="D12" s="428" t="s">
        <v>531</v>
      </c>
      <c r="E12" s="429" t="s">
        <v>266</v>
      </c>
      <c r="F12" s="430">
        <v>4</v>
      </c>
      <c r="G12" s="431">
        <f>F12*10%</f>
        <v>0.4</v>
      </c>
      <c r="H12" s="431">
        <f>F12*23%</f>
        <v>0.92</v>
      </c>
      <c r="I12" s="431">
        <v>0</v>
      </c>
      <c r="J12" s="432">
        <f t="shared" si="0"/>
        <v>2.6799999999999997</v>
      </c>
      <c r="K12" s="430">
        <v>0</v>
      </c>
      <c r="L12" s="430">
        <v>2.7</v>
      </c>
      <c r="M12" s="433">
        <f t="shared" si="1"/>
        <v>0</v>
      </c>
      <c r="N12" s="433">
        <f t="shared" si="2"/>
        <v>0</v>
      </c>
      <c r="O12" s="433">
        <f t="shared" si="3"/>
        <v>1.7150401836969005</v>
      </c>
      <c r="P12" s="433">
        <f t="shared" si="4"/>
        <v>0.51451205510907017</v>
      </c>
      <c r="Q12" s="433">
        <f t="shared" si="5"/>
        <v>0.40200000000000002</v>
      </c>
      <c r="R12" s="434">
        <f t="shared" si="6"/>
        <v>0</v>
      </c>
      <c r="S12" s="435">
        <f t="shared" si="21"/>
        <v>383</v>
      </c>
      <c r="T12" s="436">
        <f t="shared" si="19"/>
        <v>1936.1333333333332</v>
      </c>
      <c r="U12" s="437">
        <f t="shared" si="8"/>
        <v>58.500000000000014</v>
      </c>
      <c r="V12" s="435">
        <f t="shared" si="22"/>
        <v>101.83333333333336</v>
      </c>
      <c r="W12" s="438">
        <f t="shared" si="9"/>
        <v>0</v>
      </c>
      <c r="X12" s="438">
        <f t="shared" si="10"/>
        <v>0</v>
      </c>
      <c r="Y12" s="438">
        <f t="shared" si="11"/>
        <v>58.500000000000014</v>
      </c>
      <c r="Z12" s="438">
        <f t="shared" si="12"/>
        <v>17.550000000000004</v>
      </c>
      <c r="AA12" s="438">
        <f t="shared" si="13"/>
        <v>18.09</v>
      </c>
      <c r="AB12" s="438">
        <f t="shared" si="14"/>
        <v>24.1</v>
      </c>
      <c r="AC12" s="438">
        <f t="shared" si="15"/>
        <v>118.24000000000001</v>
      </c>
      <c r="AD12" s="438">
        <f t="shared" si="16"/>
        <v>120.6</v>
      </c>
      <c r="AE12" s="428">
        <v>5</v>
      </c>
      <c r="AF12" s="438">
        <v>9</v>
      </c>
      <c r="AG12" s="439">
        <f t="shared" si="17"/>
        <v>45</v>
      </c>
      <c r="AH12" s="428" t="s">
        <v>563</v>
      </c>
      <c r="AI12" s="152" t="s">
        <v>568</v>
      </c>
    </row>
    <row r="13" spans="2:35" ht="12.75" customHeight="1" x14ac:dyDescent="0.35">
      <c r="B13" s="427">
        <f t="shared" si="20"/>
        <v>42615</v>
      </c>
      <c r="C13" s="428" t="s">
        <v>260</v>
      </c>
      <c r="D13" s="428" t="s">
        <v>531</v>
      </c>
      <c r="E13" s="429" t="s">
        <v>266</v>
      </c>
      <c r="F13" s="430">
        <v>4</v>
      </c>
      <c r="G13" s="431">
        <f t="shared" si="18"/>
        <v>0.4</v>
      </c>
      <c r="H13" s="431">
        <v>0</v>
      </c>
      <c r="I13" s="431">
        <v>0</v>
      </c>
      <c r="J13" s="432">
        <f t="shared" si="0"/>
        <v>3.6</v>
      </c>
      <c r="K13" s="430">
        <v>0</v>
      </c>
      <c r="L13" s="430">
        <v>3.6</v>
      </c>
      <c r="M13" s="433">
        <f t="shared" ref="M13:M14" si="23">(W13+(($AB13*($K13/$J13))/(1+Hr_Review)))/$AG13</f>
        <v>0</v>
      </c>
      <c r="N13" s="433">
        <f t="shared" ref="N13:N14" si="24">(X13+(($AB13*($K13/$J13))/(1+Hr_Review))*Hr_Review)/$AG13</f>
        <v>0</v>
      </c>
      <c r="O13" s="433">
        <f t="shared" ref="O13:O14" si="25">(Y13+(($AB13*($L13/$J13))/(1+Hr_Review)))/$AG13</f>
        <v>2.287179487179487</v>
      </c>
      <c r="P13" s="433">
        <f t="shared" ref="P13:P14" si="26">(Z13+(($AB13*($L13/$J13))/(1+Hr_Review))*Hr_Review)/$AG13</f>
        <v>0.68615384615384611</v>
      </c>
      <c r="Q13" s="433">
        <f t="shared" ref="Q13:Q14" si="27">AA13/$AG13</f>
        <v>0.54</v>
      </c>
      <c r="R13" s="434">
        <f t="shared" ref="R13:R14" si="28">ROUNDDOWN(W13/(Analysis_Hr_AC*NO_AC_US),0)</f>
        <v>0</v>
      </c>
      <c r="S13" s="435">
        <f t="shared" ref="S13:S14" si="29">R13+S12</f>
        <v>383</v>
      </c>
      <c r="T13" s="436">
        <f t="shared" si="19"/>
        <v>1936.1333333333332</v>
      </c>
      <c r="U13" s="437">
        <f t="shared" si="8"/>
        <v>78</v>
      </c>
      <c r="V13" s="435">
        <f t="shared" ref="V13:V14" si="30">V12+U13</f>
        <v>179.83333333333337</v>
      </c>
      <c r="W13" s="438">
        <f t="shared" ref="W13:W14" si="31">K13*(AG13-AG13*Hr_Query-AG13*Hr_OtherAnalysis)*(1/(1+Hr_Query+Hr_OtherAnalysis))</f>
        <v>0</v>
      </c>
      <c r="X13" s="438">
        <f t="shared" ref="X13:X14" si="32">(W13)*Hr_Review</f>
        <v>0</v>
      </c>
      <c r="Y13" s="438">
        <f t="shared" ref="Y13:Y14" si="33">L13*(AG13-AG13*Hr_Query-AG13*Hr_OtherAnalysis)*(1/(1+Hr_Query+Hr_OtherAnalysis))</f>
        <v>78</v>
      </c>
      <c r="Z13" s="438">
        <f t="shared" ref="Z13:Z14" si="34">(Y13)*Hr_Review</f>
        <v>23.4</v>
      </c>
      <c r="AA13" s="438">
        <f t="shared" ref="AA13:AA14" si="35">AD13*Hr_OtherAnalysis</f>
        <v>24.3</v>
      </c>
      <c r="AB13" s="438">
        <f t="shared" ref="AB13:AB14" si="36">ROUND(AD13*Hr_Query,1)</f>
        <v>32.4</v>
      </c>
      <c r="AC13" s="438">
        <f t="shared" ref="AC13:AC14" si="37">W13+Y13+X13+Z13+AB13+AA13</f>
        <v>158.10000000000002</v>
      </c>
      <c r="AD13" s="438">
        <f t="shared" ref="AD13:AD14" si="38">J13*AE13*AF13</f>
        <v>162</v>
      </c>
      <c r="AE13" s="428">
        <v>5</v>
      </c>
      <c r="AF13" s="438">
        <v>9</v>
      </c>
      <c r="AG13" s="439">
        <f t="shared" ref="AG13:AG14" si="39">AE13*AF13</f>
        <v>45</v>
      </c>
      <c r="AH13" s="428" t="s">
        <v>563</v>
      </c>
    </row>
    <row r="14" spans="2:35" ht="12.75" customHeight="1" x14ac:dyDescent="0.35">
      <c r="B14" s="427">
        <f t="shared" si="20"/>
        <v>42622</v>
      </c>
      <c r="C14" s="428" t="s">
        <v>260</v>
      </c>
      <c r="D14" s="428" t="s">
        <v>531</v>
      </c>
      <c r="E14" s="429" t="s">
        <v>266</v>
      </c>
      <c r="F14" s="430">
        <v>4</v>
      </c>
      <c r="G14" s="431">
        <f t="shared" si="18"/>
        <v>0.4</v>
      </c>
      <c r="H14" s="431">
        <v>0</v>
      </c>
      <c r="I14" s="431">
        <v>0</v>
      </c>
      <c r="J14" s="432">
        <f t="shared" si="0"/>
        <v>3.6</v>
      </c>
      <c r="K14" s="430">
        <v>0</v>
      </c>
      <c r="L14" s="430">
        <v>3.6</v>
      </c>
      <c r="M14" s="433">
        <f t="shared" si="23"/>
        <v>0</v>
      </c>
      <c r="N14" s="433">
        <f t="shared" si="24"/>
        <v>0</v>
      </c>
      <c r="O14" s="433">
        <f t="shared" si="25"/>
        <v>2.2867521367521371</v>
      </c>
      <c r="P14" s="433">
        <f t="shared" si="26"/>
        <v>0.68602564102564101</v>
      </c>
      <c r="Q14" s="433">
        <f t="shared" si="27"/>
        <v>0.53999999999999992</v>
      </c>
      <c r="R14" s="434">
        <f t="shared" si="28"/>
        <v>0</v>
      </c>
      <c r="S14" s="435">
        <f t="shared" si="29"/>
        <v>383</v>
      </c>
      <c r="T14" s="436">
        <f t="shared" si="19"/>
        <v>1936.1333333333332</v>
      </c>
      <c r="U14" s="437">
        <f t="shared" si="8"/>
        <v>62.400000000000013</v>
      </c>
      <c r="V14" s="435">
        <f t="shared" si="30"/>
        <v>242.23333333333338</v>
      </c>
      <c r="W14" s="438">
        <f t="shared" si="31"/>
        <v>0</v>
      </c>
      <c r="X14" s="438">
        <f t="shared" si="32"/>
        <v>0</v>
      </c>
      <c r="Y14" s="438">
        <f t="shared" si="33"/>
        <v>62.400000000000013</v>
      </c>
      <c r="Z14" s="438">
        <f t="shared" si="34"/>
        <v>18.720000000000002</v>
      </c>
      <c r="AA14" s="438">
        <f t="shared" si="35"/>
        <v>19.439999999999998</v>
      </c>
      <c r="AB14" s="438">
        <f t="shared" si="36"/>
        <v>25.9</v>
      </c>
      <c r="AC14" s="438">
        <f t="shared" si="37"/>
        <v>126.46000000000001</v>
      </c>
      <c r="AD14" s="438">
        <f t="shared" si="38"/>
        <v>129.6</v>
      </c>
      <c r="AE14" s="428">
        <v>4</v>
      </c>
      <c r="AF14" s="438">
        <v>9</v>
      </c>
      <c r="AG14" s="439">
        <f t="shared" si="39"/>
        <v>36</v>
      </c>
      <c r="AH14" s="428" t="s">
        <v>563</v>
      </c>
    </row>
    <row r="15" spans="2:35" ht="12.75" customHeight="1" x14ac:dyDescent="0.35">
      <c r="B15" s="427">
        <f t="shared" si="20"/>
        <v>42629</v>
      </c>
      <c r="C15" s="428" t="s">
        <v>260</v>
      </c>
      <c r="D15" s="428" t="s">
        <v>531</v>
      </c>
      <c r="E15" s="429" t="s">
        <v>266</v>
      </c>
      <c r="F15" s="430">
        <v>4</v>
      </c>
      <c r="G15" s="431">
        <f t="shared" ref="G15" si="40">F15*10%</f>
        <v>0.4</v>
      </c>
      <c r="H15" s="431">
        <v>0</v>
      </c>
      <c r="I15" s="431">
        <v>0</v>
      </c>
      <c r="J15" s="432">
        <f t="shared" si="0"/>
        <v>3.6</v>
      </c>
      <c r="K15" s="430">
        <v>0</v>
      </c>
      <c r="L15" s="430">
        <v>3.6</v>
      </c>
      <c r="M15" s="433">
        <f t="shared" ref="M15" si="41">(W15+(($AB15*($K15/$J15))/(1+Hr_Review)))/$AG15</f>
        <v>0</v>
      </c>
      <c r="N15" s="433">
        <f t="shared" ref="N15" si="42">(X15+(($AB15*($K15/$J15))/(1+Hr_Review))*Hr_Review)/$AG15</f>
        <v>0</v>
      </c>
      <c r="O15" s="433">
        <f t="shared" ref="O15" si="43">(Y15+(($AB15*($L15/$J15))/(1+Hr_Review)))/$AG15</f>
        <v>2.287179487179487</v>
      </c>
      <c r="P15" s="433">
        <f t="shared" ref="P15" si="44">(Z15+(($AB15*($L15/$J15))/(1+Hr_Review))*Hr_Review)/$AG15</f>
        <v>0.68615384615384611</v>
      </c>
      <c r="Q15" s="433">
        <f t="shared" ref="Q15" si="45">AA15/$AG15</f>
        <v>0.54</v>
      </c>
      <c r="R15" s="434">
        <f t="shared" ref="R15" si="46">ROUNDDOWN(W15/(Analysis_Hr_AC*NO_AC_US),0)</f>
        <v>0</v>
      </c>
      <c r="S15" s="435">
        <f t="shared" ref="S15" si="47">R15+S14</f>
        <v>383</v>
      </c>
      <c r="T15" s="436">
        <f t="shared" ref="T15" si="48">W15/Analysis_Hr_AC+T14</f>
        <v>1936.1333333333332</v>
      </c>
      <c r="U15" s="437">
        <f t="shared" si="8"/>
        <v>78</v>
      </c>
      <c r="V15" s="435">
        <f t="shared" ref="V15" si="49">V14+U15</f>
        <v>320.23333333333335</v>
      </c>
      <c r="W15" s="438">
        <f t="shared" ref="W15" si="50">K15*(AG15-AG15*Hr_Query-AG15*Hr_OtherAnalysis)*(1/(1+Hr_Query+Hr_OtherAnalysis))</f>
        <v>0</v>
      </c>
      <c r="X15" s="438">
        <f t="shared" ref="X15" si="51">(W15)*Hr_Review</f>
        <v>0</v>
      </c>
      <c r="Y15" s="438">
        <f t="shared" ref="Y15" si="52">L15*(AG15-AG15*Hr_Query-AG15*Hr_OtherAnalysis)*(1/(1+Hr_Query+Hr_OtherAnalysis))</f>
        <v>78</v>
      </c>
      <c r="Z15" s="438">
        <f t="shared" ref="Z15" si="53">(Y15)*Hr_Review</f>
        <v>23.4</v>
      </c>
      <c r="AA15" s="438">
        <f t="shared" ref="AA15" si="54">AD15*Hr_OtherAnalysis</f>
        <v>24.3</v>
      </c>
      <c r="AB15" s="438">
        <f t="shared" ref="AB15" si="55">ROUND(AD15*Hr_Query,1)</f>
        <v>32.4</v>
      </c>
      <c r="AC15" s="438">
        <f t="shared" ref="AC15" si="56">W15+Y15+X15+Z15+AB15+AA15</f>
        <v>158.10000000000002</v>
      </c>
      <c r="AD15" s="438">
        <f t="shared" ref="AD15" si="57">J15*AE15*AF15</f>
        <v>162</v>
      </c>
      <c r="AE15" s="428">
        <v>5</v>
      </c>
      <c r="AF15" s="438">
        <v>9</v>
      </c>
      <c r="AG15" s="439">
        <f t="shared" ref="AG15" si="58">AE15*AF15</f>
        <v>45</v>
      </c>
      <c r="AH15" s="428" t="s">
        <v>563</v>
      </c>
    </row>
    <row r="16" spans="2:35" s="177" customFormat="1" x14ac:dyDescent="0.35">
      <c r="B16" s="162"/>
      <c r="C16" s="163"/>
      <c r="D16" s="163"/>
      <c r="E16" s="162"/>
      <c r="F16" s="154"/>
      <c r="G16" s="166"/>
      <c r="H16" s="166"/>
      <c r="I16" s="166"/>
      <c r="J16" s="164"/>
      <c r="K16" s="165"/>
      <c r="L16" s="165"/>
      <c r="M16" s="166"/>
      <c r="N16" s="166"/>
      <c r="O16" s="166"/>
      <c r="P16" s="166"/>
      <c r="Q16" s="166"/>
      <c r="R16" s="154"/>
      <c r="S16" s="167"/>
      <c r="T16" s="167"/>
      <c r="U16" s="167"/>
      <c r="V16" s="167"/>
      <c r="W16" s="167"/>
      <c r="X16" s="167"/>
      <c r="Y16" s="167"/>
      <c r="Z16" s="167"/>
      <c r="AA16" s="167"/>
      <c r="AB16" s="167"/>
      <c r="AC16" s="167"/>
      <c r="AD16" s="167"/>
      <c r="AE16" s="163"/>
      <c r="AF16" s="167"/>
      <c r="AG16" s="168"/>
    </row>
    <row r="17" spans="2:33" s="177" customFormat="1" x14ac:dyDescent="0.35">
      <c r="B17" s="162"/>
      <c r="C17" s="163"/>
      <c r="D17" s="163"/>
      <c r="E17" s="162"/>
      <c r="F17" s="154"/>
      <c r="G17" s="166"/>
      <c r="H17" s="166"/>
      <c r="I17" s="166"/>
      <c r="J17" s="164"/>
      <c r="K17" s="165"/>
      <c r="L17" s="165"/>
      <c r="M17" s="166"/>
      <c r="N17" s="166"/>
      <c r="O17" s="166"/>
      <c r="P17" s="166"/>
      <c r="Q17" s="166"/>
      <c r="R17" s="154"/>
      <c r="S17" s="167"/>
      <c r="T17" s="167"/>
      <c r="U17" s="167"/>
      <c r="V17" s="167"/>
      <c r="W17" s="167"/>
      <c r="X17" s="167"/>
      <c r="Y17" s="167"/>
      <c r="Z17" s="167"/>
      <c r="AA17" s="167"/>
      <c r="AB17" s="167"/>
      <c r="AC17" s="167"/>
      <c r="AD17" s="167"/>
      <c r="AE17" s="163"/>
      <c r="AF17" s="167"/>
      <c r="AG17" s="168"/>
    </row>
    <row r="18" spans="2:33" ht="15" thickBot="1" x14ac:dyDescent="0.4">
      <c r="B18" s="162"/>
      <c r="C18" s="163"/>
      <c r="D18" s="163"/>
      <c r="E18" s="162"/>
      <c r="F18" s="154"/>
      <c r="G18" s="154"/>
      <c r="H18" s="154"/>
      <c r="I18" s="154"/>
      <c r="J18" s="164"/>
      <c r="K18" s="154"/>
      <c r="L18" s="165"/>
      <c r="M18" s="166"/>
      <c r="N18" s="166"/>
      <c r="O18" s="166"/>
      <c r="P18" s="166"/>
      <c r="Q18" s="166"/>
      <c r="R18" s="154"/>
      <c r="S18" s="167"/>
      <c r="T18" s="167"/>
      <c r="U18" s="167"/>
      <c r="V18" s="167"/>
      <c r="W18" s="167"/>
      <c r="X18" s="167"/>
      <c r="Y18" s="167"/>
      <c r="Z18" s="167"/>
      <c r="AA18" s="167"/>
      <c r="AB18" s="167"/>
      <c r="AC18" s="167"/>
      <c r="AD18" s="167"/>
      <c r="AE18" s="163"/>
      <c r="AF18" s="167"/>
      <c r="AG18" s="168"/>
    </row>
    <row r="19" spans="2:33" x14ac:dyDescent="0.35">
      <c r="B19" s="171"/>
      <c r="C19" s="174" t="s">
        <v>10</v>
      </c>
      <c r="D19" s="169"/>
      <c r="E19" s="169"/>
    </row>
    <row r="20" spans="2:33" x14ac:dyDescent="0.35">
      <c r="B20" s="172">
        <v>0.25</v>
      </c>
      <c r="C20" s="175" t="s">
        <v>242</v>
      </c>
      <c r="D20" s="169"/>
      <c r="E20" s="170"/>
    </row>
    <row r="21" spans="2:33" s="153" customFormat="1" x14ac:dyDescent="0.35">
      <c r="B21" s="172">
        <v>1</v>
      </c>
      <c r="C21" s="175" t="s">
        <v>243</v>
      </c>
      <c r="D21" s="169"/>
      <c r="E21" s="170"/>
    </row>
    <row r="22" spans="2:33" s="153" customFormat="1" x14ac:dyDescent="0.35">
      <c r="B22" s="172">
        <v>0.3</v>
      </c>
      <c r="C22" s="175" t="s">
        <v>21</v>
      </c>
      <c r="D22" s="169"/>
      <c r="E22" s="170"/>
    </row>
    <row r="23" spans="2:33" x14ac:dyDescent="0.35">
      <c r="B23" s="172">
        <v>0.2</v>
      </c>
      <c r="C23" s="175" t="s">
        <v>244</v>
      </c>
      <c r="D23" s="169"/>
      <c r="E23" s="170"/>
    </row>
    <row r="24" spans="2:33" x14ac:dyDescent="0.35">
      <c r="B24" s="172">
        <v>0.15</v>
      </c>
      <c r="C24" s="175" t="s">
        <v>245</v>
      </c>
      <c r="D24" s="169"/>
      <c r="E24" s="170"/>
    </row>
    <row r="25" spans="2:33" ht="15" thickBot="1" x14ac:dyDescent="0.4">
      <c r="B25" s="173">
        <v>5</v>
      </c>
      <c r="C25" s="176" t="s">
        <v>474</v>
      </c>
      <c r="D25" s="169"/>
      <c r="E25" s="169"/>
    </row>
    <row r="26" spans="2:33" x14ac:dyDescent="0.35">
      <c r="B26" s="154"/>
      <c r="D26" s="154"/>
      <c r="E26" s="154"/>
      <c r="F26" s="155"/>
    </row>
    <row r="27" spans="2:33" x14ac:dyDescent="0.35">
      <c r="E27" s="156"/>
    </row>
    <row r="28" spans="2:33" x14ac:dyDescent="0.35">
      <c r="E28" s="156"/>
    </row>
    <row r="29" spans="2:33" x14ac:dyDescent="0.35">
      <c r="E29" s="156"/>
    </row>
    <row r="30" spans="2:33" x14ac:dyDescent="0.35">
      <c r="E30" s="156"/>
    </row>
    <row r="31" spans="2:33" x14ac:dyDescent="0.35">
      <c r="E31" s="156"/>
    </row>
    <row r="32" spans="2:33" x14ac:dyDescent="0.35">
      <c r="E32" s="156"/>
    </row>
    <row r="33" spans="5:5" x14ac:dyDescent="0.35">
      <c r="E33" s="156"/>
    </row>
    <row r="34" spans="5:5" x14ac:dyDescent="0.35">
      <c r="E34" s="156"/>
    </row>
    <row r="35" spans="5:5" x14ac:dyDescent="0.35">
      <c r="E35" s="156"/>
    </row>
    <row r="36" spans="5:5" x14ac:dyDescent="0.35">
      <c r="E36" s="156"/>
    </row>
    <row r="37" spans="5:5" x14ac:dyDescent="0.35">
      <c r="E37" s="15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Right="0"/>
  </sheetPr>
  <dimension ref="A2:AN39"/>
  <sheetViews>
    <sheetView tabSelected="1" zoomScaleNormal="100" workbookViewId="0">
      <pane ySplit="2" topLeftCell="A14" activePane="bottomLeft" state="frozen"/>
      <selection pane="bottomLeft" activeCell="V19" sqref="V19"/>
    </sheetView>
  </sheetViews>
  <sheetFormatPr defaultColWidth="9.08984375" defaultRowHeight="14.5" outlineLevelCol="1" x14ac:dyDescent="0.35"/>
  <cols>
    <col min="1" max="1" width="5.54296875" style="152" bestFit="1" customWidth="1"/>
    <col min="2" max="2" width="7.08984375" style="156" bestFit="1" customWidth="1"/>
    <col min="3" max="3" width="8" style="152" customWidth="1"/>
    <col min="4" max="4" width="6.6328125" style="156" customWidth="1"/>
    <col min="5" max="5" width="21.81640625" style="157" customWidth="1"/>
    <col min="6" max="6" width="3.81640625" style="153" bestFit="1" customWidth="1"/>
    <col min="7" max="10" width="3.81640625" style="153" customWidth="1"/>
    <col min="11" max="11" width="9.54296875" style="153" customWidth="1"/>
    <col min="12" max="12" width="9.54296875" style="153" customWidth="1" collapsed="1"/>
    <col min="13" max="17" width="6.6328125" style="153" hidden="1" customWidth="1" outlineLevel="1"/>
    <col min="18" max="18" width="3.81640625" style="153" bestFit="1" customWidth="1"/>
    <col min="19" max="19" width="6.6328125" style="153" bestFit="1" customWidth="1"/>
    <col min="20" max="20" width="5.08984375" style="153" hidden="1" customWidth="1"/>
    <col min="21" max="21" width="7.36328125" style="153" customWidth="1"/>
    <col min="22" max="22" width="9.54296875" style="153" bestFit="1" customWidth="1" collapsed="1"/>
    <col min="23" max="23" width="3.81640625" style="153" hidden="1" customWidth="1" outlineLevel="1"/>
    <col min="24" max="24" width="6.6328125" style="153" hidden="1" customWidth="1" outlineLevel="1"/>
    <col min="25" max="25" width="3.81640625" style="153" hidden="1" customWidth="1" outlineLevel="1"/>
    <col min="26" max="26" width="6.6328125" style="153" hidden="1" customWidth="1" outlineLevel="1"/>
    <col min="27" max="27" width="3.81640625" style="153" hidden="1" customWidth="1" outlineLevel="1"/>
    <col min="28" max="28" width="12.54296875" style="153" hidden="1" customWidth="1" outlineLevel="1"/>
    <col min="29" max="29" width="6.6328125" style="153" hidden="1" customWidth="1" outlineLevel="1"/>
    <col min="30" max="30" width="4.08984375" style="153" hidden="1" customWidth="1" outlineLevel="1"/>
    <col min="31" max="31" width="3.81640625" style="153" bestFit="1" customWidth="1" collapsed="1"/>
    <col min="32" max="33" width="3.81640625" style="153" hidden="1" customWidth="1" outlineLevel="1"/>
    <col min="34" max="34" width="22.1796875" style="152" hidden="1" customWidth="1"/>
    <col min="35" max="35" width="22.81640625" style="152" customWidth="1"/>
    <col min="36" max="36" width="4.54296875" style="152" bestFit="1" customWidth="1"/>
    <col min="37" max="37" width="15.6328125" style="152" hidden="1" customWidth="1"/>
    <col min="38" max="38" width="6.36328125" style="152" hidden="1" customWidth="1"/>
    <col min="39" max="16384" width="9.08984375" style="152"/>
  </cols>
  <sheetData>
    <row r="2" spans="1:40" s="133" customFormat="1" ht="100.5" customHeight="1" x14ac:dyDescent="0.35">
      <c r="B2" s="396" t="s">
        <v>39</v>
      </c>
      <c r="C2" s="397" t="s">
        <v>268</v>
      </c>
      <c r="D2" s="396" t="s">
        <v>269</v>
      </c>
      <c r="E2" s="398" t="s">
        <v>47</v>
      </c>
      <c r="F2" s="399" t="s">
        <v>0</v>
      </c>
      <c r="G2" s="399" t="s">
        <v>197</v>
      </c>
      <c r="H2" s="399" t="s">
        <v>206</v>
      </c>
      <c r="I2" s="399" t="s">
        <v>467</v>
      </c>
      <c r="J2" s="396" t="s">
        <v>194</v>
      </c>
      <c r="K2" s="400" t="s">
        <v>213</v>
      </c>
      <c r="L2" s="400" t="s">
        <v>214</v>
      </c>
      <c r="M2" s="401" t="s">
        <v>198</v>
      </c>
      <c r="N2" s="401" t="s">
        <v>199</v>
      </c>
      <c r="O2" s="401" t="s">
        <v>200</v>
      </c>
      <c r="P2" s="401" t="s">
        <v>201</v>
      </c>
      <c r="Q2" s="401" t="s">
        <v>203</v>
      </c>
      <c r="R2" s="402" t="s">
        <v>215</v>
      </c>
      <c r="S2" s="403" t="s">
        <v>36</v>
      </c>
      <c r="T2" s="402" t="s">
        <v>216</v>
      </c>
      <c r="U2" s="402" t="s">
        <v>208</v>
      </c>
      <c r="V2" s="403" t="s">
        <v>209</v>
      </c>
      <c r="W2" s="404" t="s">
        <v>210</v>
      </c>
      <c r="X2" s="404" t="s">
        <v>211</v>
      </c>
      <c r="Y2" s="404" t="s">
        <v>212</v>
      </c>
      <c r="Z2" s="404" t="s">
        <v>24</v>
      </c>
      <c r="AA2" s="404" t="s">
        <v>25</v>
      </c>
      <c r="AB2" s="404" t="s">
        <v>202</v>
      </c>
      <c r="AC2" s="404" t="s">
        <v>8</v>
      </c>
      <c r="AD2" s="404" t="s">
        <v>9</v>
      </c>
      <c r="AE2" s="404" t="s">
        <v>30</v>
      </c>
      <c r="AF2" s="404" t="s">
        <v>31</v>
      </c>
      <c r="AG2" s="405" t="s">
        <v>42</v>
      </c>
      <c r="AH2" s="406" t="s">
        <v>532</v>
      </c>
    </row>
    <row r="3" spans="1:40" s="177" customFormat="1" ht="12.75" customHeight="1" x14ac:dyDescent="0.35">
      <c r="B3" s="407" t="s">
        <v>580</v>
      </c>
      <c r="C3" s="408" t="s">
        <v>564</v>
      </c>
      <c r="D3" s="163"/>
      <c r="E3" s="162"/>
      <c r="F3" s="154"/>
      <c r="G3" s="210"/>
      <c r="H3" s="154"/>
      <c r="I3" s="154"/>
      <c r="J3" s="164"/>
      <c r="K3" s="154"/>
      <c r="L3" s="165"/>
      <c r="M3" s="166"/>
      <c r="N3" s="166"/>
      <c r="O3" s="166"/>
      <c r="P3" s="166"/>
      <c r="Q3" s="166"/>
      <c r="R3" s="154"/>
      <c r="S3" s="167"/>
      <c r="T3" s="167"/>
      <c r="U3" s="167"/>
      <c r="V3" s="167"/>
      <c r="W3" s="167"/>
      <c r="X3" s="167"/>
      <c r="Y3" s="167"/>
      <c r="Z3" s="167"/>
      <c r="AA3" s="167"/>
      <c r="AB3" s="167"/>
      <c r="AC3" s="167"/>
      <c r="AD3" s="167"/>
      <c r="AE3" s="163"/>
      <c r="AF3" s="167"/>
      <c r="AG3" s="168"/>
      <c r="AK3" s="482" t="s">
        <v>574</v>
      </c>
      <c r="AL3" s="482" t="s">
        <v>577</v>
      </c>
    </row>
    <row r="4" spans="1:40" ht="12.75" customHeight="1" x14ac:dyDescent="0.35">
      <c r="A4" s="483" t="s">
        <v>576</v>
      </c>
      <c r="B4" s="427">
        <v>42552</v>
      </c>
      <c r="C4" s="428" t="s">
        <v>260</v>
      </c>
      <c r="D4" s="428" t="s">
        <v>531</v>
      </c>
      <c r="E4" s="429" t="s">
        <v>265</v>
      </c>
      <c r="F4" s="430">
        <v>4</v>
      </c>
      <c r="G4" s="431">
        <f>F4*10%</f>
        <v>0.4</v>
      </c>
      <c r="H4" s="431">
        <v>0</v>
      </c>
      <c r="I4" s="431">
        <v>0</v>
      </c>
      <c r="J4" s="432">
        <f t="shared" ref="J4:J16" si="0">F4-(G4+H4+I4)</f>
        <v>3.6</v>
      </c>
      <c r="K4" s="430">
        <v>3.6</v>
      </c>
      <c r="L4" s="430">
        <v>0</v>
      </c>
      <c r="M4" s="433">
        <f t="shared" ref="M4:M7" si="1">(W4+(($AB4*($K4/$J4))/(1+Hr_Review)))/$AG4</f>
        <v>2.2867521367521371</v>
      </c>
      <c r="N4" s="433">
        <f t="shared" ref="N4:N7" si="2">(X4+(($AB4*($K4/$J4))/(1+Hr_Review))*Hr_Review)/$AG4</f>
        <v>0.68602564102564101</v>
      </c>
      <c r="O4" s="433">
        <f t="shared" ref="O4:O7" si="3">(Y4+(($AB4*($L4/$J4))/(1+Hr_Review)))/$AG4</f>
        <v>0</v>
      </c>
      <c r="P4" s="433">
        <f t="shared" ref="P4:P7" si="4">(Z4+(($AB4*($L4/$J4))/(1+Hr_Review))*Hr_Review)/$AG4</f>
        <v>0</v>
      </c>
      <c r="Q4" s="433">
        <f t="shared" ref="Q4:Q7" si="5">AA4/$AG4</f>
        <v>0.53999999999999992</v>
      </c>
      <c r="R4" s="434">
        <f>ROUNDDOWN(W4/(Analysis_Hr_AC*NO_AC_US),0)</f>
        <v>49</v>
      </c>
      <c r="S4" s="435">
        <f>R4+S3</f>
        <v>49</v>
      </c>
      <c r="T4" s="436">
        <f t="shared" ref="T4" si="6">W4/Analysis_Hr_AC</f>
        <v>249.60000000000005</v>
      </c>
      <c r="U4" s="437">
        <f>Y4/$B$23</f>
        <v>0</v>
      </c>
      <c r="V4" s="435">
        <f>V3+U4</f>
        <v>0</v>
      </c>
      <c r="W4" s="438">
        <f t="shared" ref="W4:W7" si="7">K4*(AG4-AG4*Hr_Query-AG4*Hr_OtherAnalysis)*(1/(1+Hr_Query+Hr_OtherAnalysis))</f>
        <v>62.400000000000013</v>
      </c>
      <c r="X4" s="438">
        <f t="shared" ref="X4:X7" si="8">(W4)*Hr_Review</f>
        <v>18.720000000000002</v>
      </c>
      <c r="Y4" s="438">
        <f t="shared" ref="Y4:Y7" si="9">L4*(AG4-AG4*Hr_Query-AG4*Hr_OtherAnalysis)*(1/(1+Hr_Query+Hr_OtherAnalysis))</f>
        <v>0</v>
      </c>
      <c r="Z4" s="438">
        <f t="shared" ref="Z4:Z7" si="10">(Y4)*Hr_Review</f>
        <v>0</v>
      </c>
      <c r="AA4" s="438">
        <f t="shared" ref="AA4:AA7" si="11">AD4*Hr_OtherAnalysis</f>
        <v>19.439999999999998</v>
      </c>
      <c r="AB4" s="438">
        <f t="shared" ref="AB4:AB7" si="12">ROUND(AD4*Hr_Query,1)</f>
        <v>25.9</v>
      </c>
      <c r="AC4" s="438">
        <f t="shared" ref="AC4:AC7" si="13">W4+Y4+X4+Z4+AB4+AA4</f>
        <v>126.46000000000001</v>
      </c>
      <c r="AD4" s="438">
        <f t="shared" ref="AD4:AD7" si="14">J4*AE4*AF4</f>
        <v>129.6</v>
      </c>
      <c r="AE4" s="428">
        <v>4</v>
      </c>
      <c r="AF4" s="438">
        <v>9</v>
      </c>
      <c r="AG4" s="439">
        <f t="shared" ref="AG4:AG7" si="15">AE4*AF4</f>
        <v>36</v>
      </c>
      <c r="AH4" s="428" t="s">
        <v>563</v>
      </c>
      <c r="AJ4" s="480"/>
      <c r="AK4" s="481">
        <f t="shared" ref="AK4:AK7" si="16">AJ$4*R4</f>
        <v>0</v>
      </c>
      <c r="AL4" s="481">
        <f>AK4</f>
        <v>0</v>
      </c>
    </row>
    <row r="5" spans="1:40" ht="12.75" customHeight="1" x14ac:dyDescent="0.35">
      <c r="B5" s="427">
        <f>+B4+7</f>
        <v>42559</v>
      </c>
      <c r="C5" s="428" t="s">
        <v>260</v>
      </c>
      <c r="D5" s="428" t="s">
        <v>531</v>
      </c>
      <c r="E5" s="429" t="s">
        <v>548</v>
      </c>
      <c r="F5" s="430">
        <v>4</v>
      </c>
      <c r="G5" s="431">
        <f t="shared" ref="G5:G7" si="17">F5*10%</f>
        <v>0.4</v>
      </c>
      <c r="H5" s="431">
        <v>0</v>
      </c>
      <c r="I5" s="431">
        <v>0</v>
      </c>
      <c r="J5" s="432">
        <f t="shared" si="0"/>
        <v>3.6</v>
      </c>
      <c r="K5" s="430">
        <f>J5*60%</f>
        <v>2.16</v>
      </c>
      <c r="L5" s="431">
        <f t="shared" ref="L5:L7" si="18">J5-K5</f>
        <v>1.44</v>
      </c>
      <c r="M5" s="433">
        <f t="shared" si="1"/>
        <v>1.3720512820512822</v>
      </c>
      <c r="N5" s="433">
        <f t="shared" si="2"/>
        <v>0.41161538461538466</v>
      </c>
      <c r="O5" s="433">
        <f t="shared" si="3"/>
        <v>0.91470085470085472</v>
      </c>
      <c r="P5" s="433">
        <f t="shared" si="4"/>
        <v>0.2744102564102564</v>
      </c>
      <c r="Q5" s="433">
        <f t="shared" si="5"/>
        <v>0.53999999999999992</v>
      </c>
      <c r="R5" s="434">
        <f t="shared" ref="R5:R6" si="19">ROUNDDOWN(W5/(Analysis_Hr_AC*NO_AC_US),0)</f>
        <v>29</v>
      </c>
      <c r="S5" s="435">
        <f>R5+S4</f>
        <v>78</v>
      </c>
      <c r="T5" s="436">
        <f t="shared" ref="T5:T7" si="20">W5/Analysis_Hr_AC+T4</f>
        <v>399.36000000000013</v>
      </c>
      <c r="U5" s="437">
        <f>Y5/$B$23</f>
        <v>24.960000000000004</v>
      </c>
      <c r="V5" s="435">
        <f>V4+U5</f>
        <v>24.960000000000004</v>
      </c>
      <c r="W5" s="438">
        <f t="shared" si="7"/>
        <v>37.440000000000012</v>
      </c>
      <c r="X5" s="438">
        <f t="shared" si="8"/>
        <v>11.232000000000003</v>
      </c>
      <c r="Y5" s="438">
        <f t="shared" si="9"/>
        <v>24.960000000000004</v>
      </c>
      <c r="Z5" s="438">
        <f t="shared" si="10"/>
        <v>7.4880000000000013</v>
      </c>
      <c r="AA5" s="438">
        <f t="shared" si="11"/>
        <v>19.439999999999998</v>
      </c>
      <c r="AB5" s="438">
        <f t="shared" si="12"/>
        <v>25.9</v>
      </c>
      <c r="AC5" s="438">
        <f t="shared" si="13"/>
        <v>126.46000000000001</v>
      </c>
      <c r="AD5" s="438">
        <f t="shared" si="14"/>
        <v>129.6</v>
      </c>
      <c r="AE5" s="428">
        <v>4</v>
      </c>
      <c r="AF5" s="438">
        <v>9</v>
      </c>
      <c r="AG5" s="439">
        <f t="shared" si="15"/>
        <v>36</v>
      </c>
      <c r="AH5" s="428" t="s">
        <v>563</v>
      </c>
      <c r="AK5" s="481">
        <f t="shared" si="16"/>
        <v>0</v>
      </c>
      <c r="AL5" s="481">
        <f>AK5+AK4-V5</f>
        <v>-24.960000000000004</v>
      </c>
    </row>
    <row r="6" spans="1:40" ht="12.75" customHeight="1" x14ac:dyDescent="0.35">
      <c r="B6" s="427">
        <f t="shared" ref="B6:B7" si="21">+B5+7</f>
        <v>42566</v>
      </c>
      <c r="C6" s="428" t="s">
        <v>260</v>
      </c>
      <c r="D6" s="428" t="s">
        <v>531</v>
      </c>
      <c r="E6" s="429" t="s">
        <v>548</v>
      </c>
      <c r="F6" s="430">
        <v>4</v>
      </c>
      <c r="G6" s="431">
        <f t="shared" si="17"/>
        <v>0.4</v>
      </c>
      <c r="H6" s="431">
        <v>0</v>
      </c>
      <c r="I6" s="431">
        <v>0</v>
      </c>
      <c r="J6" s="432">
        <f t="shared" si="0"/>
        <v>3.6</v>
      </c>
      <c r="K6" s="430">
        <f>J6*32%</f>
        <v>1.1520000000000001</v>
      </c>
      <c r="L6" s="431">
        <f t="shared" si="18"/>
        <v>2.448</v>
      </c>
      <c r="M6" s="433">
        <f t="shared" si="1"/>
        <v>0.73189743589743606</v>
      </c>
      <c r="N6" s="433">
        <f t="shared" si="2"/>
        <v>0.21956923076923079</v>
      </c>
      <c r="O6" s="433">
        <f t="shared" si="3"/>
        <v>1.5552820512820513</v>
      </c>
      <c r="P6" s="433">
        <f t="shared" si="4"/>
        <v>0.46658461538461538</v>
      </c>
      <c r="Q6" s="433">
        <f t="shared" si="5"/>
        <v>0.54</v>
      </c>
      <c r="R6" s="486">
        <f t="shared" si="19"/>
        <v>19</v>
      </c>
      <c r="S6" s="435">
        <f t="shared" ref="S6:S7" si="22">R6+S5</f>
        <v>97</v>
      </c>
      <c r="T6" s="436">
        <f t="shared" si="20"/>
        <v>499.20000000000016</v>
      </c>
      <c r="U6" s="437">
        <f>Y6/$B$23</f>
        <v>53.040000000000006</v>
      </c>
      <c r="V6" s="435">
        <f t="shared" ref="V6:V7" si="23">V5+U6</f>
        <v>78.000000000000014</v>
      </c>
      <c r="W6" s="438">
        <f t="shared" si="7"/>
        <v>24.960000000000004</v>
      </c>
      <c r="X6" s="438">
        <f t="shared" si="8"/>
        <v>7.4880000000000013</v>
      </c>
      <c r="Y6" s="438">
        <f t="shared" si="9"/>
        <v>53.040000000000006</v>
      </c>
      <c r="Z6" s="438">
        <f t="shared" si="10"/>
        <v>15.912000000000001</v>
      </c>
      <c r="AA6" s="438">
        <f t="shared" si="11"/>
        <v>24.3</v>
      </c>
      <c r="AB6" s="438">
        <f t="shared" si="12"/>
        <v>32.4</v>
      </c>
      <c r="AC6" s="438">
        <f t="shared" si="13"/>
        <v>158.10000000000002</v>
      </c>
      <c r="AD6" s="438">
        <f t="shared" si="14"/>
        <v>162</v>
      </c>
      <c r="AE6" s="428">
        <v>5</v>
      </c>
      <c r="AF6" s="438">
        <v>9</v>
      </c>
      <c r="AG6" s="439">
        <f t="shared" si="15"/>
        <v>45</v>
      </c>
      <c r="AH6" s="428" t="s">
        <v>563</v>
      </c>
      <c r="AK6" s="481">
        <f t="shared" si="16"/>
        <v>0</v>
      </c>
      <c r="AL6" s="481">
        <f>(AK6+AK5+AK4)-V6</f>
        <v>-78.000000000000014</v>
      </c>
    </row>
    <row r="7" spans="1:40" ht="12.75" customHeight="1" x14ac:dyDescent="0.35">
      <c r="A7" s="484"/>
      <c r="B7" s="427">
        <f t="shared" si="21"/>
        <v>42573</v>
      </c>
      <c r="C7" s="428" t="s">
        <v>260</v>
      </c>
      <c r="D7" s="428" t="s">
        <v>531</v>
      </c>
      <c r="E7" s="429" t="s">
        <v>265</v>
      </c>
      <c r="F7" s="430">
        <v>4</v>
      </c>
      <c r="G7" s="431">
        <f t="shared" si="17"/>
        <v>0.4</v>
      </c>
      <c r="H7" s="431">
        <v>0</v>
      </c>
      <c r="I7" s="431">
        <v>0</v>
      </c>
      <c r="J7" s="432">
        <f t="shared" si="0"/>
        <v>3.6</v>
      </c>
      <c r="K7" s="430">
        <v>3.6</v>
      </c>
      <c r="L7" s="431">
        <f t="shared" si="18"/>
        <v>0</v>
      </c>
      <c r="M7" s="433">
        <f t="shared" si="1"/>
        <v>2.287179487179487</v>
      </c>
      <c r="N7" s="433">
        <f t="shared" si="2"/>
        <v>0.68615384615384611</v>
      </c>
      <c r="O7" s="433">
        <f t="shared" si="3"/>
        <v>0</v>
      </c>
      <c r="P7" s="433">
        <f t="shared" si="4"/>
        <v>0</v>
      </c>
      <c r="Q7" s="433">
        <f t="shared" si="5"/>
        <v>0.54</v>
      </c>
      <c r="R7" s="434">
        <v>8</v>
      </c>
      <c r="S7" s="435">
        <f t="shared" si="22"/>
        <v>105</v>
      </c>
      <c r="T7" s="436">
        <f t="shared" si="20"/>
        <v>811.20000000000016</v>
      </c>
      <c r="U7" s="437">
        <f>Y7/$B$23</f>
        <v>0</v>
      </c>
      <c r="V7" s="435">
        <f t="shared" si="23"/>
        <v>78.000000000000014</v>
      </c>
      <c r="W7" s="438">
        <f t="shared" si="7"/>
        <v>78</v>
      </c>
      <c r="X7" s="438">
        <f t="shared" si="8"/>
        <v>23.4</v>
      </c>
      <c r="Y7" s="438">
        <f t="shared" si="9"/>
        <v>0</v>
      </c>
      <c r="Z7" s="438">
        <f t="shared" si="10"/>
        <v>0</v>
      </c>
      <c r="AA7" s="438">
        <f t="shared" si="11"/>
        <v>24.3</v>
      </c>
      <c r="AB7" s="438">
        <f t="shared" si="12"/>
        <v>32.4</v>
      </c>
      <c r="AC7" s="438">
        <f t="shared" si="13"/>
        <v>158.10000000000002</v>
      </c>
      <c r="AD7" s="438">
        <f t="shared" si="14"/>
        <v>162</v>
      </c>
      <c r="AE7" s="428">
        <v>5</v>
      </c>
      <c r="AF7" s="438">
        <v>9</v>
      </c>
      <c r="AG7" s="439">
        <f t="shared" si="15"/>
        <v>45</v>
      </c>
      <c r="AH7" s="428" t="s">
        <v>563</v>
      </c>
      <c r="AK7" s="481">
        <f t="shared" si="16"/>
        <v>0</v>
      </c>
      <c r="AL7" s="481">
        <f>(AK7+AK6+AK5+AK4)-V7</f>
        <v>-78.000000000000014</v>
      </c>
      <c r="AM7" s="152" t="s">
        <v>508</v>
      </c>
    </row>
    <row r="8" spans="1:40" ht="12.75" customHeight="1" x14ac:dyDescent="0.35">
      <c r="B8" s="485">
        <f t="shared" ref="B8:B19" si="24">+B7+7</f>
        <v>42580</v>
      </c>
      <c r="C8" s="577" t="s">
        <v>578</v>
      </c>
      <c r="D8" s="578"/>
      <c r="E8" s="578"/>
      <c r="F8" s="578"/>
      <c r="G8" s="578"/>
      <c r="H8" s="578"/>
      <c r="I8" s="578"/>
      <c r="J8" s="578"/>
      <c r="K8" s="578"/>
      <c r="L8" s="578"/>
      <c r="M8" s="578"/>
      <c r="N8" s="578"/>
      <c r="O8" s="578"/>
      <c r="P8" s="578"/>
      <c r="Q8" s="578"/>
      <c r="R8" s="578"/>
      <c r="S8" s="578"/>
      <c r="T8" s="578"/>
      <c r="U8" s="578"/>
      <c r="V8" s="578"/>
      <c r="W8" s="578"/>
      <c r="X8" s="578"/>
      <c r="Y8" s="578"/>
      <c r="Z8" s="578"/>
      <c r="AA8" s="578"/>
      <c r="AB8" s="578"/>
      <c r="AC8" s="578"/>
      <c r="AD8" s="578"/>
      <c r="AE8" s="578"/>
      <c r="AF8" s="509"/>
      <c r="AG8" s="509"/>
      <c r="AH8" s="509"/>
    </row>
    <row r="9" spans="1:40" ht="12.75" customHeight="1" x14ac:dyDescent="0.35">
      <c r="B9" s="427">
        <f t="shared" si="24"/>
        <v>42587</v>
      </c>
      <c r="C9" s="428" t="s">
        <v>260</v>
      </c>
      <c r="D9" s="428" t="s">
        <v>531</v>
      </c>
      <c r="E9" s="429" t="s">
        <v>548</v>
      </c>
      <c r="F9" s="430">
        <v>4</v>
      </c>
      <c r="G9" s="431">
        <f t="shared" ref="G9:G11" si="25">F9*10%</f>
        <v>0.4</v>
      </c>
      <c r="H9" s="431">
        <v>0</v>
      </c>
      <c r="I9" s="431">
        <v>0.9</v>
      </c>
      <c r="J9" s="432">
        <f t="shared" si="0"/>
        <v>2.7</v>
      </c>
      <c r="K9" s="430">
        <v>2.1</v>
      </c>
      <c r="L9" s="431">
        <f t="shared" ref="L9:L16" si="26">J9-K9</f>
        <v>0.60000000000000009</v>
      </c>
      <c r="M9" s="433">
        <f t="shared" ref="M9:M16" si="27">(W9+(($AB9*($K9/$J9))/(1+Hr_Review)))/$AG9</f>
        <v>1.3341880341880343</v>
      </c>
      <c r="N9" s="433">
        <f t="shared" ref="N9:N16" si="28">(X9+(($AB9*($K9/$J9))/(1+Hr_Review))*Hr_Review)/$AG9</f>
        <v>0.40025641025641029</v>
      </c>
      <c r="O9" s="433">
        <f t="shared" ref="O9:O16" si="29">(Y9+(($AB9*($L9/$J9))/(1+Hr_Review)))/$AG9</f>
        <v>0.38119658119658129</v>
      </c>
      <c r="P9" s="433">
        <f t="shared" ref="P9:P16" si="30">(Z9+(($AB9*($L9/$J9))/(1+Hr_Review))*Hr_Review)/$AG9</f>
        <v>0.11435897435897438</v>
      </c>
      <c r="Q9" s="433">
        <f t="shared" ref="Q9:Q16" si="31">AA9/$AG9</f>
        <v>0.40499999999999997</v>
      </c>
      <c r="R9" s="434">
        <v>21</v>
      </c>
      <c r="S9" s="435">
        <f>R9+S7</f>
        <v>126</v>
      </c>
      <c r="T9" s="436">
        <f>W9/Analysis_Hr_AC+T7</f>
        <v>993.20000000000016</v>
      </c>
      <c r="U9" s="437">
        <v>3</v>
      </c>
      <c r="V9" s="435">
        <f>V7+U9</f>
        <v>81.000000000000014</v>
      </c>
      <c r="W9" s="438">
        <f>K9*(AG9-AG9*Hr_Query-AG9*Hr_OtherAnalysis)*(1/(1+Hr_Query+Hr_OtherAnalysis))</f>
        <v>45.500000000000007</v>
      </c>
      <c r="X9" s="438">
        <f>(W9)*Hr_Review</f>
        <v>13.650000000000002</v>
      </c>
      <c r="Y9" s="438">
        <f>L9*(AG9-AG9*Hr_Query-AG9*Hr_OtherAnalysis)*(1/(1+Hr_Query+Hr_OtherAnalysis))</f>
        <v>13.000000000000004</v>
      </c>
      <c r="Z9" s="438">
        <f>(Y9)*Hr_Review</f>
        <v>3.9000000000000008</v>
      </c>
      <c r="AA9" s="438">
        <f>AD9*Hr_OtherAnalysis</f>
        <v>18.224999999999998</v>
      </c>
      <c r="AB9" s="438">
        <f>ROUND(AD9*Hr_Query,1)</f>
        <v>24.3</v>
      </c>
      <c r="AC9" s="438">
        <f t="shared" ref="AC9:AC16" si="32">W9+Y9+X9+Z9+AB9+AA9</f>
        <v>118.57500000000002</v>
      </c>
      <c r="AD9" s="438">
        <f t="shared" ref="AD9:AD16" si="33">J9*AE9*AF9</f>
        <v>121.5</v>
      </c>
      <c r="AE9" s="428">
        <v>5</v>
      </c>
      <c r="AF9" s="438">
        <v>9</v>
      </c>
      <c r="AG9" s="439">
        <f t="shared" ref="AG9:AG16" si="34">AE9*AF9</f>
        <v>45</v>
      </c>
      <c r="AH9" s="428" t="s">
        <v>581</v>
      </c>
      <c r="AK9" s="481">
        <f t="shared" ref="AK9:AK16" si="35">AJ$4*R9</f>
        <v>0</v>
      </c>
      <c r="AL9" s="481">
        <f>(AK9+AK7+AK6+AK5+AK4)-V9</f>
        <v>-81.000000000000014</v>
      </c>
      <c r="AM9" s="152" t="s">
        <v>508</v>
      </c>
    </row>
    <row r="10" spans="1:40" ht="12.75" customHeight="1" x14ac:dyDescent="0.35">
      <c r="B10" s="427">
        <f t="shared" si="24"/>
        <v>42594</v>
      </c>
      <c r="C10" s="428" t="s">
        <v>260</v>
      </c>
      <c r="D10" s="428" t="s">
        <v>531</v>
      </c>
      <c r="E10" s="429" t="s">
        <v>548</v>
      </c>
      <c r="F10" s="430">
        <v>4</v>
      </c>
      <c r="G10" s="431">
        <f t="shared" si="25"/>
        <v>0.4</v>
      </c>
      <c r="H10" s="431">
        <f>F10*20%</f>
        <v>0.8</v>
      </c>
      <c r="I10" s="431">
        <v>0</v>
      </c>
      <c r="J10" s="432">
        <f t="shared" si="0"/>
        <v>2.8</v>
      </c>
      <c r="K10" s="430">
        <v>1.2</v>
      </c>
      <c r="L10" s="431">
        <f t="shared" si="26"/>
        <v>1.5999999999999999</v>
      </c>
      <c r="M10" s="433">
        <f t="shared" si="27"/>
        <v>0.76239316239316257</v>
      </c>
      <c r="N10" s="433">
        <f t="shared" si="28"/>
        <v>0.22871794871794873</v>
      </c>
      <c r="O10" s="433">
        <f t="shared" si="29"/>
        <v>1.0165242165242163</v>
      </c>
      <c r="P10" s="433">
        <f t="shared" si="30"/>
        <v>0.30495726495726488</v>
      </c>
      <c r="Q10" s="433">
        <f t="shared" si="31"/>
        <v>0.42</v>
      </c>
      <c r="R10" s="434">
        <v>6</v>
      </c>
      <c r="S10" s="435">
        <f t="shared" ref="S10:S16" si="36">R10+S9</f>
        <v>132</v>
      </c>
      <c r="T10" s="436">
        <f t="shared" ref="T10:T15" si="37">W10/Analysis_Hr_AC+T9</f>
        <v>1097.2000000000003</v>
      </c>
      <c r="U10" s="437">
        <v>0</v>
      </c>
      <c r="V10" s="435">
        <f t="shared" ref="V10:V16" si="38">V9+U10</f>
        <v>81.000000000000014</v>
      </c>
      <c r="W10" s="438">
        <f>K10*(AG10-AG10*Hr_Query-AG10*Hr_OtherAnalysis)*(1/(1+Hr_Query+Hr_OtherAnalysis))</f>
        <v>26.000000000000004</v>
      </c>
      <c r="X10" s="438">
        <f>(W10)*Hr_Review</f>
        <v>7.8000000000000007</v>
      </c>
      <c r="Y10" s="438">
        <f>L10*(AG10-AG10*Hr_Query-AG10*Hr_OtherAnalysis)*(1/(1+Hr_Query+Hr_OtherAnalysis))</f>
        <v>34.666666666666664</v>
      </c>
      <c r="Z10" s="438">
        <f>(Y10)*Hr_Review</f>
        <v>10.399999999999999</v>
      </c>
      <c r="AA10" s="438">
        <f>AD10*Hr_OtherAnalysis</f>
        <v>18.899999999999999</v>
      </c>
      <c r="AB10" s="438">
        <f>ROUND(AD10*Hr_Query,1)</f>
        <v>25.2</v>
      </c>
      <c r="AC10" s="438">
        <f t="shared" si="32"/>
        <v>122.96666666666667</v>
      </c>
      <c r="AD10" s="438">
        <f t="shared" si="33"/>
        <v>126</v>
      </c>
      <c r="AE10" s="428">
        <v>5</v>
      </c>
      <c r="AF10" s="438">
        <v>9</v>
      </c>
      <c r="AG10" s="439">
        <f t="shared" si="34"/>
        <v>45</v>
      </c>
      <c r="AH10" s="428" t="s">
        <v>581</v>
      </c>
      <c r="AI10" s="152" t="s">
        <v>579</v>
      </c>
      <c r="AK10" s="481">
        <f t="shared" si="35"/>
        <v>0</v>
      </c>
      <c r="AL10" s="481">
        <f>(AK10+AK9+AK7+AK6+AK5+AK4)-V10</f>
        <v>-81.000000000000014</v>
      </c>
    </row>
    <row r="11" spans="1:40" ht="12.75" customHeight="1" x14ac:dyDescent="0.35">
      <c r="A11" s="483" t="s">
        <v>575</v>
      </c>
      <c r="B11" s="427">
        <f t="shared" si="24"/>
        <v>42601</v>
      </c>
      <c r="C11" s="428" t="s">
        <v>260</v>
      </c>
      <c r="D11" s="428" t="s">
        <v>531</v>
      </c>
      <c r="E11" s="429" t="s">
        <v>548</v>
      </c>
      <c r="F11" s="430">
        <v>4</v>
      </c>
      <c r="G11" s="431">
        <f t="shared" si="25"/>
        <v>0.4</v>
      </c>
      <c r="H11" s="431">
        <f>F11*23%</f>
        <v>0.92</v>
      </c>
      <c r="I11" s="431">
        <v>0</v>
      </c>
      <c r="J11" s="432">
        <f t="shared" si="0"/>
        <v>2.6799999999999997</v>
      </c>
      <c r="K11" s="430">
        <v>1.2</v>
      </c>
      <c r="L11" s="431">
        <f t="shared" si="26"/>
        <v>1.4799999999999998</v>
      </c>
      <c r="M11" s="433">
        <f t="shared" si="27"/>
        <v>0.76243143258068646</v>
      </c>
      <c r="N11" s="433">
        <f t="shared" si="28"/>
        <v>0.22872942977420591</v>
      </c>
      <c r="O11" s="433">
        <f t="shared" si="29"/>
        <v>0.94033210018284641</v>
      </c>
      <c r="P11" s="433">
        <f t="shared" si="30"/>
        <v>0.28209963005485394</v>
      </c>
      <c r="Q11" s="433">
        <f t="shared" si="31"/>
        <v>0.40199999999999991</v>
      </c>
      <c r="R11" s="434">
        <v>16</v>
      </c>
      <c r="S11" s="435">
        <f t="shared" si="36"/>
        <v>148</v>
      </c>
      <c r="T11" s="436">
        <f t="shared" si="37"/>
        <v>1180.4000000000003</v>
      </c>
      <c r="U11" s="437">
        <v>0</v>
      </c>
      <c r="V11" s="435">
        <f t="shared" si="38"/>
        <v>81.000000000000014</v>
      </c>
      <c r="W11" s="438">
        <f>K11*(AG11-AG11*Hr_Query-AG11*Hr_OtherAnalysis)*(1/(1+Hr_Query+Hr_OtherAnalysis))</f>
        <v>20.800000000000004</v>
      </c>
      <c r="X11" s="438">
        <f>(W11)*Hr_Review</f>
        <v>6.2400000000000011</v>
      </c>
      <c r="Y11" s="438">
        <f>L11*(AG11-AG11*Hr_Query-AG11*Hr_OtherAnalysis)*(1/(1+Hr_Query+Hr_OtherAnalysis))</f>
        <v>25.653333333333332</v>
      </c>
      <c r="Z11" s="438">
        <f>(Y11)*Hr_Review</f>
        <v>7.6959999999999997</v>
      </c>
      <c r="AA11" s="438">
        <f>AD11*Hr_OtherAnalysis</f>
        <v>14.471999999999998</v>
      </c>
      <c r="AB11" s="438">
        <f>ROUND(AD11*Hr_Query,1)</f>
        <v>19.3</v>
      </c>
      <c r="AC11" s="438">
        <f t="shared" si="32"/>
        <v>94.161333333333332</v>
      </c>
      <c r="AD11" s="438">
        <f t="shared" si="33"/>
        <v>96.47999999999999</v>
      </c>
      <c r="AE11" s="428">
        <v>4</v>
      </c>
      <c r="AF11" s="438">
        <v>9</v>
      </c>
      <c r="AG11" s="439">
        <f t="shared" si="34"/>
        <v>36</v>
      </c>
      <c r="AH11" s="428" t="s">
        <v>581</v>
      </c>
      <c r="AI11" s="152" t="s">
        <v>568</v>
      </c>
      <c r="AK11" s="481">
        <f t="shared" si="35"/>
        <v>0</v>
      </c>
      <c r="AL11" s="481">
        <f>(AK11+AK10+AK9+AK7+AK6+AK5+AK4)-V11</f>
        <v>-81.000000000000014</v>
      </c>
    </row>
    <row r="12" spans="1:40" ht="12.75" customHeight="1" x14ac:dyDescent="0.35">
      <c r="B12" s="429">
        <f t="shared" si="24"/>
        <v>42608</v>
      </c>
      <c r="C12" s="428" t="s">
        <v>260</v>
      </c>
      <c r="D12" s="428" t="s">
        <v>531</v>
      </c>
      <c r="E12" s="429" t="s">
        <v>548</v>
      </c>
      <c r="F12" s="430">
        <v>4</v>
      </c>
      <c r="G12" s="431">
        <v>0.2</v>
      </c>
      <c r="H12" s="431">
        <f>F12*23%</f>
        <v>0.92</v>
      </c>
      <c r="I12" s="431">
        <v>2</v>
      </c>
      <c r="J12" s="432">
        <f>F12-(G12+H12+I12)</f>
        <v>0.87999999999999989</v>
      </c>
      <c r="K12" s="430">
        <v>0.2</v>
      </c>
      <c r="L12" s="431">
        <v>0.6</v>
      </c>
      <c r="M12" s="433">
        <f t="shared" ref="M12" si="39">(W12+(($AB12*($K12/$J12))/(1+Hr_Review)))/$AG12</f>
        <v>0.1268907018907019</v>
      </c>
      <c r="N12" s="433">
        <f t="shared" ref="N12" si="40">(X12+(($AB12*($K12/$J12))/(1+Hr_Review))*Hr_Review)/$AG12</f>
        <v>3.8067210567210567E-2</v>
      </c>
      <c r="O12" s="433">
        <f t="shared" ref="O12" si="41">(Y12+(($AB12*($L12/$J12))/(1+Hr_Review)))/$AG12</f>
        <v>0.38067210567210574</v>
      </c>
      <c r="P12" s="433">
        <f t="shared" ref="P12" si="42">(Z12+(($AB12*($L12/$J12))/(1+Hr_Review))*Hr_Review)/$AG12</f>
        <v>0.11420163170163172</v>
      </c>
      <c r="Q12" s="433">
        <f t="shared" ref="Q12" si="43">AA12/$AG12</f>
        <v>0.13199999999999998</v>
      </c>
      <c r="R12" s="434">
        <v>10</v>
      </c>
      <c r="S12" s="435">
        <f t="shared" ref="S12" si="44">R12+S11</f>
        <v>158</v>
      </c>
      <c r="T12" s="436">
        <f t="shared" ref="T12" si="45">W12/Analysis_Hr_AC+T11</f>
        <v>1194.2666666666669</v>
      </c>
      <c r="U12" s="437">
        <v>26</v>
      </c>
      <c r="V12" s="435">
        <f t="shared" ref="V12" si="46">V11+U12</f>
        <v>107.00000000000001</v>
      </c>
      <c r="W12" s="438">
        <f>K12*(AG12-AG12*Hr_Query-AG12*Hr_OtherAnalysis)*(1/(1+Hr_Query+Hr_OtherAnalysis))</f>
        <v>3.4666666666666672</v>
      </c>
      <c r="X12" s="438">
        <f>(W12)*Hr_Review</f>
        <v>1.04</v>
      </c>
      <c r="Y12" s="438">
        <f>L12*(AG12-AG12*Hr_Query-AG12*Hr_OtherAnalysis)*(1/(1+Hr_Query+Hr_OtherAnalysis))</f>
        <v>10.400000000000002</v>
      </c>
      <c r="Z12" s="438">
        <f>(Y12)*Hr_Review</f>
        <v>3.1200000000000006</v>
      </c>
      <c r="AA12" s="438">
        <f>AD12*Hr_OtherAnalysis</f>
        <v>4.7519999999999989</v>
      </c>
      <c r="AB12" s="438">
        <f>ROUND(AD12*Hr_Query,1)</f>
        <v>6.3</v>
      </c>
      <c r="AC12" s="438">
        <f t="shared" ref="AC12" si="47">W12+Y12+X12+Z12+AB12+AA12</f>
        <v>29.07866666666667</v>
      </c>
      <c r="AD12" s="438">
        <f t="shared" ref="AD12" si="48">J12*AE12*AF12</f>
        <v>31.679999999999996</v>
      </c>
      <c r="AE12" s="428">
        <v>4</v>
      </c>
      <c r="AF12" s="438">
        <v>9</v>
      </c>
      <c r="AG12" s="439">
        <f t="shared" ref="AG12" si="49">AE12*AF12</f>
        <v>36</v>
      </c>
      <c r="AH12" s="428" t="s">
        <v>581</v>
      </c>
      <c r="AI12" s="152" t="s">
        <v>568</v>
      </c>
      <c r="AK12" s="481">
        <f t="shared" si="35"/>
        <v>0</v>
      </c>
      <c r="AL12" s="481">
        <f>(AK12+AK11+AK10+AK9+AK7+AK6+AK4+AK5)-V12</f>
        <v>-107.00000000000001</v>
      </c>
    </row>
    <row r="13" spans="1:40" ht="12.75" customHeight="1" x14ac:dyDescent="0.35">
      <c r="A13" s="522" t="s">
        <v>592</v>
      </c>
      <c r="B13" s="427">
        <f t="shared" si="24"/>
        <v>42615</v>
      </c>
      <c r="C13" s="428" t="s">
        <v>260</v>
      </c>
      <c r="D13" s="428" t="s">
        <v>531</v>
      </c>
      <c r="E13" s="429" t="s">
        <v>548</v>
      </c>
      <c r="F13" s="430">
        <v>4</v>
      </c>
      <c r="G13" s="431">
        <v>0.2</v>
      </c>
      <c r="H13" s="431">
        <f>F13*5%</f>
        <v>0.2</v>
      </c>
      <c r="I13" s="431">
        <v>2.8</v>
      </c>
      <c r="J13" s="432">
        <f t="shared" si="0"/>
        <v>0.80000000000000027</v>
      </c>
      <c r="K13" s="430">
        <v>0</v>
      </c>
      <c r="L13" s="431">
        <f t="shared" si="26"/>
        <v>0.80000000000000027</v>
      </c>
      <c r="M13" s="433">
        <f t="shared" si="27"/>
        <v>0</v>
      </c>
      <c r="N13" s="433">
        <f t="shared" si="28"/>
        <v>0</v>
      </c>
      <c r="O13" s="433">
        <f t="shared" si="29"/>
        <v>0.50826210826210849</v>
      </c>
      <c r="P13" s="433">
        <f t="shared" si="30"/>
        <v>0.15247863247863253</v>
      </c>
      <c r="Q13" s="433">
        <f t="shared" si="31"/>
        <v>0.12000000000000005</v>
      </c>
      <c r="R13" s="434">
        <f>ROUNDDOWN(W13/(Analysis_Hr_AC*NO_AC_US),0)</f>
        <v>0</v>
      </c>
      <c r="S13" s="435">
        <f t="shared" si="36"/>
        <v>158</v>
      </c>
      <c r="T13" s="436">
        <f t="shared" si="37"/>
        <v>1194.2666666666669</v>
      </c>
      <c r="U13" s="437">
        <f t="shared" ref="U13:U19" si="50">Y13/$B$23</f>
        <v>17.333333333333343</v>
      </c>
      <c r="V13" s="435">
        <f t="shared" si="38"/>
        <v>124.33333333333336</v>
      </c>
      <c r="W13" s="438">
        <f>K13*(AG13-AG13*Hr_Query-AG13*Hr_OtherAnalysis)*(1/(1+Hr_Query+Hr_OtherAnalysis))</f>
        <v>0</v>
      </c>
      <c r="X13" s="438">
        <f>(W13)*Hr_Review</f>
        <v>0</v>
      </c>
      <c r="Y13" s="438">
        <f>L13*(AG13-AG13*Hr_Query-AG13*Hr_OtherAnalysis)*(1/(1+Hr_Query+Hr_OtherAnalysis))</f>
        <v>17.333333333333343</v>
      </c>
      <c r="Z13" s="438">
        <f>(Y13)*Hr_Review</f>
        <v>5.2000000000000028</v>
      </c>
      <c r="AA13" s="438">
        <f>AD13*Hr_OtherAnalysis</f>
        <v>5.4000000000000021</v>
      </c>
      <c r="AB13" s="438">
        <f>ROUND(AD13*Hr_Query,1)</f>
        <v>7.2</v>
      </c>
      <c r="AC13" s="438">
        <f t="shared" si="32"/>
        <v>35.133333333333347</v>
      </c>
      <c r="AD13" s="438">
        <f t="shared" si="33"/>
        <v>36.000000000000014</v>
      </c>
      <c r="AE13" s="428">
        <v>5</v>
      </c>
      <c r="AF13" s="438">
        <v>9</v>
      </c>
      <c r="AG13" s="439">
        <f t="shared" si="34"/>
        <v>45</v>
      </c>
      <c r="AH13" s="428" t="s">
        <v>581</v>
      </c>
      <c r="AI13" s="522" t="s">
        <v>593</v>
      </c>
      <c r="AK13" s="481">
        <f t="shared" si="35"/>
        <v>0</v>
      </c>
      <c r="AL13" s="481">
        <f>(AK13+AK12+AK11+AK10+AK9+AK7+AK5+AK6+AK4)-V13</f>
        <v>-124.33333333333336</v>
      </c>
    </row>
    <row r="14" spans="1:40" ht="12.75" customHeight="1" x14ac:dyDescent="0.35">
      <c r="A14" s="522" t="s">
        <v>592</v>
      </c>
      <c r="B14" s="427">
        <f t="shared" si="24"/>
        <v>42622</v>
      </c>
      <c r="C14" s="428" t="s">
        <v>260</v>
      </c>
      <c r="D14" s="428" t="s">
        <v>531</v>
      </c>
      <c r="E14" s="429" t="s">
        <v>548</v>
      </c>
      <c r="F14" s="430">
        <v>4</v>
      </c>
      <c r="G14" s="431">
        <v>0.2</v>
      </c>
      <c r="H14" s="431">
        <f>F14*13%</f>
        <v>0.52</v>
      </c>
      <c r="I14" s="431">
        <v>3</v>
      </c>
      <c r="J14" s="432">
        <f t="shared" si="0"/>
        <v>0.28000000000000025</v>
      </c>
      <c r="K14" s="430">
        <v>0.3</v>
      </c>
      <c r="L14" s="431">
        <f t="shared" si="26"/>
        <v>-1.999999999999974E-2</v>
      </c>
      <c r="M14" s="433">
        <f t="shared" si="27"/>
        <v>0.19023199023199022</v>
      </c>
      <c r="N14" s="433">
        <f t="shared" si="28"/>
        <v>5.7069597069597057E-2</v>
      </c>
      <c r="O14" s="433">
        <f t="shared" si="29"/>
        <v>-1.2682132682132518E-2</v>
      </c>
      <c r="P14" s="433">
        <f t="shared" si="30"/>
        <v>-3.8046398046397544E-3</v>
      </c>
      <c r="Q14" s="433">
        <f t="shared" si="31"/>
        <v>4.2000000000000037E-2</v>
      </c>
      <c r="R14" s="434">
        <f t="shared" ref="R14:R15" si="51">ROUNDDOWN(W14/(Analysis_Hr_AC*NO_AC_US),0)</f>
        <v>4</v>
      </c>
      <c r="S14" s="435">
        <f>R14+S13</f>
        <v>162</v>
      </c>
      <c r="T14" s="436">
        <f t="shared" si="37"/>
        <v>1215.0666666666668</v>
      </c>
      <c r="U14" s="437">
        <f t="shared" si="50"/>
        <v>-0.34666666666666224</v>
      </c>
      <c r="V14" s="435">
        <f t="shared" si="38"/>
        <v>123.98666666666669</v>
      </c>
      <c r="W14" s="438">
        <f t="shared" ref="W14:W15" si="52">K14*(AG14-AG14*Hr_Query-AG14*Hr_OtherAnalysis)*(1/(1+Hr_Query+Hr_OtherAnalysis))</f>
        <v>5.2000000000000011</v>
      </c>
      <c r="X14" s="438">
        <f t="shared" ref="X14:X15" si="53">(W14)*Hr_Review</f>
        <v>1.5600000000000003</v>
      </c>
      <c r="Y14" s="438">
        <f t="shared" ref="Y14:Y15" si="54">L14*(AG14-AG14*Hr_Query-AG14*Hr_OtherAnalysis)*(1/(1+Hr_Query+Hr_OtherAnalysis))</f>
        <v>-0.34666666666666224</v>
      </c>
      <c r="Z14" s="438">
        <f t="shared" ref="Z14:Z15" si="55">(Y14)*Hr_Review</f>
        <v>-0.10399999999999866</v>
      </c>
      <c r="AA14" s="438">
        <f t="shared" ref="AA14:AA15" si="56">AD14*Hr_OtherAnalysis</f>
        <v>1.5120000000000013</v>
      </c>
      <c r="AB14" s="438">
        <f t="shared" ref="AB14:AB15" si="57">ROUND(AD14*Hr_Query,1)</f>
        <v>2</v>
      </c>
      <c r="AC14" s="438">
        <f t="shared" si="32"/>
        <v>9.8213333333333424</v>
      </c>
      <c r="AD14" s="438">
        <f t="shared" si="33"/>
        <v>10.080000000000009</v>
      </c>
      <c r="AE14" s="428">
        <v>4</v>
      </c>
      <c r="AF14" s="438">
        <v>9</v>
      </c>
      <c r="AG14" s="439">
        <f t="shared" si="34"/>
        <v>36</v>
      </c>
      <c r="AH14" s="428" t="s">
        <v>581</v>
      </c>
      <c r="AI14" s="582" t="s">
        <v>604</v>
      </c>
      <c r="AK14" s="481">
        <f t="shared" si="35"/>
        <v>0</v>
      </c>
      <c r="AL14" s="481">
        <f>(AK14+AK13+AK12+AK11+AK10+AK9+AK6+AK7+AK5+AK4)-V14</f>
        <v>-123.98666666666669</v>
      </c>
    </row>
    <row r="15" spans="1:40" ht="12.75" customHeight="1" x14ac:dyDescent="0.35">
      <c r="B15" s="427">
        <f t="shared" si="24"/>
        <v>42629</v>
      </c>
      <c r="C15" s="428" t="s">
        <v>260</v>
      </c>
      <c r="D15" s="428" t="s">
        <v>531</v>
      </c>
      <c r="E15" s="429" t="s">
        <v>548</v>
      </c>
      <c r="F15" s="430">
        <v>4</v>
      </c>
      <c r="G15" s="431">
        <f>F15*5%</f>
        <v>0.2</v>
      </c>
      <c r="H15" s="431">
        <f>F15*15%</f>
        <v>0.6</v>
      </c>
      <c r="I15" s="431">
        <v>0</v>
      </c>
      <c r="J15" s="432">
        <f t="shared" si="0"/>
        <v>3.2</v>
      </c>
      <c r="K15" s="430">
        <v>2</v>
      </c>
      <c r="L15" s="431">
        <f t="shared" si="26"/>
        <v>1.2000000000000002</v>
      </c>
      <c r="M15" s="433">
        <f t="shared" si="27"/>
        <v>1.2706552706552707</v>
      </c>
      <c r="N15" s="433">
        <f t="shared" si="28"/>
        <v>0.38119658119658117</v>
      </c>
      <c r="O15" s="433">
        <f t="shared" si="29"/>
        <v>0.76239316239316268</v>
      </c>
      <c r="P15" s="433">
        <f t="shared" si="30"/>
        <v>0.22871794871794876</v>
      </c>
      <c r="Q15" s="433">
        <f t="shared" si="31"/>
        <v>0.47999999999999993</v>
      </c>
      <c r="R15" s="434">
        <f t="shared" si="51"/>
        <v>34</v>
      </c>
      <c r="S15" s="435">
        <f t="shared" si="36"/>
        <v>196</v>
      </c>
      <c r="T15" s="436">
        <f t="shared" si="37"/>
        <v>1388.4</v>
      </c>
      <c r="U15" s="437">
        <f t="shared" si="50"/>
        <v>26.000000000000007</v>
      </c>
      <c r="V15" s="435">
        <f t="shared" si="38"/>
        <v>149.98666666666671</v>
      </c>
      <c r="W15" s="438">
        <f t="shared" si="52"/>
        <v>43.333333333333336</v>
      </c>
      <c r="X15" s="438">
        <f t="shared" si="53"/>
        <v>13</v>
      </c>
      <c r="Y15" s="438">
        <f t="shared" si="54"/>
        <v>26.000000000000007</v>
      </c>
      <c r="Z15" s="438">
        <f t="shared" si="55"/>
        <v>7.8000000000000016</v>
      </c>
      <c r="AA15" s="438">
        <f t="shared" si="56"/>
        <v>21.599999999999998</v>
      </c>
      <c r="AB15" s="438">
        <f t="shared" si="57"/>
        <v>28.8</v>
      </c>
      <c r="AC15" s="438">
        <f t="shared" si="32"/>
        <v>140.53333333333333</v>
      </c>
      <c r="AD15" s="438">
        <f t="shared" si="33"/>
        <v>144</v>
      </c>
      <c r="AE15" s="428">
        <v>5</v>
      </c>
      <c r="AF15" s="438">
        <v>9</v>
      </c>
      <c r="AG15" s="439">
        <f t="shared" si="34"/>
        <v>45</v>
      </c>
      <c r="AH15" s="428" t="s">
        <v>581</v>
      </c>
      <c r="AI15" s="152" t="s">
        <v>566</v>
      </c>
      <c r="AK15" s="481">
        <f t="shared" si="35"/>
        <v>0</v>
      </c>
      <c r="AL15" s="481">
        <f>(AK15+AK14+AK13+AK12+AK11+AK10+AK7+AK9+AK6+AK5+AK4)-V15</f>
        <v>-149.98666666666671</v>
      </c>
    </row>
    <row r="16" spans="1:40" s="177" customFormat="1" x14ac:dyDescent="0.35">
      <c r="A16" s="152"/>
      <c r="B16" s="427">
        <f t="shared" si="24"/>
        <v>42636</v>
      </c>
      <c r="C16" s="428" t="s">
        <v>260</v>
      </c>
      <c r="D16" s="428" t="s">
        <v>531</v>
      </c>
      <c r="E16" s="429" t="s">
        <v>548</v>
      </c>
      <c r="F16" s="430">
        <v>4</v>
      </c>
      <c r="G16" s="431">
        <f>F16*5%</f>
        <v>0.2</v>
      </c>
      <c r="H16" s="431">
        <v>0</v>
      </c>
      <c r="I16" s="431">
        <v>0</v>
      </c>
      <c r="J16" s="432">
        <f t="shared" si="0"/>
        <v>3.8</v>
      </c>
      <c r="K16" s="430">
        <v>2</v>
      </c>
      <c r="L16" s="431">
        <f t="shared" si="26"/>
        <v>1.7999999999999998</v>
      </c>
      <c r="M16" s="433">
        <f t="shared" si="27"/>
        <v>1.2706552706552707</v>
      </c>
      <c r="N16" s="433">
        <f t="shared" si="28"/>
        <v>0.38119658119658117</v>
      </c>
      <c r="O16" s="433">
        <f t="shared" si="29"/>
        <v>1.1435897435897435</v>
      </c>
      <c r="P16" s="433">
        <f t="shared" si="30"/>
        <v>0.34307692307692306</v>
      </c>
      <c r="Q16" s="433">
        <f t="shared" si="31"/>
        <v>0.56999999999999995</v>
      </c>
      <c r="R16" s="486">
        <f t="shared" ref="R16" si="58">ROUNDDOWN(W16/(Analysis_Hr_AC*NO_AC_US),0)</f>
        <v>34</v>
      </c>
      <c r="S16" s="435">
        <f t="shared" si="36"/>
        <v>230</v>
      </c>
      <c r="T16" s="436">
        <f t="shared" ref="T16" si="59">W16/Analysis_Hr_AC+T15</f>
        <v>1561.7333333333333</v>
      </c>
      <c r="U16" s="437">
        <f t="shared" si="50"/>
        <v>39</v>
      </c>
      <c r="V16" s="435">
        <f t="shared" si="38"/>
        <v>188.98666666666671</v>
      </c>
      <c r="W16" s="438">
        <f t="shared" ref="W16" si="60">K16*(AG16-AG16*Hr_Query-AG16*Hr_OtherAnalysis)*(1/(1+Hr_Query+Hr_OtherAnalysis))</f>
        <v>43.333333333333336</v>
      </c>
      <c r="X16" s="438">
        <f t="shared" ref="X16" si="61">(W16)*Hr_Review</f>
        <v>13</v>
      </c>
      <c r="Y16" s="438">
        <f t="shared" ref="Y16" si="62">L16*(AG16-AG16*Hr_Query-AG16*Hr_OtherAnalysis)*(1/(1+Hr_Query+Hr_OtherAnalysis))</f>
        <v>39</v>
      </c>
      <c r="Z16" s="438">
        <f t="shared" ref="Z16" si="63">(Y16)*Hr_Review</f>
        <v>11.7</v>
      </c>
      <c r="AA16" s="438">
        <f t="shared" ref="AA16" si="64">AD16*Hr_OtherAnalysis</f>
        <v>25.65</v>
      </c>
      <c r="AB16" s="438">
        <f t="shared" ref="AB16" si="65">ROUND(AD16*Hr_Query,1)</f>
        <v>34.200000000000003</v>
      </c>
      <c r="AC16" s="438">
        <f t="shared" si="32"/>
        <v>166.88333333333335</v>
      </c>
      <c r="AD16" s="438">
        <f t="shared" si="33"/>
        <v>171</v>
      </c>
      <c r="AE16" s="428">
        <v>5</v>
      </c>
      <c r="AF16" s="438">
        <v>9</v>
      </c>
      <c r="AG16" s="439">
        <f t="shared" si="34"/>
        <v>45</v>
      </c>
      <c r="AH16" s="428" t="s">
        <v>581</v>
      </c>
      <c r="AI16" s="152"/>
      <c r="AJ16" s="152"/>
      <c r="AK16" s="481">
        <f t="shared" si="35"/>
        <v>0</v>
      </c>
      <c r="AL16" s="481">
        <f>(AK16+AK15+AK14+AK13+AK12+AK11+AK9+AK10+AK7+AK6+AK5+AK4)-V16</f>
        <v>-188.98666666666671</v>
      </c>
      <c r="AM16" s="152"/>
      <c r="AN16" s="152"/>
    </row>
    <row r="17" spans="2:35" x14ac:dyDescent="0.35">
      <c r="B17" s="427">
        <f t="shared" si="24"/>
        <v>42643</v>
      </c>
      <c r="C17" s="428" t="s">
        <v>260</v>
      </c>
      <c r="D17" s="428" t="s">
        <v>531</v>
      </c>
      <c r="E17" s="429" t="s">
        <v>548</v>
      </c>
      <c r="F17" s="430">
        <v>4</v>
      </c>
      <c r="G17" s="431">
        <f>F17*5%</f>
        <v>0.2</v>
      </c>
      <c r="H17" s="431">
        <v>0</v>
      </c>
      <c r="I17" s="431">
        <v>0</v>
      </c>
      <c r="J17" s="432">
        <f t="shared" ref="J17" si="66">F17-(G17+H17+I17)</f>
        <v>3.8</v>
      </c>
      <c r="K17" s="430">
        <v>2.5</v>
      </c>
      <c r="L17" s="431">
        <f t="shared" ref="L17" si="67">J17-K17</f>
        <v>1.2999999999999998</v>
      </c>
      <c r="M17" s="433">
        <f t="shared" ref="M17" si="68">(W17+(($AB17*($K17/$J17))/(1+Hr_Review)))/$AG17</f>
        <v>1.5883190883190883</v>
      </c>
      <c r="N17" s="433">
        <f t="shared" ref="N17" si="69">(X17+(($AB17*($K17/$J17))/(1+Hr_Review))*Hr_Review)/$AG17</f>
        <v>0.47649572649572652</v>
      </c>
      <c r="O17" s="433">
        <f t="shared" ref="O17" si="70">(Y17+(($AB17*($L17/$J17))/(1+Hr_Review)))/$AG17</f>
        <v>0.82592592592592584</v>
      </c>
      <c r="P17" s="433">
        <f t="shared" ref="P17" si="71">(Z17+(($AB17*($L17/$J17))/(1+Hr_Review))*Hr_Review)/$AG17</f>
        <v>0.24777777777777774</v>
      </c>
      <c r="Q17" s="433">
        <f t="shared" ref="Q17" si="72">AA17/$AG17</f>
        <v>0.56999999999999995</v>
      </c>
      <c r="R17" s="486">
        <f t="shared" ref="R17" si="73">ROUNDDOWN(W17/(Analysis_Hr_AC*NO_AC_US),0)</f>
        <v>43</v>
      </c>
      <c r="S17" s="435">
        <f t="shared" ref="S17" si="74">R17+S16</f>
        <v>273</v>
      </c>
      <c r="T17" s="436">
        <f t="shared" ref="T17" si="75">W17/Analysis_Hr_AC+T16</f>
        <v>1778.4</v>
      </c>
      <c r="U17" s="437">
        <f t="shared" si="50"/>
        <v>28.166666666666664</v>
      </c>
      <c r="V17" s="435">
        <f t="shared" ref="V17" si="76">V16+U17</f>
        <v>217.15333333333336</v>
      </c>
      <c r="W17" s="438">
        <f t="shared" ref="W17" si="77">K17*(AG17-AG17*Hr_Query-AG17*Hr_OtherAnalysis)*(1/(1+Hr_Query+Hr_OtherAnalysis))</f>
        <v>54.166666666666671</v>
      </c>
      <c r="X17" s="438">
        <f t="shared" ref="X17" si="78">(W17)*Hr_Review</f>
        <v>16.25</v>
      </c>
      <c r="Y17" s="438">
        <f t="shared" ref="Y17" si="79">L17*(AG17-AG17*Hr_Query-AG17*Hr_OtherAnalysis)*(1/(1+Hr_Query+Hr_OtherAnalysis))</f>
        <v>28.166666666666664</v>
      </c>
      <c r="Z17" s="438">
        <f t="shared" ref="Z17" si="80">(Y17)*Hr_Review</f>
        <v>8.4499999999999993</v>
      </c>
      <c r="AA17" s="438">
        <f t="shared" ref="AA17" si="81">AD17*Hr_OtherAnalysis</f>
        <v>25.65</v>
      </c>
      <c r="AB17" s="438">
        <f t="shared" ref="AB17" si="82">ROUND(AD17*Hr_Query,1)</f>
        <v>34.200000000000003</v>
      </c>
      <c r="AC17" s="438">
        <f t="shared" ref="AC17" si="83">W17+Y17+X17+Z17+AB17+AA17</f>
        <v>166.88333333333335</v>
      </c>
      <c r="AD17" s="438">
        <f t="shared" ref="AD17" si="84">J17*AE17*AF17</f>
        <v>171</v>
      </c>
      <c r="AE17" s="428">
        <v>5</v>
      </c>
      <c r="AF17" s="438">
        <v>9</v>
      </c>
      <c r="AG17" s="439">
        <f t="shared" ref="AG17" si="85">AE17*AF17</f>
        <v>45</v>
      </c>
      <c r="AH17" s="428" t="s">
        <v>581</v>
      </c>
    </row>
    <row r="18" spans="2:35" s="488" customFormat="1" x14ac:dyDescent="0.35">
      <c r="B18" s="427">
        <f t="shared" si="24"/>
        <v>42650</v>
      </c>
      <c r="C18" s="428" t="s">
        <v>260</v>
      </c>
      <c r="D18" s="428" t="s">
        <v>531</v>
      </c>
      <c r="E18" s="429" t="s">
        <v>548</v>
      </c>
      <c r="F18" s="430">
        <v>4</v>
      </c>
      <c r="G18" s="431">
        <f>F18*5%</f>
        <v>0.2</v>
      </c>
      <c r="H18" s="431">
        <v>0</v>
      </c>
      <c r="I18" s="431">
        <v>0</v>
      </c>
      <c r="J18" s="432">
        <f t="shared" ref="J18" si="86">F18-(G18+H18+I18)</f>
        <v>3.8</v>
      </c>
      <c r="K18" s="430">
        <v>2.1</v>
      </c>
      <c r="L18" s="431">
        <f t="shared" ref="L18:L19" si="87">J18-K18</f>
        <v>1.6999999999999997</v>
      </c>
      <c r="M18" s="433">
        <f t="shared" ref="M18" si="88">(W18+(($AB18*($K18/$J18))/(1+Hr_Review)))/$AG18</f>
        <v>1.3341880341880343</v>
      </c>
      <c r="N18" s="433">
        <f t="shared" ref="N18" si="89">(X18+(($AB18*($K18/$J18))/(1+Hr_Review))*Hr_Review)/$AG18</f>
        <v>0.40025641025641029</v>
      </c>
      <c r="O18" s="433">
        <f t="shared" ref="O18" si="90">(Y18+(($AB18*($L18/$J18))/(1+Hr_Review)))/$AG18</f>
        <v>1.0800569800569801</v>
      </c>
      <c r="P18" s="433">
        <f t="shared" ref="P18" si="91">(Z18+(($AB18*($L18/$J18))/(1+Hr_Review))*Hr_Review)/$AG18</f>
        <v>0.32401709401709405</v>
      </c>
      <c r="Q18" s="433">
        <f t="shared" ref="Q18" si="92">AA18/$AG18</f>
        <v>0.56999999999999995</v>
      </c>
      <c r="R18" s="486">
        <f t="shared" ref="R18:R19" si="93">ROUNDDOWN(W18/(Analysis_Hr_AC*NO_AC_US),0)</f>
        <v>36</v>
      </c>
      <c r="S18" s="435">
        <f t="shared" ref="S18" si="94">R18+S17</f>
        <v>309</v>
      </c>
      <c r="T18" s="436">
        <f t="shared" ref="T18" si="95">W18/Analysis_Hr_AC+T17</f>
        <v>1960.4</v>
      </c>
      <c r="U18" s="437">
        <f t="shared" si="50"/>
        <v>36.833333333333336</v>
      </c>
      <c r="V18" s="435">
        <f t="shared" ref="V18" si="96">V17+U18</f>
        <v>253.98666666666671</v>
      </c>
      <c r="W18" s="438">
        <f t="shared" ref="W18" si="97">K18*(AG18-AG18*Hr_Query-AG18*Hr_OtherAnalysis)*(1/(1+Hr_Query+Hr_OtherAnalysis))</f>
        <v>45.500000000000007</v>
      </c>
      <c r="X18" s="438">
        <f t="shared" ref="X18" si="98">(W18)*Hr_Review</f>
        <v>13.650000000000002</v>
      </c>
      <c r="Y18" s="438">
        <f t="shared" ref="Y18" si="99">L18*(AG18-AG18*Hr_Query-AG18*Hr_OtherAnalysis)*(1/(1+Hr_Query+Hr_OtherAnalysis))</f>
        <v>36.833333333333336</v>
      </c>
      <c r="Z18" s="438">
        <f t="shared" ref="Z18" si="100">(Y18)*Hr_Review</f>
        <v>11.05</v>
      </c>
      <c r="AA18" s="438">
        <f t="shared" ref="AA18" si="101">AD18*Hr_OtherAnalysis</f>
        <v>25.65</v>
      </c>
      <c r="AB18" s="438">
        <f t="shared" ref="AB18" si="102">ROUND(AD18*Hr_Query,1)</f>
        <v>34.200000000000003</v>
      </c>
      <c r="AC18" s="438">
        <f t="shared" ref="AC18" si="103">W18+Y18+X18+Z18+AB18+AA18</f>
        <v>166.88333333333335</v>
      </c>
      <c r="AD18" s="438">
        <f t="shared" ref="AD18" si="104">J18*AE18*AF18</f>
        <v>171</v>
      </c>
      <c r="AE18" s="428">
        <v>5</v>
      </c>
      <c r="AF18" s="438">
        <v>9</v>
      </c>
      <c r="AG18" s="439">
        <f t="shared" ref="AG18" si="105">AE18*AF18</f>
        <v>45</v>
      </c>
      <c r="AH18" s="428" t="s">
        <v>581</v>
      </c>
    </row>
    <row r="19" spans="2:35" s="529" customFormat="1" x14ac:dyDescent="0.35">
      <c r="B19" s="523">
        <f t="shared" si="24"/>
        <v>42657</v>
      </c>
      <c r="C19" s="524" t="s">
        <v>260</v>
      </c>
      <c r="D19" s="524" t="s">
        <v>531</v>
      </c>
      <c r="E19" s="523" t="s">
        <v>548</v>
      </c>
      <c r="F19" s="525">
        <v>4</v>
      </c>
      <c r="G19" s="433">
        <v>0</v>
      </c>
      <c r="H19" s="433">
        <v>0</v>
      </c>
      <c r="I19" s="433">
        <v>0</v>
      </c>
      <c r="J19" s="526">
        <f t="shared" ref="J19" si="106">F19-(G19+H19+I19)</f>
        <v>4</v>
      </c>
      <c r="K19" s="525">
        <v>1.9</v>
      </c>
      <c r="L19" s="525">
        <f t="shared" si="87"/>
        <v>2.1</v>
      </c>
      <c r="M19" s="433">
        <f t="shared" ref="M19" si="107">(W19+(($AB19*($K19/$J19))/(1+Hr_Review)))/$AG19</f>
        <v>1.2071225071225071</v>
      </c>
      <c r="N19" s="433">
        <f t="shared" ref="N19" si="108">(X19+(($AB19*($K19/$J19))/(1+Hr_Review))*Hr_Review)/$AG19</f>
        <v>0.36213675213675212</v>
      </c>
      <c r="O19" s="433">
        <f t="shared" ref="O19" si="109">(Y19+(($AB19*($L19/$J19))/(1+Hr_Review)))/$AG19</f>
        <v>1.3341880341880343</v>
      </c>
      <c r="P19" s="433">
        <f t="shared" ref="P19" si="110">(Z19+(($AB19*($L19/$J19))/(1+Hr_Review))*Hr_Review)/$AG19</f>
        <v>0.40025641025641029</v>
      </c>
      <c r="Q19" s="433">
        <f t="shared" ref="Q19" si="111">AA19/$AG19</f>
        <v>0.6</v>
      </c>
      <c r="R19" s="525">
        <f t="shared" si="93"/>
        <v>32</v>
      </c>
      <c r="S19" s="527">
        <f t="shared" ref="S19" si="112">R19+S18</f>
        <v>341</v>
      </c>
      <c r="T19" s="527">
        <f t="shared" ref="T19" si="113">W19/Analysis_Hr_AC+T18</f>
        <v>2125.0666666666666</v>
      </c>
      <c r="U19" s="527">
        <f t="shared" si="50"/>
        <v>45.500000000000007</v>
      </c>
      <c r="V19" s="527">
        <f t="shared" ref="V19" si="114">V18+U19</f>
        <v>299.48666666666674</v>
      </c>
      <c r="W19" s="527">
        <f t="shared" ref="W19" si="115">K19*(AG19-AG19*Hr_Query-AG19*Hr_OtherAnalysis)*(1/(1+Hr_Query+Hr_OtherAnalysis))</f>
        <v>41.166666666666664</v>
      </c>
      <c r="X19" s="527">
        <f t="shared" ref="X19" si="116">(W19)*Hr_Review</f>
        <v>12.35</v>
      </c>
      <c r="Y19" s="527">
        <f t="shared" ref="Y19" si="117">L19*(AG19-AG19*Hr_Query-AG19*Hr_OtherAnalysis)*(1/(1+Hr_Query+Hr_OtherAnalysis))</f>
        <v>45.500000000000007</v>
      </c>
      <c r="Z19" s="527">
        <f t="shared" ref="Z19" si="118">(Y19)*Hr_Review</f>
        <v>13.650000000000002</v>
      </c>
      <c r="AA19" s="527">
        <f t="shared" ref="AA19" si="119">AD19*Hr_OtherAnalysis</f>
        <v>27</v>
      </c>
      <c r="AB19" s="527">
        <f t="shared" ref="AB19" si="120">ROUND(AD19*Hr_Query,1)</f>
        <v>36</v>
      </c>
      <c r="AC19" s="527">
        <f t="shared" ref="AC19" si="121">W19+Y19+X19+Z19+AB19+AA19</f>
        <v>175.66666666666669</v>
      </c>
      <c r="AD19" s="527">
        <f t="shared" ref="AD19" si="122">J19*AE19*AF19</f>
        <v>180</v>
      </c>
      <c r="AE19" s="524">
        <v>5</v>
      </c>
      <c r="AF19" s="527">
        <v>9</v>
      </c>
      <c r="AG19" s="528">
        <f t="shared" ref="AG19" si="123">AE19*AF19</f>
        <v>45</v>
      </c>
      <c r="AH19" s="524" t="s">
        <v>581</v>
      </c>
    </row>
    <row r="20" spans="2:35" s="488" customFormat="1" ht="15" thickBot="1" x14ac:dyDescent="0.4">
      <c r="B20" s="382"/>
      <c r="C20" s="489"/>
      <c r="D20" s="489"/>
      <c r="E20" s="382"/>
      <c r="F20" s="487"/>
      <c r="G20" s="490"/>
      <c r="H20" s="490"/>
      <c r="I20" s="490"/>
      <c r="J20" s="385"/>
      <c r="K20" s="487"/>
      <c r="L20" s="490"/>
      <c r="M20" s="490"/>
      <c r="N20" s="490"/>
      <c r="O20" s="490"/>
      <c r="P20" s="490"/>
      <c r="Q20" s="490"/>
      <c r="R20" s="487"/>
      <c r="S20" s="391"/>
      <c r="T20" s="391"/>
      <c r="U20" s="391"/>
      <c r="V20" s="391"/>
      <c r="W20" s="391"/>
      <c r="X20" s="391"/>
      <c r="Y20" s="391"/>
      <c r="Z20" s="391"/>
      <c r="AA20" s="391"/>
      <c r="AB20" s="391"/>
      <c r="AC20" s="391"/>
      <c r="AD20" s="391"/>
      <c r="AE20" s="489"/>
      <c r="AF20" s="391"/>
      <c r="AG20" s="491"/>
      <c r="AH20" s="489"/>
      <c r="AI20" s="529" t="s">
        <v>603</v>
      </c>
    </row>
    <row r="21" spans="2:35" x14ac:dyDescent="0.35">
      <c r="B21" s="171"/>
      <c r="C21" s="174" t="s">
        <v>10</v>
      </c>
      <c r="D21" s="169"/>
      <c r="E21" s="169"/>
      <c r="S21" s="153" t="s">
        <v>602</v>
      </c>
    </row>
    <row r="22" spans="2:35" x14ac:dyDescent="0.35">
      <c r="B22" s="172">
        <v>0.25</v>
      </c>
      <c r="C22" s="175" t="s">
        <v>242</v>
      </c>
      <c r="D22" s="169"/>
      <c r="E22" s="170"/>
    </row>
    <row r="23" spans="2:35" s="153" customFormat="1" x14ac:dyDescent="0.35">
      <c r="B23" s="172">
        <v>1</v>
      </c>
      <c r="C23" s="175" t="s">
        <v>243</v>
      </c>
      <c r="D23" s="169"/>
      <c r="E23" s="170"/>
    </row>
    <row r="24" spans="2:35" s="153" customFormat="1" x14ac:dyDescent="0.35">
      <c r="B24" s="172">
        <v>0.3</v>
      </c>
      <c r="C24" s="175" t="s">
        <v>21</v>
      </c>
      <c r="D24" s="169"/>
      <c r="E24" s="170"/>
    </row>
    <row r="25" spans="2:35" x14ac:dyDescent="0.35">
      <c r="B25" s="172">
        <v>0.2</v>
      </c>
      <c r="C25" s="175" t="s">
        <v>244</v>
      </c>
      <c r="D25" s="169"/>
      <c r="E25" s="170"/>
    </row>
    <row r="26" spans="2:35" x14ac:dyDescent="0.35">
      <c r="B26" s="172">
        <v>0.15</v>
      </c>
      <c r="C26" s="175" t="s">
        <v>245</v>
      </c>
      <c r="D26" s="169"/>
      <c r="E26" s="170"/>
    </row>
    <row r="27" spans="2:35" ht="15" thickBot="1" x14ac:dyDescent="0.4">
      <c r="B27" s="173">
        <v>5</v>
      </c>
      <c r="C27" s="176" t="s">
        <v>474</v>
      </c>
      <c r="D27" s="169"/>
      <c r="E27" s="169"/>
    </row>
    <row r="28" spans="2:35" x14ac:dyDescent="0.35">
      <c r="B28" s="154"/>
      <c r="D28" s="154"/>
      <c r="E28" s="154"/>
      <c r="F28" s="155"/>
    </row>
    <row r="29" spans="2:35" x14ac:dyDescent="0.35">
      <c r="E29" s="156"/>
    </row>
    <row r="30" spans="2:35" x14ac:dyDescent="0.35">
      <c r="E30" s="156"/>
    </row>
    <row r="31" spans="2:35" x14ac:dyDescent="0.35">
      <c r="E31" s="156"/>
    </row>
    <row r="32" spans="2:35" x14ac:dyDescent="0.35">
      <c r="E32" s="156"/>
    </row>
    <row r="33" spans="5:5" x14ac:dyDescent="0.35">
      <c r="E33" s="156"/>
    </row>
    <row r="34" spans="5:5" x14ac:dyDescent="0.35">
      <c r="E34" s="156"/>
    </row>
    <row r="35" spans="5:5" x14ac:dyDescent="0.35">
      <c r="E35" s="156"/>
    </row>
    <row r="36" spans="5:5" x14ac:dyDescent="0.35">
      <c r="E36" s="156"/>
    </row>
    <row r="37" spans="5:5" x14ac:dyDescent="0.35">
      <c r="E37" s="156"/>
    </row>
    <row r="38" spans="5:5" x14ac:dyDescent="0.35">
      <c r="E38" s="156"/>
    </row>
    <row r="39" spans="5:5" x14ac:dyDescent="0.35">
      <c r="E39" s="156"/>
    </row>
  </sheetData>
  <mergeCells count="1">
    <mergeCell ref="C8:AE8"/>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8" sqref="B8"/>
    </sheetView>
  </sheetViews>
  <sheetFormatPr defaultColWidth="9.08984375" defaultRowHeight="12.5" x14ac:dyDescent="0.35"/>
  <cols>
    <col min="1" max="1" width="11.36328125" style="533" customWidth="1"/>
    <col min="2" max="4" width="9.08984375" style="533"/>
    <col min="5" max="5" width="21.36328125" style="533" customWidth="1"/>
    <col min="6" max="16384" width="9.08984375" style="533"/>
  </cols>
  <sheetData>
    <row r="1" spans="1:5" s="531" customFormat="1" ht="28.25" customHeight="1" x14ac:dyDescent="0.35">
      <c r="A1" s="530" t="s">
        <v>594</v>
      </c>
      <c r="B1" s="530" t="s">
        <v>595</v>
      </c>
      <c r="C1" s="530" t="s">
        <v>596</v>
      </c>
      <c r="D1" s="530" t="s">
        <v>599</v>
      </c>
      <c r="E1" s="530"/>
    </row>
    <row r="2" spans="1:5" ht="14.5" x14ac:dyDescent="0.35">
      <c r="A2" s="532">
        <v>5</v>
      </c>
      <c r="B2" s="532">
        <v>4</v>
      </c>
      <c r="C2" s="532">
        <v>9</v>
      </c>
      <c r="D2" s="532">
        <f>A2*B2*C2</f>
        <v>180</v>
      </c>
      <c r="E2" s="532" t="s">
        <v>600</v>
      </c>
    </row>
    <row r="3" spans="1:5" ht="14.5" x14ac:dyDescent="0.35">
      <c r="A3" s="532">
        <v>1</v>
      </c>
      <c r="B3" s="532">
        <v>1</v>
      </c>
      <c r="C3" s="532">
        <v>9</v>
      </c>
      <c r="D3" s="532">
        <f>A3*B3*C3</f>
        <v>9</v>
      </c>
      <c r="E3" s="532" t="s">
        <v>598</v>
      </c>
    </row>
    <row r="4" spans="1:5" ht="14.5" x14ac:dyDescent="0.35">
      <c r="A4" s="532"/>
      <c r="B4" s="532"/>
      <c r="C4" s="532"/>
      <c r="D4" s="532">
        <f>D3/D2</f>
        <v>0.05</v>
      </c>
      <c r="E4" s="532" t="s">
        <v>601</v>
      </c>
    </row>
    <row r="5" spans="1:5" ht="14.5" x14ac:dyDescent="0.35">
      <c r="A5" s="535"/>
      <c r="B5" s="535"/>
      <c r="C5" s="535"/>
      <c r="D5" s="535"/>
      <c r="E5" s="535"/>
    </row>
    <row r="6" spans="1:5" s="531" customFormat="1" ht="25" x14ac:dyDescent="0.35">
      <c r="A6" s="534" t="s">
        <v>594</v>
      </c>
      <c r="B6" s="534" t="s">
        <v>595</v>
      </c>
      <c r="C6" s="534" t="s">
        <v>596</v>
      </c>
      <c r="D6" s="534" t="s">
        <v>599</v>
      </c>
      <c r="E6" s="534"/>
    </row>
    <row r="7" spans="1:5" ht="14.5" x14ac:dyDescent="0.35">
      <c r="A7" s="532">
        <v>4</v>
      </c>
      <c r="B7" s="532">
        <v>4</v>
      </c>
      <c r="C7" s="532">
        <v>9</v>
      </c>
      <c r="D7" s="532">
        <f>A7*B7*C7</f>
        <v>144</v>
      </c>
      <c r="E7" s="532" t="s">
        <v>597</v>
      </c>
    </row>
    <row r="8" spans="1:5" ht="14.5" x14ac:dyDescent="0.35">
      <c r="A8" s="532">
        <v>2</v>
      </c>
      <c r="B8" s="532">
        <v>1</v>
      </c>
      <c r="C8" s="532">
        <v>9</v>
      </c>
      <c r="D8" s="532">
        <f>A8*B8*C8</f>
        <v>18</v>
      </c>
      <c r="E8" s="532" t="s">
        <v>598</v>
      </c>
    </row>
    <row r="9" spans="1:5" ht="14.5" x14ac:dyDescent="0.35">
      <c r="A9" s="532"/>
      <c r="B9" s="532"/>
      <c r="C9" s="532"/>
      <c r="D9" s="532">
        <f>D8/D7</f>
        <v>0.125</v>
      </c>
      <c r="E9" s="532" t="s">
        <v>601</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B1:AH61"/>
  <sheetViews>
    <sheetView zoomScale="80" zoomScaleNormal="80" workbookViewId="0">
      <pane ySplit="1" topLeftCell="A28" activePane="bottomLeft" state="frozen"/>
      <selection activeCell="E13" sqref="E13"/>
      <selection pane="bottomLeft" activeCell="G40" sqref="G40"/>
    </sheetView>
  </sheetViews>
  <sheetFormatPr defaultColWidth="9.08984375" defaultRowHeight="14.5" outlineLevelCol="1" x14ac:dyDescent="0.35"/>
  <cols>
    <col min="1" max="1" width="4.81640625" style="152" customWidth="1"/>
    <col min="2" max="2" width="8.08984375" style="156" customWidth="1"/>
    <col min="3" max="3" width="8.08984375" style="152" customWidth="1"/>
    <col min="4" max="4" width="12.36328125" style="156" bestFit="1" customWidth="1"/>
    <col min="5" max="5" width="30" style="157" customWidth="1"/>
    <col min="6" max="6" width="5.08984375" style="153" customWidth="1"/>
    <col min="7" max="8" width="4.453125" style="153" bestFit="1" customWidth="1"/>
    <col min="9" max="9" width="4.453125" style="153" customWidth="1"/>
    <col min="10" max="10" width="3.81640625" style="153" customWidth="1"/>
    <col min="11" max="11" width="5.81640625" style="153" customWidth="1"/>
    <col min="12" max="12" width="9.54296875" style="153" customWidth="1" collapsed="1"/>
    <col min="13" max="17" width="5.81640625" style="153" hidden="1" customWidth="1" outlineLevel="1"/>
    <col min="18" max="22" width="5.81640625" style="153" customWidth="1"/>
    <col min="23" max="30" width="5.81640625" style="153" customWidth="1" outlineLevel="1"/>
    <col min="31" max="31" width="5.81640625" style="153" customWidth="1"/>
    <col min="32" max="32" width="3.81640625" style="153" customWidth="1" outlineLevel="1"/>
    <col min="33" max="33" width="4.81640625" style="153" customWidth="1" outlineLevel="1"/>
    <col min="34" max="34" width="77.6328125" style="152" bestFit="1" customWidth="1"/>
    <col min="35" max="16384" width="9.08984375" style="152"/>
  </cols>
  <sheetData>
    <row r="1" spans="2:34" s="133" customFormat="1" ht="129" customHeight="1" x14ac:dyDescent="0.35">
      <c r="B1" s="178" t="s">
        <v>39</v>
      </c>
      <c r="C1" s="179" t="s">
        <v>268</v>
      </c>
      <c r="D1" s="178" t="s">
        <v>269</v>
      </c>
      <c r="E1" s="180" t="s">
        <v>47</v>
      </c>
      <c r="F1" s="181" t="s">
        <v>0</v>
      </c>
      <c r="G1" s="181" t="s">
        <v>197</v>
      </c>
      <c r="H1" s="181" t="s">
        <v>206</v>
      </c>
      <c r="I1" s="181" t="s">
        <v>196</v>
      </c>
      <c r="J1" s="178" t="s">
        <v>194</v>
      </c>
      <c r="K1" s="182" t="s">
        <v>213</v>
      </c>
      <c r="L1" s="182" t="s">
        <v>214</v>
      </c>
      <c r="M1" s="183" t="s">
        <v>198</v>
      </c>
      <c r="N1" s="183" t="s">
        <v>199</v>
      </c>
      <c r="O1" s="183" t="s">
        <v>200</v>
      </c>
      <c r="P1" s="183" t="s">
        <v>201</v>
      </c>
      <c r="Q1" s="183" t="s">
        <v>203</v>
      </c>
      <c r="R1" s="184" t="s">
        <v>215</v>
      </c>
      <c r="S1" s="185" t="s">
        <v>36</v>
      </c>
      <c r="T1" s="184" t="s">
        <v>216</v>
      </c>
      <c r="U1" s="184" t="s">
        <v>208</v>
      </c>
      <c r="V1" s="185" t="s">
        <v>209</v>
      </c>
      <c r="W1" s="186" t="s">
        <v>210</v>
      </c>
      <c r="X1" s="186" t="s">
        <v>211</v>
      </c>
      <c r="Y1" s="186" t="s">
        <v>212</v>
      </c>
      <c r="Z1" s="186" t="s">
        <v>24</v>
      </c>
      <c r="AA1" s="186" t="s">
        <v>25</v>
      </c>
      <c r="AB1" s="186" t="s">
        <v>202</v>
      </c>
      <c r="AC1" s="186" t="s">
        <v>8</v>
      </c>
      <c r="AD1" s="186" t="s">
        <v>9</v>
      </c>
      <c r="AE1" s="186" t="s">
        <v>30</v>
      </c>
      <c r="AF1" s="186" t="s">
        <v>31</v>
      </c>
      <c r="AG1" s="187" t="s">
        <v>42</v>
      </c>
      <c r="AH1" s="133" t="s">
        <v>248</v>
      </c>
    </row>
    <row r="2" spans="2:34" x14ac:dyDescent="0.35">
      <c r="B2" s="188">
        <v>42363</v>
      </c>
      <c r="C2" s="189" t="s">
        <v>204</v>
      </c>
      <c r="D2" s="189" t="s">
        <v>254</v>
      </c>
      <c r="E2" s="190" t="s">
        <v>257</v>
      </c>
      <c r="F2" s="191">
        <v>2</v>
      </c>
      <c r="G2" s="211">
        <v>0.5</v>
      </c>
      <c r="H2" s="211">
        <v>0</v>
      </c>
      <c r="I2" s="211">
        <v>0</v>
      </c>
      <c r="J2" s="192">
        <f t="shared" ref="J2:J13" si="0">F2-(G2+H2+I2)</f>
        <v>1.5</v>
      </c>
      <c r="K2" s="191">
        <v>1.5</v>
      </c>
      <c r="L2" s="193">
        <v>0</v>
      </c>
      <c r="M2" s="194">
        <f t="shared" ref="M2:M8" si="1">(W2+(($AB2*($K2/$J2))/(1+Hr_Review)))/$AG2</f>
        <v>1.0384615384615383</v>
      </c>
      <c r="N2" s="194">
        <f t="shared" ref="N2:N8" si="2">(X2+(($AB2*($K2/$J2))/(1+Hr_Review))*Hr_Review)/$AG2</f>
        <v>0.31153846153846154</v>
      </c>
      <c r="O2" s="194">
        <f t="shared" ref="O2:O8" si="3">(Y2+(($AB2*($L2/$J2))/(1+Hr_Review)))/$AG2</f>
        <v>0</v>
      </c>
      <c r="P2" s="194">
        <f t="shared" ref="P2:P8" si="4">(Z2+(($AB2*($L2/$J2))/(1+Hr_Review))*Hr_Review)/$AG2</f>
        <v>0</v>
      </c>
      <c r="Q2" s="194">
        <f t="shared" ref="Q2:Q13" si="5">AA2/$AG2</f>
        <v>0.15</v>
      </c>
      <c r="R2" s="195">
        <f t="shared" ref="R2:R12" si="6">ROUNDDOWN(W2/(Analysis_Hr_AC*NO_AC_US),0)</f>
        <v>14</v>
      </c>
      <c r="S2" s="196">
        <f>R2</f>
        <v>14</v>
      </c>
      <c r="T2" s="197">
        <f t="shared" ref="T2:T8" si="7">W2/Analysis_Hr_AC</f>
        <v>72.692307692307693</v>
      </c>
      <c r="U2" s="198">
        <f t="shared" ref="U2:U13" si="8">Y2/$B$45</f>
        <v>0</v>
      </c>
      <c r="V2" s="196">
        <f>U2</f>
        <v>0</v>
      </c>
      <c r="W2" s="199">
        <f t="shared" ref="W2:W8" si="9">K2*(AG2-AG2*Hr_Query-AG2*Hr_OtherAnalysis)*(1/(1+Hr_Query+Hr_OtherAnalysis))</f>
        <v>21.807692307692307</v>
      </c>
      <c r="X2" s="199">
        <f t="shared" ref="X2:X8" si="10">(W2)*Hr_Review</f>
        <v>6.5423076923076922</v>
      </c>
      <c r="Y2" s="199">
        <f t="shared" ref="Y2:Y8" si="11">L2*(AG2-AG2*Hr_Query-AG2*Hr_OtherAnalysis)*(1/(1+Hr_Query+Hr_OtherAnalysis))</f>
        <v>0</v>
      </c>
      <c r="Z2" s="199">
        <f t="shared" ref="Z2:Z8" si="12">(Y2)*Hr_Review</f>
        <v>0</v>
      </c>
      <c r="AA2" s="199">
        <f t="shared" ref="AA2:AA8" si="13">AD2*Hr_OtherAnalysis</f>
        <v>4.05</v>
      </c>
      <c r="AB2" s="199">
        <f t="shared" ref="AB2:AB8" si="14">ROUND(AD2*Hr_Query,1)</f>
        <v>8.1</v>
      </c>
      <c r="AC2" s="199">
        <f>W2+Y2+X2+Z2+AB2</f>
        <v>36.449999999999996</v>
      </c>
      <c r="AD2" s="199">
        <f t="shared" ref="AD2:AD13" si="15">J2*AE2*AF2</f>
        <v>40.5</v>
      </c>
      <c r="AE2" s="189">
        <v>3</v>
      </c>
      <c r="AF2" s="199">
        <v>9</v>
      </c>
      <c r="AG2" s="200">
        <f>AE2*AF2</f>
        <v>27</v>
      </c>
      <c r="AH2" s="152" t="s">
        <v>246</v>
      </c>
    </row>
    <row r="3" spans="2:34" x14ac:dyDescent="0.35">
      <c r="B3" s="188">
        <f>B2+7</f>
        <v>42370</v>
      </c>
      <c r="C3" s="189" t="s">
        <v>204</v>
      </c>
      <c r="D3" s="189" t="s">
        <v>254</v>
      </c>
      <c r="E3" s="190" t="s">
        <v>257</v>
      </c>
      <c r="F3" s="191">
        <v>2</v>
      </c>
      <c r="G3" s="211">
        <v>0</v>
      </c>
      <c r="H3" s="211">
        <v>2</v>
      </c>
      <c r="I3" s="211">
        <v>0</v>
      </c>
      <c r="J3" s="192">
        <f t="shared" si="0"/>
        <v>0</v>
      </c>
      <c r="K3" s="191">
        <v>0</v>
      </c>
      <c r="L3" s="193">
        <v>0</v>
      </c>
      <c r="M3" s="194" t="e">
        <f t="shared" si="1"/>
        <v>#DIV/0!</v>
      </c>
      <c r="N3" s="194" t="e">
        <f t="shared" si="2"/>
        <v>#DIV/0!</v>
      </c>
      <c r="O3" s="194" t="e">
        <f t="shared" si="3"/>
        <v>#DIV/0!</v>
      </c>
      <c r="P3" s="194" t="e">
        <f t="shared" si="4"/>
        <v>#DIV/0!</v>
      </c>
      <c r="Q3" s="194">
        <f t="shared" si="5"/>
        <v>0</v>
      </c>
      <c r="R3" s="195">
        <f t="shared" si="6"/>
        <v>0</v>
      </c>
      <c r="S3" s="196">
        <f t="shared" ref="S3:S13" si="16">R3+S2</f>
        <v>14</v>
      </c>
      <c r="T3" s="197">
        <f t="shared" si="7"/>
        <v>0</v>
      </c>
      <c r="U3" s="198">
        <f t="shared" si="8"/>
        <v>0</v>
      </c>
      <c r="V3" s="196">
        <f>V2+U3</f>
        <v>0</v>
      </c>
      <c r="W3" s="199">
        <f t="shared" si="9"/>
        <v>0</v>
      </c>
      <c r="X3" s="199">
        <f t="shared" si="10"/>
        <v>0</v>
      </c>
      <c r="Y3" s="199">
        <f t="shared" si="11"/>
        <v>0</v>
      </c>
      <c r="Z3" s="199">
        <f t="shared" si="12"/>
        <v>0</v>
      </c>
      <c r="AA3" s="199">
        <f t="shared" si="13"/>
        <v>0</v>
      </c>
      <c r="AB3" s="199">
        <f t="shared" si="14"/>
        <v>0</v>
      </c>
      <c r="AC3" s="199">
        <f t="shared" ref="AC3:AC13" si="17">W3+Y3+X3+Z3+AB3+AA3</f>
        <v>0</v>
      </c>
      <c r="AD3" s="199">
        <f t="shared" si="15"/>
        <v>0</v>
      </c>
      <c r="AE3" s="189">
        <v>3</v>
      </c>
      <c r="AF3" s="199">
        <v>9</v>
      </c>
      <c r="AG3" s="200">
        <f t="shared" ref="AG3:AG13" si="18">AE3*AF3</f>
        <v>27</v>
      </c>
    </row>
    <row r="4" spans="2:34" x14ac:dyDescent="0.35">
      <c r="B4" s="188">
        <f t="shared" ref="B4:B13" si="19">B3+7</f>
        <v>42377</v>
      </c>
      <c r="C4" s="189" t="s">
        <v>204</v>
      </c>
      <c r="D4" s="189" t="s">
        <v>252</v>
      </c>
      <c r="E4" s="190" t="s">
        <v>257</v>
      </c>
      <c r="F4" s="191">
        <v>2</v>
      </c>
      <c r="G4" s="211">
        <v>0.2</v>
      </c>
      <c r="H4" s="211">
        <v>0.5</v>
      </c>
      <c r="I4" s="211">
        <v>0</v>
      </c>
      <c r="J4" s="192">
        <f t="shared" si="0"/>
        <v>1.3</v>
      </c>
      <c r="K4" s="191">
        <v>1.3</v>
      </c>
      <c r="L4" s="193">
        <v>0</v>
      </c>
      <c r="M4" s="194">
        <f t="shared" si="1"/>
        <v>0.9</v>
      </c>
      <c r="N4" s="194">
        <f t="shared" si="2"/>
        <v>0.26999999999999996</v>
      </c>
      <c r="O4" s="194">
        <f t="shared" si="3"/>
        <v>0</v>
      </c>
      <c r="P4" s="194">
        <f t="shared" si="4"/>
        <v>0</v>
      </c>
      <c r="Q4" s="194">
        <f t="shared" si="5"/>
        <v>0.13</v>
      </c>
      <c r="R4" s="195">
        <f t="shared" si="6"/>
        <v>21</v>
      </c>
      <c r="S4" s="196">
        <f t="shared" si="16"/>
        <v>35</v>
      </c>
      <c r="T4" s="197">
        <f t="shared" si="7"/>
        <v>105</v>
      </c>
      <c r="U4" s="198">
        <f t="shared" si="8"/>
        <v>0</v>
      </c>
      <c r="V4" s="196">
        <f t="shared" ref="V4:V13" si="20">V3+U4</f>
        <v>0</v>
      </c>
      <c r="W4" s="199">
        <f t="shared" si="9"/>
        <v>31.5</v>
      </c>
      <c r="X4" s="199">
        <f t="shared" si="10"/>
        <v>9.4499999999999993</v>
      </c>
      <c r="Y4" s="199">
        <f t="shared" si="11"/>
        <v>0</v>
      </c>
      <c r="Z4" s="199">
        <f t="shared" si="12"/>
        <v>0</v>
      </c>
      <c r="AA4" s="199">
        <f t="shared" si="13"/>
        <v>5.8500000000000005</v>
      </c>
      <c r="AB4" s="199">
        <f t="shared" si="14"/>
        <v>11.7</v>
      </c>
      <c r="AC4" s="199">
        <f t="shared" si="17"/>
        <v>58.500000000000007</v>
      </c>
      <c r="AD4" s="199">
        <f t="shared" si="15"/>
        <v>58.5</v>
      </c>
      <c r="AE4" s="189">
        <v>5</v>
      </c>
      <c r="AF4" s="199">
        <v>9</v>
      </c>
      <c r="AG4" s="200">
        <f t="shared" si="18"/>
        <v>45</v>
      </c>
      <c r="AH4" s="152" t="s">
        <v>247</v>
      </c>
    </row>
    <row r="5" spans="2:34" x14ac:dyDescent="0.35">
      <c r="B5" s="188">
        <f t="shared" si="19"/>
        <v>42384</v>
      </c>
      <c r="C5" s="189" t="s">
        <v>204</v>
      </c>
      <c r="D5" s="189" t="s">
        <v>252</v>
      </c>
      <c r="E5" s="190" t="s">
        <v>318</v>
      </c>
      <c r="F5" s="191">
        <v>2</v>
      </c>
      <c r="G5" s="211">
        <v>0.2</v>
      </c>
      <c r="H5" s="211">
        <v>1</v>
      </c>
      <c r="I5" s="211">
        <v>0</v>
      </c>
      <c r="J5" s="192">
        <f t="shared" si="0"/>
        <v>0.8</v>
      </c>
      <c r="K5" s="191">
        <v>0.8</v>
      </c>
      <c r="L5" s="193">
        <v>0</v>
      </c>
      <c r="M5" s="194">
        <f t="shared" si="1"/>
        <v>0.55384615384615388</v>
      </c>
      <c r="N5" s="194">
        <f t="shared" si="2"/>
        <v>0.16615384615384615</v>
      </c>
      <c r="O5" s="194">
        <f t="shared" si="3"/>
        <v>0</v>
      </c>
      <c r="P5" s="194">
        <f t="shared" si="4"/>
        <v>0</v>
      </c>
      <c r="Q5" s="194">
        <f t="shared" si="5"/>
        <v>0.08</v>
      </c>
      <c r="R5" s="195">
        <f t="shared" si="6"/>
        <v>12</v>
      </c>
      <c r="S5" s="196">
        <f t="shared" si="16"/>
        <v>47</v>
      </c>
      <c r="T5" s="197">
        <f t="shared" si="7"/>
        <v>64.615384615384627</v>
      </c>
      <c r="U5" s="198">
        <f t="shared" si="8"/>
        <v>0</v>
      </c>
      <c r="V5" s="196">
        <f t="shared" si="20"/>
        <v>0</v>
      </c>
      <c r="W5" s="199">
        <f t="shared" si="9"/>
        <v>19.384615384615387</v>
      </c>
      <c r="X5" s="199">
        <f t="shared" si="10"/>
        <v>5.815384615384616</v>
      </c>
      <c r="Y5" s="199">
        <f t="shared" si="11"/>
        <v>0</v>
      </c>
      <c r="Z5" s="199">
        <f t="shared" si="12"/>
        <v>0</v>
      </c>
      <c r="AA5" s="199">
        <f t="shared" si="13"/>
        <v>3.6</v>
      </c>
      <c r="AB5" s="199">
        <f t="shared" si="14"/>
        <v>7.2</v>
      </c>
      <c r="AC5" s="199">
        <f t="shared" si="17"/>
        <v>36.000000000000007</v>
      </c>
      <c r="AD5" s="199">
        <f t="shared" si="15"/>
        <v>36</v>
      </c>
      <c r="AE5" s="189">
        <v>5</v>
      </c>
      <c r="AF5" s="199">
        <v>9</v>
      </c>
      <c r="AG5" s="200">
        <f t="shared" si="18"/>
        <v>45</v>
      </c>
      <c r="AH5" s="152" t="s">
        <v>247</v>
      </c>
    </row>
    <row r="6" spans="2:34" x14ac:dyDescent="0.35">
      <c r="B6" s="188">
        <f t="shared" si="19"/>
        <v>42391</v>
      </c>
      <c r="C6" s="189" t="s">
        <v>204</v>
      </c>
      <c r="D6" s="189" t="s">
        <v>252</v>
      </c>
      <c r="E6" s="190" t="s">
        <v>318</v>
      </c>
      <c r="F6" s="191">
        <v>7</v>
      </c>
      <c r="G6" s="211">
        <v>0.7</v>
      </c>
      <c r="H6" s="211">
        <v>1.5</v>
      </c>
      <c r="I6" s="211">
        <v>0</v>
      </c>
      <c r="J6" s="192">
        <f t="shared" si="0"/>
        <v>4.8</v>
      </c>
      <c r="K6" s="191">
        <v>4.8</v>
      </c>
      <c r="L6" s="193">
        <v>0</v>
      </c>
      <c r="M6" s="194">
        <f t="shared" si="1"/>
        <v>3.3230769230769228</v>
      </c>
      <c r="N6" s="194">
        <f t="shared" si="2"/>
        <v>0.9969230769230768</v>
      </c>
      <c r="O6" s="194">
        <f t="shared" si="3"/>
        <v>0</v>
      </c>
      <c r="P6" s="194">
        <f t="shared" si="4"/>
        <v>0</v>
      </c>
      <c r="Q6" s="194">
        <f t="shared" si="5"/>
        <v>0.48000000000000004</v>
      </c>
      <c r="R6" s="195">
        <f t="shared" si="6"/>
        <v>77</v>
      </c>
      <c r="S6" s="196">
        <f t="shared" si="16"/>
        <v>124</v>
      </c>
      <c r="T6" s="197">
        <f t="shared" si="7"/>
        <v>387.69230769230768</v>
      </c>
      <c r="U6" s="198">
        <f t="shared" si="8"/>
        <v>0</v>
      </c>
      <c r="V6" s="196">
        <f t="shared" si="20"/>
        <v>0</v>
      </c>
      <c r="W6" s="199">
        <f t="shared" si="9"/>
        <v>116.30769230769229</v>
      </c>
      <c r="X6" s="199">
        <f t="shared" si="10"/>
        <v>34.892307692307689</v>
      </c>
      <c r="Y6" s="199">
        <f t="shared" si="11"/>
        <v>0</v>
      </c>
      <c r="Z6" s="199">
        <f t="shared" si="12"/>
        <v>0</v>
      </c>
      <c r="AA6" s="199">
        <f t="shared" si="13"/>
        <v>21.6</v>
      </c>
      <c r="AB6" s="199">
        <f t="shared" si="14"/>
        <v>43.2</v>
      </c>
      <c r="AC6" s="199">
        <f t="shared" si="17"/>
        <v>215.99999999999997</v>
      </c>
      <c r="AD6" s="199">
        <f t="shared" si="15"/>
        <v>216</v>
      </c>
      <c r="AE6" s="189">
        <v>5</v>
      </c>
      <c r="AF6" s="199">
        <v>9</v>
      </c>
      <c r="AG6" s="200">
        <f t="shared" si="18"/>
        <v>45</v>
      </c>
      <c r="AH6" s="152" t="s">
        <v>267</v>
      </c>
    </row>
    <row r="7" spans="2:34" x14ac:dyDescent="0.35">
      <c r="B7" s="188">
        <f t="shared" si="19"/>
        <v>42398</v>
      </c>
      <c r="C7" s="189" t="s">
        <v>204</v>
      </c>
      <c r="D7" s="189" t="s">
        <v>253</v>
      </c>
      <c r="E7" s="190" t="s">
        <v>318</v>
      </c>
      <c r="F7" s="191">
        <v>8</v>
      </c>
      <c r="G7" s="211">
        <v>1</v>
      </c>
      <c r="H7" s="211">
        <v>2.5</v>
      </c>
      <c r="I7" s="211">
        <v>0</v>
      </c>
      <c r="J7" s="192">
        <f t="shared" si="0"/>
        <v>4.5</v>
      </c>
      <c r="K7" s="191">
        <v>4.5</v>
      </c>
      <c r="L7" s="193">
        <v>0</v>
      </c>
      <c r="M7" s="194">
        <f t="shared" si="1"/>
        <v>3.115384615384615</v>
      </c>
      <c r="N7" s="194">
        <f t="shared" si="2"/>
        <v>0.9346153846153844</v>
      </c>
      <c r="O7" s="194">
        <f t="shared" si="3"/>
        <v>0</v>
      </c>
      <c r="P7" s="194">
        <f t="shared" si="4"/>
        <v>0</v>
      </c>
      <c r="Q7" s="194">
        <f t="shared" si="5"/>
        <v>0.44999999999999996</v>
      </c>
      <c r="R7" s="195">
        <f t="shared" si="6"/>
        <v>58</v>
      </c>
      <c r="S7" s="196">
        <f t="shared" si="16"/>
        <v>182</v>
      </c>
      <c r="T7" s="197">
        <f t="shared" si="7"/>
        <v>290.76923076923072</v>
      </c>
      <c r="U7" s="198">
        <f t="shared" si="8"/>
        <v>0</v>
      </c>
      <c r="V7" s="196">
        <f t="shared" si="20"/>
        <v>0</v>
      </c>
      <c r="W7" s="199">
        <f t="shared" si="9"/>
        <v>87.230769230769212</v>
      </c>
      <c r="X7" s="199">
        <f t="shared" si="10"/>
        <v>26.169230769230762</v>
      </c>
      <c r="Y7" s="199">
        <f t="shared" si="11"/>
        <v>0</v>
      </c>
      <c r="Z7" s="199">
        <f t="shared" si="12"/>
        <v>0</v>
      </c>
      <c r="AA7" s="199">
        <f t="shared" si="13"/>
        <v>16.2</v>
      </c>
      <c r="AB7" s="199">
        <f t="shared" si="14"/>
        <v>32.4</v>
      </c>
      <c r="AC7" s="199">
        <f t="shared" si="17"/>
        <v>161.99999999999997</v>
      </c>
      <c r="AD7" s="199">
        <f t="shared" si="15"/>
        <v>162</v>
      </c>
      <c r="AE7" s="189">
        <v>4</v>
      </c>
      <c r="AF7" s="199">
        <v>9</v>
      </c>
      <c r="AG7" s="200">
        <f t="shared" si="18"/>
        <v>36</v>
      </c>
      <c r="AH7" s="152" t="s">
        <v>316</v>
      </c>
    </row>
    <row r="8" spans="2:34" x14ac:dyDescent="0.35">
      <c r="B8" s="188">
        <f t="shared" si="19"/>
        <v>42405</v>
      </c>
      <c r="C8" s="189" t="s">
        <v>204</v>
      </c>
      <c r="D8" s="189" t="s">
        <v>253</v>
      </c>
      <c r="E8" s="190" t="s">
        <v>318</v>
      </c>
      <c r="F8" s="191">
        <v>8</v>
      </c>
      <c r="G8" s="211">
        <v>1</v>
      </c>
      <c r="H8" s="211">
        <v>0</v>
      </c>
      <c r="I8" s="211">
        <v>0</v>
      </c>
      <c r="J8" s="192">
        <f t="shared" si="0"/>
        <v>7</v>
      </c>
      <c r="K8" s="191">
        <v>7</v>
      </c>
      <c r="L8" s="193">
        <v>0</v>
      </c>
      <c r="M8" s="194">
        <f t="shared" si="1"/>
        <v>4.8461538461538458</v>
      </c>
      <c r="N8" s="194">
        <f t="shared" si="2"/>
        <v>1.4538461538461538</v>
      </c>
      <c r="O8" s="194">
        <f t="shared" si="3"/>
        <v>0</v>
      </c>
      <c r="P8" s="194">
        <f t="shared" si="4"/>
        <v>0</v>
      </c>
      <c r="Q8" s="194">
        <f t="shared" si="5"/>
        <v>0.7</v>
      </c>
      <c r="R8" s="195">
        <f t="shared" si="6"/>
        <v>113</v>
      </c>
      <c r="S8" s="196">
        <f t="shared" si="16"/>
        <v>295</v>
      </c>
      <c r="T8" s="197">
        <f t="shared" si="7"/>
        <v>565.38461538461536</v>
      </c>
      <c r="U8" s="198">
        <f t="shared" si="8"/>
        <v>0</v>
      </c>
      <c r="V8" s="196">
        <f t="shared" si="20"/>
        <v>0</v>
      </c>
      <c r="W8" s="199">
        <f t="shared" si="9"/>
        <v>169.61538461538461</v>
      </c>
      <c r="X8" s="199">
        <f t="shared" si="10"/>
        <v>50.88461538461538</v>
      </c>
      <c r="Y8" s="199">
        <f t="shared" si="11"/>
        <v>0</v>
      </c>
      <c r="Z8" s="199">
        <f t="shared" si="12"/>
        <v>0</v>
      </c>
      <c r="AA8" s="199">
        <f t="shared" si="13"/>
        <v>31.5</v>
      </c>
      <c r="AB8" s="199">
        <f t="shared" si="14"/>
        <v>63</v>
      </c>
      <c r="AC8" s="199">
        <f t="shared" si="17"/>
        <v>315</v>
      </c>
      <c r="AD8" s="199">
        <f t="shared" si="15"/>
        <v>315</v>
      </c>
      <c r="AE8" s="189">
        <v>5</v>
      </c>
      <c r="AF8" s="199">
        <v>9</v>
      </c>
      <c r="AG8" s="200">
        <f t="shared" si="18"/>
        <v>45</v>
      </c>
      <c r="AH8" s="152" t="s">
        <v>316</v>
      </c>
    </row>
    <row r="9" spans="2:34" x14ac:dyDescent="0.35">
      <c r="B9" s="188">
        <f t="shared" si="19"/>
        <v>42412</v>
      </c>
      <c r="C9" s="189" t="s">
        <v>204</v>
      </c>
      <c r="D9" s="189" t="s">
        <v>253</v>
      </c>
      <c r="E9" s="190" t="s">
        <v>318</v>
      </c>
      <c r="F9" s="191">
        <v>8</v>
      </c>
      <c r="G9" s="211">
        <v>1</v>
      </c>
      <c r="H9" s="211">
        <v>1</v>
      </c>
      <c r="I9" s="211">
        <v>0</v>
      </c>
      <c r="J9" s="192">
        <f t="shared" si="0"/>
        <v>6</v>
      </c>
      <c r="K9" s="191">
        <v>6</v>
      </c>
      <c r="L9" s="193">
        <v>0</v>
      </c>
      <c r="M9" s="194">
        <f t="shared" ref="M9" si="21">(W9+(($AB9*($K9/$J9))/(1+Hr_Review)))/$AG9</f>
        <v>4.1538461538461533</v>
      </c>
      <c r="N9" s="194">
        <f t="shared" ref="N9" si="22">(X9+(($AB9*($K9/$J9))/(1+Hr_Review))*Hr_Review)/$AG9</f>
        <v>1.2461538461538459</v>
      </c>
      <c r="O9" s="194">
        <f t="shared" ref="O9" si="23">(Y9+(($AB9*($L9/$J9))/(1+Hr_Review)))/$AG9</f>
        <v>0</v>
      </c>
      <c r="P9" s="194">
        <f t="shared" ref="P9" si="24">(Z9+(($AB9*($L9/$J9))/(1+Hr_Review))*Hr_Review)/$AG9</f>
        <v>0</v>
      </c>
      <c r="Q9" s="194">
        <f t="shared" si="5"/>
        <v>0.6</v>
      </c>
      <c r="R9" s="195">
        <f t="shared" si="6"/>
        <v>96</v>
      </c>
      <c r="S9" s="196">
        <f t="shared" si="16"/>
        <v>391</v>
      </c>
      <c r="T9" s="197">
        <f t="shared" ref="T9" si="25">W9/Analysis_Hr_AC</f>
        <v>484.61538461538453</v>
      </c>
      <c r="U9" s="198">
        <f t="shared" si="8"/>
        <v>0</v>
      </c>
      <c r="V9" s="196">
        <f t="shared" si="20"/>
        <v>0</v>
      </c>
      <c r="W9" s="199">
        <f>K9*(AG9-AG9*Hr_Query-AG9*Hr_OtherAnalysis)*(1/(1+Hr_Query+Hr_OtherAnalysis))</f>
        <v>145.38461538461536</v>
      </c>
      <c r="X9" s="199">
        <f t="shared" ref="X9" si="26">(W9)*Hr_Review</f>
        <v>43.615384615384606</v>
      </c>
      <c r="Y9" s="199">
        <f t="shared" ref="Y9" si="27">L9*(AG9-AG9*Hr_Query-AG9*Hr_OtherAnalysis)*(1/(1+Hr_Query+Hr_OtherAnalysis))</f>
        <v>0</v>
      </c>
      <c r="Z9" s="199">
        <f t="shared" ref="Z9" si="28">(Y9)*Hr_Review</f>
        <v>0</v>
      </c>
      <c r="AA9" s="199">
        <f t="shared" ref="AA9" si="29">AD9*Hr_OtherAnalysis</f>
        <v>27</v>
      </c>
      <c r="AB9" s="199">
        <f t="shared" ref="AB9" si="30">ROUND(AD9*Hr_Query,1)</f>
        <v>54</v>
      </c>
      <c r="AC9" s="199">
        <f t="shared" si="17"/>
        <v>270</v>
      </c>
      <c r="AD9" s="199">
        <f t="shared" si="15"/>
        <v>270</v>
      </c>
      <c r="AE9" s="189">
        <v>5</v>
      </c>
      <c r="AF9" s="199">
        <v>9</v>
      </c>
      <c r="AG9" s="200">
        <f t="shared" si="18"/>
        <v>45</v>
      </c>
      <c r="AH9" s="152" t="s">
        <v>316</v>
      </c>
    </row>
    <row r="10" spans="2:34" x14ac:dyDescent="0.35">
      <c r="B10" s="188">
        <f t="shared" si="19"/>
        <v>42419</v>
      </c>
      <c r="C10" s="189" t="s">
        <v>204</v>
      </c>
      <c r="D10" s="189" t="s">
        <v>250</v>
      </c>
      <c r="E10" s="190" t="s">
        <v>318</v>
      </c>
      <c r="F10" s="191">
        <v>9</v>
      </c>
      <c r="G10" s="211">
        <v>1</v>
      </c>
      <c r="H10" s="211">
        <v>1.5</v>
      </c>
      <c r="I10" s="211">
        <v>0</v>
      </c>
      <c r="J10" s="192">
        <f t="shared" si="0"/>
        <v>6.5</v>
      </c>
      <c r="K10" s="191">
        <v>6.5</v>
      </c>
      <c r="L10" s="193">
        <v>0</v>
      </c>
      <c r="M10" s="194">
        <f t="shared" ref="M10" si="31">(W10+(($AB10*($K10/$J10))/(1+Hr_Review)))/$AG10</f>
        <v>4.5</v>
      </c>
      <c r="N10" s="194">
        <f t="shared" ref="N10" si="32">(X10+(($AB10*($K10/$J10))/(1+Hr_Review))*Hr_Review)/$AG10</f>
        <v>1.35</v>
      </c>
      <c r="O10" s="194">
        <f t="shared" ref="O10" si="33">(Y10+(($AB10*($L10/$J10))/(1+Hr_Review)))/$AG10</f>
        <v>0</v>
      </c>
      <c r="P10" s="194">
        <f t="shared" ref="P10" si="34">(Z10+(($AB10*($L10/$J10))/(1+Hr_Review))*Hr_Review)/$AG10</f>
        <v>0</v>
      </c>
      <c r="Q10" s="194">
        <f t="shared" si="5"/>
        <v>0.65</v>
      </c>
      <c r="R10" s="195">
        <f t="shared" si="6"/>
        <v>105</v>
      </c>
      <c r="S10" s="196">
        <f t="shared" si="16"/>
        <v>496</v>
      </c>
      <c r="T10" s="197">
        <f t="shared" ref="T10" si="35">W10/Analysis_Hr_AC</f>
        <v>525</v>
      </c>
      <c r="U10" s="198">
        <f t="shared" si="8"/>
        <v>0</v>
      </c>
      <c r="V10" s="196">
        <f t="shared" si="20"/>
        <v>0</v>
      </c>
      <c r="W10" s="199">
        <f t="shared" ref="W10" si="36">K10*(AG10-AG10*Hr_Query-AG10*Hr_OtherAnalysis)*(1/(1+Hr_Query+Hr_OtherAnalysis))</f>
        <v>157.5</v>
      </c>
      <c r="X10" s="199">
        <f t="shared" ref="X10" si="37">(W10)*Hr_Review</f>
        <v>47.25</v>
      </c>
      <c r="Y10" s="199">
        <f t="shared" ref="Y10" si="38">L10*(AG10-AG10*Hr_Query-AG10*Hr_OtherAnalysis)*(1/(1+Hr_Query+Hr_OtherAnalysis))</f>
        <v>0</v>
      </c>
      <c r="Z10" s="199">
        <f t="shared" ref="Z10" si="39">(Y10)*Hr_Review</f>
        <v>0</v>
      </c>
      <c r="AA10" s="199">
        <f t="shared" ref="AA10" si="40">AD10*Hr_OtherAnalysis</f>
        <v>29.25</v>
      </c>
      <c r="AB10" s="199">
        <f t="shared" ref="AB10" si="41">ROUND(AD10*Hr_Query,1)</f>
        <v>58.5</v>
      </c>
      <c r="AC10" s="199">
        <f t="shared" si="17"/>
        <v>292.5</v>
      </c>
      <c r="AD10" s="199">
        <f t="shared" si="15"/>
        <v>292.5</v>
      </c>
      <c r="AE10" s="189">
        <v>5</v>
      </c>
      <c r="AF10" s="199">
        <v>9</v>
      </c>
      <c r="AG10" s="200">
        <f t="shared" si="18"/>
        <v>45</v>
      </c>
      <c r="AH10" s="152" t="s">
        <v>317</v>
      </c>
    </row>
    <row r="11" spans="2:34" x14ac:dyDescent="0.35">
      <c r="B11" s="188">
        <f t="shared" si="19"/>
        <v>42426</v>
      </c>
      <c r="C11" s="189" t="s">
        <v>204</v>
      </c>
      <c r="D11" s="189" t="s">
        <v>250</v>
      </c>
      <c r="E11" s="190" t="s">
        <v>319</v>
      </c>
      <c r="F11" s="191">
        <v>9</v>
      </c>
      <c r="G11" s="211">
        <v>1</v>
      </c>
      <c r="H11" s="211">
        <v>1.5</v>
      </c>
      <c r="I11" s="211">
        <v>0</v>
      </c>
      <c r="J11" s="192">
        <f t="shared" si="0"/>
        <v>6.5</v>
      </c>
      <c r="K11" s="191">
        <v>1.7</v>
      </c>
      <c r="L11" s="201">
        <f>J11-K11</f>
        <v>4.8</v>
      </c>
      <c r="M11" s="194">
        <f t="shared" ref="M11" si="42">(W11+(($AB11*($K11/$J11))/(1+Hr_Review)))/$AG11</f>
        <v>1.1769230769230767</v>
      </c>
      <c r="N11" s="194">
        <f t="shared" ref="N11" si="43">(X11+(($AB11*($K11/$J11))/(1+Hr_Review))*Hr_Review)/$AG11</f>
        <v>0.35307692307692301</v>
      </c>
      <c r="O11" s="194">
        <f t="shared" ref="O11" si="44">(Y11+(($AB11*($L11/$J11))/(1+Hr_Review)))/$AG11</f>
        <v>3.3230769230769228</v>
      </c>
      <c r="P11" s="194">
        <f t="shared" ref="P11" si="45">(Z11+(($AB11*($L11/$J11))/(1+Hr_Review))*Hr_Review)/$AG11</f>
        <v>0.9969230769230768</v>
      </c>
      <c r="Q11" s="194">
        <f t="shared" si="5"/>
        <v>0.65</v>
      </c>
      <c r="R11" s="195">
        <f t="shared" si="6"/>
        <v>27</v>
      </c>
      <c r="S11" s="196">
        <f t="shared" si="16"/>
        <v>523</v>
      </c>
      <c r="T11" s="197">
        <f t="shared" ref="T11" si="46">W11/Analysis_Hr_AC</f>
        <v>137.30769230769229</v>
      </c>
      <c r="U11" s="198">
        <f t="shared" si="8"/>
        <v>83.076923076923066</v>
      </c>
      <c r="V11" s="196">
        <f t="shared" si="20"/>
        <v>83.076923076923066</v>
      </c>
      <c r="W11" s="199">
        <f t="shared" ref="W11" si="47">K11*(AG11-AG11*Hr_Query-AG11*Hr_OtherAnalysis)*(1/(1+Hr_Query+Hr_OtherAnalysis))</f>
        <v>41.192307692307686</v>
      </c>
      <c r="X11" s="199">
        <f t="shared" ref="X11" si="48">(W11)*Hr_Review</f>
        <v>12.357692307692306</v>
      </c>
      <c r="Y11" s="199">
        <f t="shared" ref="Y11" si="49">L11*(AG11-AG11*Hr_Query-AG11*Hr_OtherAnalysis)*(1/(1+Hr_Query+Hr_OtherAnalysis))</f>
        <v>116.30769230769229</v>
      </c>
      <c r="Z11" s="199">
        <f t="shared" ref="Z11" si="50">(Y11)*Hr_Review</f>
        <v>34.892307692307689</v>
      </c>
      <c r="AA11" s="199">
        <f t="shared" ref="AA11" si="51">AD11*Hr_OtherAnalysis</f>
        <v>29.25</v>
      </c>
      <c r="AB11" s="199">
        <f t="shared" ref="AB11" si="52">ROUND(AD11*Hr_Query,1)</f>
        <v>58.5</v>
      </c>
      <c r="AC11" s="199">
        <f t="shared" si="17"/>
        <v>292.5</v>
      </c>
      <c r="AD11" s="199">
        <f t="shared" si="15"/>
        <v>292.5</v>
      </c>
      <c r="AE11" s="189">
        <v>5</v>
      </c>
      <c r="AF11" s="199">
        <v>9</v>
      </c>
      <c r="AG11" s="200">
        <f t="shared" si="18"/>
        <v>45</v>
      </c>
      <c r="AH11" s="152" t="s">
        <v>317</v>
      </c>
    </row>
    <row r="12" spans="2:34" x14ac:dyDescent="0.35">
      <c r="B12" s="188">
        <f t="shared" si="19"/>
        <v>42433</v>
      </c>
      <c r="C12" s="189" t="s">
        <v>204</v>
      </c>
      <c r="D12" s="189" t="s">
        <v>250</v>
      </c>
      <c r="E12" s="202" t="s">
        <v>320</v>
      </c>
      <c r="F12" s="191">
        <v>9</v>
      </c>
      <c r="G12" s="211">
        <v>1</v>
      </c>
      <c r="H12" s="211">
        <v>0</v>
      </c>
      <c r="I12" s="211">
        <v>0</v>
      </c>
      <c r="J12" s="192">
        <f t="shared" si="0"/>
        <v>8</v>
      </c>
      <c r="K12" s="191">
        <v>0</v>
      </c>
      <c r="L12" s="193">
        <v>8</v>
      </c>
      <c r="M12" s="194">
        <f t="shared" ref="M12" si="53">(W12+(($AB12*($K12/$J12))/(1+Hr_Review)))/$AG12</f>
        <v>0</v>
      </c>
      <c r="N12" s="194">
        <f t="shared" ref="N12" si="54">(X12+(($AB12*($K12/$J12))/(1+Hr_Review))*Hr_Review)/$AG12</f>
        <v>0</v>
      </c>
      <c r="O12" s="194">
        <f t="shared" ref="O12" si="55">(Y12+(($AB12*($L12/$J12))/(1+Hr_Review)))/$AG12</f>
        <v>5.5384615384615383</v>
      </c>
      <c r="P12" s="194">
        <f t="shared" ref="P12" si="56">(Z12+(($AB12*($L12/$J12))/(1+Hr_Review))*Hr_Review)/$AG12</f>
        <v>1.6615384615384614</v>
      </c>
      <c r="Q12" s="194">
        <f t="shared" si="5"/>
        <v>0.8</v>
      </c>
      <c r="R12" s="195">
        <f t="shared" si="6"/>
        <v>0</v>
      </c>
      <c r="S12" s="196">
        <f t="shared" si="16"/>
        <v>523</v>
      </c>
      <c r="T12" s="197">
        <f t="shared" ref="T12" si="57">W12/Analysis_Hr_AC</f>
        <v>0</v>
      </c>
      <c r="U12" s="198">
        <f t="shared" si="8"/>
        <v>138.46153846153845</v>
      </c>
      <c r="V12" s="196">
        <f t="shared" si="20"/>
        <v>221.53846153846152</v>
      </c>
      <c r="W12" s="199">
        <f t="shared" ref="W12" si="58">K12*(AG12-AG12*Hr_Query-AG12*Hr_OtherAnalysis)*(1/(1+Hr_Query+Hr_OtherAnalysis))</f>
        <v>0</v>
      </c>
      <c r="X12" s="199">
        <f t="shared" ref="X12" si="59">(W12)*Hr_Review</f>
        <v>0</v>
      </c>
      <c r="Y12" s="199">
        <f t="shared" ref="Y12" si="60">L12*(AG12-AG12*Hr_Query-AG12*Hr_OtherAnalysis)*(1/(1+Hr_Query+Hr_OtherAnalysis))</f>
        <v>193.84615384615384</v>
      </c>
      <c r="Z12" s="199">
        <f t="shared" ref="Z12" si="61">(Y12)*Hr_Review</f>
        <v>58.153846153846146</v>
      </c>
      <c r="AA12" s="199">
        <f t="shared" ref="AA12" si="62">AD12*Hr_OtherAnalysis</f>
        <v>36</v>
      </c>
      <c r="AB12" s="199">
        <f t="shared" ref="AB12" si="63">ROUND(AD12*Hr_Query,1)</f>
        <v>72</v>
      </c>
      <c r="AC12" s="199">
        <f t="shared" si="17"/>
        <v>360</v>
      </c>
      <c r="AD12" s="199">
        <f t="shared" si="15"/>
        <v>360</v>
      </c>
      <c r="AE12" s="189">
        <v>5</v>
      </c>
      <c r="AF12" s="199">
        <v>9</v>
      </c>
      <c r="AG12" s="200">
        <f t="shared" si="18"/>
        <v>45</v>
      </c>
      <c r="AH12" s="152" t="s">
        <v>317</v>
      </c>
    </row>
    <row r="13" spans="2:34" ht="29" x14ac:dyDescent="0.35">
      <c r="B13" s="188">
        <f t="shared" si="19"/>
        <v>42440</v>
      </c>
      <c r="C13" s="189" t="s">
        <v>204</v>
      </c>
      <c r="D13" s="189" t="s">
        <v>251</v>
      </c>
      <c r="E13" s="202" t="s">
        <v>321</v>
      </c>
      <c r="F13" s="191">
        <v>9</v>
      </c>
      <c r="G13" s="211">
        <v>1</v>
      </c>
      <c r="H13" s="211">
        <v>0</v>
      </c>
      <c r="I13" s="211">
        <v>0</v>
      </c>
      <c r="J13" s="192">
        <f t="shared" si="0"/>
        <v>8</v>
      </c>
      <c r="K13" s="191">
        <v>0</v>
      </c>
      <c r="L13" s="193">
        <v>4.5</v>
      </c>
      <c r="M13" s="194">
        <f t="shared" ref="M13" si="64">(W13+(($AB13*($K13/$J13))/(1+Hr_Review)))/$AG13</f>
        <v>0</v>
      </c>
      <c r="N13" s="194">
        <f t="shared" ref="N13" si="65">(X13+(($AB13*($K13/$J13))/(1+Hr_Review))*Hr_Review)/$AG13</f>
        <v>0</v>
      </c>
      <c r="O13" s="194">
        <f t="shared" ref="O13" si="66">(Y13+(($AB13*($L13/$J13))/(1+Hr_Review)))/$AG13</f>
        <v>3.115384615384615</v>
      </c>
      <c r="P13" s="194">
        <f t="shared" ref="P13" si="67">(Z13+(($AB13*($L13/$J13))/(1+Hr_Review))*Hr_Review)/$AG13</f>
        <v>0.93461538461538463</v>
      </c>
      <c r="Q13" s="194">
        <f t="shared" si="5"/>
        <v>0.8</v>
      </c>
      <c r="R13" s="195">
        <f t="shared" ref="R13" si="68">ROUNDDOWN(W13/(Analysis_Hr_AC*NO_AC_US),0)</f>
        <v>0</v>
      </c>
      <c r="S13" s="196">
        <f t="shared" si="16"/>
        <v>523</v>
      </c>
      <c r="T13" s="197">
        <f t="shared" ref="T13" si="69">W13/Analysis_Hr_AC</f>
        <v>0</v>
      </c>
      <c r="U13" s="198">
        <f t="shared" si="8"/>
        <v>77.884615384615387</v>
      </c>
      <c r="V13" s="196">
        <f t="shared" si="20"/>
        <v>299.42307692307691</v>
      </c>
      <c r="W13" s="199">
        <f t="shared" ref="W13" si="70">K13*(AG13-AG13*Hr_Query-AG13*Hr_OtherAnalysis)*(1/(1+Hr_Query+Hr_OtherAnalysis))</f>
        <v>0</v>
      </c>
      <c r="X13" s="199">
        <f t="shared" ref="X13" si="71">(W13)*Hr_Review</f>
        <v>0</v>
      </c>
      <c r="Y13" s="199">
        <f t="shared" ref="Y13" si="72">L13*(AG13-AG13*Hr_Query-AG13*Hr_OtherAnalysis)*(1/(1+Hr_Query+Hr_OtherAnalysis))</f>
        <v>109.03846153846153</v>
      </c>
      <c r="Z13" s="199">
        <f t="shared" ref="Z13" si="73">(Y13)*Hr_Review</f>
        <v>32.71153846153846</v>
      </c>
      <c r="AA13" s="199">
        <f t="shared" ref="AA13" si="74">AD13*Hr_OtherAnalysis</f>
        <v>36</v>
      </c>
      <c r="AB13" s="199">
        <f t="shared" ref="AB13" si="75">ROUND(AD13*Hr_Query,1)</f>
        <v>72</v>
      </c>
      <c r="AC13" s="199">
        <f t="shared" si="17"/>
        <v>249.75</v>
      </c>
      <c r="AD13" s="199">
        <f t="shared" si="15"/>
        <v>360</v>
      </c>
      <c r="AE13" s="189">
        <v>5</v>
      </c>
      <c r="AF13" s="199">
        <v>9</v>
      </c>
      <c r="AG13" s="200">
        <f t="shared" si="18"/>
        <v>45</v>
      </c>
      <c r="AH13" s="152" t="s">
        <v>317</v>
      </c>
    </row>
    <row r="14" spans="2:34" x14ac:dyDescent="0.35">
      <c r="B14" s="156" t="s">
        <v>463</v>
      </c>
      <c r="C14" s="152" t="s">
        <v>462</v>
      </c>
    </row>
    <row r="15" spans="2:34" x14ac:dyDescent="0.35">
      <c r="B15" s="188">
        <f>B13+7</f>
        <v>42447</v>
      </c>
      <c r="C15" s="189" t="s">
        <v>249</v>
      </c>
      <c r="D15" s="189" t="s">
        <v>251</v>
      </c>
      <c r="E15" s="190" t="s">
        <v>258</v>
      </c>
      <c r="F15" s="191">
        <v>5</v>
      </c>
      <c r="G15" s="211">
        <v>0.5</v>
      </c>
      <c r="H15" s="211">
        <v>0</v>
      </c>
      <c r="I15" s="211">
        <v>0</v>
      </c>
      <c r="J15" s="192">
        <f t="shared" ref="J15:J26" si="76">F15-(G15+H15+I15)</f>
        <v>4.5</v>
      </c>
      <c r="K15" s="191">
        <v>4.5</v>
      </c>
      <c r="L15" s="193">
        <v>0</v>
      </c>
      <c r="M15" s="194">
        <f t="shared" ref="M15:M22" si="77">(W15+(($AB15*($K15/$J15))/(1+Hr_Review)))/$AG15</f>
        <v>3.115384615384615</v>
      </c>
      <c r="N15" s="194">
        <f t="shared" ref="N15:N22" si="78">(X15+(($AB15*($K15/$J15))/(1+Hr_Review))*Hr_Review)/$AG15</f>
        <v>0.93461538461538463</v>
      </c>
      <c r="O15" s="194">
        <f t="shared" ref="O15:O22" si="79">(Y15+(($AB15*($L15/$J15))/(1+Hr_Review)))/$AG15</f>
        <v>0</v>
      </c>
      <c r="P15" s="194">
        <f t="shared" ref="P15:P22" si="80">(Z15+(($AB15*($L15/$J15))/(1+Hr_Review))*Hr_Review)/$AG15</f>
        <v>0</v>
      </c>
      <c r="Q15" s="194">
        <f t="shared" ref="Q15:Q22" si="81">AA15/$AG15</f>
        <v>0.45</v>
      </c>
      <c r="R15" s="195">
        <f t="shared" ref="R15:R22" si="82">ROUNDDOWN(W15/(Analysis_Hr_AC*NO_AC_US),0)</f>
        <v>72</v>
      </c>
      <c r="S15" s="196">
        <f>R15+S14</f>
        <v>72</v>
      </c>
      <c r="T15" s="197">
        <f t="shared" ref="T15:T22" si="83">W15/Analysis_Hr_AC</f>
        <v>363.46153846153845</v>
      </c>
      <c r="U15" s="198">
        <f t="shared" ref="U15:U26" si="84">Y15/$B$45</f>
        <v>0</v>
      </c>
      <c r="V15" s="196">
        <f>V14+U15</f>
        <v>0</v>
      </c>
      <c r="W15" s="199">
        <f t="shared" ref="W15:W22" si="85">K15*(AG15-AG15*Hr_Query-AG15*Hr_OtherAnalysis)*(1/(1+Hr_Query+Hr_OtherAnalysis))</f>
        <v>109.03846153846153</v>
      </c>
      <c r="X15" s="199">
        <f t="shared" ref="X15:X22" si="86">(W15)*Hr_Review</f>
        <v>32.71153846153846</v>
      </c>
      <c r="Y15" s="199">
        <f t="shared" ref="Y15:Y22" si="87">L15*(AG15-AG15*Hr_Query-AG15*Hr_OtherAnalysis)*(1/(1+Hr_Query+Hr_OtherAnalysis))</f>
        <v>0</v>
      </c>
      <c r="Z15" s="199">
        <f t="shared" ref="Z15:Z22" si="88">(Y15)*Hr_Review</f>
        <v>0</v>
      </c>
      <c r="AA15" s="199">
        <f t="shared" ref="AA15:AA22" si="89">AD15*Hr_OtherAnalysis</f>
        <v>20.25</v>
      </c>
      <c r="AB15" s="199">
        <f t="shared" ref="AB15:AB22" si="90">ROUND(AD15*Hr_Query,1)</f>
        <v>40.5</v>
      </c>
      <c r="AC15" s="199">
        <f t="shared" ref="AC15:AC22" si="91">W15+Y15+X15+Z15+AB15+AA15</f>
        <v>202.5</v>
      </c>
      <c r="AD15" s="199">
        <f t="shared" ref="AD15:AD22" si="92">J15*AE15*AF15</f>
        <v>202.5</v>
      </c>
      <c r="AE15" s="189">
        <v>5</v>
      </c>
      <c r="AF15" s="199">
        <v>9</v>
      </c>
      <c r="AG15" s="200">
        <f t="shared" ref="AG15:AG22" si="93">AE15*AF15</f>
        <v>45</v>
      </c>
    </row>
    <row r="16" spans="2:34" ht="13.5" customHeight="1" x14ac:dyDescent="0.35">
      <c r="B16" s="188">
        <f t="shared" ref="B16:B26" si="94">B15+7</f>
        <v>42454</v>
      </c>
      <c r="C16" s="189" t="s">
        <v>249</v>
      </c>
      <c r="D16" s="189" t="s">
        <v>251</v>
      </c>
      <c r="E16" s="190" t="s">
        <v>258</v>
      </c>
      <c r="F16" s="191">
        <v>5</v>
      </c>
      <c r="G16" s="211">
        <v>0.5</v>
      </c>
      <c r="H16" s="211">
        <v>0</v>
      </c>
      <c r="I16" s="211">
        <v>0</v>
      </c>
      <c r="J16" s="192">
        <f t="shared" si="76"/>
        <v>4.5</v>
      </c>
      <c r="K16" s="191">
        <v>4.5</v>
      </c>
      <c r="L16" s="193">
        <v>0</v>
      </c>
      <c r="M16" s="194">
        <f t="shared" si="77"/>
        <v>3.115384615384615</v>
      </c>
      <c r="N16" s="194">
        <f t="shared" si="78"/>
        <v>0.93461538461538463</v>
      </c>
      <c r="O16" s="194">
        <f t="shared" si="79"/>
        <v>0</v>
      </c>
      <c r="P16" s="194">
        <f t="shared" si="80"/>
        <v>0</v>
      </c>
      <c r="Q16" s="194">
        <f t="shared" si="81"/>
        <v>0.45</v>
      </c>
      <c r="R16" s="195">
        <f t="shared" si="82"/>
        <v>72</v>
      </c>
      <c r="S16" s="196">
        <f t="shared" ref="S16:S22" si="95">R16+S15</f>
        <v>144</v>
      </c>
      <c r="T16" s="197">
        <f t="shared" si="83"/>
        <v>363.46153846153845</v>
      </c>
      <c r="U16" s="198">
        <f t="shared" si="84"/>
        <v>0</v>
      </c>
      <c r="V16" s="196">
        <f t="shared" ref="V16:V22" si="96">V15+U16</f>
        <v>0</v>
      </c>
      <c r="W16" s="199">
        <f t="shared" si="85"/>
        <v>109.03846153846153</v>
      </c>
      <c r="X16" s="199">
        <f t="shared" si="86"/>
        <v>32.71153846153846</v>
      </c>
      <c r="Y16" s="199">
        <f t="shared" si="87"/>
        <v>0</v>
      </c>
      <c r="Z16" s="199">
        <f t="shared" si="88"/>
        <v>0</v>
      </c>
      <c r="AA16" s="199">
        <f t="shared" si="89"/>
        <v>20.25</v>
      </c>
      <c r="AB16" s="199">
        <f t="shared" si="90"/>
        <v>40.5</v>
      </c>
      <c r="AC16" s="199">
        <f t="shared" si="91"/>
        <v>202.5</v>
      </c>
      <c r="AD16" s="199">
        <f t="shared" si="92"/>
        <v>202.5</v>
      </c>
      <c r="AE16" s="189">
        <v>5</v>
      </c>
      <c r="AF16" s="199">
        <v>9</v>
      </c>
      <c r="AG16" s="200">
        <f t="shared" si="93"/>
        <v>45</v>
      </c>
    </row>
    <row r="17" spans="2:33" ht="13.5" customHeight="1" x14ac:dyDescent="0.35">
      <c r="B17" s="188">
        <f t="shared" si="94"/>
        <v>42461</v>
      </c>
      <c r="C17" s="189" t="s">
        <v>249</v>
      </c>
      <c r="D17" s="189" t="s">
        <v>255</v>
      </c>
      <c r="E17" s="190" t="s">
        <v>258</v>
      </c>
      <c r="F17" s="191">
        <v>5</v>
      </c>
      <c r="G17" s="211">
        <v>0.5</v>
      </c>
      <c r="H17" s="211">
        <v>0</v>
      </c>
      <c r="I17" s="211">
        <v>0</v>
      </c>
      <c r="J17" s="192">
        <f t="shared" si="76"/>
        <v>4.5</v>
      </c>
      <c r="K17" s="191">
        <v>4.5</v>
      </c>
      <c r="L17" s="193">
        <v>0</v>
      </c>
      <c r="M17" s="194">
        <f t="shared" si="77"/>
        <v>3.115384615384615</v>
      </c>
      <c r="N17" s="194">
        <f t="shared" si="78"/>
        <v>0.9346153846153844</v>
      </c>
      <c r="O17" s="194">
        <f t="shared" si="79"/>
        <v>0</v>
      </c>
      <c r="P17" s="194">
        <f t="shared" si="80"/>
        <v>0</v>
      </c>
      <c r="Q17" s="194">
        <f t="shared" si="81"/>
        <v>0.44999999999999996</v>
      </c>
      <c r="R17" s="195">
        <f t="shared" si="82"/>
        <v>58</v>
      </c>
      <c r="S17" s="196">
        <f t="shared" si="95"/>
        <v>202</v>
      </c>
      <c r="T17" s="197">
        <f t="shared" si="83"/>
        <v>290.76923076923072</v>
      </c>
      <c r="U17" s="198">
        <f t="shared" si="84"/>
        <v>0</v>
      </c>
      <c r="V17" s="196">
        <f t="shared" si="96"/>
        <v>0</v>
      </c>
      <c r="W17" s="199">
        <f t="shared" si="85"/>
        <v>87.230769230769212</v>
      </c>
      <c r="X17" s="199">
        <f t="shared" si="86"/>
        <v>26.169230769230762</v>
      </c>
      <c r="Y17" s="199">
        <f t="shared" si="87"/>
        <v>0</v>
      </c>
      <c r="Z17" s="199">
        <f t="shared" si="88"/>
        <v>0</v>
      </c>
      <c r="AA17" s="199">
        <f t="shared" si="89"/>
        <v>16.2</v>
      </c>
      <c r="AB17" s="199">
        <f t="shared" si="90"/>
        <v>32.4</v>
      </c>
      <c r="AC17" s="199">
        <f t="shared" si="91"/>
        <v>161.99999999999997</v>
      </c>
      <c r="AD17" s="199">
        <f t="shared" si="92"/>
        <v>162</v>
      </c>
      <c r="AE17" s="189">
        <v>4</v>
      </c>
      <c r="AF17" s="199">
        <v>9</v>
      </c>
      <c r="AG17" s="200">
        <f t="shared" si="93"/>
        <v>36</v>
      </c>
    </row>
    <row r="18" spans="2:33" ht="13.5" customHeight="1" x14ac:dyDescent="0.35">
      <c r="B18" s="188">
        <f t="shared" si="94"/>
        <v>42468</v>
      </c>
      <c r="C18" s="189" t="s">
        <v>249</v>
      </c>
      <c r="D18" s="189" t="s">
        <v>255</v>
      </c>
      <c r="E18" s="190" t="s">
        <v>258</v>
      </c>
      <c r="F18" s="191">
        <v>5</v>
      </c>
      <c r="G18" s="211">
        <v>0.5</v>
      </c>
      <c r="H18" s="211">
        <v>0</v>
      </c>
      <c r="I18" s="211">
        <v>0</v>
      </c>
      <c r="J18" s="192">
        <f t="shared" si="76"/>
        <v>4.5</v>
      </c>
      <c r="K18" s="191">
        <v>4.5</v>
      </c>
      <c r="L18" s="193">
        <v>0</v>
      </c>
      <c r="M18" s="194">
        <f t="shared" si="77"/>
        <v>3.115384615384615</v>
      </c>
      <c r="N18" s="194">
        <f t="shared" si="78"/>
        <v>0.93461538461538463</v>
      </c>
      <c r="O18" s="194">
        <f t="shared" si="79"/>
        <v>0</v>
      </c>
      <c r="P18" s="194">
        <f t="shared" si="80"/>
        <v>0</v>
      </c>
      <c r="Q18" s="194">
        <f t="shared" si="81"/>
        <v>0.45</v>
      </c>
      <c r="R18" s="195">
        <f t="shared" si="82"/>
        <v>72</v>
      </c>
      <c r="S18" s="196">
        <f t="shared" si="95"/>
        <v>274</v>
      </c>
      <c r="T18" s="197">
        <f t="shared" si="83"/>
        <v>363.46153846153845</v>
      </c>
      <c r="U18" s="198">
        <f t="shared" si="84"/>
        <v>0</v>
      </c>
      <c r="V18" s="196">
        <f t="shared" si="96"/>
        <v>0</v>
      </c>
      <c r="W18" s="199">
        <f t="shared" si="85"/>
        <v>109.03846153846153</v>
      </c>
      <c r="X18" s="199">
        <f t="shared" si="86"/>
        <v>32.71153846153846</v>
      </c>
      <c r="Y18" s="199">
        <f t="shared" si="87"/>
        <v>0</v>
      </c>
      <c r="Z18" s="199">
        <f t="shared" si="88"/>
        <v>0</v>
      </c>
      <c r="AA18" s="199">
        <f t="shared" si="89"/>
        <v>20.25</v>
      </c>
      <c r="AB18" s="199">
        <f t="shared" si="90"/>
        <v>40.5</v>
      </c>
      <c r="AC18" s="199">
        <f t="shared" si="91"/>
        <v>202.5</v>
      </c>
      <c r="AD18" s="199">
        <f t="shared" si="92"/>
        <v>202.5</v>
      </c>
      <c r="AE18" s="189">
        <v>5</v>
      </c>
      <c r="AF18" s="199">
        <v>9</v>
      </c>
      <c r="AG18" s="200">
        <f t="shared" si="93"/>
        <v>45</v>
      </c>
    </row>
    <row r="19" spans="2:33" ht="13.5" customHeight="1" x14ac:dyDescent="0.35">
      <c r="B19" s="188">
        <f t="shared" si="94"/>
        <v>42475</v>
      </c>
      <c r="C19" s="189" t="s">
        <v>249</v>
      </c>
      <c r="D19" s="189" t="s">
        <v>255</v>
      </c>
      <c r="E19" s="190" t="s">
        <v>258</v>
      </c>
      <c r="F19" s="191">
        <v>5</v>
      </c>
      <c r="G19" s="211">
        <v>0.5</v>
      </c>
      <c r="H19" s="211">
        <v>0</v>
      </c>
      <c r="I19" s="211">
        <v>0</v>
      </c>
      <c r="J19" s="192">
        <f t="shared" si="76"/>
        <v>4.5</v>
      </c>
      <c r="K19" s="191">
        <v>4.5</v>
      </c>
      <c r="L19" s="193">
        <v>0</v>
      </c>
      <c r="M19" s="194">
        <f t="shared" si="77"/>
        <v>3.115384615384615</v>
      </c>
      <c r="N19" s="194">
        <f t="shared" si="78"/>
        <v>0.9346153846153844</v>
      </c>
      <c r="O19" s="194">
        <f t="shared" si="79"/>
        <v>0</v>
      </c>
      <c r="P19" s="194">
        <f t="shared" si="80"/>
        <v>0</v>
      </c>
      <c r="Q19" s="194">
        <f t="shared" si="81"/>
        <v>0.44999999999999996</v>
      </c>
      <c r="R19" s="195">
        <f t="shared" si="82"/>
        <v>58</v>
      </c>
      <c r="S19" s="196">
        <f t="shared" si="95"/>
        <v>332</v>
      </c>
      <c r="T19" s="197">
        <f t="shared" si="83"/>
        <v>290.76923076923072</v>
      </c>
      <c r="U19" s="198">
        <f t="shared" si="84"/>
        <v>0</v>
      </c>
      <c r="V19" s="196">
        <f t="shared" si="96"/>
        <v>0</v>
      </c>
      <c r="W19" s="199">
        <f t="shared" si="85"/>
        <v>87.230769230769212</v>
      </c>
      <c r="X19" s="199">
        <f t="shared" si="86"/>
        <v>26.169230769230762</v>
      </c>
      <c r="Y19" s="199">
        <f t="shared" si="87"/>
        <v>0</v>
      </c>
      <c r="Z19" s="199">
        <f t="shared" si="88"/>
        <v>0</v>
      </c>
      <c r="AA19" s="199">
        <f t="shared" si="89"/>
        <v>16.2</v>
      </c>
      <c r="AB19" s="199">
        <f t="shared" si="90"/>
        <v>32.4</v>
      </c>
      <c r="AC19" s="199">
        <f t="shared" si="91"/>
        <v>161.99999999999997</v>
      </c>
      <c r="AD19" s="199">
        <f t="shared" si="92"/>
        <v>162</v>
      </c>
      <c r="AE19" s="189">
        <v>4</v>
      </c>
      <c r="AF19" s="199">
        <v>9</v>
      </c>
      <c r="AG19" s="200">
        <f t="shared" si="93"/>
        <v>36</v>
      </c>
    </row>
    <row r="20" spans="2:33" ht="13.5" customHeight="1" x14ac:dyDescent="0.35">
      <c r="B20" s="188">
        <f t="shared" si="94"/>
        <v>42482</v>
      </c>
      <c r="C20" s="189" t="s">
        <v>249</v>
      </c>
      <c r="D20" s="189" t="s">
        <v>256</v>
      </c>
      <c r="E20" s="190" t="s">
        <v>258</v>
      </c>
      <c r="F20" s="191">
        <v>5</v>
      </c>
      <c r="G20" s="211">
        <v>0.5</v>
      </c>
      <c r="H20" s="211">
        <v>0</v>
      </c>
      <c r="I20" s="211">
        <v>0</v>
      </c>
      <c r="J20" s="192">
        <f t="shared" si="76"/>
        <v>4.5</v>
      </c>
      <c r="K20" s="191">
        <v>4.5</v>
      </c>
      <c r="L20" s="193">
        <v>0</v>
      </c>
      <c r="M20" s="194">
        <f t="shared" si="77"/>
        <v>3.115384615384615</v>
      </c>
      <c r="N20" s="194">
        <f t="shared" si="78"/>
        <v>0.93461538461538463</v>
      </c>
      <c r="O20" s="194">
        <f t="shared" si="79"/>
        <v>0</v>
      </c>
      <c r="P20" s="194">
        <f t="shared" si="80"/>
        <v>0</v>
      </c>
      <c r="Q20" s="194">
        <f t="shared" si="81"/>
        <v>0.45</v>
      </c>
      <c r="R20" s="195">
        <f t="shared" si="82"/>
        <v>72</v>
      </c>
      <c r="S20" s="196">
        <f t="shared" si="95"/>
        <v>404</v>
      </c>
      <c r="T20" s="197">
        <f t="shared" si="83"/>
        <v>363.46153846153845</v>
      </c>
      <c r="U20" s="198">
        <f t="shared" si="84"/>
        <v>0</v>
      </c>
      <c r="V20" s="196">
        <f t="shared" si="96"/>
        <v>0</v>
      </c>
      <c r="W20" s="199">
        <f t="shared" si="85"/>
        <v>109.03846153846153</v>
      </c>
      <c r="X20" s="199">
        <f t="shared" si="86"/>
        <v>32.71153846153846</v>
      </c>
      <c r="Y20" s="199">
        <f t="shared" si="87"/>
        <v>0</v>
      </c>
      <c r="Z20" s="199">
        <f t="shared" si="88"/>
        <v>0</v>
      </c>
      <c r="AA20" s="199">
        <f t="shared" si="89"/>
        <v>20.25</v>
      </c>
      <c r="AB20" s="199">
        <f t="shared" si="90"/>
        <v>40.5</v>
      </c>
      <c r="AC20" s="199">
        <f t="shared" si="91"/>
        <v>202.5</v>
      </c>
      <c r="AD20" s="199">
        <f t="shared" si="92"/>
        <v>202.5</v>
      </c>
      <c r="AE20" s="189">
        <v>5</v>
      </c>
      <c r="AF20" s="199">
        <v>9</v>
      </c>
      <c r="AG20" s="200">
        <f t="shared" si="93"/>
        <v>45</v>
      </c>
    </row>
    <row r="21" spans="2:33" ht="13.5" customHeight="1" x14ac:dyDescent="0.35">
      <c r="B21" s="188">
        <f t="shared" si="94"/>
        <v>42489</v>
      </c>
      <c r="C21" s="189" t="s">
        <v>249</v>
      </c>
      <c r="D21" s="189" t="s">
        <v>256</v>
      </c>
      <c r="E21" s="190" t="s">
        <v>258</v>
      </c>
      <c r="F21" s="191">
        <v>5</v>
      </c>
      <c r="G21" s="211">
        <v>0.5</v>
      </c>
      <c r="H21" s="211">
        <v>0</v>
      </c>
      <c r="I21" s="211">
        <v>0</v>
      </c>
      <c r="J21" s="192">
        <f t="shared" si="76"/>
        <v>4.5</v>
      </c>
      <c r="K21" s="193">
        <v>1.5</v>
      </c>
      <c r="L21" s="193">
        <v>3</v>
      </c>
      <c r="M21" s="194">
        <f t="shared" si="77"/>
        <v>1.0384615384615383</v>
      </c>
      <c r="N21" s="194">
        <f t="shared" si="78"/>
        <v>0.31153846153846149</v>
      </c>
      <c r="O21" s="194">
        <f t="shared" si="79"/>
        <v>2.0769230769230766</v>
      </c>
      <c r="P21" s="194">
        <f t="shared" si="80"/>
        <v>0.62307692307692297</v>
      </c>
      <c r="Q21" s="194">
        <f t="shared" si="81"/>
        <v>0.45</v>
      </c>
      <c r="R21" s="195">
        <f t="shared" si="82"/>
        <v>24</v>
      </c>
      <c r="S21" s="196">
        <f t="shared" si="95"/>
        <v>428</v>
      </c>
      <c r="T21" s="197">
        <f t="shared" si="83"/>
        <v>121.15384615384613</v>
      </c>
      <c r="U21" s="198">
        <f t="shared" si="84"/>
        <v>51.92307692307692</v>
      </c>
      <c r="V21" s="196">
        <f t="shared" si="96"/>
        <v>51.92307692307692</v>
      </c>
      <c r="W21" s="199">
        <f t="shared" si="85"/>
        <v>36.34615384615384</v>
      </c>
      <c r="X21" s="199">
        <f t="shared" si="86"/>
        <v>10.903846153846152</v>
      </c>
      <c r="Y21" s="199">
        <f t="shared" si="87"/>
        <v>72.692307692307679</v>
      </c>
      <c r="Z21" s="199">
        <f t="shared" si="88"/>
        <v>21.807692307692303</v>
      </c>
      <c r="AA21" s="199">
        <f t="shared" si="89"/>
        <v>20.25</v>
      </c>
      <c r="AB21" s="199">
        <f t="shared" si="90"/>
        <v>40.5</v>
      </c>
      <c r="AC21" s="199">
        <f t="shared" si="91"/>
        <v>202.49999999999997</v>
      </c>
      <c r="AD21" s="199">
        <f t="shared" si="92"/>
        <v>202.5</v>
      </c>
      <c r="AE21" s="189">
        <v>5</v>
      </c>
      <c r="AF21" s="199">
        <v>9</v>
      </c>
      <c r="AG21" s="200">
        <f t="shared" si="93"/>
        <v>45</v>
      </c>
    </row>
    <row r="22" spans="2:33" ht="13.5" customHeight="1" x14ac:dyDescent="0.35">
      <c r="B22" s="188">
        <f t="shared" si="94"/>
        <v>42496</v>
      </c>
      <c r="C22" s="189" t="s">
        <v>249</v>
      </c>
      <c r="D22" s="189" t="s">
        <v>256</v>
      </c>
      <c r="E22" s="190" t="s">
        <v>466</v>
      </c>
      <c r="F22" s="191">
        <v>5</v>
      </c>
      <c r="G22" s="211">
        <v>0.5</v>
      </c>
      <c r="H22" s="211">
        <v>0</v>
      </c>
      <c r="I22" s="211">
        <v>0</v>
      </c>
      <c r="J22" s="192">
        <f t="shared" si="76"/>
        <v>4.5</v>
      </c>
      <c r="K22" s="193">
        <v>0</v>
      </c>
      <c r="L22" s="193">
        <v>4.5</v>
      </c>
      <c r="M22" s="194">
        <f t="shared" si="77"/>
        <v>0</v>
      </c>
      <c r="N22" s="194">
        <f t="shared" si="78"/>
        <v>0</v>
      </c>
      <c r="O22" s="194">
        <f t="shared" si="79"/>
        <v>3.115384615384615</v>
      </c>
      <c r="P22" s="194">
        <f t="shared" si="80"/>
        <v>0.93461538461538463</v>
      </c>
      <c r="Q22" s="194">
        <f t="shared" si="81"/>
        <v>0.45</v>
      </c>
      <c r="R22" s="195">
        <f t="shared" si="82"/>
        <v>0</v>
      </c>
      <c r="S22" s="196">
        <f t="shared" si="95"/>
        <v>428</v>
      </c>
      <c r="T22" s="197">
        <f t="shared" si="83"/>
        <v>0</v>
      </c>
      <c r="U22" s="198">
        <f t="shared" si="84"/>
        <v>77.884615384615387</v>
      </c>
      <c r="V22" s="196">
        <f t="shared" si="96"/>
        <v>129.80769230769232</v>
      </c>
      <c r="W22" s="199">
        <f t="shared" si="85"/>
        <v>0</v>
      </c>
      <c r="X22" s="199">
        <f t="shared" si="86"/>
        <v>0</v>
      </c>
      <c r="Y22" s="199">
        <f t="shared" si="87"/>
        <v>109.03846153846153</v>
      </c>
      <c r="Z22" s="199">
        <f t="shared" si="88"/>
        <v>32.71153846153846</v>
      </c>
      <c r="AA22" s="199">
        <f t="shared" si="89"/>
        <v>20.25</v>
      </c>
      <c r="AB22" s="199">
        <f t="shared" si="90"/>
        <v>40.5</v>
      </c>
      <c r="AC22" s="199">
        <f t="shared" si="91"/>
        <v>202.5</v>
      </c>
      <c r="AD22" s="199">
        <f t="shared" si="92"/>
        <v>202.5</v>
      </c>
      <c r="AE22" s="189">
        <v>5</v>
      </c>
      <c r="AF22" s="199">
        <v>9</v>
      </c>
      <c r="AG22" s="200">
        <f t="shared" si="93"/>
        <v>45</v>
      </c>
    </row>
    <row r="23" spans="2:33" ht="13.5" customHeight="1" x14ac:dyDescent="0.35">
      <c r="B23" s="188">
        <f t="shared" si="94"/>
        <v>42503</v>
      </c>
      <c r="C23" s="189" t="s">
        <v>249</v>
      </c>
      <c r="D23" s="213" t="s">
        <v>261</v>
      </c>
      <c r="E23" s="190" t="s">
        <v>259</v>
      </c>
      <c r="F23" s="191">
        <v>5</v>
      </c>
      <c r="G23" s="211">
        <v>0.5</v>
      </c>
      <c r="H23" s="211">
        <v>0</v>
      </c>
      <c r="I23" s="211">
        <v>0</v>
      </c>
      <c r="J23" s="192">
        <f t="shared" si="76"/>
        <v>4.5</v>
      </c>
      <c r="K23" s="193">
        <v>0</v>
      </c>
      <c r="L23" s="193">
        <v>4.5</v>
      </c>
      <c r="M23" s="194">
        <f t="shared" ref="M23" si="97">(W23+(($AB23*($K23/$J23))/(1+Hr_Review)))/$AG23</f>
        <v>0</v>
      </c>
      <c r="N23" s="194">
        <f t="shared" ref="N23" si="98">(X23+(($AB23*($K23/$J23))/(1+Hr_Review))*Hr_Review)/$AG23</f>
        <v>0</v>
      </c>
      <c r="O23" s="194">
        <f t="shared" ref="O23" si="99">(Y23+(($AB23*($L23/$J23))/(1+Hr_Review)))/$AG23</f>
        <v>3.115384615384615</v>
      </c>
      <c r="P23" s="194">
        <f t="shared" ref="P23" si="100">(Z23+(($AB23*($L23/$J23))/(1+Hr_Review))*Hr_Review)/$AG23</f>
        <v>0.93461538461538463</v>
      </c>
      <c r="Q23" s="194">
        <f t="shared" ref="Q23" si="101">AA23/$AG23</f>
        <v>0.45</v>
      </c>
      <c r="R23" s="195">
        <f t="shared" ref="R23" si="102">ROUNDDOWN(W23/(Analysis_Hr_AC*NO_AC_US),0)</f>
        <v>0</v>
      </c>
      <c r="S23" s="196">
        <f t="shared" ref="S23" si="103">R23+S22</f>
        <v>428</v>
      </c>
      <c r="T23" s="197">
        <f t="shared" ref="T23" si="104">W23/Analysis_Hr_AC</f>
        <v>0</v>
      </c>
      <c r="U23" s="198">
        <f t="shared" si="84"/>
        <v>77.884615384615387</v>
      </c>
      <c r="V23" s="196">
        <f t="shared" ref="V23" si="105">V22+U23</f>
        <v>207.69230769230771</v>
      </c>
      <c r="W23" s="199">
        <f t="shared" ref="W23" si="106">K23*(AG23-AG23*Hr_Query-AG23*Hr_OtherAnalysis)*(1/(1+Hr_Query+Hr_OtherAnalysis))</f>
        <v>0</v>
      </c>
      <c r="X23" s="199">
        <f t="shared" ref="X23" si="107">(W23)*Hr_Review</f>
        <v>0</v>
      </c>
      <c r="Y23" s="199">
        <f t="shared" ref="Y23" si="108">L23*(AG23-AG23*Hr_Query-AG23*Hr_OtherAnalysis)*(1/(1+Hr_Query+Hr_OtherAnalysis))</f>
        <v>109.03846153846153</v>
      </c>
      <c r="Z23" s="199">
        <f t="shared" ref="Z23" si="109">(Y23)*Hr_Review</f>
        <v>32.71153846153846</v>
      </c>
      <c r="AA23" s="199">
        <f t="shared" ref="AA23" si="110">AD23*Hr_OtherAnalysis</f>
        <v>20.25</v>
      </c>
      <c r="AB23" s="199">
        <f t="shared" ref="AB23" si="111">ROUND(AD23*Hr_Query,1)</f>
        <v>40.5</v>
      </c>
      <c r="AC23" s="199">
        <f t="shared" ref="AC23" si="112">W23+Y23+X23+Z23+AB23+AA23</f>
        <v>202.5</v>
      </c>
      <c r="AD23" s="199">
        <f t="shared" ref="AD23" si="113">J23*AE23*AF23</f>
        <v>202.5</v>
      </c>
      <c r="AE23" s="189">
        <v>5</v>
      </c>
      <c r="AF23" s="199">
        <v>9</v>
      </c>
      <c r="AG23" s="200">
        <f t="shared" ref="AG23" si="114">AE23*AF23</f>
        <v>45</v>
      </c>
    </row>
    <row r="24" spans="2:33" ht="13.5" customHeight="1" x14ac:dyDescent="0.35">
      <c r="B24" s="188">
        <f t="shared" si="94"/>
        <v>42510</v>
      </c>
      <c r="C24" s="189" t="s">
        <v>249</v>
      </c>
      <c r="D24" s="213" t="s">
        <v>261</v>
      </c>
      <c r="E24" s="190" t="s">
        <v>259</v>
      </c>
      <c r="F24" s="191">
        <v>5</v>
      </c>
      <c r="G24" s="211">
        <v>0.5</v>
      </c>
      <c r="H24" s="211">
        <v>0</v>
      </c>
      <c r="I24" s="211">
        <v>0</v>
      </c>
      <c r="J24" s="192">
        <f t="shared" si="76"/>
        <v>4.5</v>
      </c>
      <c r="K24" s="193">
        <v>0</v>
      </c>
      <c r="L24" s="193">
        <v>4.5</v>
      </c>
      <c r="M24" s="194">
        <f t="shared" ref="M24" si="115">(W24+(($AB24*($K24/$J24))/(1+Hr_Review)))/$AG24</f>
        <v>0</v>
      </c>
      <c r="N24" s="194">
        <f t="shared" ref="N24" si="116">(X24+(($AB24*($K24/$J24))/(1+Hr_Review))*Hr_Review)/$AG24</f>
        <v>0</v>
      </c>
      <c r="O24" s="194">
        <f t="shared" ref="O24" si="117">(Y24+(($AB24*($L24/$J24))/(1+Hr_Review)))/$AG24</f>
        <v>3.115384615384615</v>
      </c>
      <c r="P24" s="194">
        <f t="shared" ref="P24" si="118">(Z24+(($AB24*($L24/$J24))/(1+Hr_Review))*Hr_Review)/$AG24</f>
        <v>0.93461538461538463</v>
      </c>
      <c r="Q24" s="194">
        <f t="shared" ref="Q24" si="119">AA24/$AG24</f>
        <v>0.45</v>
      </c>
      <c r="R24" s="195">
        <f t="shared" ref="R24" si="120">ROUNDDOWN(W24/(Analysis_Hr_AC*NO_AC_US),0)</f>
        <v>0</v>
      </c>
      <c r="S24" s="196">
        <f t="shared" ref="S24" si="121">R24+S23</f>
        <v>428</v>
      </c>
      <c r="T24" s="197">
        <f t="shared" ref="T24" si="122">W24/Analysis_Hr_AC</f>
        <v>0</v>
      </c>
      <c r="U24" s="198">
        <f t="shared" si="84"/>
        <v>77.884615384615387</v>
      </c>
      <c r="V24" s="196">
        <f t="shared" ref="V24" si="123">V23+U24</f>
        <v>285.57692307692309</v>
      </c>
      <c r="W24" s="199">
        <f t="shared" ref="W24" si="124">K24*(AG24-AG24*Hr_Query-AG24*Hr_OtherAnalysis)*(1/(1+Hr_Query+Hr_OtherAnalysis))</f>
        <v>0</v>
      </c>
      <c r="X24" s="199">
        <f t="shared" ref="X24" si="125">(W24)*Hr_Review</f>
        <v>0</v>
      </c>
      <c r="Y24" s="199">
        <f t="shared" ref="Y24" si="126">L24*(AG24-AG24*Hr_Query-AG24*Hr_OtherAnalysis)*(1/(1+Hr_Query+Hr_OtherAnalysis))</f>
        <v>109.03846153846153</v>
      </c>
      <c r="Z24" s="199">
        <f t="shared" ref="Z24" si="127">(Y24)*Hr_Review</f>
        <v>32.71153846153846</v>
      </c>
      <c r="AA24" s="199">
        <f t="shared" ref="AA24" si="128">AD24*Hr_OtherAnalysis</f>
        <v>20.25</v>
      </c>
      <c r="AB24" s="199">
        <f t="shared" ref="AB24" si="129">ROUND(AD24*Hr_Query,1)</f>
        <v>40.5</v>
      </c>
      <c r="AC24" s="199">
        <f t="shared" ref="AC24" si="130">W24+Y24+X24+Z24+AB24+AA24</f>
        <v>202.5</v>
      </c>
      <c r="AD24" s="199">
        <f t="shared" ref="AD24" si="131">J24*AE24*AF24</f>
        <v>202.5</v>
      </c>
      <c r="AE24" s="189">
        <v>5</v>
      </c>
      <c r="AF24" s="199">
        <v>9</v>
      </c>
      <c r="AG24" s="200">
        <f t="shared" ref="AG24" si="132">AE24*AF24</f>
        <v>45</v>
      </c>
    </row>
    <row r="25" spans="2:33" ht="13.5" customHeight="1" x14ac:dyDescent="0.35">
      <c r="B25" s="188">
        <f t="shared" si="94"/>
        <v>42517</v>
      </c>
      <c r="C25" s="189" t="s">
        <v>249</v>
      </c>
      <c r="D25" s="213" t="s">
        <v>261</v>
      </c>
      <c r="E25" s="190" t="s">
        <v>259</v>
      </c>
      <c r="F25" s="191">
        <v>5</v>
      </c>
      <c r="G25" s="211">
        <v>0.5</v>
      </c>
      <c r="H25" s="211">
        <v>0</v>
      </c>
      <c r="I25" s="211">
        <v>1</v>
      </c>
      <c r="J25" s="192">
        <f t="shared" si="76"/>
        <v>3.5</v>
      </c>
      <c r="K25" s="193">
        <v>0</v>
      </c>
      <c r="L25" s="193">
        <v>3.5</v>
      </c>
      <c r="M25" s="194">
        <f t="shared" ref="M25" si="133">(W25+(($AB25*($K25/$J25))/(1+Hr_Review)))/$AG25</f>
        <v>0</v>
      </c>
      <c r="N25" s="194">
        <f t="shared" ref="N25" si="134">(X25+(($AB25*($K25/$J25))/(1+Hr_Review))*Hr_Review)/$AG25</f>
        <v>0</v>
      </c>
      <c r="O25" s="194">
        <f t="shared" ref="O25" si="135">(Y25+(($AB25*($L25/$J25))/(1+Hr_Review)))/$AG25</f>
        <v>2.4230769230769229</v>
      </c>
      <c r="P25" s="194">
        <f t="shared" ref="P25" si="136">(Z25+(($AB25*($L25/$J25))/(1+Hr_Review))*Hr_Review)/$AG25</f>
        <v>0.72692307692307689</v>
      </c>
      <c r="Q25" s="194">
        <f t="shared" ref="Q25" si="137">AA25/$AG25</f>
        <v>0.35</v>
      </c>
      <c r="R25" s="195">
        <f t="shared" ref="R25" si="138">ROUNDDOWN(W25/(Analysis_Hr_AC*NO_AC_US),0)</f>
        <v>0</v>
      </c>
      <c r="S25" s="196">
        <f t="shared" ref="S25" si="139">R25+S24</f>
        <v>428</v>
      </c>
      <c r="T25" s="197">
        <f t="shared" ref="T25" si="140">W25/Analysis_Hr_AC</f>
        <v>0</v>
      </c>
      <c r="U25" s="198">
        <f t="shared" si="84"/>
        <v>60.57692307692308</v>
      </c>
      <c r="V25" s="196">
        <f t="shared" ref="V25" si="141">V24+U25</f>
        <v>346.15384615384619</v>
      </c>
      <c r="W25" s="199">
        <f t="shared" ref="W25" si="142">K25*(AG25-AG25*Hr_Query-AG25*Hr_OtherAnalysis)*(1/(1+Hr_Query+Hr_OtherAnalysis))</f>
        <v>0</v>
      </c>
      <c r="X25" s="199">
        <f t="shared" ref="X25" si="143">(W25)*Hr_Review</f>
        <v>0</v>
      </c>
      <c r="Y25" s="199">
        <f t="shared" ref="Y25" si="144">L25*(AG25-AG25*Hr_Query-AG25*Hr_OtherAnalysis)*(1/(1+Hr_Query+Hr_OtherAnalysis))</f>
        <v>84.807692307692307</v>
      </c>
      <c r="Z25" s="199">
        <f t="shared" ref="Z25" si="145">(Y25)*Hr_Review</f>
        <v>25.44230769230769</v>
      </c>
      <c r="AA25" s="199">
        <f t="shared" ref="AA25" si="146">AD25*Hr_OtherAnalysis</f>
        <v>15.75</v>
      </c>
      <c r="AB25" s="199">
        <f t="shared" ref="AB25" si="147">ROUND(AD25*Hr_Query,1)</f>
        <v>31.5</v>
      </c>
      <c r="AC25" s="199">
        <f t="shared" ref="AC25" si="148">W25+Y25+X25+Z25+AB25+AA25</f>
        <v>157.5</v>
      </c>
      <c r="AD25" s="199">
        <f t="shared" ref="AD25" si="149">J25*AE25*AF25</f>
        <v>157.5</v>
      </c>
      <c r="AE25" s="189">
        <v>5</v>
      </c>
      <c r="AF25" s="199">
        <v>9</v>
      </c>
      <c r="AG25" s="200">
        <f t="shared" ref="AG25" si="150">AE25*AF25</f>
        <v>45</v>
      </c>
    </row>
    <row r="26" spans="2:33" ht="13.5" customHeight="1" x14ac:dyDescent="0.35">
      <c r="B26" s="188">
        <f t="shared" si="94"/>
        <v>42524</v>
      </c>
      <c r="C26" s="189" t="s">
        <v>249</v>
      </c>
      <c r="D26" s="213" t="s">
        <v>262</v>
      </c>
      <c r="E26" s="190" t="s">
        <v>461</v>
      </c>
      <c r="F26" s="191">
        <v>5</v>
      </c>
      <c r="G26" s="211">
        <v>0.5</v>
      </c>
      <c r="H26" s="211">
        <v>0</v>
      </c>
      <c r="I26" s="211">
        <v>4.5</v>
      </c>
      <c r="J26" s="192">
        <f t="shared" si="76"/>
        <v>0</v>
      </c>
      <c r="K26" s="193">
        <v>0</v>
      </c>
      <c r="L26" s="193">
        <v>0</v>
      </c>
      <c r="M26" s="194" t="e">
        <f t="shared" ref="M26" si="151">(W26+(($AB26*($K26/$J26))/(1+Hr_Review)))/$AG26</f>
        <v>#DIV/0!</v>
      </c>
      <c r="N26" s="194" t="e">
        <f t="shared" ref="N26" si="152">(X26+(($AB26*($K26/$J26))/(1+Hr_Review))*Hr_Review)/$AG26</f>
        <v>#DIV/0!</v>
      </c>
      <c r="O26" s="194" t="e">
        <f t="shared" ref="O26" si="153">(Y26+(($AB26*($L26/$J26))/(1+Hr_Review)))/$AG26</f>
        <v>#DIV/0!</v>
      </c>
      <c r="P26" s="194" t="e">
        <f t="shared" ref="P26" si="154">(Z26+(($AB26*($L26/$J26))/(1+Hr_Review))*Hr_Review)/$AG26</f>
        <v>#DIV/0!</v>
      </c>
      <c r="Q26" s="194">
        <f t="shared" ref="Q26" si="155">AA26/$AG26</f>
        <v>0</v>
      </c>
      <c r="R26" s="195">
        <f t="shared" ref="R26" si="156">ROUNDDOWN(W26/(Analysis_Hr_AC*NO_AC_US),0)</f>
        <v>0</v>
      </c>
      <c r="S26" s="196">
        <f t="shared" ref="S26" si="157">R26+S25</f>
        <v>428</v>
      </c>
      <c r="T26" s="197">
        <f t="shared" ref="T26" si="158">W26/Analysis_Hr_AC</f>
        <v>0</v>
      </c>
      <c r="U26" s="198">
        <f t="shared" si="84"/>
        <v>0</v>
      </c>
      <c r="V26" s="196">
        <f t="shared" ref="V26" si="159">V25+U26</f>
        <v>346.15384615384619</v>
      </c>
      <c r="W26" s="199">
        <f t="shared" ref="W26" si="160">K26*(AG26-AG26*Hr_Query-AG26*Hr_OtherAnalysis)*(1/(1+Hr_Query+Hr_OtherAnalysis))</f>
        <v>0</v>
      </c>
      <c r="X26" s="199">
        <f t="shared" ref="X26" si="161">(W26)*Hr_Review</f>
        <v>0</v>
      </c>
      <c r="Y26" s="199">
        <f t="shared" ref="Y26" si="162">L26*(AG26-AG26*Hr_Query-AG26*Hr_OtherAnalysis)*(1/(1+Hr_Query+Hr_OtherAnalysis))</f>
        <v>0</v>
      </c>
      <c r="Z26" s="199">
        <f t="shared" ref="Z26" si="163">(Y26)*Hr_Review</f>
        <v>0</v>
      </c>
      <c r="AA26" s="199">
        <f t="shared" ref="AA26" si="164">AD26*Hr_OtherAnalysis</f>
        <v>0</v>
      </c>
      <c r="AB26" s="199">
        <f t="shared" ref="AB26" si="165">ROUND(AD26*Hr_Query,1)</f>
        <v>0</v>
      </c>
      <c r="AC26" s="199">
        <f t="shared" ref="AC26" si="166">W26+Y26+X26+Z26+AB26+AA26</f>
        <v>0</v>
      </c>
      <c r="AD26" s="199">
        <f t="shared" ref="AD26" si="167">J26*AE26*AF26</f>
        <v>0</v>
      </c>
      <c r="AE26" s="189">
        <v>5</v>
      </c>
      <c r="AF26" s="199">
        <v>9</v>
      </c>
      <c r="AG26" s="200">
        <f t="shared" ref="AG26" si="168">AE26*AF26</f>
        <v>45</v>
      </c>
    </row>
    <row r="27" spans="2:33" ht="13.5" customHeight="1" x14ac:dyDescent="0.35">
      <c r="B27" s="380"/>
      <c r="C27" s="381"/>
      <c r="D27" s="381"/>
      <c r="E27" s="382"/>
      <c r="F27" s="383"/>
      <c r="G27" s="384"/>
      <c r="H27" s="384"/>
      <c r="I27" s="384"/>
      <c r="J27" s="385"/>
      <c r="K27" s="386"/>
      <c r="L27" s="386"/>
      <c r="M27" s="387"/>
      <c r="N27" s="387"/>
      <c r="O27" s="387"/>
      <c r="P27" s="387"/>
      <c r="Q27" s="387"/>
      <c r="R27" s="388"/>
      <c r="S27" s="389"/>
      <c r="T27" s="390"/>
      <c r="U27" s="391"/>
      <c r="V27" s="389"/>
      <c r="W27" s="392"/>
      <c r="X27" s="392"/>
      <c r="Y27" s="392"/>
      <c r="Z27" s="392"/>
      <c r="AA27" s="392"/>
      <c r="AB27" s="392"/>
      <c r="AC27" s="392"/>
      <c r="AD27" s="392"/>
      <c r="AE27" s="381"/>
      <c r="AF27" s="392"/>
      <c r="AG27" s="393"/>
    </row>
    <row r="28" spans="2:33" s="177" customFormat="1" ht="13.5" customHeight="1" x14ac:dyDescent="0.35">
      <c r="B28" s="162" t="s">
        <v>464</v>
      </c>
      <c r="C28" s="163" t="s">
        <v>465</v>
      </c>
      <c r="D28" s="163"/>
      <c r="E28" s="162"/>
      <c r="F28" s="154"/>
      <c r="G28" s="210"/>
      <c r="H28" s="154"/>
      <c r="I28" s="154"/>
      <c r="J28" s="164"/>
      <c r="K28" s="154"/>
      <c r="L28" s="165"/>
      <c r="M28" s="166"/>
      <c r="N28" s="166"/>
      <c r="O28" s="166"/>
      <c r="P28" s="166"/>
      <c r="Q28" s="166"/>
      <c r="R28" s="154"/>
      <c r="S28" s="167"/>
      <c r="T28" s="167"/>
      <c r="U28" s="167"/>
      <c r="V28" s="167"/>
      <c r="W28" s="167"/>
      <c r="X28" s="167"/>
      <c r="Y28" s="167"/>
      <c r="Z28" s="167"/>
      <c r="AA28" s="167"/>
      <c r="AB28" s="167"/>
      <c r="AC28" s="167"/>
      <c r="AD28" s="167"/>
      <c r="AE28" s="163"/>
      <c r="AF28" s="167"/>
      <c r="AG28" s="168"/>
    </row>
    <row r="29" spans="2:33" x14ac:dyDescent="0.35">
      <c r="B29" s="212">
        <f>B26+7</f>
        <v>42531</v>
      </c>
      <c r="C29" s="213" t="s">
        <v>260</v>
      </c>
      <c r="D29" s="213" t="s">
        <v>262</v>
      </c>
      <c r="E29" s="214" t="s">
        <v>265</v>
      </c>
      <c r="F29" s="215">
        <v>4</v>
      </c>
      <c r="G29" s="216">
        <v>1</v>
      </c>
      <c r="H29" s="216">
        <v>0</v>
      </c>
      <c r="I29" s="216">
        <v>0</v>
      </c>
      <c r="J29" s="217">
        <f t="shared" ref="J29:J38" si="169">F29-(G29+H29+I29)</f>
        <v>3</v>
      </c>
      <c r="K29" s="215">
        <v>3</v>
      </c>
      <c r="L29" s="218">
        <v>0</v>
      </c>
      <c r="M29" s="219">
        <f t="shared" ref="M29:M37" si="170">(W29+(($AB29*($K29/$J29))/(1+Hr_Review)))/$AG29</f>
        <v>2.0769230769230766</v>
      </c>
      <c r="N29" s="219">
        <f t="shared" ref="N29:N37" si="171">(X29+(($AB29*($K29/$J29))/(1+Hr_Review))*Hr_Review)/$AG29</f>
        <v>0.62307692307692297</v>
      </c>
      <c r="O29" s="219">
        <f t="shared" ref="O29:O37" si="172">(Y29+(($AB29*($L29/$J29))/(1+Hr_Review)))/$AG29</f>
        <v>0</v>
      </c>
      <c r="P29" s="219">
        <f t="shared" ref="P29:P37" si="173">(Z29+(($AB29*($L29/$J29))/(1+Hr_Review))*Hr_Review)/$AG29</f>
        <v>0</v>
      </c>
      <c r="Q29" s="219">
        <f t="shared" ref="Q29:Q40" si="174">AA29/$AG29</f>
        <v>0.3</v>
      </c>
      <c r="R29" s="220">
        <f t="shared" ref="R29:R37" si="175">ROUNDDOWN(W29/(Analysis_Hr_AC*NO_AC_US),0)</f>
        <v>48</v>
      </c>
      <c r="S29" s="221">
        <f>R29+S28</f>
        <v>48</v>
      </c>
      <c r="T29" s="222">
        <f t="shared" ref="T29:T37" si="176">W29/Analysis_Hr_AC</f>
        <v>242.30769230769226</v>
      </c>
      <c r="U29" s="223">
        <f t="shared" ref="U29:U40" si="177">Y29/$B$45</f>
        <v>0</v>
      </c>
      <c r="V29" s="221">
        <f>V28+U29</f>
        <v>0</v>
      </c>
      <c r="W29" s="224">
        <f t="shared" ref="W29:W37" si="178">K29*(AG29-AG29*Hr_Query-AG29*Hr_OtherAnalysis)*(1/(1+Hr_Query+Hr_OtherAnalysis))</f>
        <v>72.692307692307679</v>
      </c>
      <c r="X29" s="224">
        <f t="shared" ref="X29:X37" si="179">(W29)*Hr_Review</f>
        <v>21.807692307692303</v>
      </c>
      <c r="Y29" s="224">
        <f t="shared" ref="Y29:Y37" si="180">L29*(AG29-AG29*Hr_Query-AG29*Hr_OtherAnalysis)*(1/(1+Hr_Query+Hr_OtherAnalysis))</f>
        <v>0</v>
      </c>
      <c r="Z29" s="224">
        <f t="shared" ref="Z29:Z37" si="181">(Y29)*Hr_Review</f>
        <v>0</v>
      </c>
      <c r="AA29" s="224">
        <f t="shared" ref="AA29:AA37" si="182">AD29*Hr_OtherAnalysis</f>
        <v>13.5</v>
      </c>
      <c r="AB29" s="224">
        <f t="shared" ref="AB29:AB37" si="183">ROUND(AD29*Hr_Query,1)</f>
        <v>27</v>
      </c>
      <c r="AC29" s="224">
        <f t="shared" ref="AC29:AC40" si="184">W29+Y29+X29+Z29+AB29+AA29</f>
        <v>135</v>
      </c>
      <c r="AD29" s="224">
        <f t="shared" ref="AD29:AD40" si="185">J29*AE29*AF29</f>
        <v>135</v>
      </c>
      <c r="AE29" s="213">
        <v>5</v>
      </c>
      <c r="AF29" s="224">
        <v>9</v>
      </c>
      <c r="AG29" s="225">
        <f t="shared" ref="AG29:AG40" si="186">AE29*AF29</f>
        <v>45</v>
      </c>
    </row>
    <row r="30" spans="2:33" ht="13.5" customHeight="1" x14ac:dyDescent="0.35">
      <c r="B30" s="212">
        <f t="shared" ref="B30:B40" si="187">B29+7</f>
        <v>42538</v>
      </c>
      <c r="C30" s="213" t="s">
        <v>260</v>
      </c>
      <c r="D30" s="213" t="s">
        <v>262</v>
      </c>
      <c r="E30" s="214" t="s">
        <v>265</v>
      </c>
      <c r="F30" s="215">
        <v>4</v>
      </c>
      <c r="G30" s="216">
        <v>1</v>
      </c>
      <c r="H30" s="216">
        <v>0</v>
      </c>
      <c r="I30" s="216">
        <v>0</v>
      </c>
      <c r="J30" s="217">
        <f t="shared" si="169"/>
        <v>3</v>
      </c>
      <c r="K30" s="215">
        <v>3</v>
      </c>
      <c r="L30" s="218">
        <v>0</v>
      </c>
      <c r="M30" s="219">
        <f t="shared" si="170"/>
        <v>2.0769230769230766</v>
      </c>
      <c r="N30" s="219">
        <f t="shared" si="171"/>
        <v>0.62307692307692297</v>
      </c>
      <c r="O30" s="219">
        <f t="shared" si="172"/>
        <v>0</v>
      </c>
      <c r="P30" s="219">
        <f t="shared" si="173"/>
        <v>0</v>
      </c>
      <c r="Q30" s="219">
        <f t="shared" si="174"/>
        <v>0.3</v>
      </c>
      <c r="R30" s="220">
        <f t="shared" si="175"/>
        <v>48</v>
      </c>
      <c r="S30" s="221">
        <f t="shared" ref="S30:S40" si="188">R30+S29</f>
        <v>96</v>
      </c>
      <c r="T30" s="222">
        <f t="shared" si="176"/>
        <v>242.30769230769226</v>
      </c>
      <c r="U30" s="223">
        <f t="shared" si="177"/>
        <v>0</v>
      </c>
      <c r="V30" s="221">
        <f t="shared" ref="V30:V40" si="189">V29+U30</f>
        <v>0</v>
      </c>
      <c r="W30" s="224">
        <f t="shared" si="178"/>
        <v>72.692307692307679</v>
      </c>
      <c r="X30" s="224">
        <f t="shared" si="179"/>
        <v>21.807692307692303</v>
      </c>
      <c r="Y30" s="224">
        <f t="shared" si="180"/>
        <v>0</v>
      </c>
      <c r="Z30" s="224">
        <f t="shared" si="181"/>
        <v>0</v>
      </c>
      <c r="AA30" s="224">
        <f t="shared" si="182"/>
        <v>13.5</v>
      </c>
      <c r="AB30" s="224">
        <f t="shared" si="183"/>
        <v>27</v>
      </c>
      <c r="AC30" s="224">
        <f t="shared" si="184"/>
        <v>135</v>
      </c>
      <c r="AD30" s="224">
        <f t="shared" si="185"/>
        <v>135</v>
      </c>
      <c r="AE30" s="213">
        <v>5</v>
      </c>
      <c r="AF30" s="224">
        <v>9</v>
      </c>
      <c r="AG30" s="225">
        <f t="shared" si="186"/>
        <v>45</v>
      </c>
    </row>
    <row r="31" spans="2:33" ht="13.5" customHeight="1" x14ac:dyDescent="0.35">
      <c r="B31" s="212">
        <f t="shared" si="187"/>
        <v>42545</v>
      </c>
      <c r="C31" s="213" t="s">
        <v>260</v>
      </c>
      <c r="D31" s="213" t="s">
        <v>262</v>
      </c>
      <c r="E31" s="214" t="s">
        <v>265</v>
      </c>
      <c r="F31" s="215">
        <v>4</v>
      </c>
      <c r="G31" s="216">
        <v>1</v>
      </c>
      <c r="H31" s="216">
        <v>0</v>
      </c>
      <c r="I31" s="216">
        <v>0</v>
      </c>
      <c r="J31" s="217">
        <f t="shared" si="169"/>
        <v>3</v>
      </c>
      <c r="K31" s="215">
        <v>3</v>
      </c>
      <c r="L31" s="218">
        <v>0</v>
      </c>
      <c r="M31" s="219">
        <f t="shared" si="170"/>
        <v>2.0769230769230766</v>
      </c>
      <c r="N31" s="219">
        <f t="shared" si="171"/>
        <v>0.62307692307692297</v>
      </c>
      <c r="O31" s="219">
        <f t="shared" si="172"/>
        <v>0</v>
      </c>
      <c r="P31" s="219">
        <f t="shared" si="173"/>
        <v>0</v>
      </c>
      <c r="Q31" s="219">
        <f t="shared" si="174"/>
        <v>0.3</v>
      </c>
      <c r="R31" s="220">
        <f t="shared" si="175"/>
        <v>48</v>
      </c>
      <c r="S31" s="221">
        <f t="shared" si="188"/>
        <v>144</v>
      </c>
      <c r="T31" s="222">
        <f t="shared" si="176"/>
        <v>242.30769230769226</v>
      </c>
      <c r="U31" s="223">
        <f t="shared" si="177"/>
        <v>0</v>
      </c>
      <c r="V31" s="221">
        <f t="shared" si="189"/>
        <v>0</v>
      </c>
      <c r="W31" s="224">
        <f t="shared" si="178"/>
        <v>72.692307692307679</v>
      </c>
      <c r="X31" s="224">
        <f t="shared" si="179"/>
        <v>21.807692307692303</v>
      </c>
      <c r="Y31" s="224">
        <f t="shared" si="180"/>
        <v>0</v>
      </c>
      <c r="Z31" s="224">
        <f t="shared" si="181"/>
        <v>0</v>
      </c>
      <c r="AA31" s="224">
        <f t="shared" si="182"/>
        <v>13.5</v>
      </c>
      <c r="AB31" s="224">
        <f t="shared" si="183"/>
        <v>27</v>
      </c>
      <c r="AC31" s="224">
        <f t="shared" si="184"/>
        <v>135</v>
      </c>
      <c r="AD31" s="224">
        <f t="shared" si="185"/>
        <v>135</v>
      </c>
      <c r="AE31" s="213">
        <v>5</v>
      </c>
      <c r="AF31" s="224">
        <v>9</v>
      </c>
      <c r="AG31" s="225">
        <f t="shared" si="186"/>
        <v>45</v>
      </c>
    </row>
    <row r="32" spans="2:33" x14ac:dyDescent="0.35">
      <c r="B32" s="212">
        <f t="shared" si="187"/>
        <v>42552</v>
      </c>
      <c r="C32" s="213" t="s">
        <v>260</v>
      </c>
      <c r="D32" s="213" t="s">
        <v>263</v>
      </c>
      <c r="E32" s="214" t="s">
        <v>265</v>
      </c>
      <c r="F32" s="215">
        <v>4</v>
      </c>
      <c r="G32" s="216">
        <v>1</v>
      </c>
      <c r="H32" s="216">
        <v>0</v>
      </c>
      <c r="I32" s="216">
        <v>0</v>
      </c>
      <c r="J32" s="217">
        <f t="shared" si="169"/>
        <v>3</v>
      </c>
      <c r="K32" s="215">
        <v>3</v>
      </c>
      <c r="L32" s="218">
        <v>0</v>
      </c>
      <c r="M32" s="219">
        <f t="shared" si="170"/>
        <v>2.0769230769230766</v>
      </c>
      <c r="N32" s="219">
        <f t="shared" si="171"/>
        <v>0.62307692307692308</v>
      </c>
      <c r="O32" s="219">
        <f t="shared" si="172"/>
        <v>0</v>
      </c>
      <c r="P32" s="219">
        <f t="shared" si="173"/>
        <v>0</v>
      </c>
      <c r="Q32" s="219">
        <f t="shared" si="174"/>
        <v>0.3</v>
      </c>
      <c r="R32" s="220">
        <f t="shared" si="175"/>
        <v>29</v>
      </c>
      <c r="S32" s="221">
        <f t="shared" si="188"/>
        <v>173</v>
      </c>
      <c r="T32" s="222">
        <f t="shared" si="176"/>
        <v>145.38461538461539</v>
      </c>
      <c r="U32" s="223">
        <f t="shared" si="177"/>
        <v>0</v>
      </c>
      <c r="V32" s="221">
        <f t="shared" si="189"/>
        <v>0</v>
      </c>
      <c r="W32" s="224">
        <f t="shared" si="178"/>
        <v>43.615384615384613</v>
      </c>
      <c r="X32" s="224">
        <f t="shared" si="179"/>
        <v>13.084615384615384</v>
      </c>
      <c r="Y32" s="224">
        <f t="shared" si="180"/>
        <v>0</v>
      </c>
      <c r="Z32" s="224">
        <f t="shared" si="181"/>
        <v>0</v>
      </c>
      <c r="AA32" s="224">
        <f t="shared" si="182"/>
        <v>8.1</v>
      </c>
      <c r="AB32" s="224">
        <f t="shared" si="183"/>
        <v>16.2</v>
      </c>
      <c r="AC32" s="224">
        <f t="shared" si="184"/>
        <v>80.999999999999986</v>
      </c>
      <c r="AD32" s="224">
        <f t="shared" si="185"/>
        <v>81</v>
      </c>
      <c r="AE32" s="213">
        <v>3</v>
      </c>
      <c r="AF32" s="224">
        <v>9</v>
      </c>
      <c r="AG32" s="225">
        <f t="shared" si="186"/>
        <v>27</v>
      </c>
    </row>
    <row r="33" spans="2:33" x14ac:dyDescent="0.35">
      <c r="B33" s="212">
        <f t="shared" si="187"/>
        <v>42559</v>
      </c>
      <c r="C33" s="213" t="s">
        <v>260</v>
      </c>
      <c r="D33" s="213" t="s">
        <v>263</v>
      </c>
      <c r="E33" s="214" t="s">
        <v>265</v>
      </c>
      <c r="F33" s="215">
        <v>4</v>
      </c>
      <c r="G33" s="216">
        <v>1</v>
      </c>
      <c r="H33" s="216">
        <v>0</v>
      </c>
      <c r="I33" s="216">
        <v>0</v>
      </c>
      <c r="J33" s="217">
        <f t="shared" si="169"/>
        <v>3</v>
      </c>
      <c r="K33" s="215">
        <v>3</v>
      </c>
      <c r="L33" s="218">
        <v>0</v>
      </c>
      <c r="M33" s="219">
        <f t="shared" si="170"/>
        <v>2.0769230769230766</v>
      </c>
      <c r="N33" s="219">
        <f t="shared" si="171"/>
        <v>0.62307692307692297</v>
      </c>
      <c r="O33" s="219">
        <f t="shared" si="172"/>
        <v>0</v>
      </c>
      <c r="P33" s="219">
        <f t="shared" si="173"/>
        <v>0</v>
      </c>
      <c r="Q33" s="219">
        <f t="shared" si="174"/>
        <v>0.3</v>
      </c>
      <c r="R33" s="220">
        <f t="shared" si="175"/>
        <v>48</v>
      </c>
      <c r="S33" s="221">
        <f t="shared" si="188"/>
        <v>221</v>
      </c>
      <c r="T33" s="222">
        <f t="shared" si="176"/>
        <v>242.30769230769226</v>
      </c>
      <c r="U33" s="223">
        <f t="shared" si="177"/>
        <v>0</v>
      </c>
      <c r="V33" s="221">
        <f t="shared" si="189"/>
        <v>0</v>
      </c>
      <c r="W33" s="224">
        <f t="shared" si="178"/>
        <v>72.692307692307679</v>
      </c>
      <c r="X33" s="224">
        <f t="shared" si="179"/>
        <v>21.807692307692303</v>
      </c>
      <c r="Y33" s="224">
        <f t="shared" si="180"/>
        <v>0</v>
      </c>
      <c r="Z33" s="224">
        <f t="shared" si="181"/>
        <v>0</v>
      </c>
      <c r="AA33" s="224">
        <f t="shared" si="182"/>
        <v>13.5</v>
      </c>
      <c r="AB33" s="224">
        <f t="shared" si="183"/>
        <v>27</v>
      </c>
      <c r="AC33" s="224">
        <f t="shared" si="184"/>
        <v>135</v>
      </c>
      <c r="AD33" s="224">
        <f t="shared" si="185"/>
        <v>135</v>
      </c>
      <c r="AE33" s="213">
        <v>5</v>
      </c>
      <c r="AF33" s="224">
        <v>9</v>
      </c>
      <c r="AG33" s="225">
        <f t="shared" si="186"/>
        <v>45</v>
      </c>
    </row>
    <row r="34" spans="2:33" x14ac:dyDescent="0.35">
      <c r="B34" s="212">
        <f t="shared" si="187"/>
        <v>42566</v>
      </c>
      <c r="C34" s="213" t="s">
        <v>260</v>
      </c>
      <c r="D34" s="213" t="s">
        <v>263</v>
      </c>
      <c r="E34" s="214" t="s">
        <v>265</v>
      </c>
      <c r="F34" s="215">
        <v>4</v>
      </c>
      <c r="G34" s="216">
        <v>1</v>
      </c>
      <c r="H34" s="216">
        <v>0</v>
      </c>
      <c r="I34" s="216">
        <v>0</v>
      </c>
      <c r="J34" s="217">
        <f t="shared" si="169"/>
        <v>3</v>
      </c>
      <c r="K34" s="215">
        <v>1.5</v>
      </c>
      <c r="L34" s="218">
        <v>1.5</v>
      </c>
      <c r="M34" s="219">
        <f t="shared" si="170"/>
        <v>1.0384615384615383</v>
      </c>
      <c r="N34" s="219">
        <f t="shared" si="171"/>
        <v>0.31153846153846149</v>
      </c>
      <c r="O34" s="219">
        <f t="shared" si="172"/>
        <v>1.0384615384615383</v>
      </c>
      <c r="P34" s="219">
        <f t="shared" si="173"/>
        <v>0.31153846153846149</v>
      </c>
      <c r="Q34" s="219">
        <f t="shared" si="174"/>
        <v>0.3</v>
      </c>
      <c r="R34" s="220">
        <f t="shared" si="175"/>
        <v>24</v>
      </c>
      <c r="S34" s="221">
        <f t="shared" si="188"/>
        <v>245</v>
      </c>
      <c r="T34" s="222">
        <f t="shared" si="176"/>
        <v>121.15384615384613</v>
      </c>
      <c r="U34" s="223">
        <f t="shared" si="177"/>
        <v>25.96153846153846</v>
      </c>
      <c r="V34" s="221">
        <f t="shared" si="189"/>
        <v>25.96153846153846</v>
      </c>
      <c r="W34" s="224">
        <f t="shared" si="178"/>
        <v>36.34615384615384</v>
      </c>
      <c r="X34" s="224">
        <f t="shared" si="179"/>
        <v>10.903846153846152</v>
      </c>
      <c r="Y34" s="224">
        <f t="shared" si="180"/>
        <v>36.34615384615384</v>
      </c>
      <c r="Z34" s="224">
        <f t="shared" si="181"/>
        <v>10.903846153846152</v>
      </c>
      <c r="AA34" s="224">
        <f t="shared" si="182"/>
        <v>13.5</v>
      </c>
      <c r="AB34" s="224">
        <f t="shared" si="183"/>
        <v>27</v>
      </c>
      <c r="AC34" s="224">
        <f t="shared" si="184"/>
        <v>134.99999999999997</v>
      </c>
      <c r="AD34" s="224">
        <f t="shared" si="185"/>
        <v>135</v>
      </c>
      <c r="AE34" s="213">
        <v>5</v>
      </c>
      <c r="AF34" s="224">
        <v>9</v>
      </c>
      <c r="AG34" s="225">
        <f t="shared" si="186"/>
        <v>45</v>
      </c>
    </row>
    <row r="35" spans="2:33" x14ac:dyDescent="0.35">
      <c r="B35" s="212">
        <f t="shared" si="187"/>
        <v>42573</v>
      </c>
      <c r="C35" s="213" t="s">
        <v>260</v>
      </c>
      <c r="D35" s="213" t="s">
        <v>264</v>
      </c>
      <c r="E35" s="214" t="s">
        <v>266</v>
      </c>
      <c r="F35" s="215">
        <v>4</v>
      </c>
      <c r="G35" s="216">
        <v>1</v>
      </c>
      <c r="H35" s="216">
        <v>0</v>
      </c>
      <c r="I35" s="216">
        <v>0</v>
      </c>
      <c r="J35" s="217">
        <f t="shared" si="169"/>
        <v>3</v>
      </c>
      <c r="K35" s="215">
        <v>0</v>
      </c>
      <c r="L35" s="218">
        <v>3</v>
      </c>
      <c r="M35" s="219">
        <f t="shared" si="170"/>
        <v>0</v>
      </c>
      <c r="N35" s="219">
        <f t="shared" si="171"/>
        <v>0</v>
      </c>
      <c r="O35" s="219">
        <f t="shared" si="172"/>
        <v>2.0769230769230766</v>
      </c>
      <c r="P35" s="219">
        <f t="shared" si="173"/>
        <v>0.62307692307692297</v>
      </c>
      <c r="Q35" s="219">
        <f t="shared" si="174"/>
        <v>0.3</v>
      </c>
      <c r="R35" s="220">
        <f t="shared" si="175"/>
        <v>0</v>
      </c>
      <c r="S35" s="221">
        <f t="shared" si="188"/>
        <v>245</v>
      </c>
      <c r="T35" s="222">
        <f t="shared" si="176"/>
        <v>0</v>
      </c>
      <c r="U35" s="223">
        <f t="shared" si="177"/>
        <v>51.92307692307692</v>
      </c>
      <c r="V35" s="221">
        <f t="shared" si="189"/>
        <v>77.884615384615387</v>
      </c>
      <c r="W35" s="224">
        <f t="shared" si="178"/>
        <v>0</v>
      </c>
      <c r="X35" s="224">
        <f t="shared" si="179"/>
        <v>0</v>
      </c>
      <c r="Y35" s="224">
        <f t="shared" si="180"/>
        <v>72.692307692307679</v>
      </c>
      <c r="Z35" s="224">
        <f t="shared" si="181"/>
        <v>21.807692307692303</v>
      </c>
      <c r="AA35" s="224">
        <f t="shared" si="182"/>
        <v>13.5</v>
      </c>
      <c r="AB35" s="224">
        <f t="shared" si="183"/>
        <v>27</v>
      </c>
      <c r="AC35" s="224">
        <f t="shared" si="184"/>
        <v>135</v>
      </c>
      <c r="AD35" s="224">
        <f t="shared" si="185"/>
        <v>135</v>
      </c>
      <c r="AE35" s="213">
        <v>5</v>
      </c>
      <c r="AF35" s="224">
        <v>9</v>
      </c>
      <c r="AG35" s="225">
        <f t="shared" si="186"/>
        <v>45</v>
      </c>
    </row>
    <row r="36" spans="2:33" x14ac:dyDescent="0.35">
      <c r="B36" s="212">
        <f t="shared" si="187"/>
        <v>42580</v>
      </c>
      <c r="C36" s="213" t="s">
        <v>260</v>
      </c>
      <c r="D36" s="213" t="s">
        <v>264</v>
      </c>
      <c r="E36" s="214" t="s">
        <v>266</v>
      </c>
      <c r="F36" s="215">
        <v>4</v>
      </c>
      <c r="G36" s="216">
        <v>1</v>
      </c>
      <c r="H36" s="216">
        <v>0</v>
      </c>
      <c r="I36" s="216">
        <v>0</v>
      </c>
      <c r="J36" s="217">
        <f t="shared" si="169"/>
        <v>3</v>
      </c>
      <c r="K36" s="218">
        <v>0</v>
      </c>
      <c r="L36" s="218">
        <v>3</v>
      </c>
      <c r="M36" s="219">
        <f t="shared" si="170"/>
        <v>0</v>
      </c>
      <c r="N36" s="219">
        <f t="shared" si="171"/>
        <v>0</v>
      </c>
      <c r="O36" s="219">
        <f t="shared" si="172"/>
        <v>2.0769230769230766</v>
      </c>
      <c r="P36" s="219">
        <f t="shared" si="173"/>
        <v>0.62307692307692297</v>
      </c>
      <c r="Q36" s="219">
        <f t="shared" si="174"/>
        <v>0.3</v>
      </c>
      <c r="R36" s="220">
        <f t="shared" si="175"/>
        <v>0</v>
      </c>
      <c r="S36" s="221">
        <f t="shared" si="188"/>
        <v>245</v>
      </c>
      <c r="T36" s="222">
        <f t="shared" si="176"/>
        <v>0</v>
      </c>
      <c r="U36" s="223">
        <f t="shared" si="177"/>
        <v>51.92307692307692</v>
      </c>
      <c r="V36" s="221">
        <f t="shared" si="189"/>
        <v>129.80769230769232</v>
      </c>
      <c r="W36" s="224">
        <f t="shared" si="178"/>
        <v>0</v>
      </c>
      <c r="X36" s="224">
        <f t="shared" si="179"/>
        <v>0</v>
      </c>
      <c r="Y36" s="224">
        <f t="shared" si="180"/>
        <v>72.692307692307679</v>
      </c>
      <c r="Z36" s="224">
        <f t="shared" si="181"/>
        <v>21.807692307692303</v>
      </c>
      <c r="AA36" s="224">
        <f t="shared" si="182"/>
        <v>13.5</v>
      </c>
      <c r="AB36" s="224">
        <f t="shared" si="183"/>
        <v>27</v>
      </c>
      <c r="AC36" s="224">
        <f t="shared" si="184"/>
        <v>135</v>
      </c>
      <c r="AD36" s="224">
        <f t="shared" si="185"/>
        <v>135</v>
      </c>
      <c r="AE36" s="213">
        <v>5</v>
      </c>
      <c r="AF36" s="224">
        <v>9</v>
      </c>
      <c r="AG36" s="225">
        <f t="shared" si="186"/>
        <v>45</v>
      </c>
    </row>
    <row r="37" spans="2:33" x14ac:dyDescent="0.35">
      <c r="B37" s="212">
        <f t="shared" si="187"/>
        <v>42587</v>
      </c>
      <c r="C37" s="213" t="s">
        <v>260</v>
      </c>
      <c r="D37" s="213" t="s">
        <v>264</v>
      </c>
      <c r="E37" s="214" t="s">
        <v>266</v>
      </c>
      <c r="F37" s="215">
        <v>4</v>
      </c>
      <c r="G37" s="216">
        <v>1</v>
      </c>
      <c r="H37" s="216">
        <v>0</v>
      </c>
      <c r="I37" s="216">
        <v>0</v>
      </c>
      <c r="J37" s="217">
        <f t="shared" si="169"/>
        <v>3</v>
      </c>
      <c r="K37" s="218">
        <v>0</v>
      </c>
      <c r="L37" s="218">
        <v>3</v>
      </c>
      <c r="M37" s="219">
        <f t="shared" si="170"/>
        <v>0</v>
      </c>
      <c r="N37" s="219">
        <f t="shared" si="171"/>
        <v>0</v>
      </c>
      <c r="O37" s="219">
        <f t="shared" si="172"/>
        <v>2.0769230769230766</v>
      </c>
      <c r="P37" s="219">
        <f t="shared" si="173"/>
        <v>0.62307692307692297</v>
      </c>
      <c r="Q37" s="219">
        <f t="shared" si="174"/>
        <v>0.3</v>
      </c>
      <c r="R37" s="220">
        <f t="shared" si="175"/>
        <v>0</v>
      </c>
      <c r="S37" s="221">
        <f t="shared" si="188"/>
        <v>245</v>
      </c>
      <c r="T37" s="222">
        <f t="shared" si="176"/>
        <v>0</v>
      </c>
      <c r="U37" s="223">
        <f t="shared" si="177"/>
        <v>51.92307692307692</v>
      </c>
      <c r="V37" s="221">
        <f t="shared" si="189"/>
        <v>181.73076923076923</v>
      </c>
      <c r="W37" s="224">
        <f t="shared" si="178"/>
        <v>0</v>
      </c>
      <c r="X37" s="224">
        <f t="shared" si="179"/>
        <v>0</v>
      </c>
      <c r="Y37" s="224">
        <f t="shared" si="180"/>
        <v>72.692307692307679</v>
      </c>
      <c r="Z37" s="224">
        <f t="shared" si="181"/>
        <v>21.807692307692303</v>
      </c>
      <c r="AA37" s="224">
        <f t="shared" si="182"/>
        <v>13.5</v>
      </c>
      <c r="AB37" s="224">
        <f t="shared" si="183"/>
        <v>27</v>
      </c>
      <c r="AC37" s="224">
        <f t="shared" si="184"/>
        <v>135</v>
      </c>
      <c r="AD37" s="224">
        <f t="shared" si="185"/>
        <v>135</v>
      </c>
      <c r="AE37" s="213">
        <v>5</v>
      </c>
      <c r="AF37" s="224">
        <v>9</v>
      </c>
      <c r="AG37" s="225">
        <f t="shared" si="186"/>
        <v>45</v>
      </c>
    </row>
    <row r="38" spans="2:33" x14ac:dyDescent="0.35">
      <c r="B38" s="212">
        <f t="shared" si="187"/>
        <v>42594</v>
      </c>
      <c r="C38" s="213" t="s">
        <v>260</v>
      </c>
      <c r="D38" s="213" t="s">
        <v>460</v>
      </c>
      <c r="E38" s="214"/>
      <c r="F38" s="215">
        <v>4</v>
      </c>
      <c r="G38" s="216">
        <v>1</v>
      </c>
      <c r="H38" s="216">
        <v>0</v>
      </c>
      <c r="I38" s="216">
        <v>0</v>
      </c>
      <c r="J38" s="217">
        <f t="shared" si="169"/>
        <v>3</v>
      </c>
      <c r="K38" s="218">
        <v>0</v>
      </c>
      <c r="L38" s="218">
        <v>0</v>
      </c>
      <c r="M38" s="219">
        <f t="shared" ref="M38:M39" si="190">(W38+(($AB38*($K38/$J38))/(1+Hr_Review)))/$AG38</f>
        <v>0</v>
      </c>
      <c r="N38" s="219">
        <f t="shared" ref="N38:N39" si="191">(X38+(($AB38*($K38/$J38))/(1+Hr_Review))*Hr_Review)/$AG38</f>
        <v>0</v>
      </c>
      <c r="O38" s="219">
        <f t="shared" ref="O38:O39" si="192">(Y38+(($AB38*($L38/$J38))/(1+Hr_Review)))/$AG38</f>
        <v>0</v>
      </c>
      <c r="P38" s="219">
        <f t="shared" ref="P38:P39" si="193">(Z38+(($AB38*($L38/$J38))/(1+Hr_Review))*Hr_Review)/$AG38</f>
        <v>0</v>
      </c>
      <c r="Q38" s="219">
        <f t="shared" si="174"/>
        <v>0.3</v>
      </c>
      <c r="R38" s="220">
        <f t="shared" ref="R38:R39" si="194">ROUNDDOWN(W38/(Analysis_Hr_AC*NO_AC_US),0)</f>
        <v>0</v>
      </c>
      <c r="S38" s="221">
        <f t="shared" si="188"/>
        <v>245</v>
      </c>
      <c r="T38" s="222">
        <f t="shared" ref="T38:T39" si="195">W38/Analysis_Hr_AC</f>
        <v>0</v>
      </c>
      <c r="U38" s="223">
        <f t="shared" si="177"/>
        <v>0</v>
      </c>
      <c r="V38" s="221">
        <f t="shared" si="189"/>
        <v>181.73076923076923</v>
      </c>
      <c r="W38" s="224">
        <f t="shared" ref="W38:W39" si="196">K38*(AG38-AG38*Hr_Query-AG38*Hr_OtherAnalysis)*(1/(1+Hr_Query+Hr_OtherAnalysis))</f>
        <v>0</v>
      </c>
      <c r="X38" s="224">
        <f t="shared" ref="X38:X39" si="197">(W38)*Hr_Review</f>
        <v>0</v>
      </c>
      <c r="Y38" s="224">
        <f t="shared" ref="Y38:Y39" si="198">L38*(AG38-AG38*Hr_Query-AG38*Hr_OtherAnalysis)*(1/(1+Hr_Query+Hr_OtherAnalysis))</f>
        <v>0</v>
      </c>
      <c r="Z38" s="224">
        <f t="shared" ref="Z38:Z39" si="199">(Y38)*Hr_Review</f>
        <v>0</v>
      </c>
      <c r="AA38" s="224">
        <f t="shared" ref="AA38:AA39" si="200">AD38*Hr_OtherAnalysis</f>
        <v>13.5</v>
      </c>
      <c r="AB38" s="224">
        <f t="shared" ref="AB38:AB39" si="201">ROUND(AD38*Hr_Query,1)</f>
        <v>27</v>
      </c>
      <c r="AC38" s="224">
        <f t="shared" si="184"/>
        <v>40.5</v>
      </c>
      <c r="AD38" s="224">
        <f t="shared" si="185"/>
        <v>135</v>
      </c>
      <c r="AE38" s="213">
        <v>5</v>
      </c>
      <c r="AF38" s="224">
        <v>9</v>
      </c>
      <c r="AG38" s="225">
        <f t="shared" si="186"/>
        <v>45</v>
      </c>
    </row>
    <row r="39" spans="2:33" x14ac:dyDescent="0.35">
      <c r="B39" s="212">
        <f t="shared" si="187"/>
        <v>42601</v>
      </c>
      <c r="C39" s="213" t="s">
        <v>260</v>
      </c>
      <c r="D39" s="213" t="s">
        <v>460</v>
      </c>
      <c r="E39" s="214"/>
      <c r="F39" s="215">
        <v>4</v>
      </c>
      <c r="G39" s="216">
        <v>1</v>
      </c>
      <c r="H39" s="216">
        <v>0</v>
      </c>
      <c r="I39" s="216">
        <v>0</v>
      </c>
      <c r="J39" s="217">
        <v>0</v>
      </c>
      <c r="K39" s="218">
        <v>0</v>
      </c>
      <c r="L39" s="218">
        <v>0</v>
      </c>
      <c r="M39" s="219" t="e">
        <f t="shared" si="190"/>
        <v>#DIV/0!</v>
      </c>
      <c r="N39" s="219" t="e">
        <f t="shared" si="191"/>
        <v>#DIV/0!</v>
      </c>
      <c r="O39" s="219" t="e">
        <f t="shared" si="192"/>
        <v>#DIV/0!</v>
      </c>
      <c r="P39" s="219" t="e">
        <f t="shared" si="193"/>
        <v>#DIV/0!</v>
      </c>
      <c r="Q39" s="219">
        <f t="shared" si="174"/>
        <v>0</v>
      </c>
      <c r="R39" s="220">
        <f t="shared" si="194"/>
        <v>0</v>
      </c>
      <c r="S39" s="221">
        <f t="shared" si="188"/>
        <v>245</v>
      </c>
      <c r="T39" s="222">
        <f t="shared" si="195"/>
        <v>0</v>
      </c>
      <c r="U39" s="223">
        <f t="shared" si="177"/>
        <v>0</v>
      </c>
      <c r="V39" s="221">
        <f t="shared" si="189"/>
        <v>181.73076923076923</v>
      </c>
      <c r="W39" s="224">
        <f t="shared" si="196"/>
        <v>0</v>
      </c>
      <c r="X39" s="224">
        <f t="shared" si="197"/>
        <v>0</v>
      </c>
      <c r="Y39" s="224">
        <f t="shared" si="198"/>
        <v>0</v>
      </c>
      <c r="Z39" s="224">
        <f t="shared" si="199"/>
        <v>0</v>
      </c>
      <c r="AA39" s="224">
        <f t="shared" si="200"/>
        <v>0</v>
      </c>
      <c r="AB39" s="224">
        <f t="shared" si="201"/>
        <v>0</v>
      </c>
      <c r="AC39" s="224">
        <f t="shared" si="184"/>
        <v>0</v>
      </c>
      <c r="AD39" s="224">
        <f t="shared" si="185"/>
        <v>0</v>
      </c>
      <c r="AE39" s="213">
        <v>5</v>
      </c>
      <c r="AF39" s="224">
        <v>9</v>
      </c>
      <c r="AG39" s="225">
        <f t="shared" si="186"/>
        <v>45</v>
      </c>
    </row>
    <row r="40" spans="2:33" x14ac:dyDescent="0.35">
      <c r="B40" s="212">
        <f t="shared" si="187"/>
        <v>42608</v>
      </c>
      <c r="C40" s="213" t="s">
        <v>260</v>
      </c>
      <c r="D40" s="213" t="s">
        <v>460</v>
      </c>
      <c r="E40" s="214"/>
      <c r="F40" s="215">
        <v>4</v>
      </c>
      <c r="G40" s="216">
        <v>1</v>
      </c>
      <c r="H40" s="216">
        <v>0</v>
      </c>
      <c r="I40" s="216">
        <v>0</v>
      </c>
      <c r="J40" s="217">
        <v>0</v>
      </c>
      <c r="K40" s="218">
        <v>0</v>
      </c>
      <c r="L40" s="218">
        <v>0</v>
      </c>
      <c r="M40" s="219" t="e">
        <f t="shared" ref="M40" si="202">(W40+(($AB40*($K40/$J40))/(1+Hr_Review)))/$AG40</f>
        <v>#DIV/0!</v>
      </c>
      <c r="N40" s="219" t="e">
        <f t="shared" ref="N40" si="203">(X40+(($AB40*($K40/$J40))/(1+Hr_Review))*Hr_Review)/$AG40</f>
        <v>#DIV/0!</v>
      </c>
      <c r="O40" s="219" t="e">
        <f t="shared" ref="O40" si="204">(Y40+(($AB40*($L40/$J40))/(1+Hr_Review)))/$AG40</f>
        <v>#DIV/0!</v>
      </c>
      <c r="P40" s="219" t="e">
        <f t="shared" ref="P40" si="205">(Z40+(($AB40*($L40/$J40))/(1+Hr_Review))*Hr_Review)/$AG40</f>
        <v>#DIV/0!</v>
      </c>
      <c r="Q40" s="219">
        <f t="shared" si="174"/>
        <v>0</v>
      </c>
      <c r="R40" s="220">
        <f t="shared" ref="R40" si="206">ROUNDDOWN(W40/(Analysis_Hr_AC*NO_AC_US),0)</f>
        <v>0</v>
      </c>
      <c r="S40" s="221">
        <f t="shared" si="188"/>
        <v>245</v>
      </c>
      <c r="T40" s="222">
        <f t="shared" ref="T40" si="207">W40/Analysis_Hr_AC</f>
        <v>0</v>
      </c>
      <c r="U40" s="223">
        <f t="shared" si="177"/>
        <v>0</v>
      </c>
      <c r="V40" s="221">
        <f t="shared" si="189"/>
        <v>181.73076923076923</v>
      </c>
      <c r="W40" s="224">
        <f t="shared" ref="W40" si="208">K40*(AG40-AG40*Hr_Query-AG40*Hr_OtherAnalysis)*(1/(1+Hr_Query+Hr_OtherAnalysis))</f>
        <v>0</v>
      </c>
      <c r="X40" s="224">
        <f t="shared" ref="X40" si="209">(W40)*Hr_Review</f>
        <v>0</v>
      </c>
      <c r="Y40" s="224">
        <f t="shared" ref="Y40" si="210">L40*(AG40-AG40*Hr_Query-AG40*Hr_OtherAnalysis)*(1/(1+Hr_Query+Hr_OtherAnalysis))</f>
        <v>0</v>
      </c>
      <c r="Z40" s="224">
        <f t="shared" ref="Z40" si="211">(Y40)*Hr_Review</f>
        <v>0</v>
      </c>
      <c r="AA40" s="224">
        <f t="shared" ref="AA40" si="212">AD40*Hr_OtherAnalysis</f>
        <v>0</v>
      </c>
      <c r="AB40" s="224">
        <f t="shared" ref="AB40" si="213">ROUND(AD40*Hr_Query,1)</f>
        <v>0</v>
      </c>
      <c r="AC40" s="224">
        <f t="shared" si="184"/>
        <v>0</v>
      </c>
      <c r="AD40" s="224">
        <f t="shared" si="185"/>
        <v>0</v>
      </c>
      <c r="AE40" s="213">
        <v>5</v>
      </c>
      <c r="AF40" s="224">
        <v>9</v>
      </c>
      <c r="AG40" s="225">
        <f t="shared" si="186"/>
        <v>45</v>
      </c>
    </row>
    <row r="41" spans="2:33" s="177" customFormat="1" x14ac:dyDescent="0.35">
      <c r="B41" s="162"/>
      <c r="C41" s="163"/>
      <c r="D41" s="163"/>
      <c r="E41" s="162"/>
      <c r="F41" s="154"/>
      <c r="G41" s="166"/>
      <c r="H41" s="166"/>
      <c r="I41" s="166"/>
      <c r="J41" s="164"/>
      <c r="K41" s="165"/>
      <c r="L41" s="165"/>
      <c r="M41" s="166"/>
      <c r="N41" s="166"/>
      <c r="O41" s="166"/>
      <c r="P41" s="166"/>
      <c r="Q41" s="166"/>
      <c r="R41" s="154"/>
      <c r="S41" s="167"/>
      <c r="T41" s="167"/>
      <c r="U41" s="167"/>
      <c r="V41" s="167"/>
      <c r="W41" s="167"/>
      <c r="X41" s="167"/>
      <c r="Y41" s="167"/>
      <c r="Z41" s="167"/>
      <c r="AA41" s="167"/>
      <c r="AB41" s="167"/>
      <c r="AC41" s="167"/>
      <c r="AD41" s="167"/>
      <c r="AE41" s="163"/>
      <c r="AF41" s="167"/>
      <c r="AG41" s="168"/>
    </row>
    <row r="42" spans="2:33" ht="15" thickBot="1" x14ac:dyDescent="0.4">
      <c r="B42" s="162"/>
      <c r="C42" s="163"/>
      <c r="D42" s="163"/>
      <c r="E42" s="162"/>
      <c r="F42" s="154"/>
      <c r="G42" s="154"/>
      <c r="H42" s="154"/>
      <c r="I42" s="154"/>
      <c r="J42" s="164"/>
      <c r="K42" s="154"/>
      <c r="L42" s="165"/>
      <c r="M42" s="166"/>
      <c r="N42" s="166"/>
      <c r="O42" s="166"/>
      <c r="P42" s="166"/>
      <c r="Q42" s="166"/>
      <c r="R42" s="154"/>
      <c r="S42" s="167"/>
      <c r="T42" s="167"/>
      <c r="U42" s="167"/>
      <c r="V42" s="167"/>
      <c r="W42" s="167"/>
      <c r="X42" s="167"/>
      <c r="Y42" s="167"/>
      <c r="Z42" s="167"/>
      <c r="AA42" s="167"/>
      <c r="AB42" s="167"/>
      <c r="AC42" s="167"/>
      <c r="AD42" s="167"/>
      <c r="AE42" s="163"/>
      <c r="AF42" s="167"/>
      <c r="AG42" s="168"/>
    </row>
    <row r="43" spans="2:33" x14ac:dyDescent="0.35">
      <c r="B43" s="171"/>
      <c r="C43" s="174" t="s">
        <v>10</v>
      </c>
      <c r="D43" s="169"/>
      <c r="E43" s="169"/>
    </row>
    <row r="44" spans="2:33" x14ac:dyDescent="0.35">
      <c r="B44" s="172">
        <v>0.3</v>
      </c>
      <c r="C44" s="175" t="s">
        <v>242</v>
      </c>
      <c r="D44" s="169"/>
      <c r="E44" s="170"/>
    </row>
    <row r="45" spans="2:33" s="153" customFormat="1" x14ac:dyDescent="0.35">
      <c r="B45" s="172">
        <v>1.4</v>
      </c>
      <c r="C45" s="175" t="s">
        <v>243</v>
      </c>
      <c r="D45" s="169"/>
      <c r="E45" s="170"/>
    </row>
    <row r="46" spans="2:33" s="153" customFormat="1" x14ac:dyDescent="0.35">
      <c r="B46" s="172">
        <v>0.3</v>
      </c>
      <c r="C46" s="175" t="s">
        <v>21</v>
      </c>
      <c r="D46" s="169"/>
      <c r="E46" s="170"/>
    </row>
    <row r="47" spans="2:33" x14ac:dyDescent="0.35">
      <c r="B47" s="172">
        <v>0.2</v>
      </c>
      <c r="C47" s="175" t="s">
        <v>244</v>
      </c>
      <c r="D47" s="169"/>
      <c r="E47" s="170"/>
    </row>
    <row r="48" spans="2:33" x14ac:dyDescent="0.35">
      <c r="B48" s="172">
        <v>0.1</v>
      </c>
      <c r="C48" s="175" t="s">
        <v>245</v>
      </c>
      <c r="D48" s="169"/>
      <c r="E48" s="170"/>
    </row>
    <row r="49" spans="2:34" ht="15" thickBot="1" x14ac:dyDescent="0.4">
      <c r="B49" s="173">
        <v>5</v>
      </c>
      <c r="C49" s="176" t="s">
        <v>207</v>
      </c>
      <c r="D49" s="169"/>
      <c r="E49" s="169"/>
    </row>
    <row r="50" spans="2:34" x14ac:dyDescent="0.35">
      <c r="B50" s="154"/>
      <c r="D50" s="154"/>
      <c r="E50" s="154"/>
      <c r="F50" s="155"/>
    </row>
    <row r="51" spans="2:34" x14ac:dyDescent="0.35">
      <c r="E51" s="156"/>
    </row>
    <row r="52" spans="2:34" x14ac:dyDescent="0.35">
      <c r="E52" s="156"/>
    </row>
    <row r="53" spans="2:34" x14ac:dyDescent="0.35">
      <c r="E53" s="156"/>
    </row>
    <row r="54" spans="2:34" s="153" customFormat="1" x14ac:dyDescent="0.35">
      <c r="B54" s="156"/>
      <c r="C54" s="152"/>
      <c r="D54" s="156"/>
      <c r="E54" s="156"/>
      <c r="AH54" s="152"/>
    </row>
    <row r="55" spans="2:34" s="153" customFormat="1" x14ac:dyDescent="0.35">
      <c r="B55" s="156"/>
      <c r="C55" s="152"/>
      <c r="D55" s="156"/>
      <c r="E55" s="156"/>
      <c r="AH55" s="152"/>
    </row>
    <row r="56" spans="2:34" s="153" customFormat="1" x14ac:dyDescent="0.35">
      <c r="B56" s="156"/>
      <c r="C56" s="152"/>
      <c r="D56" s="156"/>
      <c r="E56" s="156"/>
      <c r="AH56" s="152"/>
    </row>
    <row r="57" spans="2:34" s="153" customFormat="1" x14ac:dyDescent="0.35">
      <c r="B57" s="156"/>
      <c r="C57" s="152"/>
      <c r="D57" s="156"/>
      <c r="E57" s="156"/>
      <c r="AH57" s="152"/>
    </row>
    <row r="58" spans="2:34" s="153" customFormat="1" x14ac:dyDescent="0.35">
      <c r="B58" s="156"/>
      <c r="C58" s="152"/>
      <c r="D58" s="156"/>
      <c r="E58" s="156"/>
      <c r="AH58" s="152"/>
    </row>
    <row r="59" spans="2:34" s="153" customFormat="1" x14ac:dyDescent="0.35">
      <c r="B59" s="156"/>
      <c r="C59" s="152"/>
      <c r="D59" s="156"/>
      <c r="E59" s="156"/>
      <c r="AH59" s="152"/>
    </row>
    <row r="60" spans="2:34" s="153" customFormat="1" x14ac:dyDescent="0.35">
      <c r="B60" s="156"/>
      <c r="C60" s="152"/>
      <c r="D60" s="156"/>
      <c r="E60" s="156"/>
      <c r="AH60" s="152"/>
    </row>
    <row r="61" spans="2:34" s="153" customFormat="1" x14ac:dyDescent="0.35">
      <c r="B61" s="156"/>
      <c r="C61" s="152"/>
      <c r="D61" s="156"/>
      <c r="E61" s="156"/>
      <c r="AH61" s="15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40"/>
  <sheetViews>
    <sheetView topLeftCell="I1" zoomScale="80" zoomScaleNormal="80" workbookViewId="0">
      <selection activeCell="Y16" sqref="Y16"/>
    </sheetView>
  </sheetViews>
  <sheetFormatPr defaultRowHeight="14.5" x14ac:dyDescent="0.35"/>
  <cols>
    <col min="1" max="1" width="16.453125" bestFit="1" customWidth="1"/>
    <col min="2" max="2" width="19.453125" style="27" customWidth="1"/>
    <col min="3" max="3" width="13.81640625" style="27" bestFit="1" customWidth="1"/>
    <col min="4" max="4" width="36.08984375" style="1" bestFit="1" customWidth="1"/>
    <col min="5" max="5" width="18.08984375" style="1" bestFit="1" customWidth="1"/>
    <col min="6" max="6" width="11.453125" style="1" customWidth="1"/>
    <col min="7" max="7" width="12.36328125" style="10" customWidth="1"/>
    <col min="8" max="9" width="12.36328125" style="1" customWidth="1"/>
    <col min="10" max="12" width="12.36328125" style="1" hidden="1" customWidth="1"/>
    <col min="13" max="13" width="12.36328125" style="10" customWidth="1"/>
    <col min="14" max="14" width="12.36328125" style="1" customWidth="1"/>
    <col min="15" max="15" width="12.36328125" style="10" customWidth="1"/>
    <col min="16" max="25" width="12.36328125" style="1" customWidth="1"/>
  </cols>
  <sheetData>
    <row r="1" spans="1:26" x14ac:dyDescent="0.35">
      <c r="A1" t="s">
        <v>195</v>
      </c>
    </row>
    <row r="2" spans="1:26" s="41" customFormat="1" ht="70" x14ac:dyDescent="0.35">
      <c r="A2" s="41" t="s">
        <v>16</v>
      </c>
      <c r="B2" s="42" t="s">
        <v>18</v>
      </c>
      <c r="C2" s="42" t="s">
        <v>39</v>
      </c>
      <c r="D2" s="42" t="s">
        <v>47</v>
      </c>
      <c r="E2" s="42" t="s">
        <v>194</v>
      </c>
      <c r="F2" s="42" t="s">
        <v>0</v>
      </c>
      <c r="G2" s="45" t="s">
        <v>1</v>
      </c>
      <c r="H2" s="46" t="s">
        <v>17</v>
      </c>
      <c r="I2" s="46" t="s">
        <v>36</v>
      </c>
      <c r="J2" s="46" t="s">
        <v>14</v>
      </c>
      <c r="K2" s="47" t="s">
        <v>22</v>
      </c>
      <c r="L2" s="46" t="s">
        <v>2</v>
      </c>
      <c r="M2" s="45" t="s">
        <v>3</v>
      </c>
      <c r="N2" s="46" t="s">
        <v>4</v>
      </c>
      <c r="O2" s="48" t="s">
        <v>5</v>
      </c>
      <c r="P2" s="49" t="s">
        <v>6</v>
      </c>
      <c r="Q2" s="49" t="s">
        <v>23</v>
      </c>
      <c r="R2" s="49" t="s">
        <v>7</v>
      </c>
      <c r="S2" s="49" t="s">
        <v>24</v>
      </c>
      <c r="T2" s="49" t="s">
        <v>25</v>
      </c>
      <c r="U2" s="49" t="s">
        <v>11</v>
      </c>
      <c r="V2" s="49" t="s">
        <v>8</v>
      </c>
      <c r="W2" s="49" t="s">
        <v>9</v>
      </c>
      <c r="X2" s="49" t="s">
        <v>30</v>
      </c>
      <c r="Y2" s="49" t="s">
        <v>31</v>
      </c>
      <c r="Z2" s="50" t="s">
        <v>42</v>
      </c>
    </row>
    <row r="3" spans="1:26" x14ac:dyDescent="0.35">
      <c r="A3" t="s">
        <v>41</v>
      </c>
      <c r="B3" s="43" t="s">
        <v>32</v>
      </c>
      <c r="C3" s="44">
        <v>42251</v>
      </c>
      <c r="D3" s="51" t="s">
        <v>48</v>
      </c>
      <c r="E3" s="130">
        <v>0</v>
      </c>
      <c r="F3" s="52">
        <f>SUM(G3+M3)</f>
        <v>0</v>
      </c>
      <c r="G3" s="53">
        <v>0</v>
      </c>
      <c r="H3" s="54">
        <f t="shared" ref="H3:H11" si="0">ROUNDDOWN(P3/(Analysis_Hr_AC*5),0)</f>
        <v>0</v>
      </c>
      <c r="I3" s="54">
        <f>H3</f>
        <v>0</v>
      </c>
      <c r="J3" s="55">
        <f t="shared" ref="J3:J11" si="1">P3/Analysis_Hr_AC</f>
        <v>0</v>
      </c>
      <c r="K3" s="56"/>
      <c r="L3" s="57"/>
      <c r="M3" s="58">
        <v>0</v>
      </c>
      <c r="N3" s="55">
        <f>R3/$D$32</f>
        <v>0</v>
      </c>
      <c r="O3" s="59">
        <f t="shared" ref="O3:O19" si="2">N3/NBAC_Pattern</f>
        <v>0</v>
      </c>
      <c r="P3" s="60">
        <f>G3*(Z3-Z3*Hr_Query-Z3*Hr_OtherAnalysis)*77%</f>
        <v>0</v>
      </c>
      <c r="Q3" s="60">
        <f>(P3)*Hr_Review</f>
        <v>0</v>
      </c>
      <c r="R3" s="60">
        <f t="shared" ref="R3:R19" si="3">M3*(Z3-Z3*Hr_Query-Z3*Hr_OtherAnalysis)*77%</f>
        <v>0</v>
      </c>
      <c r="S3" s="60">
        <f t="shared" ref="S3" si="4">(R3)*Hr_Review</f>
        <v>0</v>
      </c>
      <c r="T3" s="60">
        <f>W3*Hr_OtherAnalysis</f>
        <v>0</v>
      </c>
      <c r="U3" s="61">
        <f t="shared" ref="U3:U19" si="5">ROUND(W3*Hr_Query,1)</f>
        <v>0</v>
      </c>
      <c r="V3" s="62">
        <f>P3+R3+Q3+S3+U3</f>
        <v>0</v>
      </c>
      <c r="W3" s="62">
        <f>F3*X3*Y3</f>
        <v>0</v>
      </c>
      <c r="X3" s="43">
        <v>5</v>
      </c>
      <c r="Y3" s="62">
        <v>9</v>
      </c>
      <c r="Z3" s="63">
        <f>X3*Y3</f>
        <v>45</v>
      </c>
    </row>
    <row r="4" spans="1:26" x14ac:dyDescent="0.35">
      <c r="A4" t="s">
        <v>41</v>
      </c>
      <c r="B4" s="43" t="s">
        <v>32</v>
      </c>
      <c r="C4" s="44">
        <v>42258</v>
      </c>
      <c r="D4" s="51" t="s">
        <v>48</v>
      </c>
      <c r="E4" s="130">
        <v>2</v>
      </c>
      <c r="F4" s="52">
        <f t="shared" ref="F4:F15" si="6">SUM(G4+M4)</f>
        <v>1</v>
      </c>
      <c r="G4" s="53">
        <v>1</v>
      </c>
      <c r="H4" s="54">
        <f t="shared" si="0"/>
        <v>16</v>
      </c>
      <c r="I4" s="54">
        <f>H4+I3</f>
        <v>16</v>
      </c>
      <c r="J4" s="55">
        <f t="shared" si="1"/>
        <v>80.041499999999999</v>
      </c>
      <c r="K4" s="56"/>
      <c r="L4" s="57"/>
      <c r="M4" s="58">
        <v>0</v>
      </c>
      <c r="N4" s="55">
        <f t="shared" ref="N4:N19" si="7">R4/$D$32</f>
        <v>0</v>
      </c>
      <c r="O4" s="59">
        <f t="shared" si="2"/>
        <v>0</v>
      </c>
      <c r="P4" s="60">
        <f t="shared" ref="P4:P19" si="8">G4*(Z4-Z4*Hr_Query-Z4*Hr_OtherAnalysis)*77%</f>
        <v>26.680499999999999</v>
      </c>
      <c r="Q4" s="60">
        <f t="shared" ref="Q4:Q19" si="9">(P4)*Hr_Review</f>
        <v>8.0041499999999992</v>
      </c>
      <c r="R4" s="60">
        <f t="shared" si="3"/>
        <v>0</v>
      </c>
      <c r="S4" s="60">
        <f t="shared" ref="S4:S11" si="10">(R4)*Hr_Review</f>
        <v>0</v>
      </c>
      <c r="T4" s="60">
        <f t="shared" ref="T4:T11" si="11">W4*Hr_OtherAnalysis</f>
        <v>4.95</v>
      </c>
      <c r="U4" s="61">
        <f t="shared" si="5"/>
        <v>9.9</v>
      </c>
      <c r="V4" s="62">
        <f t="shared" ref="V4:V19" si="12">P4+R4+Q4+S4+U4</f>
        <v>44.584649999999996</v>
      </c>
      <c r="W4" s="62">
        <f t="shared" ref="W4:W19" si="13">F4*X4*Y4</f>
        <v>49.5</v>
      </c>
      <c r="X4" s="43">
        <v>5.5</v>
      </c>
      <c r="Y4" s="62">
        <v>9</v>
      </c>
      <c r="Z4" s="63">
        <f t="shared" ref="Z4:Z19" si="14">X4*Y4</f>
        <v>49.5</v>
      </c>
    </row>
    <row r="5" spans="1:26" x14ac:dyDescent="0.35">
      <c r="A5" t="s">
        <v>41</v>
      </c>
      <c r="B5" s="43" t="s">
        <v>32</v>
      </c>
      <c r="C5" s="44">
        <v>42265</v>
      </c>
      <c r="D5" s="51" t="s">
        <v>48</v>
      </c>
      <c r="E5" s="130">
        <v>3</v>
      </c>
      <c r="F5" s="52">
        <f t="shared" si="6"/>
        <v>2.5</v>
      </c>
      <c r="G5" s="53">
        <v>2.5</v>
      </c>
      <c r="H5" s="54">
        <f t="shared" si="0"/>
        <v>29</v>
      </c>
      <c r="I5" s="54">
        <f t="shared" ref="I5:I19" si="15">H5+I4</f>
        <v>45</v>
      </c>
      <c r="J5" s="55">
        <f t="shared" si="1"/>
        <v>145.53</v>
      </c>
      <c r="K5" s="56"/>
      <c r="L5" s="57"/>
      <c r="M5" s="58">
        <v>0</v>
      </c>
      <c r="N5" s="55">
        <f t="shared" si="7"/>
        <v>0</v>
      </c>
      <c r="O5" s="59">
        <f t="shared" si="2"/>
        <v>0</v>
      </c>
      <c r="P5" s="60">
        <f t="shared" si="8"/>
        <v>48.51</v>
      </c>
      <c r="Q5" s="60">
        <f t="shared" si="9"/>
        <v>14.552999999999999</v>
      </c>
      <c r="R5" s="60">
        <f t="shared" si="3"/>
        <v>0</v>
      </c>
      <c r="S5" s="60">
        <f t="shared" si="10"/>
        <v>0</v>
      </c>
      <c r="T5" s="60">
        <f t="shared" si="11"/>
        <v>9</v>
      </c>
      <c r="U5" s="61">
        <f t="shared" si="5"/>
        <v>18</v>
      </c>
      <c r="V5" s="62">
        <f t="shared" si="12"/>
        <v>81.062999999999988</v>
      </c>
      <c r="W5" s="62">
        <f t="shared" si="13"/>
        <v>90</v>
      </c>
      <c r="X5" s="43">
        <v>4</v>
      </c>
      <c r="Y5" s="62">
        <v>9</v>
      </c>
      <c r="Z5" s="63">
        <f t="shared" si="14"/>
        <v>36</v>
      </c>
    </row>
    <row r="6" spans="1:26" x14ac:dyDescent="0.35">
      <c r="A6" t="s">
        <v>41</v>
      </c>
      <c r="B6" s="43" t="s">
        <v>33</v>
      </c>
      <c r="C6" s="44">
        <v>42272</v>
      </c>
      <c r="D6" s="51" t="s">
        <v>48</v>
      </c>
      <c r="E6" s="130">
        <v>3</v>
      </c>
      <c r="F6" s="52">
        <f t="shared" si="6"/>
        <v>2.5</v>
      </c>
      <c r="G6" s="53">
        <v>2.5</v>
      </c>
      <c r="H6" s="54">
        <f t="shared" si="0"/>
        <v>43</v>
      </c>
      <c r="I6" s="54">
        <f t="shared" si="15"/>
        <v>88</v>
      </c>
      <c r="J6" s="55">
        <f t="shared" si="1"/>
        <v>218.29500000000004</v>
      </c>
      <c r="K6" s="56"/>
      <c r="L6" s="57"/>
      <c r="M6" s="58">
        <v>0</v>
      </c>
      <c r="N6" s="55">
        <f t="shared" si="7"/>
        <v>0</v>
      </c>
      <c r="O6" s="59">
        <f t="shared" si="2"/>
        <v>0</v>
      </c>
      <c r="P6" s="60">
        <f t="shared" si="8"/>
        <v>72.765000000000015</v>
      </c>
      <c r="Q6" s="60">
        <f t="shared" si="9"/>
        <v>21.829500000000003</v>
      </c>
      <c r="R6" s="60">
        <f t="shared" si="3"/>
        <v>0</v>
      </c>
      <c r="S6" s="60">
        <f t="shared" si="10"/>
        <v>0</v>
      </c>
      <c r="T6" s="60">
        <f t="shared" si="11"/>
        <v>13.5</v>
      </c>
      <c r="U6" s="61">
        <f t="shared" si="5"/>
        <v>27</v>
      </c>
      <c r="V6" s="62">
        <f t="shared" si="12"/>
        <v>121.59450000000001</v>
      </c>
      <c r="W6" s="62">
        <f t="shared" si="13"/>
        <v>135</v>
      </c>
      <c r="X6" s="43">
        <v>6</v>
      </c>
      <c r="Y6" s="62">
        <v>9</v>
      </c>
      <c r="Z6" s="63">
        <f t="shared" si="14"/>
        <v>54</v>
      </c>
    </row>
    <row r="7" spans="1:26" x14ac:dyDescent="0.35">
      <c r="A7" t="s">
        <v>41</v>
      </c>
      <c r="B7" s="43" t="s">
        <v>33</v>
      </c>
      <c r="C7" s="44">
        <v>42279</v>
      </c>
      <c r="D7" s="51" t="s">
        <v>48</v>
      </c>
      <c r="E7" s="130">
        <v>9</v>
      </c>
      <c r="F7" s="52">
        <f t="shared" si="6"/>
        <v>8.5</v>
      </c>
      <c r="G7" s="53">
        <v>8.5</v>
      </c>
      <c r="H7" s="54">
        <f t="shared" si="0"/>
        <v>98</v>
      </c>
      <c r="I7" s="54">
        <f t="shared" si="15"/>
        <v>186</v>
      </c>
      <c r="J7" s="55">
        <f t="shared" si="1"/>
        <v>494.80200000000002</v>
      </c>
      <c r="K7" s="56"/>
      <c r="L7" s="57"/>
      <c r="M7" s="58">
        <v>0</v>
      </c>
      <c r="N7" s="55">
        <f t="shared" si="7"/>
        <v>0</v>
      </c>
      <c r="O7" s="59">
        <f t="shared" si="2"/>
        <v>0</v>
      </c>
      <c r="P7" s="60">
        <f t="shared" si="8"/>
        <v>164.934</v>
      </c>
      <c r="Q7" s="60">
        <f t="shared" si="9"/>
        <v>49.480199999999996</v>
      </c>
      <c r="R7" s="60">
        <f t="shared" si="3"/>
        <v>0</v>
      </c>
      <c r="S7" s="60">
        <f t="shared" si="10"/>
        <v>0</v>
      </c>
      <c r="T7" s="60">
        <f t="shared" si="11"/>
        <v>30.6</v>
      </c>
      <c r="U7" s="61">
        <f t="shared" si="5"/>
        <v>61.2</v>
      </c>
      <c r="V7" s="62">
        <f t="shared" si="12"/>
        <v>275.61419999999998</v>
      </c>
      <c r="W7" s="62">
        <f t="shared" si="13"/>
        <v>306</v>
      </c>
      <c r="X7" s="43">
        <v>4</v>
      </c>
      <c r="Y7" s="62">
        <v>9</v>
      </c>
      <c r="Z7" s="63">
        <f t="shared" si="14"/>
        <v>36</v>
      </c>
    </row>
    <row r="8" spans="1:26" x14ac:dyDescent="0.35">
      <c r="A8" t="s">
        <v>41</v>
      </c>
      <c r="B8" s="43" t="s">
        <v>33</v>
      </c>
      <c r="C8" s="44">
        <v>42286</v>
      </c>
      <c r="D8" s="51" t="s">
        <v>48</v>
      </c>
      <c r="E8" s="130">
        <v>9</v>
      </c>
      <c r="F8" s="52">
        <f t="shared" si="6"/>
        <v>8.5</v>
      </c>
      <c r="G8" s="53">
        <v>7</v>
      </c>
      <c r="H8" s="54">
        <f t="shared" si="0"/>
        <v>122</v>
      </c>
      <c r="I8" s="54">
        <f t="shared" si="15"/>
        <v>308</v>
      </c>
      <c r="J8" s="55">
        <f t="shared" si="1"/>
        <v>611.22600000000011</v>
      </c>
      <c r="K8" s="56"/>
      <c r="L8" s="57"/>
      <c r="M8" s="58">
        <v>1.5</v>
      </c>
      <c r="N8" s="55">
        <f t="shared" si="7"/>
        <v>21.829500000000003</v>
      </c>
      <c r="O8" s="59">
        <f t="shared" si="2"/>
        <v>4.3659000000000008</v>
      </c>
      <c r="P8" s="60">
        <f t="shared" si="8"/>
        <v>203.74200000000002</v>
      </c>
      <c r="Q8" s="60">
        <f t="shared" si="9"/>
        <v>61.122600000000006</v>
      </c>
      <c r="R8" s="60">
        <f t="shared" si="3"/>
        <v>43.659000000000006</v>
      </c>
      <c r="S8" s="60">
        <f t="shared" si="10"/>
        <v>13.097700000000001</v>
      </c>
      <c r="T8" s="60">
        <f t="shared" si="11"/>
        <v>45.900000000000006</v>
      </c>
      <c r="U8" s="61">
        <f t="shared" si="5"/>
        <v>91.8</v>
      </c>
      <c r="V8" s="62">
        <f t="shared" si="12"/>
        <v>413.42129999999997</v>
      </c>
      <c r="W8" s="62">
        <f t="shared" si="13"/>
        <v>459</v>
      </c>
      <c r="X8" s="43">
        <v>6</v>
      </c>
      <c r="Y8" s="62">
        <v>9</v>
      </c>
      <c r="Z8" s="63">
        <f t="shared" si="14"/>
        <v>54</v>
      </c>
    </row>
    <row r="9" spans="1:26" x14ac:dyDescent="0.35">
      <c r="A9" t="s">
        <v>41</v>
      </c>
      <c r="B9" s="43"/>
      <c r="C9" s="44">
        <v>42293</v>
      </c>
      <c r="D9" s="64" t="s">
        <v>51</v>
      </c>
      <c r="E9" s="131">
        <v>9</v>
      </c>
      <c r="F9" s="52">
        <f t="shared" si="6"/>
        <v>8.5</v>
      </c>
      <c r="G9" s="53">
        <v>0</v>
      </c>
      <c r="H9" s="54">
        <f t="shared" si="0"/>
        <v>0</v>
      </c>
      <c r="I9" s="54">
        <f t="shared" si="15"/>
        <v>308</v>
      </c>
      <c r="J9" s="55">
        <f t="shared" si="1"/>
        <v>0</v>
      </c>
      <c r="K9" s="56"/>
      <c r="L9" s="57"/>
      <c r="M9" s="58">
        <v>8.5</v>
      </c>
      <c r="N9" s="55">
        <f t="shared" si="7"/>
        <v>123.70050000000001</v>
      </c>
      <c r="O9" s="59">
        <f t="shared" si="2"/>
        <v>24.740100000000002</v>
      </c>
      <c r="P9" s="60">
        <f t="shared" si="8"/>
        <v>0</v>
      </c>
      <c r="Q9" s="60">
        <f t="shared" si="9"/>
        <v>0</v>
      </c>
      <c r="R9" s="60">
        <f>M9*(Z9-Z9*Hr_Query-Z9*Hr_OtherAnalysis)*77%</f>
        <v>247.40100000000001</v>
      </c>
      <c r="S9" s="60">
        <f t="shared" si="10"/>
        <v>74.220299999999995</v>
      </c>
      <c r="T9" s="60">
        <f t="shared" si="11"/>
        <v>45.900000000000006</v>
      </c>
      <c r="U9" s="61">
        <f t="shared" si="5"/>
        <v>91.8</v>
      </c>
      <c r="V9" s="62">
        <f t="shared" si="12"/>
        <v>413.42130000000003</v>
      </c>
      <c r="W9" s="62">
        <f t="shared" si="13"/>
        <v>459</v>
      </c>
      <c r="X9" s="43">
        <v>6</v>
      </c>
      <c r="Y9" s="62">
        <v>9</v>
      </c>
      <c r="Z9" s="63">
        <f t="shared" si="14"/>
        <v>54</v>
      </c>
    </row>
    <row r="10" spans="1:26" x14ac:dyDescent="0.35">
      <c r="A10" t="s">
        <v>41</v>
      </c>
      <c r="B10" s="43"/>
      <c r="C10" s="44">
        <v>42300</v>
      </c>
      <c r="D10" s="51" t="s">
        <v>49</v>
      </c>
      <c r="E10" s="130">
        <v>9</v>
      </c>
      <c r="F10" s="52">
        <f t="shared" si="6"/>
        <v>8.5</v>
      </c>
      <c r="G10" s="53">
        <v>7.5</v>
      </c>
      <c r="H10" s="54">
        <f t="shared" si="0"/>
        <v>87</v>
      </c>
      <c r="I10" s="54">
        <f t="shared" si="15"/>
        <v>395</v>
      </c>
      <c r="J10" s="55">
        <f t="shared" si="1"/>
        <v>436.59000000000003</v>
      </c>
      <c r="K10" s="56"/>
      <c r="L10" s="57"/>
      <c r="M10" s="58">
        <v>1</v>
      </c>
      <c r="N10" s="55">
        <f t="shared" si="7"/>
        <v>9.702</v>
      </c>
      <c r="O10" s="59">
        <f t="shared" si="2"/>
        <v>1.9403999999999999</v>
      </c>
      <c r="P10" s="60">
        <f t="shared" si="8"/>
        <v>145.53</v>
      </c>
      <c r="Q10" s="60">
        <f t="shared" si="9"/>
        <v>43.658999999999999</v>
      </c>
      <c r="R10" s="60">
        <f t="shared" si="3"/>
        <v>19.404</v>
      </c>
      <c r="S10" s="60">
        <f t="shared" si="10"/>
        <v>5.8212000000000002</v>
      </c>
      <c r="T10" s="60">
        <f t="shared" si="11"/>
        <v>30.6</v>
      </c>
      <c r="U10" s="61">
        <f t="shared" si="5"/>
        <v>61.2</v>
      </c>
      <c r="V10" s="62">
        <f t="shared" si="12"/>
        <v>275.61419999999998</v>
      </c>
      <c r="W10" s="62">
        <f t="shared" si="13"/>
        <v>306</v>
      </c>
      <c r="X10" s="43">
        <v>4</v>
      </c>
      <c r="Y10" s="62">
        <v>9</v>
      </c>
      <c r="Z10" s="63">
        <f t="shared" si="14"/>
        <v>36</v>
      </c>
    </row>
    <row r="11" spans="1:26" x14ac:dyDescent="0.35">
      <c r="A11" t="s">
        <v>41</v>
      </c>
      <c r="B11" s="43" t="s">
        <v>34</v>
      </c>
      <c r="C11" s="44">
        <v>42307</v>
      </c>
      <c r="D11" s="51" t="s">
        <v>50</v>
      </c>
      <c r="E11" s="130">
        <v>7.5</v>
      </c>
      <c r="F11" s="52">
        <f t="shared" si="6"/>
        <v>7</v>
      </c>
      <c r="G11" s="53">
        <v>7</v>
      </c>
      <c r="H11" s="54">
        <f t="shared" si="0"/>
        <v>101</v>
      </c>
      <c r="I11" s="54">
        <f t="shared" si="15"/>
        <v>496</v>
      </c>
      <c r="J11" s="55">
        <f t="shared" si="1"/>
        <v>509.35500000000002</v>
      </c>
      <c r="K11" s="56"/>
      <c r="L11" s="57"/>
      <c r="M11" s="58">
        <v>0</v>
      </c>
      <c r="N11" s="55">
        <f t="shared" si="7"/>
        <v>0</v>
      </c>
      <c r="O11" s="59">
        <f t="shared" si="2"/>
        <v>0</v>
      </c>
      <c r="P11" s="60">
        <f t="shared" si="8"/>
        <v>169.785</v>
      </c>
      <c r="Q11" s="60">
        <f t="shared" si="9"/>
        <v>50.935499999999998</v>
      </c>
      <c r="R11" s="60">
        <f t="shared" si="3"/>
        <v>0</v>
      </c>
      <c r="S11" s="60">
        <f t="shared" si="10"/>
        <v>0</v>
      </c>
      <c r="T11" s="60">
        <f t="shared" si="11"/>
        <v>31.5</v>
      </c>
      <c r="U11" s="61">
        <f t="shared" si="5"/>
        <v>63</v>
      </c>
      <c r="V11" s="62">
        <f t="shared" si="12"/>
        <v>283.72050000000002</v>
      </c>
      <c r="W11" s="62">
        <f t="shared" si="13"/>
        <v>315</v>
      </c>
      <c r="X11" s="43">
        <v>5</v>
      </c>
      <c r="Y11" s="62">
        <v>9</v>
      </c>
      <c r="Z11" s="63">
        <f t="shared" si="14"/>
        <v>45</v>
      </c>
    </row>
    <row r="12" spans="1:26" x14ac:dyDescent="0.35">
      <c r="A12" t="s">
        <v>41</v>
      </c>
      <c r="B12" s="43" t="s">
        <v>34</v>
      </c>
      <c r="C12" s="44">
        <v>42314</v>
      </c>
      <c r="D12" s="65" t="s">
        <v>52</v>
      </c>
      <c r="E12" s="130">
        <v>8.5</v>
      </c>
      <c r="F12" s="52">
        <f t="shared" si="6"/>
        <v>8</v>
      </c>
      <c r="G12" s="53">
        <v>7.5</v>
      </c>
      <c r="H12" s="54">
        <f t="shared" ref="H12:H19" si="16">ROUNDDOWN(P12/(Analysis_Hr_AC*5),0)</f>
        <v>109</v>
      </c>
      <c r="I12" s="54">
        <f t="shared" si="15"/>
        <v>605</v>
      </c>
      <c r="J12" s="55">
        <f t="shared" ref="J12:J19" si="17">P12/Analysis_Hr_AC</f>
        <v>545.73750000000007</v>
      </c>
      <c r="K12" s="56"/>
      <c r="L12" s="57"/>
      <c r="M12" s="58">
        <v>0.5</v>
      </c>
      <c r="N12" s="55">
        <f t="shared" si="7"/>
        <v>6.0637499999999998</v>
      </c>
      <c r="O12" s="59">
        <f t="shared" si="2"/>
        <v>1.21275</v>
      </c>
      <c r="P12" s="60">
        <f t="shared" si="8"/>
        <v>181.91249999999999</v>
      </c>
      <c r="Q12" s="60">
        <f t="shared" si="9"/>
        <v>54.573749999999997</v>
      </c>
      <c r="R12" s="60">
        <f t="shared" si="3"/>
        <v>12.1275</v>
      </c>
      <c r="S12" s="60">
        <f t="shared" ref="S12:S19" si="18">(R12)*Hr_Review</f>
        <v>3.6382499999999998</v>
      </c>
      <c r="T12" s="60">
        <f t="shared" ref="T12:T19" si="19">W12*Hr_OtherAnalysis</f>
        <v>36</v>
      </c>
      <c r="U12" s="61">
        <f t="shared" si="5"/>
        <v>72</v>
      </c>
      <c r="V12" s="62">
        <f t="shared" si="12"/>
        <v>324.25199999999995</v>
      </c>
      <c r="W12" s="62">
        <f t="shared" si="13"/>
        <v>360</v>
      </c>
      <c r="X12" s="43">
        <v>5</v>
      </c>
      <c r="Y12" s="62">
        <v>9</v>
      </c>
      <c r="Z12" s="63">
        <f t="shared" si="14"/>
        <v>45</v>
      </c>
    </row>
    <row r="13" spans="1:26" x14ac:dyDescent="0.35">
      <c r="A13" t="s">
        <v>41</v>
      </c>
      <c r="B13" s="43" t="s">
        <v>34</v>
      </c>
      <c r="C13" s="44">
        <v>42321</v>
      </c>
      <c r="D13" s="65" t="s">
        <v>52</v>
      </c>
      <c r="E13" s="130">
        <v>7.5</v>
      </c>
      <c r="F13" s="52">
        <f t="shared" si="6"/>
        <v>7</v>
      </c>
      <c r="G13" s="53">
        <v>0</v>
      </c>
      <c r="H13" s="54">
        <f t="shared" si="16"/>
        <v>0</v>
      </c>
      <c r="I13" s="54">
        <f t="shared" si="15"/>
        <v>605</v>
      </c>
      <c r="J13" s="55">
        <f t="shared" si="17"/>
        <v>0</v>
      </c>
      <c r="K13" s="56"/>
      <c r="L13" s="57"/>
      <c r="M13" s="58">
        <v>7</v>
      </c>
      <c r="N13" s="55">
        <f t="shared" si="7"/>
        <v>67.914000000000001</v>
      </c>
      <c r="O13" s="59">
        <f t="shared" si="2"/>
        <v>13.582800000000001</v>
      </c>
      <c r="P13" s="60">
        <f t="shared" si="8"/>
        <v>0</v>
      </c>
      <c r="Q13" s="60">
        <f t="shared" si="9"/>
        <v>0</v>
      </c>
      <c r="R13" s="60">
        <f t="shared" si="3"/>
        <v>135.828</v>
      </c>
      <c r="S13" s="60">
        <f t="shared" si="18"/>
        <v>40.748399999999997</v>
      </c>
      <c r="T13" s="60">
        <f t="shared" si="19"/>
        <v>25.200000000000003</v>
      </c>
      <c r="U13" s="61">
        <f t="shared" si="5"/>
        <v>50.4</v>
      </c>
      <c r="V13" s="62">
        <f t="shared" si="12"/>
        <v>226.97640000000001</v>
      </c>
      <c r="W13" s="62">
        <f t="shared" si="13"/>
        <v>252</v>
      </c>
      <c r="X13" s="43">
        <v>4</v>
      </c>
      <c r="Y13" s="62">
        <v>9</v>
      </c>
      <c r="Z13" s="63">
        <f t="shared" si="14"/>
        <v>36</v>
      </c>
    </row>
    <row r="14" spans="1:26" x14ac:dyDescent="0.35">
      <c r="A14" t="s">
        <v>41</v>
      </c>
      <c r="B14" s="43" t="s">
        <v>35</v>
      </c>
      <c r="C14" s="44">
        <v>42328</v>
      </c>
      <c r="D14" s="64" t="s">
        <v>53</v>
      </c>
      <c r="E14" s="130">
        <v>7.5</v>
      </c>
      <c r="F14" s="52">
        <f t="shared" si="6"/>
        <v>7</v>
      </c>
      <c r="G14" s="53">
        <v>0</v>
      </c>
      <c r="H14" s="54">
        <f t="shared" si="16"/>
        <v>0</v>
      </c>
      <c r="I14" s="54">
        <f t="shared" si="15"/>
        <v>605</v>
      </c>
      <c r="J14" s="55">
        <f t="shared" si="17"/>
        <v>0</v>
      </c>
      <c r="K14" s="56"/>
      <c r="L14" s="57"/>
      <c r="M14" s="58">
        <v>7</v>
      </c>
      <c r="N14" s="55">
        <f t="shared" si="7"/>
        <v>84.892499999999998</v>
      </c>
      <c r="O14" s="59">
        <f t="shared" si="2"/>
        <v>16.9785</v>
      </c>
      <c r="P14" s="60">
        <f t="shared" si="8"/>
        <v>0</v>
      </c>
      <c r="Q14" s="60">
        <f t="shared" si="9"/>
        <v>0</v>
      </c>
      <c r="R14" s="60">
        <f t="shared" si="3"/>
        <v>169.785</v>
      </c>
      <c r="S14" s="60">
        <f t="shared" si="18"/>
        <v>50.935499999999998</v>
      </c>
      <c r="T14" s="60">
        <f t="shared" si="19"/>
        <v>31.5</v>
      </c>
      <c r="U14" s="61">
        <f t="shared" si="5"/>
        <v>63</v>
      </c>
      <c r="V14" s="62">
        <f t="shared" si="12"/>
        <v>283.72050000000002</v>
      </c>
      <c r="W14" s="62">
        <f t="shared" si="13"/>
        <v>315</v>
      </c>
      <c r="X14" s="43">
        <v>5</v>
      </c>
      <c r="Y14" s="62">
        <v>9</v>
      </c>
      <c r="Z14" s="63">
        <f t="shared" si="14"/>
        <v>45</v>
      </c>
    </row>
    <row r="15" spans="1:26" x14ac:dyDescent="0.35">
      <c r="A15" t="s">
        <v>41</v>
      </c>
      <c r="B15" s="43" t="s">
        <v>35</v>
      </c>
      <c r="C15" s="44">
        <v>42335</v>
      </c>
      <c r="D15" s="51" t="s">
        <v>54</v>
      </c>
      <c r="E15" s="130">
        <v>6.5</v>
      </c>
      <c r="F15" s="52">
        <f t="shared" si="6"/>
        <v>0</v>
      </c>
      <c r="G15" s="53">
        <v>0</v>
      </c>
      <c r="H15" s="54">
        <f t="shared" si="16"/>
        <v>0</v>
      </c>
      <c r="I15" s="54">
        <f t="shared" si="15"/>
        <v>605</v>
      </c>
      <c r="J15" s="55">
        <f t="shared" si="17"/>
        <v>0</v>
      </c>
      <c r="K15" s="56"/>
      <c r="L15" s="57"/>
      <c r="M15" s="58">
        <v>0</v>
      </c>
      <c r="N15" s="55">
        <f t="shared" si="7"/>
        <v>0</v>
      </c>
      <c r="O15" s="59">
        <f t="shared" si="2"/>
        <v>0</v>
      </c>
      <c r="P15" s="60">
        <f t="shared" si="8"/>
        <v>0</v>
      </c>
      <c r="Q15" s="60">
        <f t="shared" si="9"/>
        <v>0</v>
      </c>
      <c r="R15" s="60">
        <f t="shared" si="3"/>
        <v>0</v>
      </c>
      <c r="S15" s="60">
        <f t="shared" si="18"/>
        <v>0</v>
      </c>
      <c r="T15" s="60">
        <f t="shared" si="19"/>
        <v>0</v>
      </c>
      <c r="U15" s="61">
        <f t="shared" si="5"/>
        <v>0</v>
      </c>
      <c r="V15" s="62">
        <f t="shared" si="12"/>
        <v>0</v>
      </c>
      <c r="W15" s="62">
        <f t="shared" si="13"/>
        <v>0</v>
      </c>
      <c r="X15" s="43">
        <v>5</v>
      </c>
      <c r="Y15" s="62">
        <v>9</v>
      </c>
      <c r="Z15" s="63">
        <f t="shared" si="14"/>
        <v>45</v>
      </c>
    </row>
    <row r="16" spans="1:26" x14ac:dyDescent="0.35">
      <c r="A16" t="s">
        <v>41</v>
      </c>
      <c r="B16" s="43" t="s">
        <v>35</v>
      </c>
      <c r="C16" s="44">
        <v>42342</v>
      </c>
      <c r="D16" s="65" t="s">
        <v>45</v>
      </c>
      <c r="E16" s="132"/>
      <c r="F16" s="52">
        <f t="shared" ref="F16:F19" si="20">SUM(G16+M16)</f>
        <v>0</v>
      </c>
      <c r="G16" s="53">
        <v>0</v>
      </c>
      <c r="H16" s="54">
        <f t="shared" si="16"/>
        <v>0</v>
      </c>
      <c r="I16" s="54">
        <f t="shared" si="15"/>
        <v>605</v>
      </c>
      <c r="J16" s="55">
        <f t="shared" si="17"/>
        <v>0</v>
      </c>
      <c r="K16" s="56"/>
      <c r="L16" s="57"/>
      <c r="M16" s="58">
        <v>0</v>
      </c>
      <c r="N16" s="55">
        <f t="shared" si="7"/>
        <v>0</v>
      </c>
      <c r="O16" s="59">
        <f t="shared" si="2"/>
        <v>0</v>
      </c>
      <c r="P16" s="60">
        <f t="shared" si="8"/>
        <v>0</v>
      </c>
      <c r="Q16" s="60">
        <f t="shared" si="9"/>
        <v>0</v>
      </c>
      <c r="R16" s="60">
        <f t="shared" si="3"/>
        <v>0</v>
      </c>
      <c r="S16" s="60">
        <f t="shared" si="18"/>
        <v>0</v>
      </c>
      <c r="T16" s="60">
        <f t="shared" si="19"/>
        <v>0</v>
      </c>
      <c r="U16" s="61">
        <f t="shared" si="5"/>
        <v>0</v>
      </c>
      <c r="V16" s="62">
        <f t="shared" si="12"/>
        <v>0</v>
      </c>
      <c r="W16" s="62">
        <f t="shared" si="13"/>
        <v>0</v>
      </c>
      <c r="X16" s="43">
        <v>4</v>
      </c>
      <c r="Y16" s="62">
        <v>9</v>
      </c>
      <c r="Z16" s="63">
        <f t="shared" si="14"/>
        <v>36</v>
      </c>
    </row>
    <row r="17" spans="1:26" x14ac:dyDescent="0.35">
      <c r="A17" t="s">
        <v>41</v>
      </c>
      <c r="B17" s="43" t="s">
        <v>37</v>
      </c>
      <c r="C17" s="44">
        <v>42349</v>
      </c>
      <c r="D17" s="65" t="s">
        <v>45</v>
      </c>
      <c r="E17" s="132"/>
      <c r="F17" s="52">
        <f t="shared" si="20"/>
        <v>0</v>
      </c>
      <c r="G17" s="53">
        <v>0</v>
      </c>
      <c r="H17" s="54">
        <f t="shared" si="16"/>
        <v>0</v>
      </c>
      <c r="I17" s="54">
        <f t="shared" si="15"/>
        <v>605</v>
      </c>
      <c r="J17" s="55">
        <f t="shared" si="17"/>
        <v>0</v>
      </c>
      <c r="K17" s="56"/>
      <c r="L17" s="57"/>
      <c r="M17" s="58">
        <v>0</v>
      </c>
      <c r="N17" s="55">
        <f t="shared" si="7"/>
        <v>0</v>
      </c>
      <c r="O17" s="59">
        <f t="shared" si="2"/>
        <v>0</v>
      </c>
      <c r="P17" s="60">
        <f t="shared" si="8"/>
        <v>0</v>
      </c>
      <c r="Q17" s="60">
        <f t="shared" si="9"/>
        <v>0</v>
      </c>
      <c r="R17" s="60">
        <f t="shared" si="3"/>
        <v>0</v>
      </c>
      <c r="S17" s="60">
        <f t="shared" si="18"/>
        <v>0</v>
      </c>
      <c r="T17" s="60">
        <f t="shared" si="19"/>
        <v>0</v>
      </c>
      <c r="U17" s="61">
        <f t="shared" si="5"/>
        <v>0</v>
      </c>
      <c r="V17" s="62">
        <f t="shared" si="12"/>
        <v>0</v>
      </c>
      <c r="W17" s="62">
        <f t="shared" si="13"/>
        <v>0</v>
      </c>
      <c r="X17" s="43">
        <v>5</v>
      </c>
      <c r="Y17" s="62">
        <v>9</v>
      </c>
      <c r="Z17" s="63">
        <f t="shared" si="14"/>
        <v>45</v>
      </c>
    </row>
    <row r="18" spans="1:26" x14ac:dyDescent="0.35">
      <c r="A18" t="s">
        <v>41</v>
      </c>
      <c r="B18" s="43" t="s">
        <v>37</v>
      </c>
      <c r="C18" s="44">
        <v>42356</v>
      </c>
      <c r="D18" s="65" t="s">
        <v>46</v>
      </c>
      <c r="E18" s="132"/>
      <c r="F18" s="52">
        <f t="shared" si="20"/>
        <v>0</v>
      </c>
      <c r="G18" s="53">
        <v>0</v>
      </c>
      <c r="H18" s="54">
        <f t="shared" si="16"/>
        <v>0</v>
      </c>
      <c r="I18" s="54">
        <f t="shared" si="15"/>
        <v>605</v>
      </c>
      <c r="J18" s="55">
        <f t="shared" si="17"/>
        <v>0</v>
      </c>
      <c r="K18" s="56"/>
      <c r="L18" s="57"/>
      <c r="M18" s="58">
        <v>0</v>
      </c>
      <c r="N18" s="55">
        <f t="shared" si="7"/>
        <v>0</v>
      </c>
      <c r="O18" s="59">
        <f t="shared" si="2"/>
        <v>0</v>
      </c>
      <c r="P18" s="60">
        <f t="shared" si="8"/>
        <v>0</v>
      </c>
      <c r="Q18" s="60">
        <f t="shared" si="9"/>
        <v>0</v>
      </c>
      <c r="R18" s="60">
        <f t="shared" si="3"/>
        <v>0</v>
      </c>
      <c r="S18" s="60">
        <f t="shared" si="18"/>
        <v>0</v>
      </c>
      <c r="T18" s="60">
        <f t="shared" si="19"/>
        <v>0</v>
      </c>
      <c r="U18" s="61">
        <f t="shared" si="5"/>
        <v>0</v>
      </c>
      <c r="V18" s="62">
        <f t="shared" si="12"/>
        <v>0</v>
      </c>
      <c r="W18" s="62">
        <f t="shared" si="13"/>
        <v>0</v>
      </c>
      <c r="X18" s="43">
        <v>5</v>
      </c>
      <c r="Y18" s="62">
        <v>9</v>
      </c>
      <c r="Z18" s="63">
        <f t="shared" si="14"/>
        <v>45</v>
      </c>
    </row>
    <row r="19" spans="1:26" x14ac:dyDescent="0.35">
      <c r="A19" t="s">
        <v>41</v>
      </c>
      <c r="B19" s="43" t="s">
        <v>37</v>
      </c>
      <c r="C19" s="44">
        <v>42363</v>
      </c>
      <c r="D19" s="65"/>
      <c r="E19" s="132"/>
      <c r="F19" s="52">
        <f t="shared" si="20"/>
        <v>0</v>
      </c>
      <c r="G19" s="53">
        <v>0</v>
      </c>
      <c r="H19" s="54">
        <f t="shared" si="16"/>
        <v>0</v>
      </c>
      <c r="I19" s="54">
        <f t="shared" si="15"/>
        <v>605</v>
      </c>
      <c r="J19" s="55">
        <f t="shared" si="17"/>
        <v>0</v>
      </c>
      <c r="K19" s="56"/>
      <c r="L19" s="57"/>
      <c r="M19" s="58">
        <v>0</v>
      </c>
      <c r="N19" s="55">
        <f t="shared" si="7"/>
        <v>0</v>
      </c>
      <c r="O19" s="59">
        <f t="shared" si="2"/>
        <v>0</v>
      </c>
      <c r="P19" s="60">
        <f t="shared" si="8"/>
        <v>0</v>
      </c>
      <c r="Q19" s="60">
        <f t="shared" si="9"/>
        <v>0</v>
      </c>
      <c r="R19" s="60">
        <f t="shared" si="3"/>
        <v>0</v>
      </c>
      <c r="S19" s="60">
        <f t="shared" si="18"/>
        <v>0</v>
      </c>
      <c r="T19" s="60">
        <f t="shared" si="19"/>
        <v>0</v>
      </c>
      <c r="U19" s="61">
        <f t="shared" si="5"/>
        <v>0</v>
      </c>
      <c r="V19" s="62">
        <f t="shared" si="12"/>
        <v>0</v>
      </c>
      <c r="W19" s="62">
        <f t="shared" si="13"/>
        <v>0</v>
      </c>
      <c r="X19" s="43">
        <v>4</v>
      </c>
      <c r="Y19" s="62">
        <v>9</v>
      </c>
      <c r="Z19" s="63">
        <f t="shared" si="14"/>
        <v>36</v>
      </c>
    </row>
    <row r="20" spans="1:26" x14ac:dyDescent="0.35">
      <c r="B20" s="21" t="s">
        <v>38</v>
      </c>
    </row>
    <row r="21" spans="1:26" x14ac:dyDescent="0.35">
      <c r="B21" s="26"/>
    </row>
    <row r="22" spans="1:26" x14ac:dyDescent="0.35">
      <c r="A22" s="23" t="s">
        <v>10</v>
      </c>
      <c r="B22" s="28"/>
      <c r="C22" s="28"/>
      <c r="D22" s="22"/>
      <c r="E22" s="22"/>
    </row>
    <row r="23" spans="1:26" x14ac:dyDescent="0.35">
      <c r="A23" s="25">
        <v>1</v>
      </c>
      <c r="B23" s="29" t="s">
        <v>40</v>
      </c>
      <c r="C23" s="28"/>
      <c r="D23" s="22"/>
      <c r="E23" s="22"/>
    </row>
    <row r="24" spans="1:26" x14ac:dyDescent="0.35">
      <c r="A24" s="25">
        <v>2</v>
      </c>
      <c r="B24" s="28" t="s">
        <v>43</v>
      </c>
      <c r="C24" s="28"/>
      <c r="D24" s="22"/>
      <c r="E24" s="22"/>
    </row>
    <row r="25" spans="1:26" x14ac:dyDescent="0.35">
      <c r="A25" s="25">
        <v>3</v>
      </c>
      <c r="B25" s="28" t="s">
        <v>44</v>
      </c>
      <c r="C25" s="29"/>
      <c r="D25" s="24"/>
      <c r="E25" s="24"/>
    </row>
    <row r="27" spans="1:26" ht="15" thickBot="1" x14ac:dyDescent="0.4">
      <c r="F27" s="16"/>
      <c r="G27" s="8"/>
      <c r="H27" s="8"/>
      <c r="I27" s="8"/>
      <c r="J27" s="8"/>
      <c r="K27" s="8"/>
      <c r="L27" s="8"/>
      <c r="N27"/>
      <c r="O27" s="11"/>
      <c r="P27"/>
      <c r="Q27"/>
      <c r="R27"/>
      <c r="S27"/>
      <c r="T27"/>
      <c r="U27"/>
      <c r="V27"/>
      <c r="W27"/>
      <c r="X27"/>
      <c r="Y27"/>
    </row>
    <row r="28" spans="1:26" x14ac:dyDescent="0.35">
      <c r="B28" s="30" t="s">
        <v>10</v>
      </c>
      <c r="C28" s="31"/>
      <c r="D28" s="17"/>
      <c r="E28" s="128"/>
      <c r="F28" s="9"/>
      <c r="G28" s="9"/>
      <c r="H28" s="9"/>
      <c r="I28" s="9"/>
      <c r="J28" s="9"/>
      <c r="K28" s="9"/>
      <c r="L28" s="9"/>
      <c r="N28"/>
      <c r="O28" s="11"/>
      <c r="P28"/>
      <c r="Q28"/>
      <c r="R28"/>
      <c r="S28"/>
      <c r="T28"/>
      <c r="U28"/>
      <c r="V28"/>
      <c r="W28"/>
      <c r="X28"/>
      <c r="Y28"/>
    </row>
    <row r="29" spans="1:26" x14ac:dyDescent="0.35">
      <c r="B29" s="32" t="s">
        <v>13</v>
      </c>
      <c r="C29" s="33"/>
      <c r="D29" s="18">
        <v>1</v>
      </c>
      <c r="E29" s="128"/>
      <c r="F29" s="9"/>
      <c r="G29" s="9"/>
      <c r="H29" s="9"/>
      <c r="I29" s="9"/>
      <c r="J29" s="9"/>
      <c r="K29" s="9"/>
      <c r="L29" s="9"/>
      <c r="N29"/>
      <c r="O29" s="11"/>
      <c r="P29"/>
      <c r="Q29"/>
      <c r="R29"/>
      <c r="S29"/>
      <c r="T29"/>
      <c r="U29"/>
      <c r="V29"/>
      <c r="W29"/>
      <c r="X29"/>
      <c r="Y29"/>
    </row>
    <row r="30" spans="1:26" x14ac:dyDescent="0.35">
      <c r="B30" s="34" t="s">
        <v>19</v>
      </c>
      <c r="C30" s="35"/>
      <c r="D30" s="19">
        <f>20/60</f>
        <v>0.33333333333333331</v>
      </c>
      <c r="E30" s="129"/>
      <c r="F30" s="9"/>
      <c r="G30" s="9"/>
      <c r="H30" s="9"/>
      <c r="I30" s="9"/>
      <c r="J30" s="9"/>
      <c r="K30" s="9"/>
      <c r="L30" s="9"/>
      <c r="N30"/>
      <c r="O30" s="11"/>
      <c r="P30"/>
      <c r="Q30"/>
      <c r="R30"/>
      <c r="S30" t="s">
        <v>58</v>
      </c>
      <c r="T30"/>
      <c r="U30"/>
      <c r="V30"/>
      <c r="W30"/>
      <c r="X30"/>
      <c r="Y30"/>
    </row>
    <row r="31" spans="1:26" x14ac:dyDescent="0.35">
      <c r="B31" s="34" t="s">
        <v>20</v>
      </c>
      <c r="C31" s="35"/>
      <c r="D31" s="19">
        <v>1.5</v>
      </c>
      <c r="E31" s="129"/>
      <c r="F31" s="9"/>
      <c r="G31" s="9"/>
      <c r="H31" s="9"/>
      <c r="I31" s="9"/>
      <c r="J31" s="9"/>
      <c r="K31" s="9"/>
      <c r="L31" s="9"/>
      <c r="N31"/>
      <c r="O31" s="11"/>
      <c r="P31"/>
      <c r="Q31"/>
      <c r="R31"/>
      <c r="S31"/>
      <c r="T31"/>
      <c r="U31"/>
      <c r="V31"/>
      <c r="W31"/>
      <c r="X31"/>
      <c r="Y31"/>
    </row>
    <row r="32" spans="1:26" x14ac:dyDescent="0.35">
      <c r="B32" s="34" t="s">
        <v>26</v>
      </c>
      <c r="C32" s="35"/>
      <c r="D32" s="19">
        <v>2</v>
      </c>
      <c r="E32" s="129"/>
      <c r="F32" s="9"/>
      <c r="G32" s="9"/>
      <c r="H32" s="9"/>
      <c r="I32" s="9"/>
      <c r="J32" s="9"/>
      <c r="K32" s="9"/>
      <c r="L32" s="9"/>
      <c r="N32"/>
      <c r="O32" s="11"/>
      <c r="P32"/>
      <c r="Q32"/>
      <c r="R32"/>
      <c r="S32"/>
      <c r="T32"/>
      <c r="U32"/>
      <c r="V32"/>
      <c r="W32"/>
      <c r="X32"/>
      <c r="Y32"/>
    </row>
    <row r="33" spans="2:25" x14ac:dyDescent="0.35">
      <c r="B33" s="34" t="s">
        <v>21</v>
      </c>
      <c r="C33" s="35"/>
      <c r="D33" s="19">
        <v>0.3</v>
      </c>
      <c r="E33" s="129"/>
      <c r="F33" s="9"/>
      <c r="G33" s="9"/>
      <c r="H33" s="9"/>
      <c r="I33" s="9"/>
      <c r="J33" s="9"/>
      <c r="K33" s="9"/>
      <c r="L33" s="9"/>
      <c r="N33"/>
      <c r="O33" s="11"/>
      <c r="P33"/>
      <c r="Q33"/>
      <c r="R33"/>
      <c r="S33"/>
      <c r="T33"/>
      <c r="U33"/>
      <c r="V33"/>
      <c r="W33"/>
      <c r="X33"/>
      <c r="Y33"/>
    </row>
    <row r="34" spans="2:25" x14ac:dyDescent="0.35">
      <c r="B34" s="34" t="s">
        <v>28</v>
      </c>
      <c r="C34" s="35"/>
      <c r="D34" s="19">
        <v>0.2</v>
      </c>
      <c r="E34" s="129"/>
      <c r="F34" s="9" t="s">
        <v>55</v>
      </c>
      <c r="G34" s="9" t="s">
        <v>56</v>
      </c>
      <c r="H34" s="9" t="s">
        <v>57</v>
      </c>
      <c r="I34" s="9"/>
      <c r="J34" s="9"/>
      <c r="K34" s="9"/>
      <c r="L34" s="9"/>
      <c r="N34"/>
      <c r="O34" s="11"/>
      <c r="P34"/>
      <c r="Q34"/>
      <c r="R34"/>
      <c r="S34"/>
      <c r="T34"/>
      <c r="U34"/>
      <c r="V34"/>
      <c r="W34"/>
      <c r="X34"/>
      <c r="Y34"/>
    </row>
    <row r="35" spans="2:25" s="1" customFormat="1" x14ac:dyDescent="0.35">
      <c r="B35" s="34" t="s">
        <v>29</v>
      </c>
      <c r="C35" s="35"/>
      <c r="D35" s="19">
        <v>0.1</v>
      </c>
      <c r="E35" s="129"/>
      <c r="F35" s="9"/>
      <c r="G35" s="9"/>
      <c r="H35" s="9"/>
      <c r="I35" s="9"/>
      <c r="J35" s="9"/>
      <c r="K35" s="9"/>
      <c r="L35" s="9"/>
      <c r="M35" s="10"/>
      <c r="O35" s="10"/>
    </row>
    <row r="36" spans="2:25" s="1" customFormat="1" x14ac:dyDescent="0.35">
      <c r="B36" s="32" t="s">
        <v>27</v>
      </c>
      <c r="C36" s="33"/>
      <c r="D36" s="18">
        <v>5</v>
      </c>
      <c r="E36" s="128"/>
      <c r="F36" s="9"/>
      <c r="G36" s="9"/>
      <c r="H36" s="9"/>
      <c r="I36" s="9"/>
      <c r="J36" s="9"/>
      <c r="K36" s="9"/>
      <c r="L36" s="9"/>
      <c r="M36" s="10"/>
      <c r="O36" s="10"/>
    </row>
    <row r="37" spans="2:25" s="10" customFormat="1" ht="15" thickBot="1" x14ac:dyDescent="0.4">
      <c r="B37" s="36" t="s">
        <v>12</v>
      </c>
      <c r="C37" s="37"/>
      <c r="D37" s="20">
        <v>45</v>
      </c>
      <c r="E37" s="129"/>
      <c r="F37" s="9"/>
      <c r="G37" s="9"/>
      <c r="H37" s="9"/>
      <c r="I37" s="9"/>
      <c r="J37" s="9"/>
      <c r="K37" s="9"/>
      <c r="L37" s="9"/>
      <c r="M37" s="8"/>
    </row>
    <row r="38" spans="2:25" s="10" customFormat="1" x14ac:dyDescent="0.35">
      <c r="B38" s="38"/>
      <c r="C38" s="38"/>
      <c r="D38" s="8"/>
      <c r="E38" s="8"/>
      <c r="F38" s="9"/>
      <c r="G38" s="9"/>
      <c r="H38" s="9"/>
      <c r="I38" s="9"/>
      <c r="J38" s="9"/>
      <c r="K38" s="9"/>
      <c r="L38" s="9"/>
      <c r="M38" s="8"/>
    </row>
    <row r="39" spans="2:25" s="11" customFormat="1" x14ac:dyDescent="0.35">
      <c r="B39" s="39" t="s">
        <v>15</v>
      </c>
      <c r="C39" s="39"/>
      <c r="D39" s="12"/>
      <c r="E39" s="12"/>
      <c r="F39" s="10"/>
      <c r="G39" s="10"/>
      <c r="H39" s="10"/>
      <c r="I39" s="10"/>
      <c r="J39" s="10"/>
      <c r="K39" s="10"/>
      <c r="L39" s="10"/>
      <c r="M39" s="10"/>
      <c r="N39" s="10"/>
      <c r="O39" s="10"/>
      <c r="P39" s="10"/>
      <c r="Q39" s="10"/>
      <c r="R39" s="10"/>
      <c r="S39" s="10"/>
      <c r="T39" s="10"/>
      <c r="U39" s="10"/>
      <c r="V39" s="10"/>
      <c r="W39" s="10"/>
      <c r="X39" s="10"/>
      <c r="Y39" s="10"/>
    </row>
    <row r="40" spans="2:25" x14ac:dyDescent="0.35">
      <c r="B40" s="40"/>
      <c r="C40" s="40"/>
      <c r="D40" s="10"/>
      <c r="E40" s="10"/>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opLeftCell="A25" workbookViewId="0">
      <selection activeCell="Y16" sqref="Y16"/>
    </sheetView>
  </sheetViews>
  <sheetFormatPr defaultColWidth="9.08984375" defaultRowHeight="12.5" x14ac:dyDescent="0.25"/>
  <cols>
    <col min="1" max="2" width="14.6328125" style="7" customWidth="1"/>
    <col min="3" max="3" width="16.453125" style="7" customWidth="1"/>
    <col min="4" max="4" width="19.453125" style="7" customWidth="1"/>
    <col min="5" max="5" width="18.08984375" style="7" customWidth="1"/>
    <col min="6" max="6" width="15.81640625" style="7" customWidth="1"/>
    <col min="7" max="7" width="23" style="7" customWidth="1"/>
    <col min="8" max="8" width="53.453125" style="7" customWidth="1"/>
    <col min="9" max="9" width="29.08984375" style="7" customWidth="1"/>
    <col min="10" max="16" width="14.6328125" style="7" customWidth="1"/>
    <col min="17" max="17" width="46.81640625" style="7" customWidth="1"/>
    <col min="18" max="16384" width="9.08984375" style="7"/>
  </cols>
  <sheetData>
    <row r="1" spans="1:18" x14ac:dyDescent="0.25">
      <c r="Q1" s="7" t="s">
        <v>18</v>
      </c>
    </row>
    <row r="3" spans="1:18" ht="13" x14ac:dyDescent="0.3">
      <c r="A3" s="66" t="s">
        <v>59</v>
      </c>
      <c r="B3" s="66"/>
    </row>
    <row r="4" spans="1:18" ht="14.5" x14ac:dyDescent="0.3">
      <c r="A4" s="67"/>
      <c r="B4" s="67"/>
      <c r="C4" s="67"/>
      <c r="D4" s="67"/>
      <c r="E4" s="67"/>
      <c r="F4" s="579" t="s">
        <v>60</v>
      </c>
      <c r="G4" s="579"/>
      <c r="H4" s="579"/>
      <c r="I4" s="579"/>
      <c r="J4" s="579"/>
      <c r="K4" s="579"/>
      <c r="L4" s="580" t="s">
        <v>61</v>
      </c>
      <c r="M4" s="580"/>
      <c r="N4" s="580"/>
      <c r="O4" s="580"/>
      <c r="P4" s="580"/>
    </row>
    <row r="5" spans="1:18" ht="29" x14ac:dyDescent="0.3">
      <c r="A5" s="67"/>
      <c r="B5" s="67"/>
      <c r="C5" s="68" t="s">
        <v>62</v>
      </c>
      <c r="D5" s="68"/>
      <c r="E5" s="68"/>
      <c r="F5" s="69" t="s">
        <v>63</v>
      </c>
      <c r="G5" s="69"/>
      <c r="H5" s="69" t="s">
        <v>64</v>
      </c>
      <c r="I5" s="69" t="s">
        <v>65</v>
      </c>
      <c r="J5" s="69" t="s">
        <v>66</v>
      </c>
      <c r="K5" s="69" t="s">
        <v>67</v>
      </c>
      <c r="L5" s="70" t="s">
        <v>63</v>
      </c>
      <c r="M5" s="70" t="s">
        <v>64</v>
      </c>
      <c r="N5" s="70" t="s">
        <v>65</v>
      </c>
      <c r="O5" s="70" t="s">
        <v>66</v>
      </c>
      <c r="P5" s="70" t="s">
        <v>67</v>
      </c>
    </row>
    <row r="6" spans="1:18" ht="29" x14ac:dyDescent="0.25">
      <c r="A6" s="71" t="s">
        <v>68</v>
      </c>
      <c r="B6" s="71"/>
      <c r="C6" s="68">
        <v>432</v>
      </c>
      <c r="D6" s="68"/>
      <c r="E6" s="68"/>
      <c r="F6" s="68">
        <v>291</v>
      </c>
      <c r="G6" s="68"/>
      <c r="H6" s="72">
        <v>69</v>
      </c>
      <c r="I6" s="68">
        <v>63</v>
      </c>
      <c r="J6" s="68">
        <v>149</v>
      </c>
      <c r="K6" s="68">
        <v>10</v>
      </c>
      <c r="L6" s="68">
        <v>141</v>
      </c>
      <c r="M6" s="68">
        <v>0</v>
      </c>
      <c r="N6" s="73">
        <v>54</v>
      </c>
      <c r="O6" s="73">
        <v>45</v>
      </c>
      <c r="P6" s="68">
        <v>42</v>
      </c>
      <c r="R6" s="7">
        <v>240</v>
      </c>
    </row>
    <row r="7" spans="1:18" ht="14.5" x14ac:dyDescent="0.25">
      <c r="A7" s="71" t="s">
        <v>69</v>
      </c>
      <c r="B7" s="71"/>
      <c r="C7" s="68">
        <v>259</v>
      </c>
      <c r="D7" s="68"/>
      <c r="E7" s="68"/>
      <c r="F7" s="68">
        <v>122</v>
      </c>
      <c r="G7" s="68"/>
      <c r="H7" s="72">
        <v>3</v>
      </c>
      <c r="I7" s="68">
        <v>19</v>
      </c>
      <c r="J7" s="68">
        <v>94</v>
      </c>
      <c r="K7" s="68">
        <v>6</v>
      </c>
      <c r="L7" s="68">
        <v>137</v>
      </c>
      <c r="M7" s="68">
        <v>1</v>
      </c>
      <c r="N7" s="73">
        <v>49</v>
      </c>
      <c r="O7" s="73">
        <v>50</v>
      </c>
      <c r="P7" s="68">
        <v>37</v>
      </c>
    </row>
    <row r="8" spans="1:18" ht="29" x14ac:dyDescent="0.25">
      <c r="A8" s="71" t="s">
        <v>70</v>
      </c>
      <c r="B8" s="71"/>
      <c r="C8" s="68">
        <v>691</v>
      </c>
      <c r="D8" s="68"/>
      <c r="E8" s="68"/>
      <c r="F8" s="68">
        <v>413</v>
      </c>
      <c r="G8" s="68"/>
      <c r="H8" s="72">
        <v>72</v>
      </c>
      <c r="I8" s="68">
        <v>82</v>
      </c>
      <c r="J8" s="68">
        <v>243</v>
      </c>
      <c r="K8" s="68">
        <v>16</v>
      </c>
      <c r="L8" s="68">
        <v>278</v>
      </c>
      <c r="M8" s="68">
        <v>1</v>
      </c>
      <c r="N8" s="68">
        <v>103</v>
      </c>
      <c r="O8" s="68">
        <v>95</v>
      </c>
      <c r="P8" s="68">
        <v>79</v>
      </c>
    </row>
    <row r="9" spans="1:18" ht="14.5" x14ac:dyDescent="0.35">
      <c r="A9" s="74"/>
      <c r="B9" s="74"/>
      <c r="C9" s="75"/>
      <c r="D9" s="75"/>
      <c r="E9" s="75"/>
      <c r="F9" s="75"/>
      <c r="G9" s="75"/>
      <c r="H9" s="75"/>
      <c r="I9" s="75"/>
      <c r="J9" s="75"/>
      <c r="K9" s="75"/>
      <c r="L9" s="75"/>
      <c r="M9" s="75"/>
      <c r="N9" s="75"/>
      <c r="O9" s="75"/>
      <c r="P9" s="75"/>
    </row>
    <row r="11" spans="1:18" ht="13" hidden="1" x14ac:dyDescent="0.3">
      <c r="A11" s="66" t="s">
        <v>71</v>
      </c>
      <c r="B11" s="66"/>
    </row>
    <row r="12" spans="1:18" hidden="1" x14ac:dyDescent="0.25"/>
    <row r="13" spans="1:18" ht="14.5" hidden="1" x14ac:dyDescent="0.3">
      <c r="A13" s="67"/>
      <c r="B13" s="67"/>
      <c r="C13" s="67"/>
      <c r="D13" s="67"/>
      <c r="E13" s="67"/>
      <c r="F13" s="579" t="s">
        <v>60</v>
      </c>
      <c r="G13" s="579"/>
      <c r="H13" s="579"/>
      <c r="I13" s="579"/>
      <c r="J13" s="579"/>
      <c r="K13" s="579"/>
      <c r="L13" s="580" t="s">
        <v>61</v>
      </c>
      <c r="M13" s="580"/>
      <c r="N13" s="580"/>
      <c r="O13" s="580"/>
      <c r="P13" s="580"/>
    </row>
    <row r="14" spans="1:18" ht="29" hidden="1" x14ac:dyDescent="0.3">
      <c r="A14" s="67"/>
      <c r="B14" s="67"/>
      <c r="C14" s="68" t="s">
        <v>62</v>
      </c>
      <c r="D14" s="68"/>
      <c r="E14" s="68"/>
      <c r="F14" s="69" t="s">
        <v>63</v>
      </c>
      <c r="G14" s="69"/>
      <c r="H14" s="69" t="s">
        <v>64</v>
      </c>
      <c r="I14" s="69" t="s">
        <v>65</v>
      </c>
      <c r="J14" s="69" t="s">
        <v>66</v>
      </c>
      <c r="K14" s="69" t="s">
        <v>67</v>
      </c>
      <c r="L14" s="70" t="s">
        <v>63</v>
      </c>
      <c r="M14" s="70" t="s">
        <v>64</v>
      </c>
      <c r="N14" s="70" t="s">
        <v>65</v>
      </c>
      <c r="O14" s="70" t="s">
        <v>66</v>
      </c>
      <c r="P14" s="70" t="s">
        <v>67</v>
      </c>
    </row>
    <row r="15" spans="1:18" ht="29" hidden="1" x14ac:dyDescent="0.25">
      <c r="A15" s="71" t="s">
        <v>68</v>
      </c>
      <c r="B15" s="71"/>
      <c r="C15" s="68">
        <v>432</v>
      </c>
      <c r="D15" s="68"/>
      <c r="E15" s="68"/>
      <c r="F15" s="68">
        <v>291</v>
      </c>
      <c r="G15" s="68"/>
      <c r="H15" s="68">
        <v>69</v>
      </c>
      <c r="I15" s="68">
        <v>63</v>
      </c>
      <c r="J15" s="68">
        <v>149</v>
      </c>
      <c r="K15" s="68">
        <v>10</v>
      </c>
      <c r="L15" s="68">
        <v>141</v>
      </c>
      <c r="M15" s="68">
        <v>0</v>
      </c>
      <c r="N15" s="68">
        <v>54</v>
      </c>
      <c r="O15" s="68">
        <v>45</v>
      </c>
      <c r="P15" s="68">
        <v>42</v>
      </c>
    </row>
    <row r="16" spans="1:18" ht="14.5" hidden="1" x14ac:dyDescent="0.25">
      <c r="A16" s="71" t="s">
        <v>69</v>
      </c>
      <c r="B16" s="71"/>
      <c r="C16" s="68">
        <v>259</v>
      </c>
      <c r="D16" s="68"/>
      <c r="E16" s="68"/>
      <c r="F16" s="68">
        <v>122</v>
      </c>
      <c r="G16" s="68"/>
      <c r="H16" s="68">
        <v>3</v>
      </c>
      <c r="I16" s="68">
        <v>19</v>
      </c>
      <c r="J16" s="68">
        <v>94</v>
      </c>
      <c r="K16" s="68">
        <v>6</v>
      </c>
      <c r="L16" s="68">
        <v>137</v>
      </c>
      <c r="M16" s="68">
        <v>1</v>
      </c>
      <c r="N16" s="68">
        <v>49</v>
      </c>
      <c r="O16" s="68">
        <v>50</v>
      </c>
      <c r="P16" s="68">
        <v>37</v>
      </c>
      <c r="Q16" s="7" t="s">
        <v>72</v>
      </c>
    </row>
    <row r="17" spans="1:16" ht="29" hidden="1" x14ac:dyDescent="0.25">
      <c r="A17" s="71" t="s">
        <v>70</v>
      </c>
      <c r="B17" s="71"/>
      <c r="C17" s="68">
        <v>691</v>
      </c>
      <c r="D17" s="68"/>
      <c r="E17" s="68"/>
      <c r="F17" s="68">
        <v>413</v>
      </c>
      <c r="G17" s="68"/>
      <c r="H17" s="68">
        <v>72</v>
      </c>
      <c r="I17" s="68">
        <v>82</v>
      </c>
      <c r="J17" s="68">
        <v>243</v>
      </c>
      <c r="K17" s="68">
        <v>16</v>
      </c>
      <c r="L17" s="68">
        <v>278</v>
      </c>
      <c r="M17" s="68">
        <v>1</v>
      </c>
      <c r="N17" s="68">
        <v>103</v>
      </c>
      <c r="O17" s="68">
        <v>95</v>
      </c>
      <c r="P17" s="68">
        <v>79</v>
      </c>
    </row>
    <row r="25" spans="1:16" ht="13" x14ac:dyDescent="0.3">
      <c r="A25" s="76" t="s">
        <v>73</v>
      </c>
      <c r="B25" s="76"/>
    </row>
    <row r="26" spans="1:16" ht="13" x14ac:dyDescent="0.3">
      <c r="A26" s="77" t="s">
        <v>39</v>
      </c>
      <c r="B26" s="77" t="s">
        <v>74</v>
      </c>
      <c r="C26" s="77" t="s">
        <v>75</v>
      </c>
      <c r="D26" s="77" t="s">
        <v>76</v>
      </c>
      <c r="E26" s="77" t="s">
        <v>9</v>
      </c>
      <c r="F26" s="77" t="s">
        <v>77</v>
      </c>
      <c r="G26" s="77" t="s">
        <v>78</v>
      </c>
      <c r="H26" s="77" t="s">
        <v>79</v>
      </c>
      <c r="I26" s="78" t="s">
        <v>80</v>
      </c>
    </row>
    <row r="27" spans="1:16" ht="25" x14ac:dyDescent="0.25">
      <c r="A27" s="7" t="s">
        <v>81</v>
      </c>
      <c r="B27" s="7">
        <v>1</v>
      </c>
      <c r="C27" s="7">
        <v>2.5</v>
      </c>
      <c r="D27" s="7">
        <v>2</v>
      </c>
      <c r="E27" s="7">
        <f>B27*D27*9</f>
        <v>18</v>
      </c>
      <c r="F27" s="7">
        <f>E27/C27</f>
        <v>7.2</v>
      </c>
      <c r="G27" s="7">
        <f>F27</f>
        <v>7.2</v>
      </c>
      <c r="H27" s="79" t="s">
        <v>82</v>
      </c>
      <c r="I27" s="7">
        <f xml:space="preserve"> F27/4</f>
        <v>1.8</v>
      </c>
    </row>
    <row r="28" spans="1:16" ht="25" x14ac:dyDescent="0.25">
      <c r="A28" s="7" t="s">
        <v>83</v>
      </c>
      <c r="B28" s="7">
        <v>2</v>
      </c>
      <c r="C28" s="7">
        <v>2.5</v>
      </c>
      <c r="D28" s="7">
        <v>5</v>
      </c>
      <c r="E28" s="7">
        <f>B28*D28*9</f>
        <v>90</v>
      </c>
      <c r="F28" s="7">
        <f>E28/C28</f>
        <v>36</v>
      </c>
      <c r="G28" s="7">
        <f>G27+F28</f>
        <v>43.2</v>
      </c>
      <c r="H28" s="79" t="s">
        <v>84</v>
      </c>
      <c r="I28" s="7">
        <f t="shared" ref="I28:I44" si="0" xml:space="preserve"> F28/4</f>
        <v>9</v>
      </c>
    </row>
    <row r="29" spans="1:16" x14ac:dyDescent="0.25">
      <c r="A29" s="7" t="s">
        <v>85</v>
      </c>
      <c r="B29" s="7">
        <v>2</v>
      </c>
      <c r="C29" s="7">
        <v>2.5</v>
      </c>
      <c r="D29" s="7">
        <v>4</v>
      </c>
      <c r="E29" s="7">
        <f t="shared" ref="E29:E44" si="1">B29*D29*9</f>
        <v>72</v>
      </c>
      <c r="F29" s="7">
        <f>E29/C29</f>
        <v>28.8</v>
      </c>
      <c r="G29" s="7">
        <f t="shared" ref="G29:G44" si="2">G28+F29</f>
        <v>72</v>
      </c>
      <c r="H29" s="7" t="s">
        <v>86</v>
      </c>
      <c r="I29" s="7">
        <f t="shared" si="0"/>
        <v>7.2</v>
      </c>
    </row>
    <row r="30" spans="1:16" x14ac:dyDescent="0.25">
      <c r="A30" s="7" t="s">
        <v>87</v>
      </c>
      <c r="B30" s="7">
        <v>2</v>
      </c>
      <c r="C30" s="7">
        <v>2</v>
      </c>
      <c r="D30" s="7">
        <v>5</v>
      </c>
      <c r="E30" s="7">
        <f t="shared" si="1"/>
        <v>90</v>
      </c>
      <c r="F30" s="7">
        <f t="shared" ref="F30:F44" si="3">E30/C30</f>
        <v>45</v>
      </c>
      <c r="G30" s="7">
        <f t="shared" si="2"/>
        <v>117</v>
      </c>
      <c r="H30" s="7" t="s">
        <v>86</v>
      </c>
      <c r="I30" s="7">
        <f t="shared" si="0"/>
        <v>11.25</v>
      </c>
    </row>
    <row r="31" spans="1:16" ht="25" x14ac:dyDescent="0.25">
      <c r="A31" s="7" t="s">
        <v>88</v>
      </c>
      <c r="B31" s="7">
        <v>2</v>
      </c>
      <c r="C31" s="7">
        <v>2</v>
      </c>
      <c r="D31" s="7">
        <v>4</v>
      </c>
      <c r="E31" s="7">
        <f t="shared" si="1"/>
        <v>72</v>
      </c>
      <c r="F31" s="7">
        <f t="shared" si="3"/>
        <v>36</v>
      </c>
      <c r="G31" s="7">
        <f t="shared" si="2"/>
        <v>153</v>
      </c>
      <c r="H31" s="79" t="s">
        <v>89</v>
      </c>
      <c r="I31" s="7">
        <f t="shared" si="0"/>
        <v>9</v>
      </c>
    </row>
    <row r="32" spans="1:16" x14ac:dyDescent="0.25">
      <c r="A32" s="7" t="s">
        <v>90</v>
      </c>
      <c r="B32" s="7">
        <v>2</v>
      </c>
      <c r="C32" s="7">
        <v>2</v>
      </c>
      <c r="D32" s="7">
        <v>5</v>
      </c>
      <c r="E32" s="7">
        <f t="shared" si="1"/>
        <v>90</v>
      </c>
      <c r="F32" s="7">
        <f t="shared" si="3"/>
        <v>45</v>
      </c>
      <c r="G32" s="7">
        <f t="shared" si="2"/>
        <v>198</v>
      </c>
      <c r="H32" s="80" t="s">
        <v>91</v>
      </c>
      <c r="I32" s="7">
        <f t="shared" si="0"/>
        <v>11.25</v>
      </c>
    </row>
    <row r="33" spans="1:9" x14ac:dyDescent="0.25">
      <c r="A33" s="7" t="s">
        <v>92</v>
      </c>
      <c r="B33" s="7">
        <v>2</v>
      </c>
      <c r="C33" s="7">
        <v>2</v>
      </c>
      <c r="D33" s="7">
        <v>5</v>
      </c>
      <c r="E33" s="7">
        <f t="shared" si="1"/>
        <v>90</v>
      </c>
      <c r="F33" s="7">
        <f t="shared" si="3"/>
        <v>45</v>
      </c>
      <c r="G33" s="81">
        <f t="shared" si="2"/>
        <v>243</v>
      </c>
      <c r="H33" s="80" t="s">
        <v>91</v>
      </c>
      <c r="I33" s="7">
        <f t="shared" si="0"/>
        <v>11.25</v>
      </c>
    </row>
    <row r="34" spans="1:9" x14ac:dyDescent="0.25">
      <c r="A34" s="7" t="s">
        <v>93</v>
      </c>
      <c r="B34" s="7">
        <v>2</v>
      </c>
      <c r="C34" s="7">
        <v>2</v>
      </c>
      <c r="D34" s="7">
        <v>4</v>
      </c>
      <c r="E34" s="7">
        <f t="shared" si="1"/>
        <v>72</v>
      </c>
      <c r="F34" s="7">
        <f t="shared" si="3"/>
        <v>36</v>
      </c>
      <c r="G34" s="7">
        <f t="shared" si="2"/>
        <v>279</v>
      </c>
      <c r="H34" s="80" t="s">
        <v>91</v>
      </c>
      <c r="I34" s="7">
        <f t="shared" si="0"/>
        <v>9</v>
      </c>
    </row>
    <row r="35" spans="1:9" x14ac:dyDescent="0.25">
      <c r="A35" s="7" t="s">
        <v>94</v>
      </c>
      <c r="B35" s="7">
        <v>2</v>
      </c>
      <c r="C35" s="7">
        <v>2</v>
      </c>
      <c r="D35" s="7">
        <v>5</v>
      </c>
      <c r="E35" s="7">
        <f t="shared" si="1"/>
        <v>90</v>
      </c>
      <c r="F35" s="7">
        <f t="shared" si="3"/>
        <v>45</v>
      </c>
      <c r="G35" s="7">
        <f t="shared" si="2"/>
        <v>324</v>
      </c>
      <c r="H35" s="80" t="s">
        <v>91</v>
      </c>
      <c r="I35" s="7">
        <f t="shared" si="0"/>
        <v>11.25</v>
      </c>
    </row>
    <row r="36" spans="1:9" ht="25" x14ac:dyDescent="0.25">
      <c r="A36" s="7" t="s">
        <v>95</v>
      </c>
      <c r="B36" s="7">
        <v>2</v>
      </c>
      <c r="C36" s="7">
        <v>2</v>
      </c>
      <c r="D36" s="7">
        <v>5</v>
      </c>
      <c r="E36" s="7">
        <f t="shared" si="1"/>
        <v>90</v>
      </c>
      <c r="F36" s="7">
        <f t="shared" si="3"/>
        <v>45</v>
      </c>
      <c r="G36" s="7">
        <f t="shared" si="2"/>
        <v>369</v>
      </c>
      <c r="H36" s="79" t="s">
        <v>96</v>
      </c>
      <c r="I36" s="7">
        <f t="shared" si="0"/>
        <v>11.25</v>
      </c>
    </row>
    <row r="37" spans="1:9" x14ac:dyDescent="0.25">
      <c r="A37" s="7" t="s">
        <v>97</v>
      </c>
      <c r="B37" s="7">
        <v>2</v>
      </c>
      <c r="C37" s="7">
        <v>2</v>
      </c>
      <c r="D37" s="7">
        <v>4</v>
      </c>
      <c r="E37" s="7">
        <f>B37*D37*9</f>
        <v>72</v>
      </c>
      <c r="F37" s="7">
        <f t="shared" si="3"/>
        <v>36</v>
      </c>
      <c r="G37" s="7">
        <f t="shared" si="2"/>
        <v>405</v>
      </c>
      <c r="H37" s="7" t="s">
        <v>98</v>
      </c>
      <c r="I37" s="7">
        <f t="shared" si="0"/>
        <v>9</v>
      </c>
    </row>
    <row r="38" spans="1:9" ht="25" x14ac:dyDescent="0.25">
      <c r="A38" s="7" t="s">
        <v>99</v>
      </c>
      <c r="B38" s="7">
        <v>2</v>
      </c>
      <c r="C38" s="7">
        <v>2</v>
      </c>
      <c r="D38" s="7">
        <v>5</v>
      </c>
      <c r="E38" s="7">
        <f>B38*D38*9</f>
        <v>90</v>
      </c>
      <c r="F38" s="7">
        <f t="shared" si="3"/>
        <v>45</v>
      </c>
      <c r="G38" s="7">
        <f t="shared" si="2"/>
        <v>450</v>
      </c>
      <c r="H38" s="79" t="s">
        <v>100</v>
      </c>
      <c r="I38" s="7">
        <f t="shared" si="0"/>
        <v>11.25</v>
      </c>
    </row>
    <row r="39" spans="1:9" x14ac:dyDescent="0.25">
      <c r="A39" s="7" t="s">
        <v>101</v>
      </c>
      <c r="B39" s="7">
        <v>2</v>
      </c>
      <c r="C39" s="7">
        <v>2</v>
      </c>
      <c r="D39" s="7">
        <v>5</v>
      </c>
      <c r="E39" s="7">
        <f>B39*D39*9</f>
        <v>90</v>
      </c>
      <c r="F39" s="7">
        <f t="shared" si="3"/>
        <v>45</v>
      </c>
      <c r="G39" s="7">
        <f t="shared" si="2"/>
        <v>495</v>
      </c>
      <c r="H39" s="7" t="s">
        <v>102</v>
      </c>
      <c r="I39" s="7">
        <f t="shared" si="0"/>
        <v>11.25</v>
      </c>
    </row>
    <row r="40" spans="1:9" x14ac:dyDescent="0.25">
      <c r="A40" s="7" t="s">
        <v>103</v>
      </c>
      <c r="B40" s="7">
        <v>2</v>
      </c>
      <c r="C40" s="7">
        <v>2</v>
      </c>
      <c r="D40" s="7">
        <v>4</v>
      </c>
      <c r="E40" s="7">
        <f t="shared" si="1"/>
        <v>72</v>
      </c>
      <c r="F40" s="7">
        <f t="shared" si="3"/>
        <v>36</v>
      </c>
      <c r="G40" s="7">
        <f t="shared" si="2"/>
        <v>531</v>
      </c>
      <c r="H40" s="7" t="s">
        <v>102</v>
      </c>
      <c r="I40" s="7">
        <f t="shared" si="0"/>
        <v>9</v>
      </c>
    </row>
    <row r="41" spans="1:9" ht="25" x14ac:dyDescent="0.25">
      <c r="A41" s="7" t="s">
        <v>104</v>
      </c>
      <c r="B41" s="7">
        <v>2</v>
      </c>
      <c r="C41" s="7">
        <v>2</v>
      </c>
      <c r="D41" s="7">
        <v>5</v>
      </c>
      <c r="E41" s="7">
        <f t="shared" si="1"/>
        <v>90</v>
      </c>
      <c r="F41" s="7">
        <f t="shared" si="3"/>
        <v>45</v>
      </c>
      <c r="G41" s="7">
        <f t="shared" si="2"/>
        <v>576</v>
      </c>
      <c r="H41" s="79" t="s">
        <v>105</v>
      </c>
      <c r="I41" s="7">
        <f t="shared" si="0"/>
        <v>11.25</v>
      </c>
    </row>
    <row r="42" spans="1:9" ht="25" x14ac:dyDescent="0.25">
      <c r="A42" s="7" t="s">
        <v>106</v>
      </c>
      <c r="B42" s="7">
        <v>2</v>
      </c>
      <c r="C42" s="7">
        <v>2</v>
      </c>
      <c r="D42" s="7">
        <v>5</v>
      </c>
      <c r="E42" s="7">
        <f t="shared" si="1"/>
        <v>90</v>
      </c>
      <c r="F42" s="7">
        <f t="shared" si="3"/>
        <v>45</v>
      </c>
      <c r="G42" s="7">
        <f t="shared" si="2"/>
        <v>621</v>
      </c>
      <c r="H42" s="79" t="s">
        <v>107</v>
      </c>
      <c r="I42" s="7">
        <f t="shared" si="0"/>
        <v>11.25</v>
      </c>
    </row>
    <row r="43" spans="1:9" x14ac:dyDescent="0.25">
      <c r="A43" s="7" t="s">
        <v>108</v>
      </c>
      <c r="B43" s="7">
        <v>2</v>
      </c>
      <c r="C43" s="7">
        <v>2</v>
      </c>
      <c r="D43" s="7">
        <v>4</v>
      </c>
      <c r="E43" s="7">
        <f t="shared" si="1"/>
        <v>72</v>
      </c>
      <c r="F43" s="7">
        <f t="shared" si="3"/>
        <v>36</v>
      </c>
      <c r="G43" s="7">
        <f t="shared" si="2"/>
        <v>657</v>
      </c>
      <c r="H43" s="7" t="s">
        <v>109</v>
      </c>
      <c r="I43" s="7">
        <f t="shared" si="0"/>
        <v>9</v>
      </c>
    </row>
    <row r="44" spans="1:9" x14ac:dyDescent="0.25">
      <c r="A44" s="7" t="s">
        <v>110</v>
      </c>
      <c r="B44" s="7">
        <v>2</v>
      </c>
      <c r="C44" s="7">
        <v>2</v>
      </c>
      <c r="D44" s="7">
        <v>4</v>
      </c>
      <c r="E44" s="7">
        <f t="shared" si="1"/>
        <v>72</v>
      </c>
      <c r="F44" s="7">
        <f t="shared" si="3"/>
        <v>36</v>
      </c>
      <c r="G44" s="7">
        <f t="shared" si="2"/>
        <v>693</v>
      </c>
      <c r="I44" s="7">
        <f t="shared" si="0"/>
        <v>9</v>
      </c>
    </row>
    <row r="49" spans="1:1" ht="13" x14ac:dyDescent="0.3">
      <c r="A49" s="76" t="s">
        <v>111</v>
      </c>
    </row>
    <row r="50" spans="1:1" x14ac:dyDescent="0.25">
      <c r="A50" s="7" t="s">
        <v>112</v>
      </c>
    </row>
    <row r="51" spans="1:1" x14ac:dyDescent="0.25">
      <c r="A51" s="7" t="s">
        <v>113</v>
      </c>
    </row>
    <row r="52" spans="1:1" x14ac:dyDescent="0.25">
      <c r="A52" s="7" t="s">
        <v>114</v>
      </c>
    </row>
    <row r="53" spans="1:1" x14ac:dyDescent="0.25">
      <c r="A53" s="7" t="s">
        <v>115</v>
      </c>
    </row>
  </sheetData>
  <mergeCells count="4">
    <mergeCell ref="F4:K4"/>
    <mergeCell ref="L4:P4"/>
    <mergeCell ref="F13:K13"/>
    <mergeCell ref="L13:P13"/>
  </mergeCell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9"/>
  <sheetViews>
    <sheetView workbookViewId="0">
      <selection activeCell="E18" sqref="E18"/>
    </sheetView>
  </sheetViews>
  <sheetFormatPr defaultColWidth="35" defaultRowHeight="14" x14ac:dyDescent="0.35"/>
  <cols>
    <col min="1" max="1" width="11.08984375" style="82" bestFit="1" customWidth="1"/>
    <col min="2" max="2" width="28.08984375" style="82" bestFit="1" customWidth="1"/>
    <col min="3" max="3" width="18.81640625" style="82" bestFit="1" customWidth="1"/>
    <col min="4" max="4" width="6" style="82" bestFit="1" customWidth="1"/>
    <col min="5" max="5" width="20.08984375" style="82" bestFit="1" customWidth="1"/>
    <col min="6" max="6" width="13.453125" style="82" bestFit="1" customWidth="1"/>
    <col min="7" max="7" width="14.36328125" style="82" bestFit="1" customWidth="1"/>
    <col min="8" max="8" width="14" style="82" bestFit="1" customWidth="1"/>
    <col min="9" max="9" width="47.6328125" style="82" customWidth="1"/>
    <col min="10" max="16384" width="35" style="82"/>
  </cols>
  <sheetData>
    <row r="2" spans="1:9" x14ac:dyDescent="0.35">
      <c r="C2" s="82" t="s">
        <v>116</v>
      </c>
      <c r="D2" s="82" t="s">
        <v>117</v>
      </c>
    </row>
    <row r="3" spans="1:9" x14ac:dyDescent="0.35">
      <c r="A3" s="581" t="s">
        <v>118</v>
      </c>
      <c r="B3" s="581" t="s">
        <v>119</v>
      </c>
      <c r="C3" s="581">
        <v>5</v>
      </c>
      <c r="D3" s="83"/>
      <c r="E3" s="83" t="s">
        <v>120</v>
      </c>
      <c r="F3" s="83"/>
    </row>
    <row r="4" spans="1:9" x14ac:dyDescent="0.35">
      <c r="A4" s="581"/>
      <c r="B4" s="581"/>
      <c r="C4" s="581"/>
      <c r="D4" s="83">
        <f>C3*2</f>
        <v>10</v>
      </c>
      <c r="E4" s="83" t="s">
        <v>121</v>
      </c>
      <c r="F4" s="83"/>
    </row>
    <row r="5" spans="1:9" x14ac:dyDescent="0.35">
      <c r="A5" s="581"/>
      <c r="B5" s="581"/>
      <c r="C5" s="581"/>
      <c r="D5" s="83"/>
      <c r="E5" s="83" t="s">
        <v>122</v>
      </c>
      <c r="F5" s="83"/>
    </row>
    <row r="6" spans="1:9" x14ac:dyDescent="0.35">
      <c r="A6" s="581"/>
      <c r="B6" s="83" t="s">
        <v>123</v>
      </c>
      <c r="C6" s="83">
        <v>75</v>
      </c>
      <c r="D6" s="83">
        <f>C6*6</f>
        <v>450</v>
      </c>
      <c r="E6" s="83"/>
      <c r="F6" s="83"/>
    </row>
    <row r="7" spans="1:9" x14ac:dyDescent="0.35">
      <c r="A7" s="581"/>
      <c r="B7" s="83" t="s">
        <v>124</v>
      </c>
      <c r="C7" s="83">
        <v>1</v>
      </c>
      <c r="D7" s="83">
        <v>2</v>
      </c>
      <c r="E7" s="83"/>
      <c r="F7" s="83"/>
    </row>
    <row r="8" spans="1:9" x14ac:dyDescent="0.35">
      <c r="A8" s="581" t="s">
        <v>125</v>
      </c>
      <c r="B8" s="581" t="s">
        <v>126</v>
      </c>
      <c r="C8" s="581">
        <v>7</v>
      </c>
      <c r="D8" s="83">
        <v>1</v>
      </c>
      <c r="E8" s="83" t="s">
        <v>127</v>
      </c>
      <c r="F8" s="83"/>
    </row>
    <row r="9" spans="1:9" x14ac:dyDescent="0.35">
      <c r="A9" s="581"/>
      <c r="B9" s="581"/>
      <c r="C9" s="581"/>
      <c r="D9" s="83">
        <f>31*0.42+31*1.95</f>
        <v>73.47</v>
      </c>
      <c r="E9" s="83" t="s">
        <v>128</v>
      </c>
      <c r="F9" s="83"/>
    </row>
    <row r="10" spans="1:9" x14ac:dyDescent="0.35">
      <c r="A10" s="581"/>
      <c r="B10" s="83" t="s">
        <v>119</v>
      </c>
      <c r="C10" s="83">
        <v>10</v>
      </c>
      <c r="D10" s="83">
        <f>C10*2</f>
        <v>20</v>
      </c>
      <c r="E10" s="83"/>
      <c r="F10" s="83"/>
    </row>
    <row r="11" spans="1:9" x14ac:dyDescent="0.35">
      <c r="A11" s="581"/>
      <c r="B11" s="83" t="s">
        <v>123</v>
      </c>
      <c r="C11" s="83">
        <v>10</v>
      </c>
      <c r="D11" s="83">
        <f>C11*5</f>
        <v>50</v>
      </c>
      <c r="E11" s="83"/>
      <c r="F11" s="83"/>
    </row>
    <row r="12" spans="1:9" x14ac:dyDescent="0.35">
      <c r="A12" s="581"/>
      <c r="B12" s="83" t="s">
        <v>124</v>
      </c>
      <c r="C12" s="83">
        <v>1</v>
      </c>
      <c r="D12" s="83">
        <v>2</v>
      </c>
      <c r="E12" s="83"/>
      <c r="F12" s="83"/>
    </row>
    <row r="13" spans="1:9" x14ac:dyDescent="0.35">
      <c r="A13" s="83" t="s">
        <v>129</v>
      </c>
      <c r="B13" s="83"/>
      <c r="C13" s="83"/>
      <c r="D13" s="83"/>
      <c r="E13" s="84" t="s">
        <v>130</v>
      </c>
      <c r="F13" s="85" t="s">
        <v>131</v>
      </c>
      <c r="G13" s="84" t="s">
        <v>132</v>
      </c>
      <c r="H13" s="85" t="s">
        <v>133</v>
      </c>
    </row>
    <row r="14" spans="1:9" ht="105" x14ac:dyDescent="0.35">
      <c r="A14" s="82" t="s">
        <v>134</v>
      </c>
      <c r="B14" s="82" t="s">
        <v>135</v>
      </c>
      <c r="C14" s="82" t="s">
        <v>125</v>
      </c>
      <c r="D14" s="82">
        <v>3</v>
      </c>
      <c r="E14" s="82" t="s">
        <v>136</v>
      </c>
      <c r="F14" s="86" t="s">
        <v>137</v>
      </c>
      <c r="G14" s="82" t="s">
        <v>138</v>
      </c>
      <c r="H14" s="86" t="s">
        <v>139</v>
      </c>
      <c r="I14" s="87" t="s">
        <v>140</v>
      </c>
    </row>
    <row r="15" spans="1:9" x14ac:dyDescent="0.35">
      <c r="B15" s="82" t="s">
        <v>135</v>
      </c>
      <c r="C15" s="82" t="s">
        <v>129</v>
      </c>
      <c r="D15" s="82">
        <v>1</v>
      </c>
      <c r="F15" s="86"/>
      <c r="H15" s="86"/>
    </row>
    <row r="16" spans="1:9" x14ac:dyDescent="0.35">
      <c r="B16" s="82" t="s">
        <v>135</v>
      </c>
      <c r="C16" s="82" t="s">
        <v>41</v>
      </c>
      <c r="D16" s="82">
        <v>1</v>
      </c>
      <c r="F16" s="86"/>
      <c r="H16" s="86"/>
    </row>
    <row r="17" spans="1:9" x14ac:dyDescent="0.35">
      <c r="B17" s="82" t="s">
        <v>135</v>
      </c>
      <c r="C17" s="82" t="s">
        <v>141</v>
      </c>
      <c r="D17" s="82">
        <v>2</v>
      </c>
      <c r="F17" s="86"/>
      <c r="H17" s="86"/>
    </row>
    <row r="18" spans="1:9" x14ac:dyDescent="0.35">
      <c r="B18" s="82" t="s">
        <v>142</v>
      </c>
      <c r="D18" s="82">
        <v>3</v>
      </c>
      <c r="F18" s="86"/>
      <c r="H18" s="86"/>
      <c r="I18" s="82" t="s">
        <v>143</v>
      </c>
    </row>
    <row r="19" spans="1:9" x14ac:dyDescent="0.35">
      <c r="A19" s="82">
        <f>170*2.5</f>
        <v>425</v>
      </c>
      <c r="B19" s="82" t="s">
        <v>142</v>
      </c>
    </row>
  </sheetData>
  <mergeCells count="6">
    <mergeCell ref="A3:A7"/>
    <mergeCell ref="B3:B5"/>
    <mergeCell ref="C3:C5"/>
    <mergeCell ref="A8:A12"/>
    <mergeCell ref="B8:B9"/>
    <mergeCell ref="C8:C9"/>
  </mergeCell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53"/>
  <sheetViews>
    <sheetView topLeftCell="B1" zoomScale="98" zoomScaleNormal="98" workbookViewId="0">
      <selection activeCell="E18" sqref="E18"/>
    </sheetView>
  </sheetViews>
  <sheetFormatPr defaultRowHeight="14.5" x14ac:dyDescent="0.35"/>
  <cols>
    <col min="1" max="1" width="16.453125" bestFit="1" customWidth="1"/>
    <col min="2" max="2" width="55.54296875" style="1" bestFit="1" customWidth="1"/>
    <col min="3" max="3" width="32.81640625" style="1" bestFit="1" customWidth="1"/>
    <col min="4" max="4" width="30.6328125" style="1" customWidth="1"/>
    <col min="5" max="5" width="61.08984375" style="1" bestFit="1" customWidth="1"/>
    <col min="6" max="6" width="22.453125" style="10" bestFit="1" customWidth="1"/>
    <col min="7" max="7" width="12.36328125" style="1" customWidth="1"/>
    <col min="8" max="8" width="36" style="1" bestFit="1" customWidth="1"/>
    <col min="9" max="9" width="22.453125" style="1" bestFit="1" customWidth="1"/>
    <col min="10" max="10" width="3.81640625" style="1" bestFit="1" customWidth="1"/>
    <col min="11" max="11" width="9.54296875" style="1" bestFit="1" customWidth="1"/>
    <col min="12" max="12" width="12.36328125" style="10" customWidth="1"/>
    <col min="13" max="13" width="12.36328125" style="1" customWidth="1"/>
    <col min="14" max="14" width="12.36328125" style="10" customWidth="1"/>
    <col min="15" max="24" width="12.36328125" style="1" customWidth="1"/>
  </cols>
  <sheetData>
    <row r="2" spans="2:7" ht="15" thickBot="1" x14ac:dyDescent="0.4"/>
    <row r="3" spans="2:7" x14ac:dyDescent="0.35">
      <c r="B3" s="94" t="s">
        <v>79</v>
      </c>
      <c r="C3" s="95" t="s">
        <v>154</v>
      </c>
      <c r="E3" s="2" t="s">
        <v>10</v>
      </c>
      <c r="F3" s="14"/>
      <c r="G3" s="17"/>
    </row>
    <row r="4" spans="2:7" x14ac:dyDescent="0.35">
      <c r="B4" s="90" t="s">
        <v>144</v>
      </c>
      <c r="C4" s="91">
        <v>598</v>
      </c>
      <c r="E4" s="4" t="s">
        <v>13</v>
      </c>
      <c r="F4" s="13"/>
      <c r="G4" s="18">
        <v>1</v>
      </c>
    </row>
    <row r="5" spans="2:7" x14ac:dyDescent="0.35">
      <c r="B5" s="90" t="s">
        <v>145</v>
      </c>
      <c r="C5" s="91">
        <v>268</v>
      </c>
      <c r="E5" s="5" t="s">
        <v>19</v>
      </c>
      <c r="F5" s="3"/>
      <c r="G5" s="19">
        <f>20/60</f>
        <v>0.33333333333333331</v>
      </c>
    </row>
    <row r="6" spans="2:7" x14ac:dyDescent="0.35">
      <c r="B6" s="90" t="s">
        <v>146</v>
      </c>
      <c r="C6" s="91">
        <v>211</v>
      </c>
      <c r="E6" s="5" t="s">
        <v>20</v>
      </c>
      <c r="F6" s="3"/>
      <c r="G6" s="19">
        <v>1.5</v>
      </c>
    </row>
    <row r="7" spans="2:7" x14ac:dyDescent="0.35">
      <c r="B7" s="90" t="s">
        <v>147</v>
      </c>
      <c r="C7" s="91">
        <v>18</v>
      </c>
      <c r="E7" s="5" t="s">
        <v>26</v>
      </c>
      <c r="F7" s="3"/>
      <c r="G7" s="19">
        <v>2</v>
      </c>
    </row>
    <row r="8" spans="2:7" ht="15" thickBot="1" x14ac:dyDescent="0.4">
      <c r="B8" s="92" t="s">
        <v>148</v>
      </c>
      <c r="C8" s="93">
        <v>25</v>
      </c>
      <c r="E8" s="5" t="s">
        <v>21</v>
      </c>
      <c r="F8" s="3"/>
      <c r="G8" s="19">
        <v>0.3</v>
      </c>
    </row>
    <row r="9" spans="2:7" ht="15" thickBot="1" x14ac:dyDescent="0.4">
      <c r="B9" s="88"/>
      <c r="C9" s="88"/>
      <c r="E9" s="5" t="s">
        <v>28</v>
      </c>
      <c r="F9" s="3"/>
      <c r="G9" s="19">
        <v>0.25</v>
      </c>
    </row>
    <row r="10" spans="2:7" x14ac:dyDescent="0.35">
      <c r="B10" s="94" t="s">
        <v>149</v>
      </c>
      <c r="C10" s="95"/>
      <c r="E10" s="5" t="s">
        <v>29</v>
      </c>
      <c r="F10" s="3"/>
      <c r="G10" s="19">
        <v>0.1</v>
      </c>
    </row>
    <row r="11" spans="2:7" x14ac:dyDescent="0.35">
      <c r="B11" s="90" t="s">
        <v>150</v>
      </c>
      <c r="C11" s="91">
        <v>46</v>
      </c>
      <c r="E11" s="4" t="s">
        <v>27</v>
      </c>
      <c r="F11" s="13"/>
      <c r="G11" s="18">
        <v>5</v>
      </c>
    </row>
    <row r="12" spans="2:7" ht="15" thickBot="1" x14ac:dyDescent="0.4">
      <c r="B12" s="96" t="s">
        <v>151</v>
      </c>
      <c r="C12" s="97">
        <v>8</v>
      </c>
      <c r="E12" s="6" t="s">
        <v>12</v>
      </c>
      <c r="F12" s="15"/>
      <c r="G12" s="20">
        <v>45</v>
      </c>
    </row>
    <row r="13" spans="2:7" ht="15" thickBot="1" x14ac:dyDescent="0.4">
      <c r="B13" s="98" t="s">
        <v>168</v>
      </c>
      <c r="C13" s="99">
        <f>SUM(C11:C12)</f>
        <v>54</v>
      </c>
      <c r="E13" s="6" t="s">
        <v>181</v>
      </c>
      <c r="F13" s="15"/>
      <c r="G13" s="20">
        <v>3.5</v>
      </c>
    </row>
    <row r="14" spans="2:7" ht="15" thickBot="1" x14ac:dyDescent="0.4">
      <c r="B14" s="88"/>
      <c r="C14" s="88"/>
      <c r="E14" s="6" t="s">
        <v>182</v>
      </c>
      <c r="F14" s="15"/>
      <c r="G14" s="20">
        <v>2</v>
      </c>
    </row>
    <row r="15" spans="2:7" x14ac:dyDescent="0.35">
      <c r="B15" s="94" t="s">
        <v>152</v>
      </c>
      <c r="C15" s="95"/>
    </row>
    <row r="16" spans="2:7" x14ac:dyDescent="0.35">
      <c r="B16" s="90" t="s">
        <v>153</v>
      </c>
      <c r="C16" s="91">
        <f>C6+C7-C11</f>
        <v>183</v>
      </c>
    </row>
    <row r="17" spans="2:6" ht="15" thickBot="1" x14ac:dyDescent="0.4">
      <c r="B17" s="96" t="s">
        <v>151</v>
      </c>
      <c r="C17" s="97">
        <f>C8-C12</f>
        <v>17</v>
      </c>
    </row>
    <row r="18" spans="2:6" ht="15" thickBot="1" x14ac:dyDescent="0.4">
      <c r="B18" s="98" t="s">
        <v>168</v>
      </c>
      <c r="C18" s="99">
        <f>SUM(C16:C17)</f>
        <v>200</v>
      </c>
    </row>
    <row r="19" spans="2:6" ht="15" thickBot="1" x14ac:dyDescent="0.4">
      <c r="B19" s="98" t="s">
        <v>193</v>
      </c>
      <c r="C19" s="1">
        <v>45</v>
      </c>
    </row>
    <row r="21" spans="2:6" ht="15" thickBot="1" x14ac:dyDescent="0.4">
      <c r="B21" s="89" t="s">
        <v>156</v>
      </c>
      <c r="E21" s="89" t="s">
        <v>174</v>
      </c>
      <c r="F21" s="1"/>
    </row>
    <row r="22" spans="2:6" ht="15" thickBot="1" x14ac:dyDescent="0.4">
      <c r="B22" s="100"/>
      <c r="C22" s="101"/>
      <c r="F22" s="1"/>
    </row>
    <row r="23" spans="2:6" x14ac:dyDescent="0.35">
      <c r="B23" s="102" t="s">
        <v>155</v>
      </c>
      <c r="C23" s="103"/>
      <c r="E23" s="110" t="s">
        <v>155</v>
      </c>
      <c r="F23" s="111"/>
    </row>
    <row r="24" spans="2:6" x14ac:dyDescent="0.35">
      <c r="B24" s="104" t="s">
        <v>157</v>
      </c>
      <c r="C24" s="105" t="s">
        <v>158</v>
      </c>
      <c r="E24" s="104" t="s">
        <v>175</v>
      </c>
      <c r="F24" s="105"/>
    </row>
    <row r="25" spans="2:6" x14ac:dyDescent="0.35">
      <c r="B25" s="106" t="s">
        <v>159</v>
      </c>
      <c r="C25" s="103">
        <v>18</v>
      </c>
      <c r="E25" s="106" t="s">
        <v>176</v>
      </c>
      <c r="F25" s="103">
        <v>208</v>
      </c>
    </row>
    <row r="26" spans="2:6" x14ac:dyDescent="0.35">
      <c r="B26" s="106" t="s">
        <v>160</v>
      </c>
      <c r="C26" s="103">
        <f>$C$13*60%*$G$5*$G$11</f>
        <v>53.999999999999993</v>
      </c>
      <c r="E26" s="106" t="s">
        <v>177</v>
      </c>
      <c r="F26" s="103">
        <v>1.5</v>
      </c>
    </row>
    <row r="27" spans="2:6" x14ac:dyDescent="0.35">
      <c r="B27" s="106" t="s">
        <v>172</v>
      </c>
      <c r="C27" s="103">
        <f>SUM(C25:C26)</f>
        <v>72</v>
      </c>
      <c r="E27" s="106" t="s">
        <v>178</v>
      </c>
      <c r="F27" s="103">
        <f>F26*F25</f>
        <v>312</v>
      </c>
    </row>
    <row r="28" spans="2:6" x14ac:dyDescent="0.35">
      <c r="B28" s="106" t="s">
        <v>171</v>
      </c>
      <c r="C28" s="107">
        <v>0.2</v>
      </c>
      <c r="E28" s="106" t="s">
        <v>183</v>
      </c>
      <c r="F28" s="107">
        <v>0.1</v>
      </c>
    </row>
    <row r="29" spans="2:6" x14ac:dyDescent="0.35">
      <c r="B29" s="106" t="s">
        <v>161</v>
      </c>
      <c r="C29" s="103">
        <f>$C$13*(1-C28)*$G$13*$G$6</f>
        <v>226.8</v>
      </c>
      <c r="E29" s="106" t="s">
        <v>180</v>
      </c>
      <c r="F29" s="103">
        <f>$G$5*$G$11</f>
        <v>1.6666666666666665</v>
      </c>
    </row>
    <row r="30" spans="2:6" x14ac:dyDescent="0.35">
      <c r="B30" s="106" t="s">
        <v>162</v>
      </c>
      <c r="C30" s="103">
        <f>C29*$G$8</f>
        <v>68.040000000000006</v>
      </c>
      <c r="E30" s="106" t="s">
        <v>179</v>
      </c>
      <c r="F30" s="103">
        <f>$C$18*F29*(1-F28)</f>
        <v>300</v>
      </c>
    </row>
    <row r="31" spans="2:6" ht="15" thickBot="1" x14ac:dyDescent="0.4">
      <c r="B31" s="106" t="s">
        <v>173</v>
      </c>
      <c r="C31" s="103">
        <f>SUM(C29:C30)</f>
        <v>294.84000000000003</v>
      </c>
      <c r="E31" s="106" t="s">
        <v>172</v>
      </c>
      <c r="F31" s="103">
        <f>SUM(F27+F30)</f>
        <v>612</v>
      </c>
    </row>
    <row r="32" spans="2:6" ht="15" thickBot="1" x14ac:dyDescent="0.4">
      <c r="B32" s="113" t="s">
        <v>163</v>
      </c>
      <c r="C32" s="114">
        <f>ROUND(C27+C31,0)</f>
        <v>367</v>
      </c>
      <c r="E32" s="106" t="s">
        <v>171</v>
      </c>
      <c r="F32" s="107">
        <v>0.05</v>
      </c>
    </row>
    <row r="33" spans="2:6" x14ac:dyDescent="0.35">
      <c r="B33" s="106"/>
      <c r="C33" s="103"/>
      <c r="E33" s="106" t="s">
        <v>161</v>
      </c>
      <c r="F33" s="103">
        <f>C18*(1-F32)*$G$14*$G$6</f>
        <v>570</v>
      </c>
    </row>
    <row r="34" spans="2:6" x14ac:dyDescent="0.35">
      <c r="B34" s="102" t="s">
        <v>164</v>
      </c>
      <c r="C34" s="103"/>
      <c r="E34" s="106" t="s">
        <v>162</v>
      </c>
      <c r="F34" s="103">
        <f>F33*$G$8</f>
        <v>171</v>
      </c>
    </row>
    <row r="35" spans="2:6" ht="15" thickBot="1" x14ac:dyDescent="0.4">
      <c r="B35" s="104" t="s">
        <v>165</v>
      </c>
      <c r="C35" s="105" t="s">
        <v>166</v>
      </c>
      <c r="E35" s="106" t="s">
        <v>173</v>
      </c>
      <c r="F35" s="103">
        <f>SUM(F33:F34)</f>
        <v>741</v>
      </c>
    </row>
    <row r="36" spans="2:6" ht="15" thickBot="1" x14ac:dyDescent="0.4">
      <c r="B36" s="106" t="s">
        <v>159</v>
      </c>
      <c r="C36" s="103">
        <v>36</v>
      </c>
      <c r="E36" s="113" t="s">
        <v>184</v>
      </c>
      <c r="F36" s="114">
        <f>ROUND(F31+F35,0)</f>
        <v>1353</v>
      </c>
    </row>
    <row r="37" spans="2:6" x14ac:dyDescent="0.35">
      <c r="B37" s="106" t="s">
        <v>160</v>
      </c>
      <c r="C37" s="103">
        <f>$C$13*60%*$G$5*$G$11</f>
        <v>53.999999999999993</v>
      </c>
      <c r="E37" s="106"/>
      <c r="F37" s="112"/>
    </row>
    <row r="38" spans="2:6" x14ac:dyDescent="0.35">
      <c r="B38" s="106" t="s">
        <v>172</v>
      </c>
      <c r="C38" s="103">
        <f>SUM(C36:C37)</f>
        <v>90</v>
      </c>
      <c r="E38" s="102" t="s">
        <v>164</v>
      </c>
      <c r="F38" s="103"/>
    </row>
    <row r="39" spans="2:6" x14ac:dyDescent="0.35">
      <c r="B39" s="106" t="s">
        <v>171</v>
      </c>
      <c r="C39" s="107">
        <v>0.45</v>
      </c>
      <c r="E39" s="104" t="s">
        <v>169</v>
      </c>
      <c r="F39" s="103"/>
    </row>
    <row r="40" spans="2:6" x14ac:dyDescent="0.35">
      <c r="B40" s="106" t="s">
        <v>161</v>
      </c>
      <c r="C40" s="103">
        <f>$C$13*(1-C39)*$G$13*$G$6</f>
        <v>155.92500000000001</v>
      </c>
      <c r="E40" s="106" t="s">
        <v>170</v>
      </c>
      <c r="F40" s="103">
        <f>C18*$G$11*$G$5</f>
        <v>333.33333333333331</v>
      </c>
    </row>
    <row r="41" spans="2:6" x14ac:dyDescent="0.35">
      <c r="B41" s="106" t="s">
        <v>162</v>
      </c>
      <c r="C41" s="103">
        <f>C40*$G$8</f>
        <v>46.777500000000003</v>
      </c>
      <c r="E41" s="106" t="s">
        <v>161</v>
      </c>
      <c r="F41" s="103">
        <f>($C$18-$C$19)*$G$14*$G$6</f>
        <v>465</v>
      </c>
    </row>
    <row r="42" spans="2:6" ht="15" thickBot="1" x14ac:dyDescent="0.4">
      <c r="B42" s="106" t="s">
        <v>173</v>
      </c>
      <c r="C42" s="103">
        <f>SUM(C40:C41)</f>
        <v>202.70250000000001</v>
      </c>
      <c r="E42" s="106" t="s">
        <v>162</v>
      </c>
      <c r="F42" s="103">
        <f>F41*$G$8</f>
        <v>139.5</v>
      </c>
    </row>
    <row r="43" spans="2:6" ht="15" thickBot="1" x14ac:dyDescent="0.4">
      <c r="B43" s="113" t="s">
        <v>163</v>
      </c>
      <c r="C43" s="114">
        <f>ROUND(C38+C42,0)</f>
        <v>293</v>
      </c>
      <c r="E43" s="106" t="s">
        <v>173</v>
      </c>
      <c r="F43" s="103">
        <f>SUM(F41:F42)</f>
        <v>604.5</v>
      </c>
    </row>
    <row r="44" spans="2:6" ht="15" thickBot="1" x14ac:dyDescent="0.4">
      <c r="B44" s="106"/>
      <c r="C44" s="103"/>
      <c r="E44" s="113" t="s">
        <v>184</v>
      </c>
      <c r="F44" s="114">
        <f>ROUND(F40+F43,0)</f>
        <v>938</v>
      </c>
    </row>
    <row r="45" spans="2:6" x14ac:dyDescent="0.35">
      <c r="B45" s="102" t="s">
        <v>167</v>
      </c>
      <c r="C45" s="103"/>
    </row>
    <row r="46" spans="2:6" x14ac:dyDescent="0.35">
      <c r="B46" s="104" t="s">
        <v>169</v>
      </c>
      <c r="C46" s="103"/>
    </row>
    <row r="47" spans="2:6" x14ac:dyDescent="0.35">
      <c r="B47" s="106" t="s">
        <v>170</v>
      </c>
      <c r="C47" s="103">
        <f>$C$13*$G$11*$G$5</f>
        <v>90</v>
      </c>
    </row>
    <row r="48" spans="2:6" x14ac:dyDescent="0.35">
      <c r="B48" s="106" t="s">
        <v>161</v>
      </c>
      <c r="C48" s="103">
        <f>$C$11*G6*G13</f>
        <v>241.5</v>
      </c>
    </row>
    <row r="49" spans="2:3" x14ac:dyDescent="0.35">
      <c r="B49" s="106" t="s">
        <v>162</v>
      </c>
      <c r="C49" s="103">
        <f>C48*$G$8</f>
        <v>72.45</v>
      </c>
    </row>
    <row r="50" spans="2:3" ht="15" thickBot="1" x14ac:dyDescent="0.4">
      <c r="B50" s="106" t="s">
        <v>173</v>
      </c>
      <c r="C50" s="103">
        <f>SUM(C48:C49)</f>
        <v>313.95</v>
      </c>
    </row>
    <row r="51" spans="2:3" ht="15" thickBot="1" x14ac:dyDescent="0.4">
      <c r="B51" s="113" t="s">
        <v>163</v>
      </c>
      <c r="C51" s="114">
        <f>ROUND(C47+C50,0)</f>
        <v>404</v>
      </c>
    </row>
    <row r="52" spans="2:3" x14ac:dyDescent="0.35">
      <c r="B52" s="106"/>
      <c r="C52" s="103"/>
    </row>
    <row r="53" spans="2:3" ht="15" thickBot="1" x14ac:dyDescent="0.4">
      <c r="B53" s="108"/>
      <c r="C53" s="109"/>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40"/>
  <sheetViews>
    <sheetView zoomScale="69" zoomScaleNormal="69" workbookViewId="0">
      <selection activeCell="E18" sqref="E18"/>
    </sheetView>
  </sheetViews>
  <sheetFormatPr defaultRowHeight="14.5" x14ac:dyDescent="0.35"/>
  <cols>
    <col min="1" max="1" width="16.453125" bestFit="1" customWidth="1"/>
    <col min="2" max="2" width="39.6328125" style="27" bestFit="1" customWidth="1"/>
    <col min="3" max="3" width="13.81640625" style="27" bestFit="1" customWidth="1"/>
    <col min="4" max="4" width="30.6328125" style="1" customWidth="1"/>
    <col min="5" max="5" width="11.453125" style="1" customWidth="1"/>
    <col min="6" max="6" width="23.81640625" style="10" customWidth="1"/>
    <col min="7" max="11" width="12.36328125" style="1" hidden="1" customWidth="1"/>
    <col min="12" max="12" width="12.36328125" style="10" customWidth="1"/>
    <col min="13" max="13" width="12.36328125" style="1" hidden="1" customWidth="1"/>
    <col min="14" max="14" width="12.36328125" style="10" hidden="1" customWidth="1"/>
    <col min="15" max="26" width="12.36328125" style="1" customWidth="1"/>
  </cols>
  <sheetData>
    <row r="2" spans="1:27" s="41" customFormat="1" ht="70" x14ac:dyDescent="0.35">
      <c r="A2" s="41" t="s">
        <v>16</v>
      </c>
      <c r="B2" s="42" t="s">
        <v>18</v>
      </c>
      <c r="C2" s="42" t="s">
        <v>39</v>
      </c>
      <c r="D2" s="42" t="s">
        <v>47</v>
      </c>
      <c r="E2" s="42" t="s">
        <v>0</v>
      </c>
      <c r="F2" s="45" t="s">
        <v>1</v>
      </c>
      <c r="G2" s="46" t="s">
        <v>17</v>
      </c>
      <c r="H2" s="46" t="s">
        <v>36</v>
      </c>
      <c r="I2" s="46" t="s">
        <v>14</v>
      </c>
      <c r="J2" s="47" t="s">
        <v>22</v>
      </c>
      <c r="K2" s="46" t="s">
        <v>2</v>
      </c>
      <c r="L2" s="45" t="s">
        <v>3</v>
      </c>
      <c r="M2" s="46" t="s">
        <v>4</v>
      </c>
      <c r="N2" s="48" t="s">
        <v>5</v>
      </c>
      <c r="O2" s="49" t="s">
        <v>6</v>
      </c>
      <c r="P2" s="49" t="s">
        <v>23</v>
      </c>
      <c r="Q2" s="49" t="s">
        <v>187</v>
      </c>
      <c r="R2" s="49" t="s">
        <v>7</v>
      </c>
      <c r="S2" s="49" t="s">
        <v>24</v>
      </c>
      <c r="T2" s="49" t="s">
        <v>188</v>
      </c>
      <c r="U2" s="49" t="s">
        <v>25</v>
      </c>
      <c r="V2" s="49" t="s">
        <v>11</v>
      </c>
      <c r="W2" s="49" t="s">
        <v>8</v>
      </c>
      <c r="X2" s="49" t="s">
        <v>9</v>
      </c>
      <c r="Y2" s="49" t="s">
        <v>30</v>
      </c>
      <c r="Z2" s="49" t="s">
        <v>31</v>
      </c>
      <c r="AA2" s="50" t="s">
        <v>42</v>
      </c>
    </row>
    <row r="3" spans="1:27" s="116" customFormat="1" x14ac:dyDescent="0.35">
      <c r="A3" s="116" t="s">
        <v>41</v>
      </c>
      <c r="B3" s="117" t="s">
        <v>32</v>
      </c>
      <c r="C3" s="118">
        <v>42251</v>
      </c>
      <c r="D3" s="119"/>
      <c r="E3" s="120">
        <f t="shared" ref="E3:E19" si="0">SUM(F3+L3)</f>
        <v>0</v>
      </c>
      <c r="F3" s="121">
        <v>0</v>
      </c>
      <c r="G3" s="121">
        <f t="shared" ref="G3:G11" si="1">ROUNDDOWN(O3/(Analysis_Hr_AC*5),0)</f>
        <v>0</v>
      </c>
      <c r="H3" s="121">
        <f>G3</f>
        <v>0</v>
      </c>
      <c r="I3" s="122">
        <f t="shared" ref="I3:I11" si="2">O3/Analysis_Hr_AC</f>
        <v>0</v>
      </c>
      <c r="J3" s="121"/>
      <c r="K3" s="123"/>
      <c r="L3" s="124">
        <v>0</v>
      </c>
      <c r="M3" s="122">
        <f>R3/$D$32</f>
        <v>0</v>
      </c>
      <c r="N3" s="122">
        <f t="shared" ref="N3:N19" si="3">M3/NBAC_Pattern</f>
        <v>0</v>
      </c>
      <c r="O3" s="125">
        <f>F3*(AA3-AA3*Hr_Query-AA3*Hr_OtherAnalysis)*77%</f>
        <v>0</v>
      </c>
      <c r="P3" s="125">
        <f>(O3)*Hr_Review</f>
        <v>0</v>
      </c>
      <c r="Q3" s="125"/>
      <c r="R3" s="125">
        <f t="shared" ref="R3:R19" si="4">L3*(AA3-AA3*Hr_Query-AA3*Hr_OtherAnalysis)*77%</f>
        <v>0</v>
      </c>
      <c r="S3" s="125">
        <f t="shared" ref="S3" si="5">(R3)*Hr_Review</f>
        <v>0</v>
      </c>
      <c r="T3" s="125"/>
      <c r="U3" s="125">
        <f>X3*Hr_OtherAnalysis</f>
        <v>0</v>
      </c>
      <c r="V3" s="126">
        <f t="shared" ref="V3:V19" si="6">ROUND(X3*Hr_Query,1)</f>
        <v>0</v>
      </c>
      <c r="W3" s="122">
        <f>O3+R3+P3+S3+V3</f>
        <v>0</v>
      </c>
      <c r="X3" s="122">
        <f>E3*Y3*Z3</f>
        <v>0</v>
      </c>
      <c r="Y3" s="117">
        <v>5</v>
      </c>
      <c r="Z3" s="122">
        <v>9</v>
      </c>
      <c r="AA3" s="127">
        <f>Y3*Z3</f>
        <v>45</v>
      </c>
    </row>
    <row r="4" spans="1:27" s="116" customFormat="1" x14ac:dyDescent="0.35">
      <c r="A4" s="116" t="s">
        <v>41</v>
      </c>
      <c r="B4" s="117" t="s">
        <v>32</v>
      </c>
      <c r="C4" s="118">
        <v>42258</v>
      </c>
      <c r="D4" s="119"/>
      <c r="E4" s="120">
        <f t="shared" si="0"/>
        <v>0</v>
      </c>
      <c r="F4" s="121">
        <v>0</v>
      </c>
      <c r="G4" s="121">
        <f t="shared" si="1"/>
        <v>0</v>
      </c>
      <c r="H4" s="121">
        <f>G4+H3</f>
        <v>0</v>
      </c>
      <c r="I4" s="122">
        <f t="shared" si="2"/>
        <v>0</v>
      </c>
      <c r="J4" s="121"/>
      <c r="K4" s="123"/>
      <c r="L4" s="124">
        <v>0</v>
      </c>
      <c r="M4" s="122">
        <f t="shared" ref="M4:M19" si="7">R4/$D$32</f>
        <v>0</v>
      </c>
      <c r="N4" s="122">
        <f t="shared" si="3"/>
        <v>0</v>
      </c>
      <c r="O4" s="125">
        <f t="shared" ref="O4:O19" si="8">F4*(AA4-AA4*Hr_Query-AA4*Hr_OtherAnalysis)*77%</f>
        <v>0</v>
      </c>
      <c r="P4" s="125">
        <f t="shared" ref="P4:P19" si="9">(O4)*Hr_Review</f>
        <v>0</v>
      </c>
      <c r="Q4" s="125"/>
      <c r="R4" s="125">
        <f t="shared" si="4"/>
        <v>0</v>
      </c>
      <c r="S4" s="125">
        <f t="shared" ref="S4:S11" si="10">(R4)*Hr_Review</f>
        <v>0</v>
      </c>
      <c r="T4" s="125"/>
      <c r="U4" s="125">
        <f t="shared" ref="U4:U11" si="11">X4*Hr_OtherAnalysis</f>
        <v>0</v>
      </c>
      <c r="V4" s="126">
        <f t="shared" si="6"/>
        <v>0</v>
      </c>
      <c r="W4" s="122">
        <f t="shared" ref="W4:W19" si="12">O4+R4+P4+S4+V4</f>
        <v>0</v>
      </c>
      <c r="X4" s="122">
        <f t="shared" ref="X4:X19" si="13">E4*Y4*Z4</f>
        <v>0</v>
      </c>
      <c r="Y4" s="117">
        <v>4.5</v>
      </c>
      <c r="Z4" s="122">
        <v>9</v>
      </c>
      <c r="AA4" s="127">
        <f t="shared" ref="AA4:AA19" si="14">Y4*Z4</f>
        <v>40.5</v>
      </c>
    </row>
    <row r="5" spans="1:27" x14ac:dyDescent="0.35">
      <c r="A5" t="s">
        <v>41</v>
      </c>
      <c r="B5" s="43" t="s">
        <v>32</v>
      </c>
      <c r="C5" s="44">
        <v>42265</v>
      </c>
      <c r="D5" s="51"/>
      <c r="E5" s="52">
        <f t="shared" si="0"/>
        <v>2</v>
      </c>
      <c r="F5" s="53">
        <v>2</v>
      </c>
      <c r="G5" s="54">
        <f t="shared" si="1"/>
        <v>21</v>
      </c>
      <c r="H5" s="54">
        <f t="shared" ref="H5:H19" si="15">G5+H4</f>
        <v>21</v>
      </c>
      <c r="I5" s="55">
        <f t="shared" si="2"/>
        <v>108.108</v>
      </c>
      <c r="J5" s="56"/>
      <c r="K5" s="57"/>
      <c r="L5" s="58">
        <v>0</v>
      </c>
      <c r="M5" s="55">
        <f t="shared" si="7"/>
        <v>0</v>
      </c>
      <c r="N5" s="59">
        <f t="shared" si="3"/>
        <v>0</v>
      </c>
      <c r="O5" s="60">
        <f t="shared" si="8"/>
        <v>36.036000000000001</v>
      </c>
      <c r="P5" s="60">
        <f t="shared" si="9"/>
        <v>10.8108</v>
      </c>
      <c r="Q5" s="60">
        <f>O5+P5</f>
        <v>46.846800000000002</v>
      </c>
      <c r="R5" s="60">
        <f t="shared" si="4"/>
        <v>0</v>
      </c>
      <c r="S5" s="60">
        <f t="shared" si="10"/>
        <v>0</v>
      </c>
      <c r="T5" s="60">
        <f>R5+S5</f>
        <v>0</v>
      </c>
      <c r="U5" s="60">
        <f t="shared" si="11"/>
        <v>7.2</v>
      </c>
      <c r="V5" s="61">
        <f t="shared" si="6"/>
        <v>18</v>
      </c>
      <c r="W5" s="62">
        <f t="shared" si="12"/>
        <v>64.846800000000002</v>
      </c>
      <c r="X5" s="62">
        <f t="shared" si="13"/>
        <v>72</v>
      </c>
      <c r="Y5" s="43">
        <v>4</v>
      </c>
      <c r="Z5" s="62">
        <v>9</v>
      </c>
      <c r="AA5" s="63">
        <f t="shared" si="14"/>
        <v>36</v>
      </c>
    </row>
    <row r="6" spans="1:27" x14ac:dyDescent="0.35">
      <c r="A6" t="s">
        <v>41</v>
      </c>
      <c r="B6" s="43" t="s">
        <v>33</v>
      </c>
      <c r="C6" s="44">
        <v>42272</v>
      </c>
      <c r="D6" s="51"/>
      <c r="E6" s="52">
        <f t="shared" si="0"/>
        <v>2</v>
      </c>
      <c r="F6" s="53">
        <v>2</v>
      </c>
      <c r="G6" s="54">
        <f t="shared" si="1"/>
        <v>27</v>
      </c>
      <c r="H6" s="54">
        <f t="shared" si="15"/>
        <v>48</v>
      </c>
      <c r="I6" s="55">
        <f t="shared" si="2"/>
        <v>135.13500000000002</v>
      </c>
      <c r="J6" s="56"/>
      <c r="K6" s="57"/>
      <c r="L6" s="58">
        <v>0</v>
      </c>
      <c r="M6" s="55">
        <f t="shared" si="7"/>
        <v>0</v>
      </c>
      <c r="N6" s="59">
        <f t="shared" si="3"/>
        <v>0</v>
      </c>
      <c r="O6" s="60">
        <f t="shared" si="8"/>
        <v>45.045000000000002</v>
      </c>
      <c r="P6" s="60">
        <f t="shared" si="9"/>
        <v>13.513500000000001</v>
      </c>
      <c r="Q6" s="60">
        <f t="shared" ref="Q6:Q19" si="16">O6+P6</f>
        <v>58.558500000000002</v>
      </c>
      <c r="R6" s="60">
        <f t="shared" si="4"/>
        <v>0</v>
      </c>
      <c r="S6" s="60">
        <f t="shared" si="10"/>
        <v>0</v>
      </c>
      <c r="T6" s="60">
        <f t="shared" ref="T6:T19" si="17">R6+S6</f>
        <v>0</v>
      </c>
      <c r="U6" s="60">
        <f t="shared" si="11"/>
        <v>9</v>
      </c>
      <c r="V6" s="61">
        <f t="shared" si="6"/>
        <v>22.5</v>
      </c>
      <c r="W6" s="62">
        <f t="shared" si="12"/>
        <v>81.058500000000009</v>
      </c>
      <c r="X6" s="62">
        <f t="shared" si="13"/>
        <v>90</v>
      </c>
      <c r="Y6" s="43">
        <v>5</v>
      </c>
      <c r="Z6" s="62">
        <v>9</v>
      </c>
      <c r="AA6" s="63">
        <f t="shared" si="14"/>
        <v>45</v>
      </c>
    </row>
    <row r="7" spans="1:27" x14ac:dyDescent="0.35">
      <c r="A7" t="s">
        <v>41</v>
      </c>
      <c r="B7" s="43" t="s">
        <v>33</v>
      </c>
      <c r="C7" s="44">
        <v>42279</v>
      </c>
      <c r="D7" s="51"/>
      <c r="E7" s="52">
        <f t="shared" si="0"/>
        <v>2</v>
      </c>
      <c r="F7" s="53">
        <v>0</v>
      </c>
      <c r="G7" s="54">
        <f t="shared" si="1"/>
        <v>0</v>
      </c>
      <c r="H7" s="54">
        <f t="shared" si="15"/>
        <v>48</v>
      </c>
      <c r="I7" s="55">
        <f t="shared" si="2"/>
        <v>0</v>
      </c>
      <c r="J7" s="56"/>
      <c r="K7" s="57"/>
      <c r="L7" s="58">
        <v>2</v>
      </c>
      <c r="M7" s="55">
        <f t="shared" si="7"/>
        <v>18.018000000000001</v>
      </c>
      <c r="N7" s="59">
        <f t="shared" si="3"/>
        <v>3.6036000000000001</v>
      </c>
      <c r="O7" s="60">
        <f t="shared" si="8"/>
        <v>0</v>
      </c>
      <c r="P7" s="60">
        <f t="shared" si="9"/>
        <v>0</v>
      </c>
      <c r="Q7" s="60">
        <f t="shared" si="16"/>
        <v>0</v>
      </c>
      <c r="R7" s="60">
        <f t="shared" si="4"/>
        <v>36.036000000000001</v>
      </c>
      <c r="S7" s="60">
        <f t="shared" si="10"/>
        <v>10.8108</v>
      </c>
      <c r="T7" s="60">
        <f t="shared" si="17"/>
        <v>46.846800000000002</v>
      </c>
      <c r="U7" s="60">
        <f t="shared" si="11"/>
        <v>7.2</v>
      </c>
      <c r="V7" s="61">
        <f t="shared" si="6"/>
        <v>18</v>
      </c>
      <c r="W7" s="62">
        <f t="shared" si="12"/>
        <v>64.846800000000002</v>
      </c>
      <c r="X7" s="62">
        <f t="shared" si="13"/>
        <v>72</v>
      </c>
      <c r="Y7" s="43">
        <v>4</v>
      </c>
      <c r="Z7" s="62">
        <v>9</v>
      </c>
      <c r="AA7" s="63">
        <f t="shared" si="14"/>
        <v>36</v>
      </c>
    </row>
    <row r="8" spans="1:27" x14ac:dyDescent="0.35">
      <c r="A8" t="s">
        <v>41</v>
      </c>
      <c r="B8" s="43" t="s">
        <v>33</v>
      </c>
      <c r="C8" s="44">
        <v>42286</v>
      </c>
      <c r="D8" s="51"/>
      <c r="E8" s="52">
        <f t="shared" si="0"/>
        <v>2</v>
      </c>
      <c r="F8" s="53">
        <v>0</v>
      </c>
      <c r="G8" s="54">
        <f t="shared" si="1"/>
        <v>0</v>
      </c>
      <c r="H8" s="54">
        <f t="shared" si="15"/>
        <v>48</v>
      </c>
      <c r="I8" s="55">
        <f t="shared" si="2"/>
        <v>0</v>
      </c>
      <c r="J8" s="56"/>
      <c r="K8" s="57"/>
      <c r="L8" s="58">
        <v>2</v>
      </c>
      <c r="M8" s="55">
        <f t="shared" si="7"/>
        <v>22.522500000000001</v>
      </c>
      <c r="N8" s="59">
        <f t="shared" si="3"/>
        <v>4.5045000000000002</v>
      </c>
      <c r="O8" s="60">
        <f t="shared" si="8"/>
        <v>0</v>
      </c>
      <c r="P8" s="60">
        <f t="shared" si="9"/>
        <v>0</v>
      </c>
      <c r="Q8" s="60">
        <f t="shared" si="16"/>
        <v>0</v>
      </c>
      <c r="R8" s="60">
        <f t="shared" si="4"/>
        <v>45.045000000000002</v>
      </c>
      <c r="S8" s="60">
        <f t="shared" si="10"/>
        <v>13.513500000000001</v>
      </c>
      <c r="T8" s="60">
        <f t="shared" si="17"/>
        <v>58.558500000000002</v>
      </c>
      <c r="U8" s="60">
        <f t="shared" si="11"/>
        <v>9</v>
      </c>
      <c r="V8" s="61">
        <f t="shared" si="6"/>
        <v>22.5</v>
      </c>
      <c r="W8" s="62">
        <f t="shared" si="12"/>
        <v>81.058500000000009</v>
      </c>
      <c r="X8" s="62">
        <f t="shared" si="13"/>
        <v>90</v>
      </c>
      <c r="Y8" s="43">
        <v>5</v>
      </c>
      <c r="Z8" s="62">
        <v>9</v>
      </c>
      <c r="AA8" s="63">
        <f t="shared" si="14"/>
        <v>45</v>
      </c>
    </row>
    <row r="9" spans="1:27" x14ac:dyDescent="0.35">
      <c r="A9" t="s">
        <v>41</v>
      </c>
      <c r="B9" s="43"/>
      <c r="C9" s="44">
        <v>42293</v>
      </c>
      <c r="D9" s="64"/>
      <c r="E9" s="52">
        <f t="shared" si="0"/>
        <v>2</v>
      </c>
      <c r="F9" s="53">
        <v>0</v>
      </c>
      <c r="G9" s="54">
        <f t="shared" si="1"/>
        <v>0</v>
      </c>
      <c r="H9" s="54">
        <f t="shared" si="15"/>
        <v>48</v>
      </c>
      <c r="I9" s="55">
        <f t="shared" si="2"/>
        <v>0</v>
      </c>
      <c r="J9" s="56"/>
      <c r="K9" s="57"/>
      <c r="L9" s="58">
        <v>2</v>
      </c>
      <c r="M9" s="55">
        <f t="shared" si="7"/>
        <v>22.522500000000001</v>
      </c>
      <c r="N9" s="59">
        <f t="shared" si="3"/>
        <v>4.5045000000000002</v>
      </c>
      <c r="O9" s="60">
        <f t="shared" si="8"/>
        <v>0</v>
      </c>
      <c r="P9" s="60">
        <f t="shared" si="9"/>
        <v>0</v>
      </c>
      <c r="Q9" s="60">
        <f t="shared" si="16"/>
        <v>0</v>
      </c>
      <c r="R9" s="60">
        <f>L9*(AA9-AA9*Hr_Query-AA9*Hr_OtherAnalysis)*77%</f>
        <v>45.045000000000002</v>
      </c>
      <c r="S9" s="60">
        <f t="shared" si="10"/>
        <v>13.513500000000001</v>
      </c>
      <c r="T9" s="60">
        <f t="shared" si="17"/>
        <v>58.558500000000002</v>
      </c>
      <c r="U9" s="60">
        <f t="shared" si="11"/>
        <v>9</v>
      </c>
      <c r="V9" s="61">
        <f t="shared" si="6"/>
        <v>22.5</v>
      </c>
      <c r="W9" s="62">
        <f t="shared" si="12"/>
        <v>81.058500000000009</v>
      </c>
      <c r="X9" s="62">
        <f t="shared" si="13"/>
        <v>90</v>
      </c>
      <c r="Y9" s="43">
        <v>5</v>
      </c>
      <c r="Z9" s="62">
        <v>9</v>
      </c>
      <c r="AA9" s="63">
        <f t="shared" si="14"/>
        <v>45</v>
      </c>
    </row>
    <row r="10" spans="1:27" x14ac:dyDescent="0.35">
      <c r="A10" t="s">
        <v>41</v>
      </c>
      <c r="B10" s="43"/>
      <c r="C10" s="44">
        <v>42300</v>
      </c>
      <c r="D10" s="51"/>
      <c r="E10" s="52">
        <f t="shared" si="0"/>
        <v>2</v>
      </c>
      <c r="F10" s="53">
        <v>0</v>
      </c>
      <c r="G10" s="54">
        <f t="shared" si="1"/>
        <v>0</v>
      </c>
      <c r="H10" s="54">
        <f t="shared" si="15"/>
        <v>48</v>
      </c>
      <c r="I10" s="55">
        <f t="shared" si="2"/>
        <v>0</v>
      </c>
      <c r="J10" s="56"/>
      <c r="K10" s="57"/>
      <c r="L10" s="58">
        <v>2</v>
      </c>
      <c r="M10" s="55">
        <f t="shared" si="7"/>
        <v>18.018000000000001</v>
      </c>
      <c r="N10" s="59">
        <f t="shared" si="3"/>
        <v>3.6036000000000001</v>
      </c>
      <c r="O10" s="60">
        <f t="shared" si="8"/>
        <v>0</v>
      </c>
      <c r="P10" s="60">
        <f t="shared" si="9"/>
        <v>0</v>
      </c>
      <c r="Q10" s="60">
        <f t="shared" si="16"/>
        <v>0</v>
      </c>
      <c r="R10" s="60">
        <f t="shared" si="4"/>
        <v>36.036000000000001</v>
      </c>
      <c r="S10" s="60">
        <f t="shared" si="10"/>
        <v>10.8108</v>
      </c>
      <c r="T10" s="60">
        <f t="shared" si="17"/>
        <v>46.846800000000002</v>
      </c>
      <c r="U10" s="60">
        <f t="shared" si="11"/>
        <v>7.2</v>
      </c>
      <c r="V10" s="61">
        <f t="shared" si="6"/>
        <v>18</v>
      </c>
      <c r="W10" s="62">
        <f t="shared" si="12"/>
        <v>64.846800000000002</v>
      </c>
      <c r="X10" s="62">
        <f t="shared" si="13"/>
        <v>72</v>
      </c>
      <c r="Y10" s="43">
        <v>4</v>
      </c>
      <c r="Z10" s="62">
        <v>9</v>
      </c>
      <c r="AA10" s="63">
        <f t="shared" si="14"/>
        <v>36</v>
      </c>
    </row>
    <row r="11" spans="1:27" x14ac:dyDescent="0.35">
      <c r="A11" t="s">
        <v>41</v>
      </c>
      <c r="B11" s="43" t="s">
        <v>34</v>
      </c>
      <c r="C11" s="44">
        <v>42307</v>
      </c>
      <c r="D11" s="51"/>
      <c r="E11" s="52">
        <f t="shared" si="0"/>
        <v>4</v>
      </c>
      <c r="F11" s="53">
        <v>4</v>
      </c>
      <c r="G11" s="54">
        <f t="shared" si="1"/>
        <v>54</v>
      </c>
      <c r="H11" s="54">
        <f t="shared" si="15"/>
        <v>102</v>
      </c>
      <c r="I11" s="55">
        <f t="shared" si="2"/>
        <v>270.27000000000004</v>
      </c>
      <c r="J11" s="56"/>
      <c r="K11" s="57"/>
      <c r="L11" s="58">
        <v>0</v>
      </c>
      <c r="M11" s="55">
        <f t="shared" si="7"/>
        <v>0</v>
      </c>
      <c r="N11" s="59">
        <f t="shared" si="3"/>
        <v>0</v>
      </c>
      <c r="O11" s="60">
        <f t="shared" si="8"/>
        <v>90.09</v>
      </c>
      <c r="P11" s="60">
        <f t="shared" si="9"/>
        <v>27.027000000000001</v>
      </c>
      <c r="Q11" s="60">
        <f t="shared" si="16"/>
        <v>117.117</v>
      </c>
      <c r="R11" s="60">
        <f t="shared" si="4"/>
        <v>0</v>
      </c>
      <c r="S11" s="60">
        <f t="shared" si="10"/>
        <v>0</v>
      </c>
      <c r="T11" s="60">
        <f t="shared" si="17"/>
        <v>0</v>
      </c>
      <c r="U11" s="60">
        <f t="shared" si="11"/>
        <v>18</v>
      </c>
      <c r="V11" s="61">
        <f t="shared" si="6"/>
        <v>45</v>
      </c>
      <c r="W11" s="62">
        <f t="shared" si="12"/>
        <v>162.11700000000002</v>
      </c>
      <c r="X11" s="62">
        <f t="shared" si="13"/>
        <v>180</v>
      </c>
      <c r="Y11" s="43">
        <v>5</v>
      </c>
      <c r="Z11" s="62">
        <v>9</v>
      </c>
      <c r="AA11" s="63">
        <f t="shared" si="14"/>
        <v>45</v>
      </c>
    </row>
    <row r="12" spans="1:27" x14ac:dyDescent="0.35">
      <c r="A12" t="s">
        <v>41</v>
      </c>
      <c r="B12" s="43" t="s">
        <v>34</v>
      </c>
      <c r="C12" s="44">
        <v>42314</v>
      </c>
      <c r="D12" s="65"/>
      <c r="E12" s="52">
        <f t="shared" si="0"/>
        <v>4</v>
      </c>
      <c r="F12" s="53">
        <v>4</v>
      </c>
      <c r="G12" s="54">
        <f t="shared" ref="G12:G19" si="18">ROUNDDOWN(O12/(Analysis_Hr_AC*5),0)</f>
        <v>54</v>
      </c>
      <c r="H12" s="54">
        <f t="shared" si="15"/>
        <v>156</v>
      </c>
      <c r="I12" s="55">
        <f t="shared" ref="I12:I19" si="19">O12/Analysis_Hr_AC</f>
        <v>270.27000000000004</v>
      </c>
      <c r="J12" s="56"/>
      <c r="K12" s="57"/>
      <c r="L12" s="58">
        <v>0</v>
      </c>
      <c r="M12" s="55">
        <f t="shared" si="7"/>
        <v>0</v>
      </c>
      <c r="N12" s="59">
        <f t="shared" si="3"/>
        <v>0</v>
      </c>
      <c r="O12" s="60">
        <f t="shared" si="8"/>
        <v>90.09</v>
      </c>
      <c r="P12" s="60">
        <f t="shared" si="9"/>
        <v>27.027000000000001</v>
      </c>
      <c r="Q12" s="60">
        <f t="shared" si="16"/>
        <v>117.117</v>
      </c>
      <c r="R12" s="60">
        <f t="shared" si="4"/>
        <v>0</v>
      </c>
      <c r="S12" s="60">
        <f t="shared" ref="S12:S19" si="20">(R12)*Hr_Review</f>
        <v>0</v>
      </c>
      <c r="T12" s="60">
        <f t="shared" si="17"/>
        <v>0</v>
      </c>
      <c r="U12" s="60">
        <f t="shared" ref="U12:U19" si="21">X12*Hr_OtherAnalysis</f>
        <v>18</v>
      </c>
      <c r="V12" s="61">
        <f t="shared" si="6"/>
        <v>45</v>
      </c>
      <c r="W12" s="62">
        <f t="shared" si="12"/>
        <v>162.11700000000002</v>
      </c>
      <c r="X12" s="62">
        <f t="shared" si="13"/>
        <v>180</v>
      </c>
      <c r="Y12" s="43">
        <v>5</v>
      </c>
      <c r="Z12" s="62">
        <v>9</v>
      </c>
      <c r="AA12" s="63">
        <f t="shared" si="14"/>
        <v>45</v>
      </c>
    </row>
    <row r="13" spans="1:27" x14ac:dyDescent="0.35">
      <c r="A13" t="s">
        <v>41</v>
      </c>
      <c r="B13" s="43" t="s">
        <v>34</v>
      </c>
      <c r="C13" s="44">
        <v>42321</v>
      </c>
      <c r="D13" s="65"/>
      <c r="E13" s="52">
        <f t="shared" si="0"/>
        <v>4</v>
      </c>
      <c r="F13" s="53">
        <v>4</v>
      </c>
      <c r="G13" s="54">
        <f t="shared" si="18"/>
        <v>43</v>
      </c>
      <c r="H13" s="54">
        <f t="shared" si="15"/>
        <v>199</v>
      </c>
      <c r="I13" s="55">
        <f t="shared" si="19"/>
        <v>216.21600000000001</v>
      </c>
      <c r="J13" s="56"/>
      <c r="K13" s="57"/>
      <c r="L13" s="58">
        <v>0</v>
      </c>
      <c r="M13" s="55">
        <f t="shared" si="7"/>
        <v>0</v>
      </c>
      <c r="N13" s="59">
        <f t="shared" si="3"/>
        <v>0</v>
      </c>
      <c r="O13" s="60">
        <f t="shared" si="8"/>
        <v>72.072000000000003</v>
      </c>
      <c r="P13" s="60">
        <f t="shared" si="9"/>
        <v>21.621600000000001</v>
      </c>
      <c r="Q13" s="60">
        <f t="shared" si="16"/>
        <v>93.693600000000004</v>
      </c>
      <c r="R13" s="60">
        <f t="shared" si="4"/>
        <v>0</v>
      </c>
      <c r="S13" s="60">
        <f t="shared" si="20"/>
        <v>0</v>
      </c>
      <c r="T13" s="60">
        <f t="shared" si="17"/>
        <v>0</v>
      </c>
      <c r="U13" s="60">
        <f t="shared" si="21"/>
        <v>14.4</v>
      </c>
      <c r="V13" s="61">
        <f t="shared" si="6"/>
        <v>36</v>
      </c>
      <c r="W13" s="62">
        <f t="shared" si="12"/>
        <v>129.6936</v>
      </c>
      <c r="X13" s="62">
        <f t="shared" si="13"/>
        <v>144</v>
      </c>
      <c r="Y13" s="43">
        <v>4</v>
      </c>
      <c r="Z13" s="62">
        <v>9</v>
      </c>
      <c r="AA13" s="63">
        <f t="shared" si="14"/>
        <v>36</v>
      </c>
    </row>
    <row r="14" spans="1:27" x14ac:dyDescent="0.35">
      <c r="A14" t="s">
        <v>41</v>
      </c>
      <c r="B14" s="43" t="s">
        <v>35</v>
      </c>
      <c r="C14" s="44">
        <v>42328</v>
      </c>
      <c r="D14" s="64"/>
      <c r="E14" s="52">
        <f t="shared" si="0"/>
        <v>4</v>
      </c>
      <c r="F14" s="53">
        <v>0</v>
      </c>
      <c r="G14" s="54">
        <f t="shared" si="18"/>
        <v>0</v>
      </c>
      <c r="H14" s="54">
        <f t="shared" si="15"/>
        <v>199</v>
      </c>
      <c r="I14" s="55">
        <f t="shared" si="19"/>
        <v>0</v>
      </c>
      <c r="J14" s="56"/>
      <c r="K14" s="57"/>
      <c r="L14" s="58">
        <v>4</v>
      </c>
      <c r="M14" s="55">
        <f t="shared" si="7"/>
        <v>45.045000000000002</v>
      </c>
      <c r="N14" s="59">
        <f t="shared" si="3"/>
        <v>9.0090000000000003</v>
      </c>
      <c r="O14" s="60">
        <f t="shared" si="8"/>
        <v>0</v>
      </c>
      <c r="P14" s="60">
        <f t="shared" si="9"/>
        <v>0</v>
      </c>
      <c r="Q14" s="60">
        <f t="shared" si="16"/>
        <v>0</v>
      </c>
      <c r="R14" s="60">
        <f t="shared" si="4"/>
        <v>90.09</v>
      </c>
      <c r="S14" s="60">
        <f t="shared" si="20"/>
        <v>27.027000000000001</v>
      </c>
      <c r="T14" s="60">
        <f t="shared" si="17"/>
        <v>117.117</v>
      </c>
      <c r="U14" s="60">
        <f t="shared" si="21"/>
        <v>18</v>
      </c>
      <c r="V14" s="61">
        <f t="shared" si="6"/>
        <v>45</v>
      </c>
      <c r="W14" s="62">
        <f t="shared" si="12"/>
        <v>162.11700000000002</v>
      </c>
      <c r="X14" s="62">
        <f t="shared" si="13"/>
        <v>180</v>
      </c>
      <c r="Y14" s="43">
        <v>5</v>
      </c>
      <c r="Z14" s="62">
        <v>9</v>
      </c>
      <c r="AA14" s="63">
        <f t="shared" si="14"/>
        <v>45</v>
      </c>
    </row>
    <row r="15" spans="1:27" x14ac:dyDescent="0.35">
      <c r="A15" t="s">
        <v>41</v>
      </c>
      <c r="B15" s="43" t="s">
        <v>35</v>
      </c>
      <c r="C15" s="44">
        <v>42335</v>
      </c>
      <c r="D15" s="51"/>
      <c r="E15" s="52">
        <f t="shared" si="0"/>
        <v>4</v>
      </c>
      <c r="F15" s="53">
        <v>0</v>
      </c>
      <c r="G15" s="54">
        <f t="shared" si="18"/>
        <v>0</v>
      </c>
      <c r="H15" s="54">
        <f t="shared" si="15"/>
        <v>199</v>
      </c>
      <c r="I15" s="55">
        <f t="shared" si="19"/>
        <v>0</v>
      </c>
      <c r="J15" s="56"/>
      <c r="K15" s="57"/>
      <c r="L15" s="58">
        <v>4</v>
      </c>
      <c r="M15" s="55">
        <f t="shared" si="7"/>
        <v>45.045000000000002</v>
      </c>
      <c r="N15" s="59">
        <f t="shared" si="3"/>
        <v>9.0090000000000003</v>
      </c>
      <c r="O15" s="60">
        <f t="shared" si="8"/>
        <v>0</v>
      </c>
      <c r="P15" s="60">
        <f t="shared" si="9"/>
        <v>0</v>
      </c>
      <c r="Q15" s="60">
        <f t="shared" si="16"/>
        <v>0</v>
      </c>
      <c r="R15" s="60">
        <f t="shared" si="4"/>
        <v>90.09</v>
      </c>
      <c r="S15" s="60">
        <f t="shared" si="20"/>
        <v>27.027000000000001</v>
      </c>
      <c r="T15" s="60">
        <f t="shared" si="17"/>
        <v>117.117</v>
      </c>
      <c r="U15" s="60">
        <f t="shared" si="21"/>
        <v>18</v>
      </c>
      <c r="V15" s="61">
        <f t="shared" si="6"/>
        <v>45</v>
      </c>
      <c r="W15" s="62">
        <f t="shared" si="12"/>
        <v>162.11700000000002</v>
      </c>
      <c r="X15" s="62">
        <f t="shared" si="13"/>
        <v>180</v>
      </c>
      <c r="Y15" s="43">
        <v>5</v>
      </c>
      <c r="Z15" s="62">
        <v>9</v>
      </c>
      <c r="AA15" s="63">
        <f t="shared" si="14"/>
        <v>45</v>
      </c>
    </row>
    <row r="16" spans="1:27" x14ac:dyDescent="0.35">
      <c r="A16" t="s">
        <v>41</v>
      </c>
      <c r="B16" s="43" t="s">
        <v>35</v>
      </c>
      <c r="C16" s="44">
        <v>42342</v>
      </c>
      <c r="D16" s="51"/>
      <c r="E16" s="52">
        <f t="shared" si="0"/>
        <v>4</v>
      </c>
      <c r="F16" s="53">
        <v>0</v>
      </c>
      <c r="G16" s="54">
        <f t="shared" si="18"/>
        <v>0</v>
      </c>
      <c r="H16" s="54">
        <f t="shared" si="15"/>
        <v>199</v>
      </c>
      <c r="I16" s="55">
        <f t="shared" si="19"/>
        <v>0</v>
      </c>
      <c r="J16" s="56"/>
      <c r="K16" s="57"/>
      <c r="L16" s="58">
        <v>4</v>
      </c>
      <c r="M16" s="55">
        <f t="shared" si="7"/>
        <v>36.036000000000001</v>
      </c>
      <c r="N16" s="59">
        <f t="shared" si="3"/>
        <v>7.2072000000000003</v>
      </c>
      <c r="O16" s="60">
        <f t="shared" si="8"/>
        <v>0</v>
      </c>
      <c r="P16" s="60">
        <f t="shared" si="9"/>
        <v>0</v>
      </c>
      <c r="Q16" s="60">
        <f t="shared" si="16"/>
        <v>0</v>
      </c>
      <c r="R16" s="60">
        <f t="shared" si="4"/>
        <v>72.072000000000003</v>
      </c>
      <c r="S16" s="60">
        <f t="shared" si="20"/>
        <v>21.621600000000001</v>
      </c>
      <c r="T16" s="60">
        <f t="shared" si="17"/>
        <v>93.693600000000004</v>
      </c>
      <c r="U16" s="60">
        <f t="shared" si="21"/>
        <v>14.4</v>
      </c>
      <c r="V16" s="61">
        <f t="shared" si="6"/>
        <v>36</v>
      </c>
      <c r="W16" s="62">
        <f t="shared" si="12"/>
        <v>129.6936</v>
      </c>
      <c r="X16" s="62">
        <f t="shared" si="13"/>
        <v>144</v>
      </c>
      <c r="Y16" s="43">
        <v>4</v>
      </c>
      <c r="Z16" s="62">
        <v>9</v>
      </c>
      <c r="AA16" s="63">
        <f t="shared" si="14"/>
        <v>36</v>
      </c>
    </row>
    <row r="17" spans="1:27" x14ac:dyDescent="0.35">
      <c r="A17" t="s">
        <v>41</v>
      </c>
      <c r="B17" s="43" t="s">
        <v>37</v>
      </c>
      <c r="C17" s="44">
        <v>42349</v>
      </c>
      <c r="D17" s="65"/>
      <c r="E17" s="52">
        <f t="shared" si="0"/>
        <v>4</v>
      </c>
      <c r="F17" s="53">
        <v>0</v>
      </c>
      <c r="G17" s="54">
        <f t="shared" si="18"/>
        <v>0</v>
      </c>
      <c r="H17" s="54">
        <f t="shared" si="15"/>
        <v>199</v>
      </c>
      <c r="I17" s="55">
        <f t="shared" si="19"/>
        <v>0</v>
      </c>
      <c r="J17" s="56"/>
      <c r="K17" s="57"/>
      <c r="L17" s="58">
        <v>4</v>
      </c>
      <c r="M17" s="55">
        <f t="shared" si="7"/>
        <v>45.045000000000002</v>
      </c>
      <c r="N17" s="59">
        <f t="shared" si="3"/>
        <v>9.0090000000000003</v>
      </c>
      <c r="O17" s="60">
        <f t="shared" si="8"/>
        <v>0</v>
      </c>
      <c r="P17" s="60">
        <f t="shared" si="9"/>
        <v>0</v>
      </c>
      <c r="Q17" s="60">
        <f t="shared" si="16"/>
        <v>0</v>
      </c>
      <c r="R17" s="60">
        <f t="shared" si="4"/>
        <v>90.09</v>
      </c>
      <c r="S17" s="60">
        <f t="shared" si="20"/>
        <v>27.027000000000001</v>
      </c>
      <c r="T17" s="60">
        <f t="shared" si="17"/>
        <v>117.117</v>
      </c>
      <c r="U17" s="60">
        <f t="shared" si="21"/>
        <v>18</v>
      </c>
      <c r="V17" s="61">
        <f t="shared" si="6"/>
        <v>45</v>
      </c>
      <c r="W17" s="62">
        <f t="shared" si="12"/>
        <v>162.11700000000002</v>
      </c>
      <c r="X17" s="62">
        <f t="shared" si="13"/>
        <v>180</v>
      </c>
      <c r="Y17" s="43">
        <v>5</v>
      </c>
      <c r="Z17" s="62">
        <v>9</v>
      </c>
      <c r="AA17" s="63">
        <f t="shared" si="14"/>
        <v>45</v>
      </c>
    </row>
    <row r="18" spans="1:27" x14ac:dyDescent="0.35">
      <c r="A18" t="s">
        <v>41</v>
      </c>
      <c r="B18" s="43" t="s">
        <v>37</v>
      </c>
      <c r="C18" s="44">
        <v>42356</v>
      </c>
      <c r="D18" s="65"/>
      <c r="E18" s="52">
        <f t="shared" si="0"/>
        <v>4</v>
      </c>
      <c r="F18" s="53">
        <v>0</v>
      </c>
      <c r="G18" s="54">
        <f t="shared" si="18"/>
        <v>0</v>
      </c>
      <c r="H18" s="54">
        <f t="shared" si="15"/>
        <v>199</v>
      </c>
      <c r="I18" s="55">
        <f t="shared" si="19"/>
        <v>0</v>
      </c>
      <c r="J18" s="56"/>
      <c r="K18" s="57"/>
      <c r="L18" s="58">
        <v>4</v>
      </c>
      <c r="M18" s="55">
        <f t="shared" si="7"/>
        <v>45.045000000000002</v>
      </c>
      <c r="N18" s="59">
        <f t="shared" si="3"/>
        <v>9.0090000000000003</v>
      </c>
      <c r="O18" s="60">
        <f t="shared" si="8"/>
        <v>0</v>
      </c>
      <c r="P18" s="60">
        <f t="shared" si="9"/>
        <v>0</v>
      </c>
      <c r="Q18" s="60">
        <f t="shared" si="16"/>
        <v>0</v>
      </c>
      <c r="R18" s="60">
        <f t="shared" si="4"/>
        <v>90.09</v>
      </c>
      <c r="S18" s="60">
        <f t="shared" si="20"/>
        <v>27.027000000000001</v>
      </c>
      <c r="T18" s="60">
        <f t="shared" si="17"/>
        <v>117.117</v>
      </c>
      <c r="U18" s="60">
        <f t="shared" si="21"/>
        <v>18</v>
      </c>
      <c r="V18" s="61">
        <f t="shared" si="6"/>
        <v>45</v>
      </c>
      <c r="W18" s="62">
        <f t="shared" si="12"/>
        <v>162.11700000000002</v>
      </c>
      <c r="X18" s="62">
        <f t="shared" si="13"/>
        <v>180</v>
      </c>
      <c r="Y18" s="43">
        <v>5</v>
      </c>
      <c r="Z18" s="62">
        <v>9</v>
      </c>
      <c r="AA18" s="63">
        <f t="shared" si="14"/>
        <v>45</v>
      </c>
    </row>
    <row r="19" spans="1:27" x14ac:dyDescent="0.35">
      <c r="A19" t="s">
        <v>41</v>
      </c>
      <c r="B19" s="43" t="s">
        <v>37</v>
      </c>
      <c r="C19" s="44">
        <v>42363</v>
      </c>
      <c r="D19" s="65"/>
      <c r="E19" s="52">
        <f t="shared" si="0"/>
        <v>2</v>
      </c>
      <c r="F19" s="53">
        <v>0</v>
      </c>
      <c r="G19" s="54">
        <f t="shared" si="18"/>
        <v>0</v>
      </c>
      <c r="H19" s="54">
        <f t="shared" si="15"/>
        <v>199</v>
      </c>
      <c r="I19" s="55">
        <f t="shared" si="19"/>
        <v>0</v>
      </c>
      <c r="J19" s="56"/>
      <c r="K19" s="57"/>
      <c r="L19" s="58">
        <v>2</v>
      </c>
      <c r="M19" s="55">
        <f t="shared" si="7"/>
        <v>18.018000000000001</v>
      </c>
      <c r="N19" s="59">
        <f t="shared" si="3"/>
        <v>3.6036000000000001</v>
      </c>
      <c r="O19" s="60">
        <f t="shared" si="8"/>
        <v>0</v>
      </c>
      <c r="P19" s="60">
        <f t="shared" si="9"/>
        <v>0</v>
      </c>
      <c r="Q19" s="60">
        <f t="shared" si="16"/>
        <v>0</v>
      </c>
      <c r="R19" s="60">
        <f t="shared" si="4"/>
        <v>36.036000000000001</v>
      </c>
      <c r="S19" s="60">
        <f t="shared" si="20"/>
        <v>10.8108</v>
      </c>
      <c r="T19" s="60">
        <f t="shared" si="17"/>
        <v>46.846800000000002</v>
      </c>
      <c r="U19" s="60">
        <f t="shared" si="21"/>
        <v>7.2</v>
      </c>
      <c r="V19" s="61">
        <f t="shared" si="6"/>
        <v>18</v>
      </c>
      <c r="W19" s="62">
        <f t="shared" si="12"/>
        <v>64.846800000000002</v>
      </c>
      <c r="X19" s="62">
        <f t="shared" si="13"/>
        <v>72</v>
      </c>
      <c r="Y19" s="43">
        <v>4</v>
      </c>
      <c r="Z19" s="62">
        <v>9</v>
      </c>
      <c r="AA19" s="63">
        <f t="shared" si="14"/>
        <v>36</v>
      </c>
    </row>
    <row r="20" spans="1:27" x14ac:dyDescent="0.35">
      <c r="B20" s="21" t="s">
        <v>38</v>
      </c>
      <c r="Q20" s="60"/>
      <c r="T20" s="60"/>
    </row>
    <row r="21" spans="1:27" x14ac:dyDescent="0.35">
      <c r="B21" s="26"/>
    </row>
    <row r="22" spans="1:27" x14ac:dyDescent="0.35">
      <c r="A22" s="23" t="s">
        <v>10</v>
      </c>
      <c r="B22" s="28"/>
      <c r="C22" s="28"/>
      <c r="D22" s="22"/>
      <c r="F22" s="10" t="s">
        <v>189</v>
      </c>
      <c r="L22" s="10">
        <v>90</v>
      </c>
    </row>
    <row r="23" spans="1:27" x14ac:dyDescent="0.35">
      <c r="A23" s="25"/>
      <c r="B23" s="115" t="s">
        <v>185</v>
      </c>
      <c r="C23" s="28"/>
      <c r="D23" s="22"/>
      <c r="F23" s="10" t="s">
        <v>190</v>
      </c>
      <c r="L23" s="10">
        <v>203</v>
      </c>
    </row>
    <row r="24" spans="1:27" x14ac:dyDescent="0.35">
      <c r="A24" s="25"/>
      <c r="B24" s="22" t="s">
        <v>186</v>
      </c>
      <c r="C24" s="28"/>
      <c r="D24" s="22"/>
    </row>
    <row r="25" spans="1:27" x14ac:dyDescent="0.35">
      <c r="A25" s="25"/>
      <c r="B25" s="28"/>
      <c r="C25" s="29"/>
      <c r="D25" s="24"/>
      <c r="F25" s="10" t="s">
        <v>191</v>
      </c>
      <c r="L25" s="10">
        <v>334</v>
      </c>
    </row>
    <row r="26" spans="1:27" x14ac:dyDescent="0.35">
      <c r="F26" s="10" t="s">
        <v>192</v>
      </c>
      <c r="L26" s="10">
        <v>605</v>
      </c>
    </row>
    <row r="27" spans="1:27" ht="15" thickBot="1" x14ac:dyDescent="0.4">
      <c r="E27" s="16"/>
      <c r="F27" s="8"/>
      <c r="G27" s="8"/>
      <c r="H27" s="8"/>
      <c r="I27" s="8"/>
      <c r="J27" s="8"/>
      <c r="K27" s="8"/>
      <c r="M27"/>
      <c r="N27" s="11"/>
      <c r="O27"/>
      <c r="P27"/>
      <c r="Q27"/>
      <c r="R27"/>
      <c r="S27"/>
      <c r="T27"/>
      <c r="U27"/>
      <c r="V27"/>
      <c r="W27"/>
      <c r="X27"/>
      <c r="Y27"/>
      <c r="Z27"/>
    </row>
    <row r="28" spans="1:27" x14ac:dyDescent="0.35">
      <c r="B28" s="30" t="s">
        <v>10</v>
      </c>
      <c r="C28" s="31"/>
      <c r="D28" s="17"/>
      <c r="E28" s="9"/>
      <c r="F28" s="9"/>
      <c r="G28" s="9"/>
      <c r="H28" s="9"/>
      <c r="I28" s="9"/>
      <c r="J28" s="9"/>
      <c r="K28" s="9"/>
      <c r="M28"/>
      <c r="N28" s="11"/>
      <c r="O28"/>
      <c r="P28"/>
      <c r="Q28"/>
      <c r="R28"/>
      <c r="S28"/>
      <c r="T28"/>
      <c r="U28"/>
      <c r="V28"/>
      <c r="W28"/>
      <c r="X28"/>
      <c r="Y28"/>
      <c r="Z28"/>
    </row>
    <row r="29" spans="1:27" x14ac:dyDescent="0.35">
      <c r="B29" s="32" t="s">
        <v>13</v>
      </c>
      <c r="C29" s="33"/>
      <c r="D29" s="18">
        <v>1</v>
      </c>
      <c r="E29" s="9"/>
      <c r="F29" s="9"/>
      <c r="G29" s="9"/>
      <c r="H29" s="9"/>
      <c r="I29" s="9"/>
      <c r="J29" s="9"/>
      <c r="K29" s="9"/>
      <c r="M29"/>
      <c r="N29" s="11"/>
      <c r="O29"/>
      <c r="P29"/>
      <c r="Q29"/>
      <c r="R29"/>
      <c r="S29"/>
      <c r="T29"/>
      <c r="U29"/>
      <c r="V29"/>
      <c r="W29"/>
      <c r="X29"/>
      <c r="Y29"/>
      <c r="Z29"/>
    </row>
    <row r="30" spans="1:27" x14ac:dyDescent="0.35">
      <c r="B30" s="34" t="s">
        <v>19</v>
      </c>
      <c r="C30" s="35"/>
      <c r="D30" s="19">
        <f>20/60</f>
        <v>0.33333333333333331</v>
      </c>
      <c r="E30" s="9"/>
      <c r="F30" s="9"/>
      <c r="G30" s="9"/>
      <c r="H30" s="9"/>
      <c r="I30" s="9"/>
      <c r="J30" s="9"/>
      <c r="K30" s="9"/>
      <c r="M30"/>
      <c r="N30" s="11"/>
      <c r="O30"/>
      <c r="P30"/>
      <c r="Q30"/>
      <c r="R30"/>
      <c r="S30"/>
      <c r="T30"/>
      <c r="U30"/>
      <c r="V30"/>
      <c r="W30"/>
      <c r="X30"/>
      <c r="Y30"/>
      <c r="Z30"/>
    </row>
    <row r="31" spans="1:27" x14ac:dyDescent="0.35">
      <c r="B31" s="34" t="s">
        <v>20</v>
      </c>
      <c r="C31" s="35"/>
      <c r="D31" s="19">
        <v>1.5</v>
      </c>
      <c r="E31" s="9"/>
      <c r="F31" s="9"/>
      <c r="G31" s="9"/>
      <c r="H31" s="9"/>
      <c r="I31" s="9"/>
      <c r="J31" s="9"/>
      <c r="K31" s="9"/>
      <c r="M31"/>
      <c r="N31" s="11"/>
      <c r="O31"/>
      <c r="P31"/>
      <c r="Q31"/>
      <c r="R31"/>
      <c r="S31"/>
      <c r="T31"/>
      <c r="U31"/>
      <c r="V31"/>
      <c r="W31"/>
      <c r="X31"/>
      <c r="Y31"/>
      <c r="Z31"/>
    </row>
    <row r="32" spans="1:27" x14ac:dyDescent="0.35">
      <c r="B32" s="34" t="s">
        <v>26</v>
      </c>
      <c r="C32" s="35"/>
      <c r="D32" s="19">
        <v>2</v>
      </c>
      <c r="E32" s="9"/>
      <c r="F32" s="9"/>
      <c r="G32" s="9"/>
      <c r="H32" s="9"/>
      <c r="I32" s="9"/>
      <c r="J32" s="9"/>
      <c r="K32" s="9"/>
      <c r="M32"/>
      <c r="N32" s="11"/>
      <c r="O32"/>
      <c r="P32"/>
      <c r="Q32"/>
      <c r="R32"/>
      <c r="S32"/>
      <c r="T32"/>
      <c r="U32"/>
      <c r="V32"/>
      <c r="W32"/>
      <c r="X32"/>
      <c r="Y32"/>
      <c r="Z32"/>
    </row>
    <row r="33" spans="2:26" x14ac:dyDescent="0.35">
      <c r="B33" s="34" t="s">
        <v>21</v>
      </c>
      <c r="C33" s="35"/>
      <c r="D33" s="19">
        <v>0.3</v>
      </c>
      <c r="E33" s="9"/>
      <c r="F33" s="9"/>
      <c r="G33" s="9"/>
      <c r="H33" s="9"/>
      <c r="I33" s="9"/>
      <c r="J33" s="9"/>
      <c r="K33" s="9"/>
      <c r="M33"/>
      <c r="N33" s="11"/>
      <c r="O33"/>
      <c r="P33"/>
      <c r="Q33"/>
      <c r="R33"/>
      <c r="S33"/>
      <c r="T33"/>
      <c r="U33"/>
      <c r="V33"/>
      <c r="W33"/>
      <c r="X33"/>
      <c r="Y33"/>
      <c r="Z33"/>
    </row>
    <row r="34" spans="2:26" x14ac:dyDescent="0.35">
      <c r="B34" s="34" t="s">
        <v>28</v>
      </c>
      <c r="C34" s="35"/>
      <c r="D34" s="19">
        <v>0.25</v>
      </c>
      <c r="E34" s="9" t="s">
        <v>55</v>
      </c>
      <c r="F34" s="9" t="s">
        <v>56</v>
      </c>
      <c r="G34" s="9" t="s">
        <v>57</v>
      </c>
      <c r="H34" s="9"/>
      <c r="I34" s="9"/>
      <c r="J34" s="9"/>
      <c r="K34" s="9"/>
      <c r="M34"/>
      <c r="N34" s="11"/>
      <c r="O34"/>
      <c r="P34"/>
      <c r="Q34"/>
      <c r="R34"/>
      <c r="S34"/>
      <c r="T34"/>
      <c r="U34"/>
      <c r="V34"/>
      <c r="W34"/>
      <c r="X34"/>
      <c r="Y34"/>
      <c r="Z34"/>
    </row>
    <row r="35" spans="2:26" s="1" customFormat="1" x14ac:dyDescent="0.35">
      <c r="B35" s="34" t="s">
        <v>29</v>
      </c>
      <c r="C35" s="35"/>
      <c r="D35" s="19">
        <v>0.1</v>
      </c>
      <c r="E35" s="9"/>
      <c r="F35" s="9"/>
      <c r="G35" s="9"/>
      <c r="H35" s="9"/>
      <c r="I35" s="9"/>
      <c r="J35" s="9"/>
      <c r="K35" s="9"/>
      <c r="L35" s="10"/>
      <c r="N35" s="10"/>
    </row>
    <row r="36" spans="2:26" s="1" customFormat="1" x14ac:dyDescent="0.35">
      <c r="B36" s="32" t="s">
        <v>27</v>
      </c>
      <c r="C36" s="33"/>
      <c r="D36" s="18">
        <v>5</v>
      </c>
      <c r="E36" s="9"/>
      <c r="F36" s="9"/>
      <c r="G36" s="9"/>
      <c r="H36" s="9"/>
      <c r="I36" s="9"/>
      <c r="J36" s="9"/>
      <c r="K36" s="9"/>
      <c r="L36" s="10"/>
      <c r="N36" s="10"/>
    </row>
    <row r="37" spans="2:26" s="10" customFormat="1" ht="15" thickBot="1" x14ac:dyDescent="0.4">
      <c r="B37" s="36" t="s">
        <v>12</v>
      </c>
      <c r="C37" s="37"/>
      <c r="D37" s="20">
        <v>45</v>
      </c>
      <c r="E37" s="9"/>
      <c r="F37" s="9"/>
      <c r="G37" s="9"/>
      <c r="H37" s="9"/>
      <c r="I37" s="9"/>
      <c r="J37" s="9"/>
      <c r="K37" s="9"/>
      <c r="L37" s="8"/>
    </row>
    <row r="38" spans="2:26" s="10" customFormat="1" x14ac:dyDescent="0.35">
      <c r="B38" s="38"/>
      <c r="C38" s="38"/>
      <c r="D38" s="8"/>
      <c r="E38" s="9"/>
      <c r="F38" s="9"/>
      <c r="G38" s="9"/>
      <c r="H38" s="9"/>
      <c r="I38" s="9"/>
      <c r="J38" s="9"/>
      <c r="K38" s="9"/>
      <c r="L38" s="8"/>
    </row>
    <row r="39" spans="2:26" s="11" customFormat="1" x14ac:dyDescent="0.35">
      <c r="B39" s="39" t="s">
        <v>15</v>
      </c>
      <c r="C39" s="39"/>
      <c r="D39" s="12"/>
      <c r="E39" s="10"/>
      <c r="F39" s="10"/>
      <c r="G39" s="10"/>
      <c r="H39" s="10"/>
      <c r="I39" s="10"/>
      <c r="J39" s="10"/>
      <c r="K39" s="10"/>
      <c r="L39" s="10"/>
      <c r="M39" s="10"/>
      <c r="N39" s="10"/>
      <c r="O39" s="10"/>
      <c r="P39" s="10"/>
      <c r="Q39" s="10"/>
      <c r="R39" s="10"/>
      <c r="S39" s="10"/>
      <c r="T39" s="10"/>
      <c r="U39" s="10"/>
      <c r="V39" s="10"/>
      <c r="W39" s="10"/>
      <c r="X39" s="10"/>
      <c r="Y39" s="10"/>
      <c r="Z39" s="10"/>
    </row>
    <row r="40" spans="2:26" x14ac:dyDescent="0.35">
      <c r="B40" s="40"/>
      <c r="C40" s="40"/>
      <c r="D40"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53</vt:i4>
      </vt:variant>
    </vt:vector>
  </HeadingPairs>
  <TitlesOfParts>
    <vt:vector size="68" baseType="lpstr">
      <vt:lpstr>Summary</vt:lpstr>
      <vt:lpstr>PAS10_Sp19 &amp; BP Comparison</vt:lpstr>
      <vt:lpstr>PAS10_Sprint19 PreliminaryScope</vt:lpstr>
      <vt:lpstr>PAS10_Business Priority</vt:lpstr>
      <vt:lpstr>Scope Sheets</vt:lpstr>
      <vt:lpstr>Revised Scope Sheet Jen</vt:lpstr>
      <vt:lpstr>Burndown 4FTE-12Wk</vt:lpstr>
      <vt:lpstr>Burndown 4FTE-13Wk (Auto)</vt:lpstr>
      <vt:lpstr>PTO calc</vt:lpstr>
      <vt:lpstr>Burndown 12 Weeks</vt:lpstr>
      <vt:lpstr>PAS 7 Burndown</vt:lpstr>
      <vt:lpstr>PAS2,3,4 estimates</vt:lpstr>
      <vt:lpstr>PAS5,6 estimates</vt:lpstr>
      <vt:lpstr>CA Select Approaches</vt:lpstr>
      <vt:lpstr>CA Select Estimates ALT 1</vt:lpstr>
      <vt:lpstr>'Burndown 12 Weeks'!Analysis_Hr_AC</vt:lpstr>
      <vt:lpstr>'Burndown 4FTE-12Wk'!Analysis_Hr_AC</vt:lpstr>
      <vt:lpstr>'Burndown 4FTE-13Wk (Auto)'!Analysis_Hr_AC</vt:lpstr>
      <vt:lpstr>'CA Select Estimates ALT 1'!Analysis_Hr_AC</vt:lpstr>
      <vt:lpstr>'PAS 7 Burndown'!Analysis_Hr_AC</vt:lpstr>
      <vt:lpstr>'CA Select Estimates ALT 1'!Design_Hr_AC</vt:lpstr>
      <vt:lpstr>'PAS 7 Burndown'!Design_Hr_AC</vt:lpstr>
      <vt:lpstr>'Burndown 12 Weeks'!Hr_OtherAnalysis</vt:lpstr>
      <vt:lpstr>'Burndown 4FTE-12Wk'!Hr_OtherAnalysis</vt:lpstr>
      <vt:lpstr>'Burndown 4FTE-13Wk (Auto)'!Hr_OtherAnalysis</vt:lpstr>
      <vt:lpstr>'CA Select Estimates ALT 1'!Hr_OtherAnalysis</vt:lpstr>
      <vt:lpstr>'PAS 7 Burndown'!Hr_OtherAnalysis</vt:lpstr>
      <vt:lpstr>'Burndown 12 Weeks'!Hr_Query</vt:lpstr>
      <vt:lpstr>'Burndown 4FTE-12Wk'!Hr_Query</vt:lpstr>
      <vt:lpstr>'Burndown 4FTE-13Wk (Auto)'!Hr_Query</vt:lpstr>
      <vt:lpstr>'CA Select Estimates ALT 1'!Hr_Query</vt:lpstr>
      <vt:lpstr>'PAS 7 Burndown'!Hr_Query</vt:lpstr>
      <vt:lpstr>'Burndown 12 Weeks'!Hr_Review</vt:lpstr>
      <vt:lpstr>'Burndown 4FTE-12Wk'!Hr_Review</vt:lpstr>
      <vt:lpstr>'Burndown 4FTE-13Wk (Auto)'!Hr_Review</vt:lpstr>
      <vt:lpstr>'CA Select Estimates ALT 1'!Hr_Review</vt:lpstr>
      <vt:lpstr>'PAS 7 Burndown'!Hr_Review</vt:lpstr>
      <vt:lpstr>'CA Select Estimates ALT 1'!Hr_Week</vt:lpstr>
      <vt:lpstr>'PAS 7 Burndown'!Hr_Week</vt:lpstr>
      <vt:lpstr>MaxPtsPerSprint1</vt:lpstr>
      <vt:lpstr>MaxPtsPerSprint10</vt:lpstr>
      <vt:lpstr>MaxPtsPerSprint11</vt:lpstr>
      <vt:lpstr>MaxPtsPerSprint12</vt:lpstr>
      <vt:lpstr>MaxPtsPerSprint13</vt:lpstr>
      <vt:lpstr>MaxPtsPerSprint14</vt:lpstr>
      <vt:lpstr>MaxPtsPerSprint15</vt:lpstr>
      <vt:lpstr>MaxPtsPerSprint16</vt:lpstr>
      <vt:lpstr>MaxPtsPerSprint17</vt:lpstr>
      <vt:lpstr>MaxPtsPerSprint18</vt:lpstr>
      <vt:lpstr>MaxPtsPerSprint19</vt:lpstr>
      <vt:lpstr>MaxPtsPerSprint2</vt:lpstr>
      <vt:lpstr>MaxPtsPerSprint20</vt:lpstr>
      <vt:lpstr>MaxPtsPerSprint21</vt:lpstr>
      <vt:lpstr>MaxPtsPerSprint22</vt:lpstr>
      <vt:lpstr>MaxPtsPerSprint23</vt:lpstr>
      <vt:lpstr>MaxPtsPerSprint24</vt:lpstr>
      <vt:lpstr>MaxPtsPerSprint3</vt:lpstr>
      <vt:lpstr>MaxPtsPerSprint4</vt:lpstr>
      <vt:lpstr>MaxPtsPerSprint5</vt:lpstr>
      <vt:lpstr>MaxPtsPerSprint6</vt:lpstr>
      <vt:lpstr>MaxPtsPerSprint7</vt:lpstr>
      <vt:lpstr>MaxPtsPerSprint8</vt:lpstr>
      <vt:lpstr>MaxPtsPerSprint9</vt:lpstr>
      <vt:lpstr>'CA Select Estimates ALT 1'!NBAC_Pattern</vt:lpstr>
      <vt:lpstr>'PAS 7 Burndown'!NBAC_Pattern</vt:lpstr>
      <vt:lpstr>'Burndown 12 Weeks'!NO_AC_US</vt:lpstr>
      <vt:lpstr>'Burndown 4FTE-12Wk'!NO_AC_US</vt:lpstr>
      <vt:lpstr>'Burndown 4FTE-13Wk (Auto)'!NO_AC_US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Shaikh, Sharique</dc:creator>
  <cp:lastModifiedBy>Dixit, Varun</cp:lastModifiedBy>
  <dcterms:created xsi:type="dcterms:W3CDTF">2015-03-19T15:17:31Z</dcterms:created>
  <dcterms:modified xsi:type="dcterms:W3CDTF">2016-09-09T15:38:29Z</dcterms:modified>
</cp:coreProperties>
</file>