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870" activeTab="2" xr2:uid="{10BB664F-297D-45C3-BFAA-DD7C509FE31E}"/>
  </bookViews>
  <sheets>
    <sheet name="Balance" sheetId="9" r:id="rId1"/>
    <sheet name="Resultados" sheetId="12" r:id="rId2"/>
    <sheet name="Índice" sheetId="11" r:id="rId3"/>
  </sheets>
  <calcPr calcId="171027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1" l="1"/>
  <c r="J14" i="9"/>
  <c r="C20" i="11"/>
  <c r="C19" i="11"/>
  <c r="C18" i="11"/>
  <c r="C17" i="11"/>
  <c r="C15" i="11"/>
  <c r="C13" i="11"/>
  <c r="C12" i="11"/>
  <c r="C6" i="11"/>
  <c r="I24" i="9"/>
  <c r="I19" i="9"/>
  <c r="I22" i="9" s="1"/>
  <c r="I18" i="9"/>
  <c r="I14" i="9"/>
  <c r="D27" i="9"/>
  <c r="F22" i="12" l="1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7" i="12"/>
  <c r="F6" i="12"/>
  <c r="F5" i="12"/>
  <c r="F8" i="12"/>
  <c r="E20" i="9" l="1"/>
  <c r="E18" i="9"/>
  <c r="D20" i="9"/>
  <c r="D18" i="9"/>
  <c r="C26" i="11"/>
  <c r="C22" i="11"/>
  <c r="C9" i="11"/>
  <c r="D13" i="9"/>
  <c r="I10" i="9"/>
  <c r="I25" i="9" l="1"/>
  <c r="I27" i="9" s="1"/>
  <c r="C24" i="11"/>
  <c r="C23" i="11" s="1"/>
  <c r="E26" i="11" l="1"/>
  <c r="E8" i="12" l="1"/>
  <c r="D7" i="12"/>
  <c r="E11" i="12" l="1"/>
  <c r="E16" i="12" l="1"/>
  <c r="E22" i="11"/>
  <c r="C25" i="11"/>
  <c r="E25" i="11" s="1"/>
  <c r="E23" i="11"/>
  <c r="E24" i="11"/>
  <c r="D26" i="9"/>
  <c r="D21" i="9"/>
  <c r="E19" i="12" l="1"/>
  <c r="E13" i="11"/>
  <c r="C27" i="11"/>
  <c r="E27" i="11" s="1"/>
  <c r="E22" i="12" l="1"/>
  <c r="D21" i="12"/>
  <c r="D20" i="12"/>
  <c r="E18" i="11" l="1"/>
  <c r="C4" i="11"/>
  <c r="E4" i="11" s="1"/>
  <c r="E19" i="11"/>
  <c r="E9" i="11"/>
  <c r="C10" i="11"/>
  <c r="E10" i="11" s="1"/>
  <c r="C8" i="11"/>
  <c r="E8" i="11" s="1"/>
  <c r="E12" i="9" l="1"/>
  <c r="E11" i="9"/>
  <c r="E10" i="9"/>
  <c r="E13" i="9"/>
  <c r="E17" i="11"/>
  <c r="E24" i="9"/>
  <c r="E27" i="9"/>
  <c r="E21" i="9"/>
  <c r="C28" i="11"/>
  <c r="E28" i="11" s="1"/>
  <c r="E8" i="9"/>
  <c r="E12" i="11"/>
  <c r="C5" i="11"/>
  <c r="E5" i="11" s="1"/>
  <c r="E9" i="9"/>
  <c r="E25" i="9"/>
  <c r="E26" i="9"/>
  <c r="E16" i="9"/>
  <c r="E7" i="9"/>
  <c r="E15" i="11" l="1"/>
  <c r="E20" i="11"/>
  <c r="E14" i="11"/>
  <c r="J23" i="9" l="1"/>
  <c r="J13" i="9"/>
  <c r="J16" i="9"/>
  <c r="J24" i="9"/>
  <c r="J17" i="9"/>
  <c r="J12" i="9"/>
  <c r="J18" i="9"/>
  <c r="J19" i="9"/>
  <c r="J22" i="9"/>
  <c r="J25" i="9"/>
  <c r="E6" i="11"/>
  <c r="J10" i="9" l="1"/>
  <c r="J27" i="9"/>
  <c r="J8" i="9"/>
  <c r="J7" i="9"/>
  <c r="J9" i="9"/>
</calcChain>
</file>

<file path=xl/sharedStrings.xml><?xml version="1.0" encoding="utf-8"?>
<sst xmlns="http://schemas.openxmlformats.org/spreadsheetml/2006/main" count="115" uniqueCount="106">
  <si>
    <t>ACTIVO</t>
  </si>
  <si>
    <t>CIRCULANTE</t>
  </si>
  <si>
    <t>FIJO</t>
  </si>
  <si>
    <t>DIFERIDO</t>
  </si>
  <si>
    <t>PASIVO</t>
  </si>
  <si>
    <t>NO CIRCULANTE</t>
  </si>
  <si>
    <t>Caja</t>
  </si>
  <si>
    <t>Bancos</t>
  </si>
  <si>
    <t>Mercancías</t>
  </si>
  <si>
    <t>Clientes</t>
  </si>
  <si>
    <t>Terrenos</t>
  </si>
  <si>
    <t>Edificios</t>
  </si>
  <si>
    <t>Depósitos en garantía</t>
  </si>
  <si>
    <t>Primas de seguros</t>
  </si>
  <si>
    <t>Intereses pagados por anticipado</t>
  </si>
  <si>
    <t>Proveedores</t>
  </si>
  <si>
    <t>Documentos por pagar</t>
  </si>
  <si>
    <t>Acreedores diversos</t>
  </si>
  <si>
    <t>Rentas cobradas por anticipado</t>
  </si>
  <si>
    <t>TOTAL Capital Circulante</t>
  </si>
  <si>
    <t>TOTAL Capital Diferido</t>
  </si>
  <si>
    <t>TOTAL Pasivo circulante</t>
  </si>
  <si>
    <t>TOTAL PASIVO</t>
  </si>
  <si>
    <t>Balance autorizado por:</t>
  </si>
  <si>
    <t>Balance elaborado por:</t>
  </si>
  <si>
    <t>Contador general</t>
  </si>
  <si>
    <t>Documentos por pagar a largo plazo</t>
  </si>
  <si>
    <t>TOTAL ACTIVO</t>
  </si>
  <si>
    <t>Cuenta</t>
  </si>
  <si>
    <t>Año actual</t>
  </si>
  <si>
    <t>Deudores diversos</t>
  </si>
  <si>
    <t>CAPITAL CONTABLE</t>
  </si>
  <si>
    <t>Capital Social Contable</t>
  </si>
  <si>
    <t>TOTAL CAPITAL CONTABLE</t>
  </si>
  <si>
    <t>TOTAL PASIVO + CAPITAL CONTABLE</t>
  </si>
  <si>
    <t>Utilidad/Pérdida neta del ejercicio</t>
  </si>
  <si>
    <t>Gerente General</t>
  </si>
  <si>
    <t>Porcentual</t>
  </si>
  <si>
    <t>Razones Financieras (Fórmulas)</t>
  </si>
  <si>
    <t>Resultado</t>
  </si>
  <si>
    <t>Razón Estándar</t>
  </si>
  <si>
    <t>Desviaciones (+,-)</t>
  </si>
  <si>
    <t>Benchmarking</t>
  </si>
  <si>
    <t>Nombre</t>
  </si>
  <si>
    <t>Fórmula</t>
  </si>
  <si>
    <t>INDICES DE RENTABILIDAD</t>
  </si>
  <si>
    <t>Margen de utilidad</t>
  </si>
  <si>
    <t>Retorno sobre activos</t>
  </si>
  <si>
    <t>Retorno sobre patrimonio</t>
  </si>
  <si>
    <t>ÍNDICES DE LIQUIDEZ</t>
  </si>
  <si>
    <t>Razón circulante</t>
  </si>
  <si>
    <t>Prueba ácida</t>
  </si>
  <si>
    <t>Capital de trabajo</t>
  </si>
  <si>
    <t>ÍNDICES DE ESTRUCTURA</t>
  </si>
  <si>
    <t>Solvencia</t>
  </si>
  <si>
    <t>Seguridad a largo plazo</t>
  </si>
  <si>
    <t>Inmovilización de capital social</t>
  </si>
  <si>
    <t>Inmovilización de capital contable</t>
  </si>
  <si>
    <t>ÍNDICES DE ENDEUDAMIENTO</t>
  </si>
  <si>
    <t>Apalancamiento</t>
  </si>
  <si>
    <t>Razón de Cobertura de Intereses</t>
  </si>
  <si>
    <t>Cobertura de los cargos fijos</t>
  </si>
  <si>
    <t>Razón de estabilidad financiera</t>
  </si>
  <si>
    <t>ÍNDICES DE ROTACIÓN Y ADMINISTRACIÓN DE ACTIVOS</t>
  </si>
  <si>
    <t>Rotación de cuentas por cobrar</t>
  </si>
  <si>
    <t>Periodo promedio de recaudo</t>
  </si>
  <si>
    <t>Rotación de inventarios</t>
  </si>
  <si>
    <t>Rotación de los activos fijos</t>
  </si>
  <si>
    <t>Rotación de los activos totales</t>
  </si>
  <si>
    <t>Días de cobro</t>
  </si>
  <si>
    <t>Promedio diario de ventas</t>
  </si>
  <si>
    <t>Estado de resultados</t>
  </si>
  <si>
    <t>Ventas</t>
  </si>
  <si>
    <t>(-) Devoluciones sobre venta</t>
  </si>
  <si>
    <t>(-) Rebajas sobre venta</t>
  </si>
  <si>
    <t>Ventas netas</t>
  </si>
  <si>
    <t>Costo de lo vendido</t>
  </si>
  <si>
    <t>Gastos de venta</t>
  </si>
  <si>
    <t>Gastos de administración</t>
  </si>
  <si>
    <t>Productos financieros</t>
  </si>
  <si>
    <t>Gastos financieros</t>
  </si>
  <si>
    <t>Otros productos</t>
  </si>
  <si>
    <t>Impuesto sobre la renta</t>
  </si>
  <si>
    <t>Participación de los trabajadores en las utilidades</t>
  </si>
  <si>
    <t>Porcentaje</t>
  </si>
  <si>
    <t>Resultados</t>
  </si>
  <si>
    <t>Utilidad/Pérdida del ejercicio antes de impuestos</t>
  </si>
  <si>
    <t>Utilidad/Pérdida de operación</t>
  </si>
  <si>
    <t>Utilidad/Pérdida bruta</t>
  </si>
  <si>
    <t>Del 1 enero al 31 de diciembre del 2010</t>
  </si>
  <si>
    <t>COMERCIALIZADORA LA POBLANITA S.A de C.V.</t>
  </si>
  <si>
    <t>COMERCIALIZADORA LA POBLANITA S.A. de C.V.</t>
  </si>
  <si>
    <t>Ventas netas a crédito</t>
  </si>
  <si>
    <t>Gastos por intereses</t>
  </si>
  <si>
    <t>Cantidades en miles de pesos</t>
  </si>
  <si>
    <t>Inversiones en valores</t>
  </si>
  <si>
    <t>Equipo de oficina</t>
  </si>
  <si>
    <t>Adeudos bancarios</t>
  </si>
  <si>
    <t>Utilidad/Pérdida de ejercicios anteriores</t>
  </si>
  <si>
    <t>Depreciación</t>
  </si>
  <si>
    <t>BALANCE GENERAL AL 31 DE DICIEMBRE DE 2010</t>
  </si>
  <si>
    <t>Estado autorizado por:</t>
  </si>
  <si>
    <t>Estado elaborado por:</t>
  </si>
  <si>
    <t>TOTAL Capital Fijo Neto</t>
  </si>
  <si>
    <t>TOTAL Pasivo Diferido</t>
  </si>
  <si>
    <t>TOTAL Pasivo No Circulante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</si>
</sst>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6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6"/>
      <color theme="1"/>
      <name val="Arial"/>
      <family val="2"/>
    </font>
    <font>
      <sz val="6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/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38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164" fontId="1" fillId="0" borderId="39" xfId="0" applyNumberFormat="1" applyFont="1" applyBorder="1"/>
    <xf numFmtId="0" fontId="2" fillId="2" borderId="38" xfId="0" applyFont="1" applyFill="1" applyBorder="1"/>
    <xf numFmtId="164" fontId="1" fillId="0" borderId="41" xfId="0" applyNumberFormat="1" applyFont="1" applyFill="1" applyBorder="1"/>
    <xf numFmtId="164" fontId="1" fillId="0" borderId="42" xfId="0" applyNumberFormat="1" applyFont="1" applyFill="1" applyBorder="1"/>
    <xf numFmtId="164" fontId="1" fillId="2" borderId="39" xfId="0" applyNumberFormat="1" applyFont="1" applyFill="1" applyBorder="1"/>
    <xf numFmtId="0" fontId="1" fillId="0" borderId="38" xfId="0" applyFont="1" applyBorder="1"/>
    <xf numFmtId="4" fontId="1" fillId="0" borderId="42" xfId="0" applyNumberFormat="1" applyFont="1" applyFill="1" applyBorder="1"/>
    <xf numFmtId="164" fontId="0" fillId="0" borderId="41" xfId="0" applyNumberFormat="1" applyBorder="1"/>
    <xf numFmtId="164" fontId="0" fillId="0" borderId="42" xfId="0" applyNumberFormat="1" applyBorder="1"/>
    <xf numFmtId="164" fontId="0" fillId="0" borderId="0" xfId="0" applyNumberFormat="1"/>
    <xf numFmtId="164" fontId="0" fillId="0" borderId="43" xfId="0" applyNumberFormat="1" applyBorder="1"/>
    <xf numFmtId="0" fontId="0" fillId="2" borderId="38" xfId="0" applyFont="1" applyFill="1" applyBorder="1"/>
    <xf numFmtId="164" fontId="0" fillId="2" borderId="39" xfId="0" applyNumberFormat="1" applyFill="1" applyBorder="1"/>
    <xf numFmtId="164" fontId="0" fillId="0" borderId="39" xfId="0" applyNumberFormat="1" applyBorder="1"/>
    <xf numFmtId="0" fontId="0" fillId="3" borderId="40" xfId="0" applyFont="1" applyFill="1" applyBorder="1"/>
    <xf numFmtId="164" fontId="0" fillId="0" borderId="44" xfId="0" applyNumberFormat="1" applyBorder="1"/>
    <xf numFmtId="164" fontId="0" fillId="0" borderId="45" xfId="0" applyNumberFormat="1" applyBorder="1"/>
    <xf numFmtId="164" fontId="0" fillId="3" borderId="30" xfId="0" applyNumberFormat="1" applyFill="1" applyBorder="1"/>
    <xf numFmtId="0" fontId="0" fillId="0" borderId="46" xfId="0" applyFont="1" applyBorder="1" applyAlignment="1">
      <alignment horizontal="center"/>
    </xf>
    <xf numFmtId="10" fontId="0" fillId="0" borderId="52" xfId="0" applyNumberFormat="1" applyBorder="1"/>
    <xf numFmtId="10" fontId="0" fillId="0" borderId="50" xfId="0" applyNumberFormat="1" applyBorder="1"/>
    <xf numFmtId="10" fontId="0" fillId="0" borderId="51" xfId="0" applyNumberFormat="1" applyBorder="1"/>
    <xf numFmtId="0" fontId="3" fillId="0" borderId="1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4" fillId="0" borderId="62" xfId="0" applyFont="1" applyBorder="1" applyAlignment="1">
      <alignment wrapText="1"/>
    </xf>
    <xf numFmtId="0" fontId="6" fillId="0" borderId="24" xfId="0" applyFont="1" applyBorder="1" applyAlignment="1">
      <alignment horizontal="center" vertical="center" wrapText="1"/>
    </xf>
    <xf numFmtId="0" fontId="7" fillId="0" borderId="0" xfId="0" applyFont="1"/>
    <xf numFmtId="0" fontId="8" fillId="0" borderId="2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10" fontId="6" fillId="0" borderId="30" xfId="0" applyNumberFormat="1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0" fontId="6" fillId="0" borderId="23" xfId="0" applyNumberFormat="1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1" fillId="0" borderId="0" xfId="0" applyFont="1"/>
    <xf numFmtId="0" fontId="12" fillId="0" borderId="56" xfId="0" applyFont="1" applyBorder="1" applyAlignment="1">
      <alignment horizontal="center"/>
    </xf>
    <xf numFmtId="0" fontId="12" fillId="0" borderId="57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8" xfId="0" applyFont="1" applyBorder="1"/>
    <xf numFmtId="0" fontId="10" fillId="0" borderId="14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6" xfId="0" applyFont="1" applyBorder="1"/>
    <xf numFmtId="0" fontId="10" fillId="0" borderId="59" xfId="0" applyFont="1" applyBorder="1"/>
    <xf numFmtId="0" fontId="13" fillId="0" borderId="10" xfId="0" applyFont="1" applyBorder="1"/>
    <xf numFmtId="0" fontId="13" fillId="0" borderId="7" xfId="0" applyFont="1" applyBorder="1"/>
    <xf numFmtId="0" fontId="13" fillId="0" borderId="11" xfId="0" applyFont="1" applyBorder="1"/>
    <xf numFmtId="0" fontId="13" fillId="0" borderId="17" xfId="0" applyFont="1" applyBorder="1"/>
    <xf numFmtId="0" fontId="13" fillId="0" borderId="19" xfId="0" applyFont="1" applyBorder="1"/>
    <xf numFmtId="0" fontId="11" fillId="0" borderId="10" xfId="0" applyFont="1" applyBorder="1"/>
    <xf numFmtId="0" fontId="11" fillId="0" borderId="7" xfId="0" applyFont="1" applyBorder="1"/>
    <xf numFmtId="164" fontId="11" fillId="0" borderId="10" xfId="0" applyNumberFormat="1" applyFont="1" applyBorder="1"/>
    <xf numFmtId="164" fontId="11" fillId="0" borderId="11" xfId="0" applyNumberFormat="1" applyFont="1" applyBorder="1"/>
    <xf numFmtId="10" fontId="11" fillId="0" borderId="17" xfId="0" applyNumberFormat="1" applyFont="1" applyBorder="1"/>
    <xf numFmtId="0" fontId="11" fillId="0" borderId="11" xfId="0" applyFont="1" applyBorder="1"/>
    <xf numFmtId="10" fontId="11" fillId="0" borderId="19" xfId="0" applyNumberFormat="1" applyFont="1" applyBorder="1"/>
    <xf numFmtId="164" fontId="11" fillId="0" borderId="19" xfId="0" applyNumberFormat="1" applyFont="1" applyBorder="1"/>
    <xf numFmtId="164" fontId="11" fillId="0" borderId="17" xfId="0" applyNumberFormat="1" applyFont="1" applyBorder="1"/>
    <xf numFmtId="0" fontId="10" fillId="0" borderId="10" xfId="0" applyFont="1" applyBorder="1"/>
    <xf numFmtId="0" fontId="11" fillId="0" borderId="19" xfId="0" applyFont="1" applyBorder="1"/>
    <xf numFmtId="0" fontId="12" fillId="0" borderId="12" xfId="0" applyFont="1" applyBorder="1"/>
    <xf numFmtId="164" fontId="11" fillId="0" borderId="60" xfId="0" applyNumberFormat="1" applyFont="1" applyBorder="1"/>
    <xf numFmtId="164" fontId="11" fillId="0" borderId="12" xfId="0" applyNumberFormat="1" applyFont="1" applyBorder="1"/>
    <xf numFmtId="164" fontId="11" fillId="0" borderId="13" xfId="0" applyNumberFormat="1" applyFont="1" applyBorder="1"/>
    <xf numFmtId="10" fontId="11" fillId="0" borderId="61" xfId="0" applyNumberFormat="1" applyFont="1" applyBorder="1"/>
    <xf numFmtId="0" fontId="11" fillId="0" borderId="13" xfId="0" applyFont="1" applyBorder="1"/>
    <xf numFmtId="0" fontId="11" fillId="0" borderId="12" xfId="0" applyFont="1" applyBorder="1"/>
    <xf numFmtId="10" fontId="11" fillId="0" borderId="20" xfId="0" applyNumberFormat="1" applyFont="1" applyBorder="1"/>
    <xf numFmtId="0" fontId="14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4" fillId="0" borderId="2" xfId="0" applyFont="1" applyBorder="1" applyAlignment="1">
      <alignment horizontal="center" wrapText="1"/>
    </xf>
    <xf numFmtId="0" fontId="15" fillId="0" borderId="15" xfId="0" applyFont="1" applyBorder="1" applyAlignment="1">
      <alignment wrapText="1"/>
    </xf>
    <xf numFmtId="0" fontId="2" fillId="0" borderId="11" xfId="0" applyFont="1" applyBorder="1"/>
    <xf numFmtId="10" fontId="9" fillId="0" borderId="2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D2030C0-78CF-4078-9BED-5D2AE61953D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3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5FBB12F-90DF-485C-9A61-DF06B2718B64}"/>
                </a:ext>
              </a:extLst>
            </xdr:cNvPr>
            <xdr:cNvSpPr txBox="1"/>
          </xdr:nvSpPr>
          <xdr:spPr>
            <a:xfrm>
              <a:off x="2149475" y="60642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𝑁𝑒𝑡𝑎)/(𝑉𝑒𝑛𝑡𝑎𝑠 𝑁𝑒𝑡𝑎𝑠)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4</xdr:row>
      <xdr:rowOff>22225</xdr:rowOff>
    </xdr:from>
    <xdr:ext cx="494879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5821EEA1-41B5-41A3-89A6-FB867DBCD096}"/>
                </a:ext>
              </a:extLst>
            </xdr:cNvPr>
            <xdr:cNvSpPr txBox="1"/>
          </xdr:nvSpPr>
          <xdr:spPr>
            <a:xfrm>
              <a:off x="2155825" y="841375"/>
              <a:ext cx="494879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587375</xdr:colOff>
      <xdr:row>5</xdr:row>
      <xdr:rowOff>15875</xdr:rowOff>
    </xdr:from>
    <xdr:ext cx="600164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𝑁𝑒𝑡𝑎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36CB9A47-DCAF-4427-96A9-2CE820C4DA56}"/>
                </a:ext>
              </a:extLst>
            </xdr:cNvPr>
            <xdr:cNvSpPr txBox="1"/>
          </xdr:nvSpPr>
          <xdr:spPr>
            <a:xfrm>
              <a:off x="2117725" y="1063625"/>
              <a:ext cx="600164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𝑁𝑒𝑡𝑎)/(𝐶𝑎𝑝𝑖𝑡𝑎𝑙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593725</xdr:colOff>
      <xdr:row>7</xdr:row>
      <xdr:rowOff>9525</xdr:rowOff>
    </xdr:from>
    <xdr:ext cx="63716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8770F5C9-CBA3-4060-AE07-B584D3F95B64}"/>
                </a:ext>
              </a:extLst>
            </xdr:cNvPr>
            <xdr:cNvSpPr txBox="1"/>
          </xdr:nvSpPr>
          <xdr:spPr>
            <a:xfrm>
              <a:off x="2124075" y="1482725"/>
              <a:ext cx="63716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𝐶𝑖𝑟𝑐𝑢𝑙𝑎𝑛𝑡𝑒)/(𝑃𝑎𝑠𝑖𝑣𝑜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631825</xdr:colOff>
      <xdr:row>11</xdr:row>
      <xdr:rowOff>22225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51F5236-D7D2-4B5E-856A-ED781E96A76E}"/>
                </a:ext>
              </a:extLst>
            </xdr:cNvPr>
            <xdr:cNvSpPr txBox="1"/>
          </xdr:nvSpPr>
          <xdr:spPr>
            <a:xfrm>
              <a:off x="2162175" y="23082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𝑇𝑜𝑡𝑎𝑙)/(𝑃𝑎𝑠𝑖𝑣𝑜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574675</xdr:colOff>
      <xdr:row>12</xdr:row>
      <xdr:rowOff>22225</xdr:rowOff>
    </xdr:from>
    <xdr:ext cx="583686" cy="1896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C8497A9-CAA3-4A10-BFE9-245BE748EE15}"/>
                </a:ext>
              </a:extLst>
            </xdr:cNvPr>
            <xdr:cNvSpPr txBox="1"/>
          </xdr:nvSpPr>
          <xdr:spPr>
            <a:xfrm>
              <a:off x="2105025" y="2524125"/>
              <a:ext cx="583686" cy="1896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𝑁𝑒𝑡𝑜)/(𝑃𝑎𝑠𝑖𝑣𝑜 𝐹𝑖𝑗𝑜)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612775</xdr:colOff>
      <xdr:row>16</xdr:row>
      <xdr:rowOff>9525</xdr:rowOff>
    </xdr:from>
    <xdr:ext cx="45602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ABE70A2A-9637-4EA1-89CE-32E41BF279AC}"/>
                </a:ext>
              </a:extLst>
            </xdr:cNvPr>
            <xdr:cNvSpPr txBox="1"/>
          </xdr:nvSpPr>
          <xdr:spPr>
            <a:xfrm>
              <a:off x="2143125" y="3387725"/>
              <a:ext cx="45602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15875</xdr:colOff>
      <xdr:row>18</xdr:row>
      <xdr:rowOff>15875</xdr:rowOff>
    </xdr:from>
    <xdr:ext cx="1677126" cy="1919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E2611BB4-D1E0-444A-ABAD-7E48DF40E53D}"/>
                </a:ext>
              </a:extLst>
            </xdr:cNvPr>
            <xdr:cNvSpPr txBox="1"/>
          </xdr:nvSpPr>
          <xdr:spPr>
            <a:xfrm>
              <a:off x="154622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𝑙𝑜𝑠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𝐶𝑎𝑟𝑔𝑜𝑠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E2611BB4-D1E0-444A-ABAD-7E48DF40E53D}"/>
                </a:ext>
              </a:extLst>
            </xdr:cNvPr>
            <xdr:cNvSpPr txBox="1"/>
          </xdr:nvSpPr>
          <xdr:spPr>
            <a:xfrm>
              <a:off x="1546225" y="3825875"/>
              <a:ext cx="1677126" cy="1919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 𝑎𝑛𝑡𝑒𝑠 𝑑𝑒 𝑙𝑜𝑠 𝐶𝑎𝑟𝑔𝑜𝑠 𝐹𝑖𝑗𝑜𝑠)/(𝐶𝑎𝑟𝑔𝑜𝑠 𝐹𝑖𝑗𝑜𝑠)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473075</xdr:colOff>
      <xdr:row>17</xdr:row>
      <xdr:rowOff>15875</xdr:rowOff>
    </xdr:from>
    <xdr:ext cx="785343" cy="175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348C50B-E4E6-467C-886E-01C8A05599E6}"/>
                </a:ext>
              </a:extLst>
            </xdr:cNvPr>
            <xdr:cNvSpPr txBox="1"/>
          </xdr:nvSpPr>
          <xdr:spPr>
            <a:xfrm>
              <a:off x="2003425" y="3609975"/>
              <a:ext cx="785343" cy="175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𝑈𝑡𝑖𝑙𝑖𝑑𝑎𝑑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𝑂𝑝𝑒𝑟𝑎𝑐𝑖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𝐼𝑛𝑡𝑒𝑟𝑒𝑠𝑒𝑠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7348C50B-E4E6-467C-886E-01C8A05599E6}"/>
                </a:ext>
              </a:extLst>
            </xdr:cNvPr>
            <xdr:cNvSpPr txBox="1"/>
          </xdr:nvSpPr>
          <xdr:spPr>
            <a:xfrm>
              <a:off x="2003425" y="3609975"/>
              <a:ext cx="785343" cy="175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(𝑈𝑡𝑖𝑙𝑖𝑑𝑎𝑑 </a:t>
              </a:r>
              <a:r>
                <a:rPr lang="es-MX" sz="600" b="0" i="0">
                  <a:latin typeface="Cambria Math" panose="02040503050406030204" pitchFamily="18" charset="0"/>
                </a:rPr>
                <a:t>𝑑𝑒 𝑂𝑝𝑒𝑟𝑎𝑐𝑖ó𝑛)/𝐼𝑛𝑡𝑒𝑟𝑒𝑠𝑒𝑠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301625</xdr:colOff>
      <xdr:row>8</xdr:row>
      <xdr:rowOff>22225</xdr:rowOff>
    </xdr:from>
    <xdr:ext cx="11083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num>
                      <m:den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i="1">
                            <a:latin typeface="Cambria Math" panose="02040503050406030204" pitchFamily="18" charset="0"/>
                          </a:rPr>
                          <m:t>𝐶𝑖𝑟𝑐𝑢𝑙𝑎𝑛𝑡𝑒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6B7D5C8A-79C7-4743-8E24-39CA2D716CC6}"/>
                </a:ext>
              </a:extLst>
            </xdr:cNvPr>
            <xdr:cNvSpPr txBox="1"/>
          </xdr:nvSpPr>
          <xdr:spPr>
            <a:xfrm>
              <a:off x="1831975" y="1704975"/>
              <a:ext cx="110838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(𝐴𝑐𝑡𝑖𝑣𝑜 𝐶𝑖𝑟𝑐𝑢𝑙𝑎𝑛𝑡𝑒</a:t>
              </a:r>
              <a:r>
                <a:rPr lang="es-MX" sz="600" b="0" i="0">
                  <a:latin typeface="Cambria Math" panose="02040503050406030204" pitchFamily="18" charset="0"/>
                </a:rPr>
                <a:t> −𝐼𝑛𝑣𝑒𝑛𝑡𝑎𝑟𝑖𝑜)/(</a:t>
              </a:r>
              <a:r>
                <a:rPr lang="es-MX" sz="600" i="0">
                  <a:latin typeface="Cambria Math" panose="02040503050406030204" pitchFamily="18" charset="0"/>
                </a:rPr>
                <a:t>𝑃𝑎𝑠𝑖𝑣𝑜 𝐶𝑖𝑟𝑐𝑢𝑙𝑎𝑛𝑡𝑒)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339725</xdr:colOff>
      <xdr:row>9</xdr:row>
      <xdr:rowOff>47625</xdr:rowOff>
    </xdr:from>
    <xdr:ext cx="1148904" cy="93936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5A629ADE-EE3A-48C9-A0E2-D50327C24F7A}"/>
            </a:ext>
          </a:extLst>
        </xdr:cNvPr>
        <xdr:cNvSpPr txBox="1"/>
      </xdr:nvSpPr>
      <xdr:spPr>
        <a:xfrm>
          <a:off x="1870075" y="1946275"/>
          <a:ext cx="1148904" cy="93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MX" sz="600"/>
            <a:t>Activo</a:t>
          </a:r>
          <a:r>
            <a:rPr lang="es-MX" sz="600" baseline="0"/>
            <a:t> Circulante - Pasivo Circulante</a:t>
          </a:r>
          <a:endParaRPr lang="es-MX" sz="600"/>
        </a:p>
      </xdr:txBody>
    </xdr:sp>
    <xdr:clientData/>
  </xdr:oneCellAnchor>
  <xdr:oneCellAnchor>
    <xdr:from>
      <xdr:col>1</xdr:col>
      <xdr:colOff>568325</xdr:colOff>
      <xdr:row>13</xdr:row>
      <xdr:rowOff>9525</xdr:rowOff>
    </xdr:from>
    <xdr:ext cx="583686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7BDB35C-F8E5-48AB-A211-FA8C50E277F4}"/>
                </a:ext>
              </a:extLst>
            </xdr:cNvPr>
            <xdr:cNvSpPr txBox="1"/>
          </xdr:nvSpPr>
          <xdr:spPr>
            <a:xfrm>
              <a:off x="2098675" y="2733675"/>
              <a:ext cx="583686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555625</xdr:colOff>
      <xdr:row>14</xdr:row>
      <xdr:rowOff>15875</xdr:rowOff>
    </xdr:from>
    <xdr:ext cx="600164" cy="1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𝐶𝑜𝑛𝑡𝑎𝑏𝑙𝑒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D0EE2265-284A-430A-84B6-47205BC24F8C}"/>
                </a:ext>
              </a:extLst>
            </xdr:cNvPr>
            <xdr:cNvSpPr txBox="1"/>
          </xdr:nvSpPr>
          <xdr:spPr>
            <a:xfrm>
              <a:off x="2085975" y="2968625"/>
              <a:ext cx="600164" cy="1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𝐴𝑐𝑡𝑖𝑣𝑜 𝐹𝑖𝑗𝑜 𝑁𝑒𝑡𝑜)/(𝐶𝑎𝑝𝑖𝑡𝑎𝑙 𝐶𝑜𝑛𝑡𝑎𝑏𝑙𝑒)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600075</xdr:colOff>
      <xdr:row>19</xdr:row>
      <xdr:rowOff>15875</xdr:rowOff>
    </xdr:from>
    <xdr:ext cx="501419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𝑃𝑎𝑠𝑖𝑣𝑜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𝐶𝑎𝑝𝑖𝑡𝑎𝑙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𝑆𝑜𝑐𝑖𝑎𝑙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683D1B95-372A-4523-983D-49A8D919E6B6}"/>
                </a:ext>
              </a:extLst>
            </xdr:cNvPr>
            <xdr:cNvSpPr txBox="1"/>
          </xdr:nvSpPr>
          <xdr:spPr>
            <a:xfrm>
              <a:off x="2130425" y="4054475"/>
              <a:ext cx="501419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𝑃𝑎𝑠𝑖𝑣𝑜 𝑇𝑜𝑡𝑎𝑙)/(𝐶𝑎𝑝𝑖𝑡𝑎𝑙 𝑆𝑜𝑐𝑖𝑎𝑙)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492125</xdr:colOff>
      <xdr:row>21</xdr:row>
      <xdr:rowOff>9525</xdr:rowOff>
    </xdr:from>
    <xdr:ext cx="895117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2EACCD15-EFB6-4861-86B7-9BA86AA3700D}"/>
                </a:ext>
              </a:extLst>
            </xdr:cNvPr>
            <xdr:cNvSpPr txBox="1"/>
          </xdr:nvSpPr>
          <xdr:spPr>
            <a:xfrm>
              <a:off x="2022475" y="4073525"/>
              <a:ext cx="895117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𝐶𝑟é𝑑𝑖𝑡𝑜)/𝐶𝑙𝑖𝑒𝑛𝑡𝑒𝑠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282575</xdr:colOff>
      <xdr:row>22</xdr:row>
      <xdr:rowOff>15875</xdr:rowOff>
    </xdr:from>
    <xdr:ext cx="129772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𝐶𝑜𝑏𝑟𝑎𝑟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𝐶𝑙𝑖𝑒𝑛𝑡𝑒𝑠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𝑃𝑟𝑜𝑚𝑒𝑑𝑖𝑜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𝐷𝑖𝑎𝑟𝑖𝑜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F3F44A7C-7FB0-4F96-9044-7E825A1CD258}"/>
                </a:ext>
              </a:extLst>
            </xdr:cNvPr>
            <xdr:cNvSpPr txBox="1"/>
          </xdr:nvSpPr>
          <xdr:spPr>
            <a:xfrm>
              <a:off x="1812925" y="4702175"/>
              <a:ext cx="129772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𝐶𝑢𝑒𝑛𝑡𝑎𝑠 𝑝𝑜𝑟 𝐶𝑜𝑏𝑟𝑎𝑟 (𝐶𝑙𝑖𝑒𝑛𝑡𝑒𝑠))/(𝑃𝑟𝑜𝑚𝑒𝑑𝑖𝑜 𝐷𝑖𝑎𝑟𝑖𝑜 𝑑𝑒 𝑉𝑒𝑛𝑡𝑎𝑠 𝑎 𝐶𝑟é𝑑𝑖𝑡𝑜)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447675</xdr:colOff>
      <xdr:row>25</xdr:row>
      <xdr:rowOff>9525</xdr:rowOff>
    </xdr:from>
    <xdr:ext cx="793615" cy="1747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𝐶𝑜𝑠𝑡𝑜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𝐼𝑛𝑣𝑒𝑛𝑡𝑎𝑟𝑖𝑜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0B017DC-B666-4A59-ABB8-5F307BC4BA34}"/>
                </a:ext>
              </a:extLst>
            </xdr:cNvPr>
            <xdr:cNvSpPr txBox="1"/>
          </xdr:nvSpPr>
          <xdr:spPr>
            <a:xfrm>
              <a:off x="1978025" y="4473575"/>
              <a:ext cx="793615" cy="1747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𝐶𝑜𝑠𝑡𝑜 𝑑𝑒 𝑉𝑒𝑛𝑡𝑎𝑠 𝑁𝑒𝑡𝑎𝑠)/𝐼𝑛𝑣𝑒𝑛𝑡𝑎𝑟𝑖𝑜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625475</xdr:colOff>
      <xdr:row>26</xdr:row>
      <xdr:rowOff>9525</xdr:rowOff>
    </xdr:from>
    <xdr:ext cx="583686" cy="1890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𝐹𝑖𝑗𝑜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𝑁𝑒𝑡𝑜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930FBBC-DEFA-43A1-AB98-06674ECC434A}"/>
                </a:ext>
              </a:extLst>
            </xdr:cNvPr>
            <xdr:cNvSpPr txBox="1"/>
          </xdr:nvSpPr>
          <xdr:spPr>
            <a:xfrm>
              <a:off x="2155825" y="4664075"/>
              <a:ext cx="583686" cy="1890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𝐹𝑖𝑗𝑜 𝑁𝑒𝑡𝑜)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688975</xdr:colOff>
      <xdr:row>27</xdr:row>
      <xdr:rowOff>22225</xdr:rowOff>
    </xdr:from>
    <xdr:ext cx="479940" cy="1729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𝑁𝑒𝑡𝑎𝑠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𝐴𝑐𝑡𝑖𝑣𝑜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7E84B585-95EA-457D-AE22-F6F2C378372E}"/>
                </a:ext>
              </a:extLst>
            </xdr:cNvPr>
            <xdr:cNvSpPr txBox="1"/>
          </xdr:nvSpPr>
          <xdr:spPr>
            <a:xfrm>
              <a:off x="2219325" y="4867275"/>
              <a:ext cx="479940" cy="1729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𝑁𝑒𝑡𝑎𝑠)/(𝐴𝑐𝑡𝑖𝑣𝑜 𝑇𝑜𝑡𝑎𝑙)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333375</xdr:colOff>
      <xdr:row>24</xdr:row>
      <xdr:rowOff>12700</xdr:rowOff>
    </xdr:from>
    <xdr:ext cx="1133965" cy="1908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𝑅𝑜𝑡𝑎𝑐𝑖𝑜𝑛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𝑐𝑢𝑒𝑛𝑡𝑎𝑠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𝑝𝑜𝑟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𝑐𝑜𝑏𝑟𝑎𝑟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A50D06A-FBAB-4271-B8F9-0249F36ED842}"/>
                </a:ext>
              </a:extLst>
            </xdr:cNvPr>
            <xdr:cNvSpPr txBox="1"/>
          </xdr:nvSpPr>
          <xdr:spPr>
            <a:xfrm>
              <a:off x="1863725" y="5143500"/>
              <a:ext cx="1133965" cy="1908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b="0" i="0">
                  <a:latin typeface="Cambria Math" panose="02040503050406030204" pitchFamily="18" charset="0"/>
                </a:rPr>
                <a:t>365/(𝑅𝑜𝑡𝑎𝑐𝑖𝑜𝑛 𝑑𝑒 𝑐𝑢𝑒𝑛𝑡𝑎𝑠 𝑝𝑜𝑟 𝑐𝑜𝑏𝑟𝑎𝑟)</a:t>
              </a:r>
              <a:endParaRPr lang="es-MX" sz="600"/>
            </a:p>
          </xdr:txBody>
        </xdr:sp>
      </mc:Fallback>
    </mc:AlternateContent>
    <xdr:clientData/>
  </xdr:oneCellAnchor>
  <xdr:oneCellAnchor>
    <xdr:from>
      <xdr:col>1</xdr:col>
      <xdr:colOff>441325</xdr:colOff>
      <xdr:row>23</xdr:row>
      <xdr:rowOff>22225</xdr:rowOff>
    </xdr:from>
    <xdr:ext cx="930511" cy="1751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𝑉𝑒𝑛𝑡𝑎𝑠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𝐴𝑛𝑢𝑎𝑙𝑒𝑠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𝐶𝑟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𝑑𝑖𝑡𝑜</m:t>
                        </m:r>
                      </m:num>
                      <m:den>
                        <m:r>
                          <a:rPr lang="es-MX" sz="600" b="0" i="1">
                            <a:latin typeface="Cambria Math" panose="02040503050406030204" pitchFamily="18" charset="0"/>
                          </a:rPr>
                          <m:t>365</m:t>
                        </m:r>
                      </m:den>
                    </m:f>
                  </m:oMath>
                </m:oMathPara>
              </a14:m>
              <a:endParaRPr lang="es-MX" sz="6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8DE37455-A21B-4FFC-A915-6C1DABC6B3F6}"/>
                </a:ext>
              </a:extLst>
            </xdr:cNvPr>
            <xdr:cNvSpPr txBox="1"/>
          </xdr:nvSpPr>
          <xdr:spPr>
            <a:xfrm>
              <a:off x="1971675" y="4930775"/>
              <a:ext cx="930511" cy="1751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600" i="0">
                  <a:latin typeface="Cambria Math" panose="02040503050406030204" pitchFamily="18" charset="0"/>
                </a:rPr>
                <a:t>(</a:t>
              </a:r>
              <a:r>
                <a:rPr lang="es-MX" sz="600" b="0" i="0">
                  <a:latin typeface="Cambria Math" panose="02040503050406030204" pitchFamily="18" charset="0"/>
                </a:rPr>
                <a:t>𝑉𝑒𝑛𝑡𝑎𝑠 𝐴𝑛𝑢𝑎𝑙𝑒𝑠 𝑎 𝐶𝑟é𝑑𝑖𝑡𝑜)/365</a:t>
              </a:r>
              <a:endParaRPr lang="es-MX" sz="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BF09-84E8-4464-8A2F-5A4C60844BDE}">
  <sheetPr>
    <pageSetUpPr fitToPage="1"/>
  </sheetPr>
  <dimension ref="A1:J35"/>
  <sheetViews>
    <sheetView topLeftCell="C4" workbookViewId="0">
      <selection activeCell="J24" sqref="J24"/>
    </sheetView>
  </sheetViews>
  <sheetFormatPr baseColWidth="10" defaultRowHeight="14.5" x14ac:dyDescent="0.35"/>
  <cols>
    <col min="1" max="1" width="31.36328125" style="72" bestFit="1" customWidth="1"/>
    <col min="2" max="2" width="31.26953125" style="72" bestFit="1" customWidth="1"/>
    <col min="3" max="3" width="12.26953125" style="72" bestFit="1" customWidth="1"/>
    <col min="4" max="4" width="13.26953125" style="72" bestFit="1" customWidth="1"/>
    <col min="5" max="5" width="12.26953125" style="72" customWidth="1"/>
    <col min="6" max="6" width="31.36328125" style="72" bestFit="1" customWidth="1"/>
    <col min="7" max="7" width="34.453125" style="72" bestFit="1" customWidth="1"/>
    <col min="8" max="9" width="10.90625" style="72"/>
    <col min="10" max="10" width="12.54296875" style="72" bestFit="1" customWidth="1"/>
    <col min="11" max="16384" width="10.90625" style="72"/>
  </cols>
  <sheetData>
    <row r="1" spans="1:10" ht="19" thickTop="1" x14ac:dyDescent="0.45">
      <c r="A1" s="69" t="s">
        <v>90</v>
      </c>
      <c r="B1" s="70"/>
      <c r="C1" s="70"/>
      <c r="D1" s="70"/>
      <c r="E1" s="70"/>
      <c r="F1" s="70"/>
      <c r="G1" s="70"/>
      <c r="H1" s="70"/>
      <c r="I1" s="70"/>
      <c r="J1" s="71"/>
    </row>
    <row r="2" spans="1:10" ht="15" thickBot="1" x14ac:dyDescent="0.4">
      <c r="A2" s="73" t="s">
        <v>100</v>
      </c>
      <c r="B2" s="74"/>
      <c r="C2" s="74"/>
      <c r="D2" s="74"/>
      <c r="E2" s="74"/>
      <c r="F2" s="74"/>
      <c r="G2" s="74"/>
      <c r="H2" s="74"/>
      <c r="I2" s="74"/>
      <c r="J2" s="75"/>
    </row>
    <row r="3" spans="1:10" ht="15.5" thickTop="1" thickBot="1" x14ac:dyDescent="0.4">
      <c r="A3" s="76" t="s">
        <v>94</v>
      </c>
      <c r="B3" s="77"/>
      <c r="C3" s="77"/>
      <c r="D3" s="77"/>
      <c r="E3" s="77"/>
      <c r="F3" s="77"/>
      <c r="G3" s="77"/>
      <c r="H3" s="77"/>
      <c r="I3" s="77"/>
      <c r="J3" s="78"/>
    </row>
    <row r="4" spans="1:10" ht="19.5" thickTop="1" thickBot="1" x14ac:dyDescent="0.5">
      <c r="A4" s="79" t="s">
        <v>28</v>
      </c>
      <c r="B4" s="79"/>
      <c r="C4" s="79" t="s">
        <v>29</v>
      </c>
      <c r="D4" s="79"/>
      <c r="E4" s="80" t="s">
        <v>37</v>
      </c>
      <c r="F4" s="79" t="s">
        <v>28</v>
      </c>
      <c r="G4" s="79"/>
      <c r="H4" s="79" t="s">
        <v>29</v>
      </c>
      <c r="I4" s="79"/>
      <c r="J4" s="80" t="s">
        <v>37</v>
      </c>
    </row>
    <row r="5" spans="1:10" ht="19" thickTop="1" x14ac:dyDescent="0.45">
      <c r="A5" s="81" t="s">
        <v>0</v>
      </c>
      <c r="B5" s="82"/>
      <c r="C5" s="83"/>
      <c r="D5" s="84"/>
      <c r="E5" s="85"/>
      <c r="F5" s="83" t="s">
        <v>4</v>
      </c>
      <c r="G5" s="84"/>
      <c r="H5" s="83"/>
      <c r="I5" s="84"/>
      <c r="J5" s="86"/>
    </row>
    <row r="6" spans="1:10" ht="15.5" x14ac:dyDescent="0.35">
      <c r="A6" s="87"/>
      <c r="B6" s="88" t="s">
        <v>1</v>
      </c>
      <c r="C6" s="87"/>
      <c r="D6" s="89"/>
      <c r="E6" s="90"/>
      <c r="F6" s="87"/>
      <c r="G6" s="89" t="s">
        <v>1</v>
      </c>
      <c r="H6" s="87"/>
      <c r="I6" s="89"/>
      <c r="J6" s="91"/>
    </row>
    <row r="7" spans="1:10" x14ac:dyDescent="0.35">
      <c r="A7" s="92"/>
      <c r="B7" s="93" t="s">
        <v>6</v>
      </c>
      <c r="C7" s="94">
        <v>520</v>
      </c>
      <c r="D7" s="95"/>
      <c r="E7" s="96">
        <f>(C7/D27)</f>
        <v>6.5540710864633228E-2</v>
      </c>
      <c r="F7" s="92"/>
      <c r="G7" s="97" t="s">
        <v>15</v>
      </c>
      <c r="H7" s="94">
        <v>740</v>
      </c>
      <c r="I7" s="95"/>
      <c r="J7" s="98">
        <f>(H7/I27)</f>
        <v>9.3269473153516511E-2</v>
      </c>
    </row>
    <row r="8" spans="1:10" x14ac:dyDescent="0.35">
      <c r="A8" s="92"/>
      <c r="B8" s="93" t="s">
        <v>7</v>
      </c>
      <c r="C8" s="94">
        <v>734</v>
      </c>
      <c r="D8" s="95"/>
      <c r="E8" s="96">
        <f>(C8/D27)</f>
        <v>9.2513234182001511E-2</v>
      </c>
      <c r="F8" s="92"/>
      <c r="G8" s="97" t="s">
        <v>16</v>
      </c>
      <c r="H8" s="94">
        <v>720</v>
      </c>
      <c r="I8" s="95"/>
      <c r="J8" s="98">
        <f>(H8/I27)</f>
        <v>9.0748676581799845E-2</v>
      </c>
    </row>
    <row r="9" spans="1:10" x14ac:dyDescent="0.35">
      <c r="A9" s="92"/>
      <c r="B9" s="93" t="s">
        <v>95</v>
      </c>
      <c r="C9" s="94">
        <v>300</v>
      </c>
      <c r="D9" s="95"/>
      <c r="E9" s="96">
        <f>(C9/D27)</f>
        <v>3.7811948575749939E-2</v>
      </c>
      <c r="F9" s="92"/>
      <c r="G9" s="97" t="s">
        <v>17</v>
      </c>
      <c r="H9" s="94">
        <v>320</v>
      </c>
      <c r="I9" s="95"/>
      <c r="J9" s="98">
        <f>(H9/I27)</f>
        <v>4.0332745147466598E-2</v>
      </c>
    </row>
    <row r="10" spans="1:10" x14ac:dyDescent="0.35">
      <c r="A10" s="92"/>
      <c r="B10" s="93" t="s">
        <v>8</v>
      </c>
      <c r="C10" s="94">
        <v>1840</v>
      </c>
      <c r="D10" s="95"/>
      <c r="E10" s="96">
        <f>(C10/D27)</f>
        <v>0.23191328459793295</v>
      </c>
      <c r="F10" s="92"/>
      <c r="G10" s="97" t="s">
        <v>21</v>
      </c>
      <c r="H10" s="94"/>
      <c r="I10" s="95">
        <f>SUM(H7:H9)</f>
        <v>1780</v>
      </c>
      <c r="J10" s="98">
        <f>(I10/I27)</f>
        <v>0.22435089488278295</v>
      </c>
    </row>
    <row r="11" spans="1:10" ht="15.5" x14ac:dyDescent="0.35">
      <c r="A11" s="92"/>
      <c r="B11" s="93" t="s">
        <v>9</v>
      </c>
      <c r="C11" s="94">
        <v>400</v>
      </c>
      <c r="D11" s="95"/>
      <c r="E11" s="96">
        <f>(C11/D27)</f>
        <v>5.0415931434333247E-2</v>
      </c>
      <c r="F11" s="92"/>
      <c r="G11" s="89" t="s">
        <v>5</v>
      </c>
      <c r="H11" s="94"/>
      <c r="I11" s="95"/>
      <c r="J11" s="99"/>
    </row>
    <row r="12" spans="1:10" x14ac:dyDescent="0.35">
      <c r="A12" s="92"/>
      <c r="B12" s="93" t="s">
        <v>30</v>
      </c>
      <c r="C12" s="94">
        <v>60</v>
      </c>
      <c r="D12" s="95"/>
      <c r="E12" s="96">
        <f>(C12/D27)</f>
        <v>7.5623897151499871E-3</v>
      </c>
      <c r="F12" s="92"/>
      <c r="G12" s="97" t="s">
        <v>97</v>
      </c>
      <c r="H12" s="94">
        <v>1000</v>
      </c>
      <c r="I12" s="95"/>
      <c r="J12" s="98">
        <f>(H12/I27)</f>
        <v>0.12603982858583312</v>
      </c>
    </row>
    <row r="13" spans="1:10" x14ac:dyDescent="0.35">
      <c r="A13" s="92"/>
      <c r="B13" s="93" t="s">
        <v>19</v>
      </c>
      <c r="C13" s="94"/>
      <c r="D13" s="95">
        <f>SUM(C7:C12)</f>
        <v>3854</v>
      </c>
      <c r="E13" s="96">
        <f>(D13/D27)</f>
        <v>0.48575749936980084</v>
      </c>
      <c r="F13" s="92"/>
      <c r="G13" s="97" t="s">
        <v>26</v>
      </c>
      <c r="H13" s="94">
        <v>620</v>
      </c>
      <c r="I13" s="95"/>
      <c r="J13" s="98">
        <f>(H13/I27)</f>
        <v>7.814469372321653E-2</v>
      </c>
    </row>
    <row r="14" spans="1:10" x14ac:dyDescent="0.35">
      <c r="A14" s="92"/>
      <c r="B14" s="93"/>
      <c r="C14" s="94"/>
      <c r="D14" s="95"/>
      <c r="E14" s="100"/>
      <c r="F14" s="92"/>
      <c r="G14" s="97" t="s">
        <v>105</v>
      </c>
      <c r="H14" s="94"/>
      <c r="I14" s="95">
        <f>SUM(H12:H13)</f>
        <v>1620</v>
      </c>
      <c r="J14" s="98">
        <f>(I14/I27)</f>
        <v>0.20418452230904965</v>
      </c>
    </row>
    <row r="15" spans="1:10" ht="15.5" x14ac:dyDescent="0.35">
      <c r="A15" s="92"/>
      <c r="B15" s="88" t="s">
        <v>2</v>
      </c>
      <c r="C15" s="94"/>
      <c r="D15" s="95"/>
      <c r="E15" s="100"/>
      <c r="F15" s="92"/>
      <c r="G15" s="119" t="s">
        <v>3</v>
      </c>
      <c r="H15" s="94"/>
      <c r="I15" s="95"/>
      <c r="J15" s="98"/>
    </row>
    <row r="16" spans="1:10" x14ac:dyDescent="0.35">
      <c r="A16" s="92"/>
      <c r="B16" s="93" t="s">
        <v>10</v>
      </c>
      <c r="C16" s="94">
        <v>1400</v>
      </c>
      <c r="D16" s="95"/>
      <c r="E16" s="96">
        <f>(C16/D27)</f>
        <v>0.17645576002016639</v>
      </c>
      <c r="F16" s="92"/>
      <c r="G16" s="97" t="s">
        <v>18</v>
      </c>
      <c r="H16" s="94">
        <v>140</v>
      </c>
      <c r="I16" s="95"/>
      <c r="J16" s="98">
        <f>(H16/I27)</f>
        <v>1.7645576002016636E-2</v>
      </c>
    </row>
    <row r="17" spans="1:10" x14ac:dyDescent="0.35">
      <c r="A17" s="92"/>
      <c r="B17" s="93" t="s">
        <v>11</v>
      </c>
      <c r="C17" s="94">
        <v>1694</v>
      </c>
      <c r="D17" s="95"/>
      <c r="E17" s="96"/>
      <c r="F17" s="92"/>
      <c r="G17" s="97" t="s">
        <v>14</v>
      </c>
      <c r="H17" s="94">
        <v>40</v>
      </c>
      <c r="I17" s="95"/>
      <c r="J17" s="98">
        <f>(H17/I27)</f>
        <v>5.0415931434333247E-3</v>
      </c>
    </row>
    <row r="18" spans="1:10" ht="15.5" x14ac:dyDescent="0.35">
      <c r="A18" s="92"/>
      <c r="B18" s="93" t="s">
        <v>99</v>
      </c>
      <c r="C18" s="94">
        <v>-84</v>
      </c>
      <c r="D18" s="95">
        <f>C17+C18</f>
        <v>1610</v>
      </c>
      <c r="E18" s="96">
        <f>(D18/D27)</f>
        <v>0.20292412402319132</v>
      </c>
      <c r="F18" s="87"/>
      <c r="G18" s="97" t="s">
        <v>104</v>
      </c>
      <c r="H18" s="94"/>
      <c r="I18" s="95">
        <f>SUM(H16:H17)</f>
        <v>180</v>
      </c>
      <c r="J18" s="98">
        <f>(I18/I27)</f>
        <v>2.2687169145449961E-2</v>
      </c>
    </row>
    <row r="19" spans="1:10" ht="15.5" x14ac:dyDescent="0.35">
      <c r="A19" s="92"/>
      <c r="B19" s="93" t="s">
        <v>96</v>
      </c>
      <c r="C19" s="94">
        <v>900</v>
      </c>
      <c r="D19" s="95"/>
      <c r="E19" s="96"/>
      <c r="F19" s="87" t="s">
        <v>22</v>
      </c>
      <c r="G19" s="97"/>
      <c r="H19" s="94"/>
      <c r="I19" s="95">
        <f>SUM(I10:I18)</f>
        <v>3580</v>
      </c>
      <c r="J19" s="98">
        <f>(I19/I27)</f>
        <v>0.45122258633728257</v>
      </c>
    </row>
    <row r="20" spans="1:10" ht="14.5" customHeight="1" x14ac:dyDescent="0.45">
      <c r="A20" s="92"/>
      <c r="B20" s="93" t="s">
        <v>99</v>
      </c>
      <c r="C20" s="94">
        <v>-90</v>
      </c>
      <c r="D20" s="95">
        <f>C19+C20</f>
        <v>810</v>
      </c>
      <c r="E20" s="96">
        <f>(D20/D27)</f>
        <v>0.10209226115452483</v>
      </c>
      <c r="F20" s="101"/>
      <c r="G20" s="97"/>
      <c r="H20" s="94"/>
      <c r="I20" s="95"/>
      <c r="J20" s="99"/>
    </row>
    <row r="21" spans="1:10" ht="18.5" x14ac:dyDescent="0.45">
      <c r="A21" s="92"/>
      <c r="B21" s="93" t="s">
        <v>103</v>
      </c>
      <c r="C21" s="94"/>
      <c r="D21" s="95">
        <f>SUM(C16:C20)</f>
        <v>3820</v>
      </c>
      <c r="E21" s="96">
        <f>(D21/D27)</f>
        <v>0.48147214519788251</v>
      </c>
      <c r="F21" s="101" t="s">
        <v>31</v>
      </c>
      <c r="G21" s="97"/>
      <c r="H21" s="94"/>
      <c r="I21" s="95"/>
      <c r="J21" s="99"/>
    </row>
    <row r="22" spans="1:10" x14ac:dyDescent="0.35">
      <c r="A22" s="92"/>
      <c r="B22" s="93"/>
      <c r="C22" s="94"/>
      <c r="D22" s="95"/>
      <c r="E22" s="100"/>
      <c r="F22" s="92"/>
      <c r="G22" s="97" t="s">
        <v>32</v>
      </c>
      <c r="H22" s="94"/>
      <c r="I22" s="95">
        <f>(D27-I19-I23-I24)</f>
        <v>3400</v>
      </c>
      <c r="J22" s="98">
        <f>(I22/I27)</f>
        <v>0.42853541719183263</v>
      </c>
    </row>
    <row r="23" spans="1:10" ht="15.5" x14ac:dyDescent="0.35">
      <c r="A23" s="92"/>
      <c r="B23" s="88" t="s">
        <v>3</v>
      </c>
      <c r="C23" s="94"/>
      <c r="D23" s="95"/>
      <c r="E23" s="100"/>
      <c r="F23" s="92"/>
      <c r="G23" s="97" t="s">
        <v>98</v>
      </c>
      <c r="H23" s="94"/>
      <c r="I23" s="95">
        <v>589.20000000000005</v>
      </c>
      <c r="J23" s="98">
        <f>(I23/I27)</f>
        <v>7.4262667002772884E-2</v>
      </c>
    </row>
    <row r="24" spans="1:10" ht="15.5" x14ac:dyDescent="0.35">
      <c r="A24" s="92"/>
      <c r="B24" s="93" t="s">
        <v>12</v>
      </c>
      <c r="C24" s="94">
        <v>180</v>
      </c>
      <c r="D24" s="95"/>
      <c r="E24" s="96">
        <f>(C24/D27)</f>
        <v>2.2687169145449961E-2</v>
      </c>
      <c r="F24" s="87"/>
      <c r="G24" s="97" t="s">
        <v>35</v>
      </c>
      <c r="H24" s="94"/>
      <c r="I24" s="95">
        <f>Resultados!E22</f>
        <v>364.8</v>
      </c>
      <c r="J24" s="98">
        <f>(I24/I27)</f>
        <v>4.5979329468111924E-2</v>
      </c>
    </row>
    <row r="25" spans="1:10" ht="15.5" x14ac:dyDescent="0.35">
      <c r="A25" s="92"/>
      <c r="B25" s="93" t="s">
        <v>13</v>
      </c>
      <c r="C25" s="94">
        <v>80</v>
      </c>
      <c r="D25" s="95"/>
      <c r="E25" s="96">
        <f>(C25/D27)</f>
        <v>1.0083186286866649E-2</v>
      </c>
      <c r="F25" s="87" t="s">
        <v>33</v>
      </c>
      <c r="G25" s="97"/>
      <c r="H25" s="94"/>
      <c r="I25" s="95">
        <f>SUM(I22:I24)</f>
        <v>4354</v>
      </c>
      <c r="J25" s="98">
        <f>(I25/I27)</f>
        <v>0.54877741366271737</v>
      </c>
    </row>
    <row r="26" spans="1:10" x14ac:dyDescent="0.35">
      <c r="A26" s="92"/>
      <c r="B26" s="93" t="s">
        <v>20</v>
      </c>
      <c r="C26" s="94"/>
      <c r="D26" s="95">
        <f>SUM(C24:C25)</f>
        <v>260</v>
      </c>
      <c r="E26" s="96">
        <f>(D26/D27)</f>
        <v>3.2770355432316614E-2</v>
      </c>
      <c r="F26" s="92"/>
      <c r="G26" s="97"/>
      <c r="H26" s="92"/>
      <c r="I26" s="97"/>
      <c r="J26" s="102"/>
    </row>
    <row r="27" spans="1:10" ht="15" thickBot="1" x14ac:dyDescent="0.4">
      <c r="A27" s="103" t="s">
        <v>27</v>
      </c>
      <c r="B27" s="104"/>
      <c r="C27" s="105"/>
      <c r="D27" s="106">
        <f>SUM(D13,D21,D26)</f>
        <v>7934</v>
      </c>
      <c r="E27" s="107">
        <f>(D27/D27)</f>
        <v>1</v>
      </c>
      <c r="F27" s="103" t="s">
        <v>34</v>
      </c>
      <c r="G27" s="108"/>
      <c r="H27" s="109"/>
      <c r="I27" s="106">
        <f>SUM(I19,I25)</f>
        <v>7934</v>
      </c>
      <c r="J27" s="110">
        <f>(I27/I27)</f>
        <v>1</v>
      </c>
    </row>
    <row r="28" spans="1:10" ht="15.5" thickTop="1" thickBot="1" x14ac:dyDescent="0.4"/>
    <row r="29" spans="1:10" ht="15" customHeight="1" thickBot="1" x14ac:dyDescent="0.4">
      <c r="B29" s="111" t="s">
        <v>23</v>
      </c>
      <c r="C29" s="112"/>
      <c r="D29" s="112"/>
      <c r="E29" s="113"/>
      <c r="G29" s="111" t="s">
        <v>24</v>
      </c>
    </row>
    <row r="30" spans="1:10" ht="15" thickBot="1" x14ac:dyDescent="0.4">
      <c r="B30" s="112"/>
      <c r="C30" s="112"/>
      <c r="D30" s="112"/>
      <c r="E30" s="114"/>
      <c r="G30" s="112"/>
    </row>
    <row r="31" spans="1:10" ht="15" thickBot="1" x14ac:dyDescent="0.4">
      <c r="B31" s="112"/>
      <c r="C31" s="112"/>
      <c r="D31" s="112"/>
      <c r="E31" s="114"/>
      <c r="G31" s="112"/>
    </row>
    <row r="32" spans="1:10" ht="15" thickBot="1" x14ac:dyDescent="0.4">
      <c r="B32" s="112"/>
      <c r="C32" s="112"/>
      <c r="D32" s="112"/>
      <c r="E32" s="114"/>
      <c r="G32" s="112"/>
    </row>
    <row r="33" spans="2:7" ht="15" thickBot="1" x14ac:dyDescent="0.4">
      <c r="B33" s="115"/>
      <c r="C33" s="112"/>
      <c r="D33" s="112"/>
      <c r="E33" s="116"/>
      <c r="G33" s="115"/>
    </row>
    <row r="34" spans="2:7" ht="15" thickBot="1" x14ac:dyDescent="0.4">
      <c r="B34" s="117"/>
      <c r="C34" s="112"/>
      <c r="D34" s="112"/>
      <c r="E34" s="118"/>
      <c r="G34" s="117"/>
    </row>
    <row r="35" spans="2:7" ht="15" customHeight="1" thickBot="1" x14ac:dyDescent="0.4">
      <c r="B35" s="117" t="s">
        <v>36</v>
      </c>
      <c r="G35" s="117" t="s">
        <v>25</v>
      </c>
    </row>
  </sheetData>
  <mergeCells count="7">
    <mergeCell ref="A1:J1"/>
    <mergeCell ref="A2:J2"/>
    <mergeCell ref="F4:G4"/>
    <mergeCell ref="H4:I4"/>
    <mergeCell ref="A3:J3"/>
    <mergeCell ref="A4:B4"/>
    <mergeCell ref="C4:D4"/>
  </mergeCells>
  <pageMargins left="0.25" right="0.25" top="0.75" bottom="0.75" header="0.3" footer="0.3"/>
  <pageSetup paperSize="9" scale="52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056-6499-4FA0-9954-42E42ED5B741}">
  <dimension ref="A1:F30"/>
  <sheetViews>
    <sheetView workbookViewId="0">
      <selection activeCell="E8" sqref="E8"/>
    </sheetView>
  </sheetViews>
  <sheetFormatPr baseColWidth="10" defaultRowHeight="14.5" x14ac:dyDescent="0.35"/>
  <cols>
    <col min="1" max="1" width="42.26953125" bestFit="1" customWidth="1"/>
    <col min="2" max="2" width="11.6328125" customWidth="1"/>
    <col min="3" max="3" width="11.7265625" customWidth="1"/>
    <col min="4" max="5" width="12" customWidth="1"/>
  </cols>
  <sheetData>
    <row r="1" spans="1:6" x14ac:dyDescent="0.35">
      <c r="A1" s="53" t="s">
        <v>91</v>
      </c>
      <c r="B1" s="54"/>
      <c r="C1" s="54"/>
      <c r="D1" s="54"/>
      <c r="E1" s="54"/>
      <c r="F1" s="55"/>
    </row>
    <row r="2" spans="1:6" x14ac:dyDescent="0.35">
      <c r="A2" s="56" t="s">
        <v>71</v>
      </c>
      <c r="B2" s="57"/>
      <c r="C2" s="57"/>
      <c r="D2" s="57"/>
      <c r="E2" s="57"/>
      <c r="F2" s="58"/>
    </row>
    <row r="3" spans="1:6" ht="15" thickBot="1" x14ac:dyDescent="0.4">
      <c r="A3" s="59" t="s">
        <v>89</v>
      </c>
      <c r="B3" s="60"/>
      <c r="C3" s="60"/>
      <c r="D3" s="60"/>
      <c r="E3" s="60"/>
      <c r="F3" s="61"/>
    </row>
    <row r="4" spans="1:6" ht="15" thickBot="1" x14ac:dyDescent="0.4">
      <c r="A4" s="50" t="s">
        <v>85</v>
      </c>
      <c r="B4" s="51"/>
      <c r="C4" s="51"/>
      <c r="D4" s="51"/>
      <c r="E4" s="52"/>
      <c r="F4" s="22" t="s">
        <v>84</v>
      </c>
    </row>
    <row r="5" spans="1:6" x14ac:dyDescent="0.35">
      <c r="A5" s="9" t="s">
        <v>72</v>
      </c>
      <c r="B5" s="2"/>
      <c r="C5" s="3"/>
      <c r="D5" s="3">
        <v>3800</v>
      </c>
      <c r="E5" s="4"/>
      <c r="F5" s="24">
        <f>D5/E8</f>
        <v>1.0365521003818876</v>
      </c>
    </row>
    <row r="6" spans="1:6" x14ac:dyDescent="0.35">
      <c r="A6" s="1" t="s">
        <v>73</v>
      </c>
      <c r="B6" s="2"/>
      <c r="C6" s="3">
        <v>50</v>
      </c>
      <c r="D6" s="3"/>
      <c r="E6" s="4"/>
      <c r="F6" s="25">
        <f>C6/E8</f>
        <v>1.3638843426077468E-2</v>
      </c>
    </row>
    <row r="7" spans="1:6" x14ac:dyDescent="0.35">
      <c r="A7" s="1" t="s">
        <v>74</v>
      </c>
      <c r="B7" s="2"/>
      <c r="C7" s="3">
        <v>84</v>
      </c>
      <c r="D7" s="3">
        <f>SUM(C6:C7)</f>
        <v>134</v>
      </c>
      <c r="E7" s="4"/>
      <c r="F7" s="25">
        <f>D7/E8</f>
        <v>3.6552100381887616E-2</v>
      </c>
    </row>
    <row r="8" spans="1:6" x14ac:dyDescent="0.35">
      <c r="A8" s="5" t="s">
        <v>75</v>
      </c>
      <c r="B8" s="6"/>
      <c r="C8" s="7"/>
      <c r="D8" s="7"/>
      <c r="E8" s="8">
        <f>SUM(-C6-C7+D5)</f>
        <v>3666</v>
      </c>
      <c r="F8" s="25">
        <f>E8/E8</f>
        <v>1</v>
      </c>
    </row>
    <row r="9" spans="1:6" x14ac:dyDescent="0.35">
      <c r="A9" s="5" t="s">
        <v>92</v>
      </c>
      <c r="B9" s="6"/>
      <c r="C9" s="7"/>
      <c r="D9" s="7"/>
      <c r="E9" s="8">
        <v>2400</v>
      </c>
      <c r="F9" s="25">
        <f>E9/E8</f>
        <v>0.65466448445171854</v>
      </c>
    </row>
    <row r="10" spans="1:6" x14ac:dyDescent="0.35">
      <c r="A10" s="5" t="s">
        <v>76</v>
      </c>
      <c r="B10" s="6"/>
      <c r="C10" s="7"/>
      <c r="D10" s="10"/>
      <c r="E10" s="8">
        <v>2038</v>
      </c>
      <c r="F10" s="25">
        <f>E10/E8</f>
        <v>0.55591925804691766</v>
      </c>
    </row>
    <row r="11" spans="1:6" x14ac:dyDescent="0.35">
      <c r="A11" s="5" t="s">
        <v>88</v>
      </c>
      <c r="B11" s="6"/>
      <c r="C11" s="7"/>
      <c r="D11" s="10"/>
      <c r="E11" s="8">
        <f>(E8-E10)</f>
        <v>1628</v>
      </c>
      <c r="F11" s="25">
        <f>E11/E8</f>
        <v>0.44408074195308239</v>
      </c>
    </row>
    <row r="12" spans="1:6" x14ac:dyDescent="0.35">
      <c r="A12" s="1" t="s">
        <v>77</v>
      </c>
      <c r="B12" s="11"/>
      <c r="C12" s="12"/>
      <c r="D12" s="13">
        <v>274</v>
      </c>
      <c r="E12" s="14"/>
      <c r="F12" s="25">
        <f>D12/E8</f>
        <v>7.4740861974904524E-2</v>
      </c>
    </row>
    <row r="13" spans="1:6" x14ac:dyDescent="0.35">
      <c r="A13" s="1" t="s">
        <v>78</v>
      </c>
      <c r="B13" s="11"/>
      <c r="C13" s="12"/>
      <c r="D13" s="13">
        <v>284</v>
      </c>
      <c r="E13" s="14"/>
      <c r="F13" s="25">
        <f>D13/E8</f>
        <v>7.7468630660120025E-2</v>
      </c>
    </row>
    <row r="14" spans="1:6" x14ac:dyDescent="0.35">
      <c r="A14" s="1" t="s">
        <v>79</v>
      </c>
      <c r="B14" s="11"/>
      <c r="C14" s="12"/>
      <c r="D14" s="13">
        <v>30</v>
      </c>
      <c r="E14" s="14"/>
      <c r="F14" s="25">
        <f>D14/E8</f>
        <v>8.1833060556464818E-3</v>
      </c>
    </row>
    <row r="15" spans="1:6" x14ac:dyDescent="0.35">
      <c r="A15" s="1" t="s">
        <v>80</v>
      </c>
      <c r="B15" s="11"/>
      <c r="C15" s="12"/>
      <c r="D15" s="13">
        <v>494</v>
      </c>
      <c r="E15" s="14"/>
      <c r="F15" s="25">
        <f>D15/E8</f>
        <v>0.13475177304964539</v>
      </c>
    </row>
    <row r="16" spans="1:6" x14ac:dyDescent="0.35">
      <c r="A16" s="15" t="s">
        <v>87</v>
      </c>
      <c r="B16" s="11"/>
      <c r="C16" s="12"/>
      <c r="D16" s="12"/>
      <c r="E16" s="16">
        <f>(E11-D12-D13+D14-D15)</f>
        <v>606</v>
      </c>
      <c r="F16" s="25">
        <f>E16/E8</f>
        <v>0.16530278232405893</v>
      </c>
    </row>
    <row r="17" spans="1:6" x14ac:dyDescent="0.35">
      <c r="A17" s="1" t="s">
        <v>93</v>
      </c>
      <c r="B17" s="11"/>
      <c r="C17" s="12"/>
      <c r="D17" s="12">
        <v>8</v>
      </c>
      <c r="E17" s="17"/>
      <c r="F17" s="25">
        <f>D17/E8</f>
        <v>2.1822149481723948E-3</v>
      </c>
    </row>
    <row r="18" spans="1:6" x14ac:dyDescent="0.35">
      <c r="A18" s="1" t="s">
        <v>81</v>
      </c>
      <c r="B18" s="11"/>
      <c r="C18" s="12"/>
      <c r="D18" s="12">
        <v>10</v>
      </c>
      <c r="E18" s="17"/>
      <c r="F18" s="25">
        <f>D18/E8</f>
        <v>2.7277686852154939E-3</v>
      </c>
    </row>
    <row r="19" spans="1:6" x14ac:dyDescent="0.35">
      <c r="A19" s="15" t="s">
        <v>86</v>
      </c>
      <c r="B19" s="11"/>
      <c r="C19" s="12"/>
      <c r="D19" s="12"/>
      <c r="E19" s="16">
        <f>(E16-D17+D18)</f>
        <v>608</v>
      </c>
      <c r="F19" s="25">
        <f>E19/E8</f>
        <v>0.16584833606110203</v>
      </c>
    </row>
    <row r="20" spans="1:6" x14ac:dyDescent="0.35">
      <c r="A20" s="1" t="s">
        <v>82</v>
      </c>
      <c r="B20" s="11"/>
      <c r="C20" s="12"/>
      <c r="D20" s="12">
        <f>E19*0.3</f>
        <v>182.4</v>
      </c>
      <c r="E20" s="17"/>
      <c r="F20" s="25">
        <f>D20/E8</f>
        <v>4.9754500818330605E-2</v>
      </c>
    </row>
    <row r="21" spans="1:6" x14ac:dyDescent="0.35">
      <c r="A21" s="1" t="s">
        <v>83</v>
      </c>
      <c r="B21" s="11"/>
      <c r="C21" s="12"/>
      <c r="D21" s="12">
        <f>E19*0.1</f>
        <v>60.800000000000004</v>
      </c>
      <c r="E21" s="17"/>
      <c r="F21" s="25">
        <f>D21/E8</f>
        <v>1.6584833606110204E-2</v>
      </c>
    </row>
    <row r="22" spans="1:6" ht="15" thickBot="1" x14ac:dyDescent="0.4">
      <c r="A22" s="18" t="s">
        <v>35</v>
      </c>
      <c r="B22" s="19"/>
      <c r="C22" s="20"/>
      <c r="D22" s="20"/>
      <c r="E22" s="21">
        <f>E19-D20-D21</f>
        <v>364.8</v>
      </c>
      <c r="F22" s="23">
        <f>E22/E8</f>
        <v>9.950900163666121E-2</v>
      </c>
    </row>
    <row r="23" spans="1:6" ht="15" thickBot="1" x14ac:dyDescent="0.4"/>
    <row r="24" spans="1:6" ht="15" customHeight="1" thickBot="1" x14ac:dyDescent="0.4">
      <c r="A24" s="26" t="s">
        <v>101</v>
      </c>
      <c r="C24" s="47" t="s">
        <v>102</v>
      </c>
      <c r="D24" s="47"/>
      <c r="E24" s="47"/>
      <c r="F24" s="47"/>
    </row>
    <row r="25" spans="1:6" ht="15" thickBot="1" x14ac:dyDescent="0.4">
      <c r="A25" s="27"/>
      <c r="D25" s="31"/>
    </row>
    <row r="26" spans="1:6" ht="15" thickBot="1" x14ac:dyDescent="0.4">
      <c r="A26" s="27"/>
      <c r="D26" s="27"/>
    </row>
    <row r="27" spans="1:6" ht="15" thickBot="1" x14ac:dyDescent="0.4">
      <c r="A27" s="27"/>
      <c r="D27" s="27"/>
    </row>
    <row r="28" spans="1:6" ht="15" thickBot="1" x14ac:dyDescent="0.4">
      <c r="A28" s="28"/>
      <c r="C28" s="49"/>
      <c r="D28" s="49"/>
      <c r="E28" s="49"/>
      <c r="F28" s="49"/>
    </row>
    <row r="29" spans="1:6" ht="15" thickBot="1" x14ac:dyDescent="0.4">
      <c r="A29" s="29"/>
      <c r="D29" s="30"/>
    </row>
    <row r="30" spans="1:6" ht="15" customHeight="1" thickBot="1" x14ac:dyDescent="0.4">
      <c r="A30" s="29" t="s">
        <v>36</v>
      </c>
      <c r="C30" s="48" t="s">
        <v>25</v>
      </c>
      <c r="D30" s="48"/>
      <c r="E30" s="48"/>
      <c r="F30" s="48"/>
    </row>
  </sheetData>
  <mergeCells count="7">
    <mergeCell ref="C24:F24"/>
    <mergeCell ref="C30:F30"/>
    <mergeCell ref="C28:F28"/>
    <mergeCell ref="A4:E4"/>
    <mergeCell ref="A1:F1"/>
    <mergeCell ref="A2:F2"/>
    <mergeCell ref="A3:F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06E1-FAD5-4913-B99A-F82E64D01B90}">
  <dimension ref="A1:E29"/>
  <sheetViews>
    <sheetView tabSelected="1" workbookViewId="0">
      <selection activeCell="I17" sqref="I17"/>
    </sheetView>
  </sheetViews>
  <sheetFormatPr baseColWidth="10" defaultRowHeight="14.5" x14ac:dyDescent="0.35"/>
  <cols>
    <col min="1" max="1" width="21.90625" style="33" customWidth="1"/>
    <col min="2" max="2" width="24.6328125" style="33" customWidth="1"/>
    <col min="3" max="16384" width="10.90625" style="33"/>
  </cols>
  <sheetData>
    <row r="1" spans="1:5" ht="15.5" thickTop="1" thickBot="1" x14ac:dyDescent="0.4">
      <c r="A1" s="62" t="s">
        <v>38</v>
      </c>
      <c r="B1" s="66"/>
      <c r="C1" s="67" t="s">
        <v>39</v>
      </c>
      <c r="D1" s="67" t="s">
        <v>40</v>
      </c>
      <c r="E1" s="32" t="s">
        <v>41</v>
      </c>
    </row>
    <row r="2" spans="1:5" ht="15" thickBot="1" x14ac:dyDescent="0.4">
      <c r="A2" s="34" t="s">
        <v>43</v>
      </c>
      <c r="B2" s="35" t="s">
        <v>44</v>
      </c>
      <c r="C2" s="68"/>
      <c r="D2" s="68"/>
      <c r="E2" s="36" t="s">
        <v>42</v>
      </c>
    </row>
    <row r="3" spans="1:5" ht="15.5" thickTop="1" thickBot="1" x14ac:dyDescent="0.4">
      <c r="A3" s="62" t="s">
        <v>45</v>
      </c>
      <c r="B3" s="63"/>
      <c r="C3" s="64"/>
      <c r="D3" s="64"/>
      <c r="E3" s="65"/>
    </row>
    <row r="4" spans="1:5" ht="18.5" customHeight="1" thickBot="1" x14ac:dyDescent="0.4">
      <c r="A4" s="37" t="s">
        <v>46</v>
      </c>
      <c r="B4" s="38"/>
      <c r="C4" s="40">
        <f>(Resultados!E22)/(Resultados!E8)</f>
        <v>9.950900163666121E-2</v>
      </c>
      <c r="D4" s="40">
        <v>0.12</v>
      </c>
      <c r="E4" s="120">
        <f>C4-D4</f>
        <v>-2.0490998363338786E-2</v>
      </c>
    </row>
    <row r="5" spans="1:5" ht="18" customHeight="1" thickBot="1" x14ac:dyDescent="0.4">
      <c r="A5" s="37" t="s">
        <v>47</v>
      </c>
      <c r="B5" s="38"/>
      <c r="C5" s="40">
        <f>Resultados!E22/Balance!D27</f>
        <v>4.5979329468111924E-2</v>
      </c>
      <c r="D5" s="40">
        <v>0.06</v>
      </c>
      <c r="E5" s="120">
        <f>C5-D5</f>
        <v>-1.4020670531888074E-2</v>
      </c>
    </row>
    <row r="6" spans="1:5" ht="18" customHeight="1" thickBot="1" x14ac:dyDescent="0.4">
      <c r="A6" s="42" t="s">
        <v>48</v>
      </c>
      <c r="B6" s="38"/>
      <c r="C6" s="44">
        <f>Resultados!E22/Balance!I25</f>
        <v>8.3785025264124943E-2</v>
      </c>
      <c r="D6" s="44">
        <v>0.1</v>
      </c>
      <c r="E6" s="120">
        <f>C6-D6</f>
        <v>-1.6214974735875062E-2</v>
      </c>
    </row>
    <row r="7" spans="1:5" ht="15.5" thickTop="1" thickBot="1" x14ac:dyDescent="0.4">
      <c r="A7" s="62" t="s">
        <v>49</v>
      </c>
      <c r="B7" s="63"/>
      <c r="C7" s="64"/>
      <c r="D7" s="64"/>
      <c r="E7" s="65"/>
    </row>
    <row r="8" spans="1:5" ht="16.5" customHeight="1" thickBot="1" x14ac:dyDescent="0.4">
      <c r="A8" s="37" t="s">
        <v>50</v>
      </c>
      <c r="B8" s="38"/>
      <c r="C8" s="39">
        <f>Balance!D13/Balance!I10</f>
        <v>2.1651685393258426</v>
      </c>
      <c r="D8" s="39">
        <v>2</v>
      </c>
      <c r="E8" s="41">
        <f>C8-D8</f>
        <v>0.16516853932584263</v>
      </c>
    </row>
    <row r="9" spans="1:5" ht="17" customHeight="1" thickBot="1" x14ac:dyDescent="0.4">
      <c r="A9" s="37" t="s">
        <v>51</v>
      </c>
      <c r="B9" s="38"/>
      <c r="C9" s="39">
        <f>(Balance!D13-Balance!C10)/Balance!I10</f>
        <v>1.1314606741573034</v>
      </c>
      <c r="D9" s="39">
        <v>2</v>
      </c>
      <c r="E9" s="41">
        <f>C9-D9</f>
        <v>-0.86853932584269655</v>
      </c>
    </row>
    <row r="10" spans="1:5" ht="15" thickBot="1" x14ac:dyDescent="0.4">
      <c r="A10" s="42" t="s">
        <v>52</v>
      </c>
      <c r="B10" s="45"/>
      <c r="C10" s="39">
        <f>Balance!D13-Balance!I10</f>
        <v>2074</v>
      </c>
      <c r="D10" s="43">
        <v>2</v>
      </c>
      <c r="E10" s="41">
        <f>C10-D10</f>
        <v>2072</v>
      </c>
    </row>
    <row r="11" spans="1:5" ht="15.5" thickTop="1" thickBot="1" x14ac:dyDescent="0.4">
      <c r="A11" s="62" t="s">
        <v>53</v>
      </c>
      <c r="B11" s="63"/>
      <c r="C11" s="64"/>
      <c r="D11" s="64"/>
      <c r="E11" s="65"/>
    </row>
    <row r="12" spans="1:5" ht="17" customHeight="1" thickBot="1" x14ac:dyDescent="0.4">
      <c r="A12" s="37" t="s">
        <v>54</v>
      </c>
      <c r="B12" s="38"/>
      <c r="C12" s="39">
        <f>Balance!D27/Balance!I19</f>
        <v>2.2162011173184357</v>
      </c>
      <c r="D12" s="39">
        <v>3</v>
      </c>
      <c r="E12" s="41">
        <f>C12-D12</f>
        <v>-0.78379888268156428</v>
      </c>
    </row>
    <row r="13" spans="1:5" ht="17.5" customHeight="1" thickBot="1" x14ac:dyDescent="0.4">
      <c r="A13" s="37" t="s">
        <v>55</v>
      </c>
      <c r="B13" s="38"/>
      <c r="C13" s="39">
        <f>Balance!D21/Balance!I14</f>
        <v>2.3580246913580245</v>
      </c>
      <c r="D13" s="39">
        <v>2</v>
      </c>
      <c r="E13" s="41">
        <f>C13-D13</f>
        <v>0.3580246913580245</v>
      </c>
    </row>
    <row r="14" spans="1:5" ht="18" customHeight="1" thickBot="1" x14ac:dyDescent="0.4">
      <c r="A14" s="37" t="s">
        <v>56</v>
      </c>
      <c r="B14" s="38"/>
      <c r="C14" s="40">
        <f>Balance!D21/Balance!I22</f>
        <v>1.1235294117647059</v>
      </c>
      <c r="D14" s="40">
        <v>0.35</v>
      </c>
      <c r="E14" s="120">
        <f>C14-D14</f>
        <v>0.77352941176470591</v>
      </c>
    </row>
    <row r="15" spans="1:5" ht="18" customHeight="1" thickBot="1" x14ac:dyDescent="0.4">
      <c r="A15" s="42" t="s">
        <v>57</v>
      </c>
      <c r="B15" s="38"/>
      <c r="C15" s="40">
        <f>Balance!D21/Balance!I25</f>
        <v>0.87735415709692233</v>
      </c>
      <c r="D15" s="44"/>
      <c r="E15" s="120">
        <f>C15-D15</f>
        <v>0.87735415709692233</v>
      </c>
    </row>
    <row r="16" spans="1:5" ht="15.5" thickTop="1" thickBot="1" x14ac:dyDescent="0.4">
      <c r="A16" s="62" t="s">
        <v>58</v>
      </c>
      <c r="B16" s="63"/>
      <c r="C16" s="64"/>
      <c r="D16" s="64"/>
      <c r="E16" s="65"/>
    </row>
    <row r="17" spans="1:5" ht="17" customHeight="1" thickBot="1" x14ac:dyDescent="0.4">
      <c r="A17" s="37" t="s">
        <v>59</v>
      </c>
      <c r="B17" s="38"/>
      <c r="C17" s="40">
        <f>Balance!I19/Balance!D27</f>
        <v>0.45122258633728257</v>
      </c>
      <c r="D17" s="40">
        <v>0.4</v>
      </c>
      <c r="E17" s="120">
        <f>C17-D17</f>
        <v>5.122258633728255E-2</v>
      </c>
    </row>
    <row r="18" spans="1:5" ht="17" customHeight="1" thickBot="1" x14ac:dyDescent="0.4">
      <c r="A18" s="37" t="s">
        <v>60</v>
      </c>
      <c r="B18" s="38"/>
      <c r="C18" s="39">
        <f>Resultados!E16/(Resultados!D15)</f>
        <v>1.2267206477732793</v>
      </c>
      <c r="D18" s="39">
        <v>40</v>
      </c>
      <c r="E18" s="41">
        <f>C18-D18</f>
        <v>-38.773279352226723</v>
      </c>
    </row>
    <row r="19" spans="1:5" ht="18" customHeight="1" thickBot="1" x14ac:dyDescent="0.4">
      <c r="A19" s="37" t="s">
        <v>61</v>
      </c>
      <c r="B19" s="38"/>
      <c r="C19" s="39">
        <f>(Resultados!E11)/(20+20+Resultados!D17)</f>
        <v>33.916666666666664</v>
      </c>
      <c r="D19" s="39">
        <v>35</v>
      </c>
      <c r="E19" s="41">
        <f>C19-D19</f>
        <v>-1.0833333333333357</v>
      </c>
    </row>
    <row r="20" spans="1:5" ht="18.5" customHeight="1" thickBot="1" x14ac:dyDescent="0.4">
      <c r="A20" s="42" t="s">
        <v>62</v>
      </c>
      <c r="B20" s="45"/>
      <c r="C20" s="43">
        <f>Balance!I19/Balance!I24</f>
        <v>9.8135964912280702</v>
      </c>
      <c r="D20" s="43"/>
      <c r="E20" s="41">
        <f>C20-D20</f>
        <v>9.8135964912280702</v>
      </c>
    </row>
    <row r="21" spans="1:5" ht="16" customHeight="1" thickTop="1" thickBot="1" x14ac:dyDescent="0.4">
      <c r="A21" s="62" t="s">
        <v>63</v>
      </c>
      <c r="B21" s="63"/>
      <c r="C21" s="46"/>
      <c r="D21" s="46"/>
      <c r="E21" s="41"/>
    </row>
    <row r="22" spans="1:5" ht="16.5" customHeight="1" thickBot="1" x14ac:dyDescent="0.4">
      <c r="A22" s="37" t="s">
        <v>64</v>
      </c>
      <c r="B22" s="38"/>
      <c r="C22" s="39">
        <f>Resultados!E9/Balance!C11</f>
        <v>6</v>
      </c>
      <c r="D22" s="39">
        <v>12</v>
      </c>
      <c r="E22" s="41">
        <f>C22-D22</f>
        <v>-6</v>
      </c>
    </row>
    <row r="23" spans="1:5" ht="17.5" customHeight="1" thickBot="1" x14ac:dyDescent="0.4">
      <c r="A23" s="37" t="s">
        <v>65</v>
      </c>
      <c r="B23" s="38"/>
      <c r="C23" s="39">
        <f>Balance!C11/C24</f>
        <v>60.833333333333336</v>
      </c>
      <c r="D23" s="39">
        <v>21</v>
      </c>
      <c r="E23" s="41">
        <f>C23-D23</f>
        <v>39.833333333333336</v>
      </c>
    </row>
    <row r="24" spans="1:5" ht="17.5" customHeight="1" thickBot="1" x14ac:dyDescent="0.4">
      <c r="A24" s="37" t="s">
        <v>70</v>
      </c>
      <c r="B24" s="38"/>
      <c r="C24" s="39">
        <f>Resultados!E9/365</f>
        <v>6.5753424657534243</v>
      </c>
      <c r="D24" s="39"/>
      <c r="E24" s="41">
        <f>C24-D24</f>
        <v>6.5753424657534243</v>
      </c>
    </row>
    <row r="25" spans="1:5" ht="17.5" customHeight="1" thickBot="1" x14ac:dyDescent="0.4">
      <c r="A25" s="37" t="s">
        <v>69</v>
      </c>
      <c r="B25" s="38"/>
      <c r="C25" s="39">
        <f>365/C22</f>
        <v>60.833333333333336</v>
      </c>
      <c r="D25" s="39"/>
      <c r="E25" s="41">
        <f>C25-D25</f>
        <v>60.833333333333336</v>
      </c>
    </row>
    <row r="26" spans="1:5" ht="16.5" customHeight="1" thickBot="1" x14ac:dyDescent="0.4">
      <c r="A26" s="37" t="s">
        <v>66</v>
      </c>
      <c r="B26" s="38"/>
      <c r="C26" s="39">
        <f>Resultados!E10/Balance!C10</f>
        <v>1.107608695652174</v>
      </c>
      <c r="D26" s="39">
        <v>15</v>
      </c>
      <c r="E26" s="41">
        <f>C26-D26</f>
        <v>-13.892391304347825</v>
      </c>
    </row>
    <row r="27" spans="1:5" ht="16.5" customHeight="1" thickBot="1" x14ac:dyDescent="0.4">
      <c r="A27" s="37" t="s">
        <v>67</v>
      </c>
      <c r="B27" s="38"/>
      <c r="C27" s="39">
        <f>Resultados!E8/Balance!D21</f>
        <v>0.95968586387434551</v>
      </c>
      <c r="D27" s="39">
        <v>3</v>
      </c>
      <c r="E27" s="41">
        <f>C27-D27</f>
        <v>-2.0403141361256543</v>
      </c>
    </row>
    <row r="28" spans="1:5" ht="17" customHeight="1" thickBot="1" x14ac:dyDescent="0.4">
      <c r="A28" s="42" t="s">
        <v>68</v>
      </c>
      <c r="B28" s="45"/>
      <c r="C28" s="43">
        <f>Resultados!E8/Balance!D27</f>
        <v>0.46206201159566423</v>
      </c>
      <c r="D28" s="43">
        <v>3</v>
      </c>
      <c r="E28" s="41">
        <f>C28-D28</f>
        <v>-2.5379379884043356</v>
      </c>
    </row>
    <row r="29" spans="1:5" ht="15" thickTop="1" x14ac:dyDescent="0.35"/>
  </sheetData>
  <mergeCells count="12">
    <mergeCell ref="A1:B1"/>
    <mergeCell ref="C1:C2"/>
    <mergeCell ref="D1:D2"/>
    <mergeCell ref="A3:B3"/>
    <mergeCell ref="C3:E3"/>
    <mergeCell ref="A21:B21"/>
    <mergeCell ref="A7:B7"/>
    <mergeCell ref="C7:E7"/>
    <mergeCell ref="A11:B11"/>
    <mergeCell ref="C11:E11"/>
    <mergeCell ref="A16:B16"/>
    <mergeCell ref="C16:E1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Balance</vt:lpstr>
      <vt:lpstr>Resultados</vt:lpstr>
      <vt:lpstr>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cp:lastPrinted>2017-09-25T00:17:26Z</cp:lastPrinted>
  <dcterms:created xsi:type="dcterms:W3CDTF">2017-08-21T19:25:53Z</dcterms:created>
  <dcterms:modified xsi:type="dcterms:W3CDTF">2017-10-18T04:12:11Z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b4d29daf-4ce8-4260-92fc-451a109456d8</vt:lpwstr>
  </property>
</Properties>
</file>