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Administración de Proyectos\Administración de Proyectoss\"/>
    </mc:Choice>
  </mc:AlternateContent>
  <xr:revisionPtr revIDLastSave="0" documentId="13_ncr:1_{96728BB0-661C-4EE5-8C4D-056E24844AA2}" xr6:coauthVersionLast="33" xr6:coauthVersionMax="34" xr10:uidLastSave="{00000000-0000-0000-0000-000000000000}"/>
  <bookViews>
    <workbookView xWindow="0" yWindow="0" windowWidth="23040" windowHeight="9660" tabRatio="943" firstSheet="8" activeTab="15" xr2:uid="{00000000-000D-0000-FFFF-FFFF00000000}"/>
  </bookViews>
  <sheets>
    <sheet name="Capital Social" sheetId="17" r:id="rId1"/>
    <sheet name="Remuneraciones" sheetId="21" r:id="rId2"/>
    <sheet name="InversionTotal" sheetId="18" r:id="rId3"/>
    <sheet name="Amortización de Préstamo" sheetId="19" r:id="rId4"/>
    <sheet name="Tabla de Amortización" sheetId="20" r:id="rId5"/>
    <sheet name="Depreciación" sheetId="22" r:id="rId6"/>
    <sheet name="Plan de producción" sheetId="6" r:id="rId7"/>
    <sheet name="Valores de Producción" sheetId="23" r:id="rId8"/>
    <sheet name="Costos, Gastos, Precio" sheetId="7" r:id="rId9"/>
    <sheet name="Ventas, Ingresos" sheetId="8" r:id="rId10"/>
    <sheet name="Punto de Equilibrio" sheetId="27" r:id="rId11"/>
    <sheet name="Flujo de Efectivo" sheetId="10" r:id="rId12"/>
    <sheet name="Estado de Resultados" sheetId="24" r:id="rId13"/>
    <sheet name="Balance General" sheetId="25" r:id="rId14"/>
    <sheet name="Razones Financieras" sheetId="28" r:id="rId15"/>
    <sheet name="Evaluación del Proyecto" sheetId="13" r:id="rId16"/>
  </sheets>
  <definedNames>
    <definedName name="_xlnm.Print_Area" localSheetId="8">'Costos, Gastos, Precio'!$J$23:$Q$48</definedName>
    <definedName name="ColumnTitle1">PaymentSchedule[[#Headers],[Nº. DE PAGO]]</definedName>
    <definedName name="End_Bal">PaymentSchedule[SALDO FINAL]</definedName>
    <definedName name="Fecha_De_Inicio_Del_Prestamo">'Tabla de Amortización'!$E$7</definedName>
    <definedName name="Importe_Del_Prestamo">'Tabla de Amortización'!$E$3</definedName>
    <definedName name="Importe_Total_De_Intereses">SUM(PaymentSchedule[INTERÉS])</definedName>
    <definedName name="Importe_Total_De_Pagos_Anticipados">SUM(PaymentSchedule[PAGO EXTRA])</definedName>
    <definedName name="LastCol">MATCH(REPT("z",255),'Tabla de Amortización'!$11:$11)</definedName>
    <definedName name="LastRow">MATCH(9.99E+307,'Tabla de Amortización'!$B:$B)</definedName>
    <definedName name="LoanIsGood">('Tabla de Amortización'!$E$3*'Tabla de Amortización'!$E$4*'Tabla de Amortización'!$E$5*'Tabla de Amortización'!$E$7)&gt;0</definedName>
    <definedName name="Nombre_De_La_Entidad_De_Crédito">'Tabla de Amortización'!$H$9:$I$9</definedName>
    <definedName name="Numero_De_Pagos_Por_Año">'Tabla de Amortización'!$E$6</definedName>
    <definedName name="Numero_De_Pagos_Programados">'Tabla de Amortización'!$I$4</definedName>
    <definedName name="Numero_Real_De_Pagos" localSheetId="3">IFERROR(IF(LoanIsGood,IF(Numero_De_Pagos_Por_Año=1,1,MATCH(0.01,End_Bal,-1)+1)),"")</definedName>
    <definedName name="Numero_Real_De_Pagos" localSheetId="2">IFERROR(IF(LoanIsGood,IF(Numero_De_Pagos_Por_Año=1,1,MATCH(0.01,End_Bal,-1)+1)),"")</definedName>
    <definedName name="Numero_Real_De_Pagos" localSheetId="4">IFERROR(IF(LoanIsGood,IF(Numero_De_Pagos_Por_Año=1,1,MATCH(0.01,End_Bal,-1)+1)),"")</definedName>
    <definedName name="Numero_Real_De_Pagos">IFERROR(IF(LoanIsGood,IF(Numero_De_Pagos_Por_Año=1,1,MATCH(0.01,End_Bal,-1)+1)),"")</definedName>
    <definedName name="Pago_Programado">'Tabla de Amortización'!$I$3</definedName>
    <definedName name="Pagos_Extra_Opcionales">'Tabla de Amortización'!$E$9</definedName>
    <definedName name="Periodo_Del_Prestamo_En_Años">'Tabla de Amortización'!$E$5</definedName>
    <definedName name="PrintArea_SET" localSheetId="3">OFFSET('Tabla de Amortización'!$B$1,,,LastRow,LastCol)</definedName>
    <definedName name="PrintArea_SET" localSheetId="2">OFFSET('Tabla de Amortización'!$B$1,,,LastRow,LastCol)</definedName>
    <definedName name="PrintArea_SET" localSheetId="4">OFFSET('Tabla de Amortización'!$B$1,,,LastRow,LastCol)</definedName>
    <definedName name="PrintArea_SET">OFFSET('Tabla de Amortización'!$B$1,,,LastRow,LastCol)</definedName>
    <definedName name="RowTitleRegion1..E9">'Tabla de Amortización'!$C$3:$D$3</definedName>
    <definedName name="RowTitleRegion2..I7">'Tabla de Amortización'!$G$3:$H$3</definedName>
    <definedName name="RowTitleRegion3..E9">'Tabla de Amortización'!$C$9</definedName>
    <definedName name="RowTitleRegion4..H9">'Tabla de Amortización'!$G$9</definedName>
    <definedName name="Tasa_De_Interes_Anual">'Tabla de Amortización'!$E$4</definedName>
    <definedName name="_xlnm.Print_Titles" localSheetId="4">'Tabla de Amortización'!$11:$11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8" l="1"/>
  <c r="C13" i="13" l="1"/>
  <c r="C21" i="25"/>
  <c r="B21" i="10" l="1"/>
  <c r="B19" i="10"/>
  <c r="B18" i="10"/>
  <c r="B17" i="10"/>
  <c r="B16" i="10"/>
  <c r="B15" i="10"/>
  <c r="B14" i="10"/>
  <c r="B13" i="10"/>
  <c r="B12" i="10"/>
  <c r="B11" i="10"/>
  <c r="B10" i="10"/>
  <c r="E53" i="18"/>
  <c r="B20" i="10" s="1"/>
  <c r="B9" i="24"/>
  <c r="B8" i="24"/>
  <c r="B7" i="24"/>
  <c r="C19" i="25"/>
  <c r="D20" i="25" s="1"/>
  <c r="F19" i="25" s="1"/>
  <c r="I20" i="25" s="1"/>
  <c r="F20" i="25" l="1"/>
  <c r="G20" i="25" s="1"/>
  <c r="I19" i="25" s="1"/>
  <c r="L20" i="25" s="1"/>
  <c r="M20" i="25" l="1"/>
  <c r="O19" i="25" s="1"/>
  <c r="J20" i="25"/>
  <c r="L19" i="25" s="1"/>
  <c r="O20" i="25" s="1"/>
  <c r="P20" i="25" l="1"/>
  <c r="R19" i="25" s="1"/>
  <c r="R20" i="25"/>
  <c r="S20" i="25" s="1"/>
  <c r="C23" i="25"/>
  <c r="C22" i="25"/>
  <c r="E29" i="18" l="1"/>
  <c r="E26" i="18"/>
  <c r="I15" i="18"/>
  <c r="J11" i="18"/>
  <c r="J8" i="18"/>
  <c r="C17" i="25" s="1"/>
  <c r="F18" i="25" l="1"/>
  <c r="D18" i="25"/>
  <c r="F7" i="21"/>
  <c r="C3" i="21"/>
  <c r="C4" i="21"/>
  <c r="C2" i="21"/>
  <c r="G8" i="21"/>
  <c r="F2" i="21"/>
  <c r="F17" i="25" l="1"/>
  <c r="I18" i="25" s="1"/>
  <c r="D24" i="25"/>
  <c r="G18" i="25" l="1"/>
  <c r="G24" i="25" s="1"/>
  <c r="D6" i="17"/>
  <c r="D3" i="17"/>
  <c r="D4" i="17"/>
  <c r="D5" i="17"/>
  <c r="D2" i="17"/>
  <c r="I17" i="25" l="1"/>
  <c r="B3" i="17"/>
  <c r="B4" i="17"/>
  <c r="B5" i="17"/>
  <c r="B6" i="17"/>
  <c r="B2" i="17"/>
  <c r="G10" i="21"/>
  <c r="L18" i="25" l="1"/>
  <c r="J18" i="25"/>
  <c r="L17" i="25" s="1"/>
  <c r="J38" i="7"/>
  <c r="C39" i="7"/>
  <c r="M18" i="25" l="1"/>
  <c r="O18" i="25"/>
  <c r="J24" i="25"/>
  <c r="L11" i="24"/>
  <c r="S30" i="25"/>
  <c r="T31" i="25" s="1"/>
  <c r="P30" i="25"/>
  <c r="Q31" i="25" s="1"/>
  <c r="J11" i="24"/>
  <c r="H49" i="27"/>
  <c r="H45" i="27"/>
  <c r="H41" i="27"/>
  <c r="G49" i="27"/>
  <c r="G45" i="27"/>
  <c r="G41" i="27"/>
  <c r="F49" i="27"/>
  <c r="F45" i="27"/>
  <c r="F41" i="27"/>
  <c r="E49" i="27"/>
  <c r="E45" i="27"/>
  <c r="E41" i="27"/>
  <c r="D41" i="27"/>
  <c r="D45" i="27"/>
  <c r="D49" i="27"/>
  <c r="H7" i="27"/>
  <c r="G7" i="27"/>
  <c r="F7" i="27"/>
  <c r="E7" i="27"/>
  <c r="D7" i="27"/>
  <c r="F16" i="7"/>
  <c r="E16" i="7"/>
  <c r="D16" i="7"/>
  <c r="C16" i="7"/>
  <c r="C34" i="27"/>
  <c r="C28" i="27"/>
  <c r="C22" i="27"/>
  <c r="C6" i="24"/>
  <c r="C10" i="24" s="1"/>
  <c r="B20" i="8"/>
  <c r="B16" i="8"/>
  <c r="B12" i="8"/>
  <c r="B8" i="8"/>
  <c r="B4" i="8"/>
  <c r="B6" i="10"/>
  <c r="B44" i="7"/>
  <c r="C44" i="7"/>
  <c r="K44" i="7" s="1"/>
  <c r="AO35" i="7"/>
  <c r="AN35" i="7"/>
  <c r="AN34" i="7"/>
  <c r="AN33" i="7"/>
  <c r="AN32" i="7"/>
  <c r="AN31" i="7"/>
  <c r="AN30" i="7"/>
  <c r="AN29" i="7"/>
  <c r="AN28" i="7"/>
  <c r="AM27" i="7"/>
  <c r="AL27" i="7"/>
  <c r="AL26" i="7"/>
  <c r="AK27" i="7"/>
  <c r="AK26" i="7"/>
  <c r="AJ27" i="7"/>
  <c r="AJ26" i="7"/>
  <c r="AN26" i="7" s="1"/>
  <c r="AH27" i="7"/>
  <c r="AH26" i="7"/>
  <c r="AM26" i="7"/>
  <c r="AG35" i="7"/>
  <c r="AF35" i="7"/>
  <c r="AF34" i="7"/>
  <c r="AF33" i="7"/>
  <c r="AF32" i="7"/>
  <c r="AF31" i="7"/>
  <c r="AF30" i="7"/>
  <c r="AF29" i="7"/>
  <c r="AF28" i="7"/>
  <c r="AF27" i="7" s="1"/>
  <c r="AE27" i="7"/>
  <c r="AE26" i="7"/>
  <c r="AD27" i="7"/>
  <c r="AD26" i="7"/>
  <c r="AC27" i="7"/>
  <c r="AC26" i="7"/>
  <c r="AB27" i="7"/>
  <c r="AB26" i="7"/>
  <c r="Z27" i="7"/>
  <c r="Z26" i="7"/>
  <c r="Y35" i="7"/>
  <c r="X35" i="7"/>
  <c r="X34" i="7"/>
  <c r="X33" i="7"/>
  <c r="X32" i="7"/>
  <c r="X31" i="7"/>
  <c r="X30" i="7"/>
  <c r="X29" i="7"/>
  <c r="X28" i="7"/>
  <c r="W27" i="7"/>
  <c r="W26" i="7" s="1"/>
  <c r="V27" i="7"/>
  <c r="V26" i="7" s="1"/>
  <c r="U27" i="7"/>
  <c r="U26" i="7" s="1"/>
  <c r="T27" i="7"/>
  <c r="T26" i="7" s="1"/>
  <c r="R27" i="7"/>
  <c r="R26" i="7" s="1"/>
  <c r="D18" i="23"/>
  <c r="Q35" i="7"/>
  <c r="P35" i="7"/>
  <c r="P34" i="7"/>
  <c r="P33" i="7"/>
  <c r="P32" i="7"/>
  <c r="P31" i="7"/>
  <c r="P27" i="7" s="1"/>
  <c r="P30" i="7"/>
  <c r="P29" i="7"/>
  <c r="P28" i="7"/>
  <c r="O27" i="7"/>
  <c r="O26" i="7" s="1"/>
  <c r="N27" i="7"/>
  <c r="N26" i="7" s="1"/>
  <c r="M27" i="7"/>
  <c r="M26" i="7" s="1"/>
  <c r="L27" i="7"/>
  <c r="J27" i="7"/>
  <c r="J26" i="7"/>
  <c r="G27" i="7"/>
  <c r="G26" i="7"/>
  <c r="F27" i="7"/>
  <c r="F26" i="7"/>
  <c r="E27" i="7"/>
  <c r="E26" i="7"/>
  <c r="D27" i="7"/>
  <c r="B27" i="7"/>
  <c r="B26" i="7" s="1"/>
  <c r="L26" i="7"/>
  <c r="N44" i="7"/>
  <c r="V44" i="7"/>
  <c r="AD44" i="7" s="1"/>
  <c r="AL44" i="7" s="1"/>
  <c r="N45" i="7"/>
  <c r="V45" i="7"/>
  <c r="AD45" i="7" s="1"/>
  <c r="AL45" i="7" s="1"/>
  <c r="N46" i="7"/>
  <c r="V46" i="7"/>
  <c r="AD46" i="7" s="1"/>
  <c r="AL46" i="7" s="1"/>
  <c r="L46" i="7"/>
  <c r="T46" i="7"/>
  <c r="L45" i="7"/>
  <c r="T45" i="7"/>
  <c r="AB45" i="7" s="1"/>
  <c r="AJ45" i="7" s="1"/>
  <c r="L44" i="7"/>
  <c r="T44" i="7"/>
  <c r="AB44" i="7" s="1"/>
  <c r="AJ44" i="7" s="1"/>
  <c r="H46" i="7"/>
  <c r="H45" i="7"/>
  <c r="G46" i="7"/>
  <c r="O46" i="7"/>
  <c r="W46" i="7" s="1"/>
  <c r="AE46" i="7" s="1"/>
  <c r="AM46" i="7" s="1"/>
  <c r="G45" i="7"/>
  <c r="G44" i="7"/>
  <c r="O44" i="7"/>
  <c r="W44" i="7" s="1"/>
  <c r="AE44" i="7"/>
  <c r="AM44" i="7" s="1"/>
  <c r="E46" i="7"/>
  <c r="M46" i="7" s="1"/>
  <c r="U46" i="7" s="1"/>
  <c r="AC46" i="7" s="1"/>
  <c r="AK46" i="7" s="1"/>
  <c r="E45" i="7"/>
  <c r="M45" i="7"/>
  <c r="U45" i="7" s="1"/>
  <c r="AC45" i="7" s="1"/>
  <c r="AK45" i="7" s="1"/>
  <c r="E44" i="7"/>
  <c r="M44" i="7" s="1"/>
  <c r="U44" i="7" s="1"/>
  <c r="AC44" i="7" s="1"/>
  <c r="AK44" i="7" s="1"/>
  <c r="J46" i="7"/>
  <c r="R46" i="7"/>
  <c r="Z46" i="7" s="1"/>
  <c r="J45" i="7"/>
  <c r="R45" i="7" s="1"/>
  <c r="C46" i="7"/>
  <c r="C45" i="7"/>
  <c r="K45" i="7"/>
  <c r="L38" i="7"/>
  <c r="T38" i="7"/>
  <c r="L39" i="7"/>
  <c r="T39" i="7"/>
  <c r="AB39" i="7" s="1"/>
  <c r="AJ39" i="7" s="1"/>
  <c r="L40" i="7"/>
  <c r="L41" i="7"/>
  <c r="L42" i="7"/>
  <c r="R38" i="7"/>
  <c r="J39" i="7"/>
  <c r="R39" i="7" s="1"/>
  <c r="Z39" i="7" s="1"/>
  <c r="AF39" i="7" s="1"/>
  <c r="J40" i="7"/>
  <c r="R40" i="7"/>
  <c r="Z40" i="7" s="1"/>
  <c r="AH40" i="7" s="1"/>
  <c r="J41" i="7"/>
  <c r="R41" i="7" s="1"/>
  <c r="Z41" i="7" s="1"/>
  <c r="J42" i="7"/>
  <c r="R42" i="7"/>
  <c r="Z42" i="7" s="1"/>
  <c r="AH42" i="7"/>
  <c r="H35" i="7"/>
  <c r="H34" i="7"/>
  <c r="H33" i="7"/>
  <c r="H32" i="7"/>
  <c r="H31" i="7"/>
  <c r="H30" i="7"/>
  <c r="H29" i="7"/>
  <c r="D26" i="7"/>
  <c r="F37" i="7"/>
  <c r="G37" i="7"/>
  <c r="D37" i="7"/>
  <c r="B37" i="7"/>
  <c r="C37" i="7" s="1"/>
  <c r="D13" i="23"/>
  <c r="D14" i="23"/>
  <c r="D15" i="23"/>
  <c r="D16" i="23"/>
  <c r="D17" i="23"/>
  <c r="D12" i="23"/>
  <c r="B5" i="23"/>
  <c r="B7" i="23" s="1"/>
  <c r="B9" i="23" s="1"/>
  <c r="G6" i="6"/>
  <c r="D68" i="18"/>
  <c r="E17" i="21"/>
  <c r="F16" i="21"/>
  <c r="G16" i="21"/>
  <c r="F15" i="21"/>
  <c r="G15" i="21"/>
  <c r="F14" i="21"/>
  <c r="G14" i="21"/>
  <c r="C14" i="21"/>
  <c r="G13" i="21"/>
  <c r="F13" i="21"/>
  <c r="C13" i="21"/>
  <c r="F12" i="21"/>
  <c r="G12" i="21"/>
  <c r="C12" i="21"/>
  <c r="G11" i="21"/>
  <c r="F11" i="21"/>
  <c r="F17" i="21"/>
  <c r="C11" i="21"/>
  <c r="E10" i="21"/>
  <c r="G9" i="21"/>
  <c r="F9" i="21"/>
  <c r="C9" i="21"/>
  <c r="F8" i="21"/>
  <c r="E7" i="21"/>
  <c r="E18" i="21"/>
  <c r="G6" i="21"/>
  <c r="F6" i="21"/>
  <c r="G5" i="21"/>
  <c r="F5" i="21"/>
  <c r="G4" i="21"/>
  <c r="F4" i="21"/>
  <c r="F3" i="21"/>
  <c r="G3" i="21"/>
  <c r="G2" i="21"/>
  <c r="G17" i="21"/>
  <c r="G7" i="21"/>
  <c r="G18" i="21"/>
  <c r="F10" i="21"/>
  <c r="F18" i="21"/>
  <c r="F15" i="22"/>
  <c r="F14" i="22"/>
  <c r="G14" i="22"/>
  <c r="I14" i="22" s="1"/>
  <c r="F12" i="22"/>
  <c r="G12" i="22"/>
  <c r="I12" i="22" s="1"/>
  <c r="F11" i="22"/>
  <c r="G11" i="22"/>
  <c r="I11" i="22"/>
  <c r="F10" i="22"/>
  <c r="G10" i="22"/>
  <c r="I10" i="22" s="1"/>
  <c r="F9" i="22"/>
  <c r="G9" i="22"/>
  <c r="I9" i="22" s="1"/>
  <c r="F8" i="22"/>
  <c r="G8" i="22"/>
  <c r="I8" i="22" s="1"/>
  <c r="F7" i="22"/>
  <c r="G7" i="22"/>
  <c r="I7" i="22" s="1"/>
  <c r="F19" i="22"/>
  <c r="F18" i="22"/>
  <c r="G18" i="22"/>
  <c r="I18" i="22" s="1"/>
  <c r="F21" i="22"/>
  <c r="G21" i="22"/>
  <c r="I21" i="22" s="1"/>
  <c r="I20" i="22" s="1"/>
  <c r="F31" i="22"/>
  <c r="G31" i="22"/>
  <c r="I31" i="22" s="1"/>
  <c r="F34" i="22"/>
  <c r="G34" i="22"/>
  <c r="I34" i="22" s="1"/>
  <c r="F33" i="22"/>
  <c r="G33" i="22"/>
  <c r="I33" i="22" s="1"/>
  <c r="F30" i="22"/>
  <c r="G30" i="22"/>
  <c r="I30" i="22" s="1"/>
  <c r="F29" i="22"/>
  <c r="G29" i="22"/>
  <c r="I29" i="22" s="1"/>
  <c r="F28" i="22"/>
  <c r="F27" i="22"/>
  <c r="G27" i="22"/>
  <c r="I27" i="22" s="1"/>
  <c r="F26" i="22"/>
  <c r="G26" i="22"/>
  <c r="I26" i="22" s="1"/>
  <c r="F25" i="22"/>
  <c r="G25" i="22"/>
  <c r="I25" i="22" s="1"/>
  <c r="F24" i="22"/>
  <c r="G15" i="22"/>
  <c r="I15" i="22" s="1"/>
  <c r="G19" i="22"/>
  <c r="I19" i="22" s="1"/>
  <c r="G24" i="22"/>
  <c r="I24" i="22" s="1"/>
  <c r="G28" i="22"/>
  <c r="I28" i="22" s="1"/>
  <c r="E7" i="20"/>
  <c r="B5" i="19"/>
  <c r="F16" i="18"/>
  <c r="B24" i="10" s="1"/>
  <c r="E23" i="18"/>
  <c r="E24" i="18"/>
  <c r="B27" i="10" s="1"/>
  <c r="E25" i="18"/>
  <c r="E27" i="18"/>
  <c r="E28" i="18"/>
  <c r="E30" i="18"/>
  <c r="E31" i="18"/>
  <c r="E32" i="18"/>
  <c r="E33" i="18"/>
  <c r="E34" i="18"/>
  <c r="E35" i="18"/>
  <c r="E36" i="18"/>
  <c r="N38" i="7"/>
  <c r="V38" i="7"/>
  <c r="AD38" i="7" s="1"/>
  <c r="AL38" i="7"/>
  <c r="N39" i="7"/>
  <c r="V39" i="7"/>
  <c r="AD39" i="7" s="1"/>
  <c r="AL39" i="7"/>
  <c r="N40" i="7"/>
  <c r="V40" i="7"/>
  <c r="AD40" i="7" s="1"/>
  <c r="AL40" i="7" s="1"/>
  <c r="N41" i="7"/>
  <c r="N42" i="7"/>
  <c r="V41" i="7"/>
  <c r="AD41" i="7" s="1"/>
  <c r="AL41" i="7" s="1"/>
  <c r="I35" i="7"/>
  <c r="H38" i="7"/>
  <c r="H39" i="7"/>
  <c r="H40" i="7"/>
  <c r="H41" i="7"/>
  <c r="H42" i="7"/>
  <c r="E38" i="7"/>
  <c r="M38" i="7"/>
  <c r="E39" i="7"/>
  <c r="M39" i="7"/>
  <c r="U39" i="7" s="1"/>
  <c r="AC39" i="7" s="1"/>
  <c r="AK39" i="7" s="1"/>
  <c r="E40" i="7"/>
  <c r="M40" i="7" s="1"/>
  <c r="U40" i="7" s="1"/>
  <c r="AC40" i="7" s="1"/>
  <c r="AK40" i="7" s="1"/>
  <c r="E41" i="7"/>
  <c r="M41" i="7"/>
  <c r="U41" i="7" s="1"/>
  <c r="AC41" i="7"/>
  <c r="AK41" i="7" s="1"/>
  <c r="E42" i="7"/>
  <c r="M42" i="7" s="1"/>
  <c r="U42" i="7" s="1"/>
  <c r="AC42" i="7" s="1"/>
  <c r="AK42" i="7" s="1"/>
  <c r="C38" i="7"/>
  <c r="K38" i="7"/>
  <c r="S38" i="7" s="1"/>
  <c r="AA38" i="7" s="1"/>
  <c r="K39" i="7"/>
  <c r="C40" i="7"/>
  <c r="I40" i="7" s="1"/>
  <c r="C41" i="7"/>
  <c r="K41" i="7"/>
  <c r="S41" i="7" s="1"/>
  <c r="AA41" i="7"/>
  <c r="C42" i="7"/>
  <c r="K42" i="7"/>
  <c r="G38" i="7"/>
  <c r="O38" i="7"/>
  <c r="W38" i="7" s="1"/>
  <c r="AE38" i="7" s="1"/>
  <c r="AM38" i="7" s="1"/>
  <c r="G39" i="7"/>
  <c r="O39" i="7" s="1"/>
  <c r="W39" i="7"/>
  <c r="AE39" i="7" s="1"/>
  <c r="AM39" i="7"/>
  <c r="G40" i="7"/>
  <c r="O40" i="7"/>
  <c r="W40" i="7" s="1"/>
  <c r="AE40" i="7"/>
  <c r="AM40" i="7" s="1"/>
  <c r="G41" i="7"/>
  <c r="G42" i="7"/>
  <c r="O42" i="7"/>
  <c r="W42" i="7" s="1"/>
  <c r="AE42" i="7" s="1"/>
  <c r="AM42" i="7" s="1"/>
  <c r="H28" i="7"/>
  <c r="B16" i="7"/>
  <c r="AN27" i="7"/>
  <c r="V42" i="7"/>
  <c r="AD42" i="7"/>
  <c r="AL42" i="7" s="1"/>
  <c r="E37" i="7"/>
  <c r="M37" i="7" s="1"/>
  <c r="L37" i="7"/>
  <c r="AF26" i="7"/>
  <c r="P38" i="7"/>
  <c r="Z38" i="7"/>
  <c r="S45" i="7"/>
  <c r="I39" i="7"/>
  <c r="X27" i="7"/>
  <c r="P26" i="7"/>
  <c r="U37" i="7"/>
  <c r="AC37" i="7" s="1"/>
  <c r="AK37" i="7" s="1"/>
  <c r="P46" i="7"/>
  <c r="AH39" i="7"/>
  <c r="U38" i="7"/>
  <c r="AC38" i="7" s="1"/>
  <c r="AK38" i="7" s="1"/>
  <c r="T40" i="7"/>
  <c r="X40" i="7" s="1"/>
  <c r="P40" i="7"/>
  <c r="I38" i="7"/>
  <c r="N37" i="7"/>
  <c r="H26" i="7"/>
  <c r="O37" i="7"/>
  <c r="W37" i="7" s="1"/>
  <c r="P45" i="7"/>
  <c r="I44" i="7"/>
  <c r="H44" i="7"/>
  <c r="J44" i="7"/>
  <c r="P44" i="7" s="1"/>
  <c r="T37" i="7"/>
  <c r="AB37" i="7" s="1"/>
  <c r="AJ37" i="7" s="1"/>
  <c r="AA45" i="7"/>
  <c r="AH38" i="7"/>
  <c r="V37" i="7"/>
  <c r="AB40" i="7"/>
  <c r="AJ40" i="7" s="1"/>
  <c r="S44" i="7"/>
  <c r="AA44" i="7" s="1"/>
  <c r="AI44" i="7" s="1"/>
  <c r="R44" i="7"/>
  <c r="Z44" i="7" s="1"/>
  <c r="AF44" i="7" s="1"/>
  <c r="AI45" i="7"/>
  <c r="AE37" i="7"/>
  <c r="AD37" i="7"/>
  <c r="AL37" i="7"/>
  <c r="AM37" i="7"/>
  <c r="E15" i="23" l="1"/>
  <c r="B11" i="7" s="1"/>
  <c r="E18" i="23"/>
  <c r="B14" i="7" s="1"/>
  <c r="E12" i="23"/>
  <c r="B8" i="7" s="1"/>
  <c r="C28" i="7" s="1"/>
  <c r="E14" i="23"/>
  <c r="B10" i="7" s="1"/>
  <c r="E13" i="23"/>
  <c r="B9" i="7" s="1"/>
  <c r="E17" i="23"/>
  <c r="B13" i="7" s="1"/>
  <c r="E16" i="23"/>
  <c r="B12" i="7" s="1"/>
  <c r="AH44" i="7"/>
  <c r="AN44" i="7" s="1"/>
  <c r="AH41" i="7"/>
  <c r="AO44" i="7"/>
  <c r="AI38" i="7"/>
  <c r="AO38" i="7" s="1"/>
  <c r="AG38" i="7"/>
  <c r="I41" i="7"/>
  <c r="O41" i="7"/>
  <c r="AH46" i="7"/>
  <c r="AG44" i="7"/>
  <c r="Y44" i="7"/>
  <c r="Q38" i="7"/>
  <c r="K40" i="7"/>
  <c r="I42" i="7"/>
  <c r="AI41" i="7"/>
  <c r="S39" i="7"/>
  <c r="Q39" i="7"/>
  <c r="AN40" i="7"/>
  <c r="T42" i="7"/>
  <c r="P42" i="7"/>
  <c r="B7" i="7"/>
  <c r="B15" i="7" s="1"/>
  <c r="O45" i="7"/>
  <c r="I45" i="7"/>
  <c r="X44" i="7"/>
  <c r="AF40" i="7"/>
  <c r="C8" i="7"/>
  <c r="X39" i="7"/>
  <c r="P39" i="7"/>
  <c r="T41" i="7"/>
  <c r="AB41" i="7" s="1"/>
  <c r="AJ41" i="7" s="1"/>
  <c r="P41" i="7"/>
  <c r="AB38" i="7"/>
  <c r="X38" i="7"/>
  <c r="K46" i="7"/>
  <c r="I46" i="7"/>
  <c r="AB46" i="7"/>
  <c r="AJ46" i="7" s="1"/>
  <c r="X46" i="7"/>
  <c r="H37" i="7"/>
  <c r="X41" i="7"/>
  <c r="AN39" i="7"/>
  <c r="H27" i="7"/>
  <c r="S42" i="7"/>
  <c r="Q42" i="7"/>
  <c r="Y38" i="7"/>
  <c r="X45" i="7"/>
  <c r="Z45" i="7"/>
  <c r="X26" i="7"/>
  <c r="Q44" i="7"/>
  <c r="J10" i="18"/>
  <c r="C12" i="25"/>
  <c r="D13" i="25" s="1"/>
  <c r="F12" i="25" s="1"/>
  <c r="J9" i="18"/>
  <c r="C10" i="25"/>
  <c r="D11" i="25" s="1"/>
  <c r="D63" i="18"/>
  <c r="M24" i="25"/>
  <c r="O17" i="25"/>
  <c r="I32" i="22"/>
  <c r="I35" i="22" s="1"/>
  <c r="J35" i="22" s="1"/>
  <c r="I23" i="22"/>
  <c r="I17" i="22"/>
  <c r="I22" i="22" s="1"/>
  <c r="J22" i="22" s="1"/>
  <c r="L43" i="7" s="1"/>
  <c r="V43" i="7"/>
  <c r="F43" i="7"/>
  <c r="AD43" i="7"/>
  <c r="AL43" i="7"/>
  <c r="N43" i="7"/>
  <c r="F13" i="25"/>
  <c r="I13" i="22"/>
  <c r="F11" i="25"/>
  <c r="I6" i="22"/>
  <c r="D64" i="18"/>
  <c r="D65" i="18"/>
  <c r="D66" i="18" s="1"/>
  <c r="D70" i="18" s="1"/>
  <c r="B2" i="19" s="1"/>
  <c r="E3" i="20" s="1"/>
  <c r="K37" i="7"/>
  <c r="S37" i="7" s="1"/>
  <c r="Y37" i="7" s="1"/>
  <c r="I37" i="7"/>
  <c r="Q37" i="7"/>
  <c r="J37" i="7"/>
  <c r="C12" i="7" l="1"/>
  <c r="C32" i="7"/>
  <c r="I32" i="7" s="1"/>
  <c r="C10" i="7"/>
  <c r="C30" i="7"/>
  <c r="I30" i="7" s="1"/>
  <c r="C33" i="7"/>
  <c r="I33" i="7" s="1"/>
  <c r="C13" i="7"/>
  <c r="C34" i="7"/>
  <c r="I34" i="7" s="1"/>
  <c r="C14" i="7"/>
  <c r="C9" i="7"/>
  <c r="C29" i="7"/>
  <c r="I29" i="7" s="1"/>
  <c r="C11" i="7"/>
  <c r="C31" i="7"/>
  <c r="I31" i="7" s="1"/>
  <c r="S40" i="7"/>
  <c r="Q40" i="7"/>
  <c r="AH45" i="7"/>
  <c r="AN45" i="7" s="1"/>
  <c r="AF45" i="7"/>
  <c r="AA42" i="7"/>
  <c r="Y42" i="7"/>
  <c r="AB42" i="7"/>
  <c r="X42" i="7"/>
  <c r="AF46" i="7"/>
  <c r="AF41" i="7"/>
  <c r="AJ38" i="7"/>
  <c r="AN38" i="7" s="1"/>
  <c r="AF38" i="7"/>
  <c r="W45" i="7"/>
  <c r="Q45" i="7"/>
  <c r="AA39" i="7"/>
  <c r="Y39" i="7"/>
  <c r="AA37" i="7"/>
  <c r="Q46" i="7"/>
  <c r="S46" i="7"/>
  <c r="D8" i="7"/>
  <c r="K28" i="7"/>
  <c r="I28" i="7"/>
  <c r="AN46" i="7"/>
  <c r="AN41" i="7"/>
  <c r="D5" i="27"/>
  <c r="B17" i="7"/>
  <c r="W41" i="7"/>
  <c r="Q41" i="7"/>
  <c r="D14" i="25"/>
  <c r="F10" i="25"/>
  <c r="G11" i="25" s="1"/>
  <c r="I11" i="25"/>
  <c r="L11" i="25" s="1"/>
  <c r="O11" i="25" s="1"/>
  <c r="R11" i="25" s="1"/>
  <c r="P18" i="25"/>
  <c r="R18" i="25"/>
  <c r="G13" i="25"/>
  <c r="I12" i="25" s="1"/>
  <c r="I13" i="25"/>
  <c r="L13" i="25" s="1"/>
  <c r="O13" i="25" s="1"/>
  <c r="R13" i="25" s="1"/>
  <c r="D43" i="7"/>
  <c r="E43" i="7" s="1"/>
  <c r="E36" i="7" s="1"/>
  <c r="E47" i="7" s="1"/>
  <c r="AB43" i="7"/>
  <c r="AB36" i="7" s="1"/>
  <c r="AB47" i="7" s="1"/>
  <c r="T43" i="7"/>
  <c r="AJ43" i="7"/>
  <c r="I16" i="22"/>
  <c r="J16" i="22" s="1"/>
  <c r="AH43" i="7" s="1"/>
  <c r="AE43" i="7"/>
  <c r="AD36" i="7"/>
  <c r="AD47" i="7" s="1"/>
  <c r="G43" i="7"/>
  <c r="G36" i="7" s="1"/>
  <c r="G47" i="7" s="1"/>
  <c r="F36" i="7"/>
  <c r="F47" i="7" s="1"/>
  <c r="N36" i="7"/>
  <c r="N47" i="7" s="1"/>
  <c r="O43" i="7"/>
  <c r="O36" i="7" s="1"/>
  <c r="V36" i="7"/>
  <c r="V47" i="7" s="1"/>
  <c r="W43" i="7"/>
  <c r="W36" i="7" s="1"/>
  <c r="U43" i="7"/>
  <c r="U36" i="7" s="1"/>
  <c r="H8" i="24" s="1"/>
  <c r="T36" i="7"/>
  <c r="T47" i="7" s="1"/>
  <c r="B43" i="7"/>
  <c r="J43" i="7"/>
  <c r="Z43" i="7"/>
  <c r="AM43" i="7"/>
  <c r="AL36" i="7"/>
  <c r="AL47" i="7" s="1"/>
  <c r="L36" i="7"/>
  <c r="L47" i="7" s="1"/>
  <c r="M43" i="7"/>
  <c r="M36" i="7" s="1"/>
  <c r="B7" i="10"/>
  <c r="B8" i="10" s="1"/>
  <c r="C4" i="13" s="1"/>
  <c r="P37" i="7"/>
  <c r="R37" i="7"/>
  <c r="AI37" i="7"/>
  <c r="AG37" i="7"/>
  <c r="I4" i="20"/>
  <c r="B96" i="20" s="1"/>
  <c r="K31" i="7" l="1"/>
  <c r="Q31" i="7" s="1"/>
  <c r="D11" i="7"/>
  <c r="D10" i="7"/>
  <c r="K30" i="7"/>
  <c r="Q30" i="7" s="1"/>
  <c r="C27" i="7"/>
  <c r="D13" i="7"/>
  <c r="K33" i="7"/>
  <c r="Q33" i="7" s="1"/>
  <c r="D14" i="7"/>
  <c r="K34" i="7"/>
  <c r="Q34" i="7" s="1"/>
  <c r="C7" i="7"/>
  <c r="C15" i="7" s="1"/>
  <c r="K29" i="7"/>
  <c r="Q29" i="7" s="1"/>
  <c r="D9" i="7"/>
  <c r="D7" i="7" s="1"/>
  <c r="D15" i="7" s="1"/>
  <c r="K32" i="7"/>
  <c r="Q32" i="7" s="1"/>
  <c r="D12" i="7"/>
  <c r="AG39" i="7"/>
  <c r="AI39" i="7"/>
  <c r="AO39" i="7" s="1"/>
  <c r="C26" i="7"/>
  <c r="I26" i="7" s="1"/>
  <c r="I27" i="7"/>
  <c r="Q28" i="7"/>
  <c r="AJ42" i="7"/>
  <c r="AN42" i="7" s="1"/>
  <c r="AF42" i="7"/>
  <c r="H9" i="27"/>
  <c r="F9" i="27"/>
  <c r="D9" i="27"/>
  <c r="G9" i="27"/>
  <c r="E9" i="27"/>
  <c r="AA46" i="7"/>
  <c r="Y46" i="7"/>
  <c r="AC43" i="7"/>
  <c r="AC36" i="7" s="1"/>
  <c r="AC47" i="7" s="1"/>
  <c r="F26" i="10" s="1"/>
  <c r="AJ36" i="7"/>
  <c r="AJ47" i="7" s="1"/>
  <c r="AE41" i="7"/>
  <c r="Y41" i="7"/>
  <c r="E5" i="27"/>
  <c r="C17" i="7"/>
  <c r="AE45" i="7"/>
  <c r="Y45" i="7"/>
  <c r="S28" i="7"/>
  <c r="E8" i="7"/>
  <c r="AI42" i="7"/>
  <c r="AO42" i="7" s="1"/>
  <c r="AG42" i="7"/>
  <c r="Y40" i="7"/>
  <c r="AA40" i="7"/>
  <c r="D36" i="7"/>
  <c r="D47" i="7" s="1"/>
  <c r="J13" i="25"/>
  <c r="L12" i="25" s="1"/>
  <c r="M13" i="25" s="1"/>
  <c r="O12" i="25" s="1"/>
  <c r="P13" i="25" s="1"/>
  <c r="R12" i="25" s="1"/>
  <c r="S13" i="25" s="1"/>
  <c r="AK43" i="7"/>
  <c r="AK36" i="7" s="1"/>
  <c r="L8" i="24" s="1"/>
  <c r="D9" i="24"/>
  <c r="C27" i="10"/>
  <c r="G14" i="25"/>
  <c r="I10" i="25"/>
  <c r="J11" i="25" s="1"/>
  <c r="L10" i="25" s="1"/>
  <c r="M11" i="25" s="1"/>
  <c r="P24" i="25"/>
  <c r="R17" i="25"/>
  <c r="S18" i="25" s="1"/>
  <c r="S24" i="25" s="1"/>
  <c r="R43" i="7"/>
  <c r="S43" i="7" s="1"/>
  <c r="J5" i="22"/>
  <c r="M47" i="7"/>
  <c r="D26" i="10" s="1"/>
  <c r="F8" i="24"/>
  <c r="AN43" i="7"/>
  <c r="AI43" i="7"/>
  <c r="O47" i="7"/>
  <c r="D27" i="10" s="1"/>
  <c r="F9" i="24"/>
  <c r="P43" i="7"/>
  <c r="P36" i="7" s="1"/>
  <c r="P47" i="7" s="1"/>
  <c r="P51" i="7" s="1"/>
  <c r="K43" i="7"/>
  <c r="W47" i="7"/>
  <c r="E27" i="10" s="1"/>
  <c r="H9" i="24"/>
  <c r="J36" i="7"/>
  <c r="J47" i="7" s="1"/>
  <c r="AA43" i="7"/>
  <c r="AF43" i="7"/>
  <c r="C43" i="7"/>
  <c r="H43" i="7"/>
  <c r="H36" i="7" s="1"/>
  <c r="B36" i="7"/>
  <c r="B47" i="7" s="1"/>
  <c r="H47" i="7" s="1"/>
  <c r="U47" i="7"/>
  <c r="E26" i="10" s="1"/>
  <c r="C26" i="10"/>
  <c r="D8" i="24"/>
  <c r="AO37" i="7"/>
  <c r="Z37" i="7"/>
  <c r="X37" i="7"/>
  <c r="B134" i="20"/>
  <c r="C134" i="20" s="1"/>
  <c r="B243" i="20"/>
  <c r="J243" i="20" s="1"/>
  <c r="B91" i="20"/>
  <c r="F91" i="20" s="1"/>
  <c r="B76" i="20"/>
  <c r="G76" i="20" s="1"/>
  <c r="B103" i="20"/>
  <c r="H103" i="20" s="1"/>
  <c r="B276" i="20"/>
  <c r="E276" i="20" s="1"/>
  <c r="B60" i="20"/>
  <c r="F60" i="20" s="1"/>
  <c r="B175" i="20"/>
  <c r="G175" i="20" s="1"/>
  <c r="B264" i="20"/>
  <c r="J264" i="20" s="1"/>
  <c r="B368" i="20"/>
  <c r="B119" i="20"/>
  <c r="K119" i="20" s="1"/>
  <c r="B271" i="20"/>
  <c r="H271" i="20" s="1"/>
  <c r="B195" i="20"/>
  <c r="C195" i="20" s="1"/>
  <c r="B149" i="20"/>
  <c r="B71" i="20"/>
  <c r="C71" i="20" s="1"/>
  <c r="B254" i="20"/>
  <c r="I254" i="20" s="1"/>
  <c r="B74" i="20"/>
  <c r="K74" i="20" s="1"/>
  <c r="B202" i="20"/>
  <c r="J202" i="20" s="1"/>
  <c r="B101" i="20"/>
  <c r="K101" i="20" s="1"/>
  <c r="B162" i="20"/>
  <c r="K162" i="20" s="1"/>
  <c r="B255" i="20"/>
  <c r="G255" i="20" s="1"/>
  <c r="B351" i="20"/>
  <c r="G351" i="20" s="1"/>
  <c r="B185" i="20"/>
  <c r="J185" i="20" s="1"/>
  <c r="B204" i="20"/>
  <c r="I204" i="20" s="1"/>
  <c r="B216" i="20"/>
  <c r="K216" i="20" s="1"/>
  <c r="B138" i="20"/>
  <c r="D138" i="20" s="1"/>
  <c r="B154" i="20"/>
  <c r="F154" i="20" s="1"/>
  <c r="B64" i="20"/>
  <c r="D64" i="20" s="1"/>
  <c r="B95" i="20"/>
  <c r="H95" i="20" s="1"/>
  <c r="B287" i="20"/>
  <c r="J287" i="20" s="1"/>
  <c r="B125" i="20"/>
  <c r="F125" i="20" s="1"/>
  <c r="B348" i="20"/>
  <c r="J348" i="20" s="1"/>
  <c r="B270" i="20"/>
  <c r="I270" i="20" s="1"/>
  <c r="B194" i="20"/>
  <c r="B88" i="20"/>
  <c r="G88" i="20" s="1"/>
  <c r="B53" i="20"/>
  <c r="F53" i="20" s="1"/>
  <c r="B187" i="20"/>
  <c r="G187" i="20" s="1"/>
  <c r="B69" i="20"/>
  <c r="B360" i="20"/>
  <c r="D360" i="20" s="1"/>
  <c r="B291" i="20"/>
  <c r="D291" i="20" s="1"/>
  <c r="B192" i="20"/>
  <c r="E192" i="20" s="1"/>
  <c r="B173" i="20"/>
  <c r="H173" i="20" s="1"/>
  <c r="B353" i="20"/>
  <c r="E353" i="20" s="1"/>
  <c r="B146" i="20"/>
  <c r="C146" i="20" s="1"/>
  <c r="B268" i="20"/>
  <c r="G268" i="20" s="1"/>
  <c r="B200" i="20"/>
  <c r="B280" i="20"/>
  <c r="E280" i="20" s="1"/>
  <c r="B85" i="20"/>
  <c r="K85" i="20" s="1"/>
  <c r="B196" i="20"/>
  <c r="K196" i="20" s="1"/>
  <c r="B295" i="20"/>
  <c r="J295" i="20" s="1"/>
  <c r="B218" i="20"/>
  <c r="D218" i="20" s="1"/>
  <c r="B186" i="20"/>
  <c r="E186" i="20" s="1"/>
  <c r="B329" i="20"/>
  <c r="J329" i="20" s="1"/>
  <c r="B62" i="20"/>
  <c r="E62" i="20" s="1"/>
  <c r="B108" i="20"/>
  <c r="E108" i="20" s="1"/>
  <c r="B364" i="20"/>
  <c r="K364" i="20" s="1"/>
  <c r="B148" i="20"/>
  <c r="K148" i="20" s="1"/>
  <c r="B75" i="20"/>
  <c r="B184" i="20"/>
  <c r="C184" i="20" s="1"/>
  <c r="B65" i="20"/>
  <c r="I65" i="20" s="1"/>
  <c r="B346" i="20"/>
  <c r="J346" i="20" s="1"/>
  <c r="B232" i="20"/>
  <c r="B158" i="20"/>
  <c r="F158" i="20" s="1"/>
  <c r="B332" i="20"/>
  <c r="J332" i="20" s="1"/>
  <c r="B99" i="20"/>
  <c r="C99" i="20" s="1"/>
  <c r="B220" i="20"/>
  <c r="B115" i="20"/>
  <c r="K115" i="20" s="1"/>
  <c r="B150" i="20"/>
  <c r="I150" i="20" s="1"/>
  <c r="B181" i="20"/>
  <c r="K181" i="20" s="1"/>
  <c r="B211" i="20"/>
  <c r="K211" i="20" s="1"/>
  <c r="B61" i="20"/>
  <c r="C61" i="20" s="1"/>
  <c r="B160" i="20"/>
  <c r="G160" i="20" s="1"/>
  <c r="B288" i="20"/>
  <c r="F288" i="20" s="1"/>
  <c r="B345" i="20"/>
  <c r="B241" i="20"/>
  <c r="F241" i="20" s="1"/>
  <c r="B107" i="20"/>
  <c r="F107" i="20" s="1"/>
  <c r="B259" i="20"/>
  <c r="K259" i="20" s="1"/>
  <c r="B298" i="20"/>
  <c r="B213" i="20"/>
  <c r="F213" i="20" s="1"/>
  <c r="B258" i="20"/>
  <c r="H258" i="20" s="1"/>
  <c r="B72" i="20"/>
  <c r="J72" i="20" s="1"/>
  <c r="B233" i="20"/>
  <c r="K233" i="20" s="1"/>
  <c r="B131" i="20"/>
  <c r="K131" i="20" s="1"/>
  <c r="B153" i="20"/>
  <c r="H153" i="20" s="1"/>
  <c r="B117" i="20"/>
  <c r="E117" i="20" s="1"/>
  <c r="B249" i="20"/>
  <c r="B362" i="20"/>
  <c r="K362" i="20" s="1"/>
  <c r="B133" i="20"/>
  <c r="I133" i="20" s="1"/>
  <c r="B369" i="20"/>
  <c r="B357" i="20"/>
  <c r="D357" i="20" s="1"/>
  <c r="B172" i="20"/>
  <c r="I172" i="20" s="1"/>
  <c r="B371" i="20"/>
  <c r="J371" i="20" s="1"/>
  <c r="B262" i="20"/>
  <c r="B80" i="20"/>
  <c r="J80" i="20" s="1"/>
  <c r="B124" i="20"/>
  <c r="I124" i="20" s="1"/>
  <c r="B126" i="20"/>
  <c r="D126" i="20" s="1"/>
  <c r="B84" i="20"/>
  <c r="B323" i="20"/>
  <c r="G96" i="20"/>
  <c r="D96" i="20"/>
  <c r="J96" i="20"/>
  <c r="K96" i="20"/>
  <c r="H96" i="20"/>
  <c r="I96" i="20"/>
  <c r="F96" i="20"/>
  <c r="E96" i="20"/>
  <c r="C96" i="20"/>
  <c r="B109" i="20"/>
  <c r="B307" i="20"/>
  <c r="B324" i="20"/>
  <c r="B327" i="20"/>
  <c r="B335" i="20"/>
  <c r="B325" i="20"/>
  <c r="B282" i="20"/>
  <c r="B225" i="20"/>
  <c r="B77" i="20"/>
  <c r="B112" i="20"/>
  <c r="B161" i="20"/>
  <c r="B180" i="20"/>
  <c r="B116" i="20"/>
  <c r="B106" i="20"/>
  <c r="B56" i="20"/>
  <c r="B337" i="20"/>
  <c r="B356" i="20"/>
  <c r="B141" i="20"/>
  <c r="B234" i="20"/>
  <c r="B199" i="20"/>
  <c r="B244" i="20"/>
  <c r="B132" i="20"/>
  <c r="B367" i="20"/>
  <c r="B274" i="20"/>
  <c r="B322" i="20"/>
  <c r="B321" i="20"/>
  <c r="B143" i="20"/>
  <c r="B294" i="20"/>
  <c r="B331" i="20"/>
  <c r="B174" i="20"/>
  <c r="B328" i="20"/>
  <c r="B206" i="20"/>
  <c r="B305" i="20"/>
  <c r="B247" i="20"/>
  <c r="B266" i="20"/>
  <c r="B70" i="20"/>
  <c r="B190" i="20"/>
  <c r="B114" i="20"/>
  <c r="B350" i="20"/>
  <c r="B167" i="20"/>
  <c r="H243" i="20"/>
  <c r="B48" i="20"/>
  <c r="B338" i="20"/>
  <c r="B231" i="20"/>
  <c r="B151" i="20"/>
  <c r="B229" i="20"/>
  <c r="B15" i="20"/>
  <c r="B37" i="20"/>
  <c r="B265" i="20"/>
  <c r="B297" i="20"/>
  <c r="B90" i="20"/>
  <c r="B256" i="20"/>
  <c r="B313" i="20"/>
  <c r="I3" i="20"/>
  <c r="B6" i="19" s="1"/>
  <c r="B159" i="20"/>
  <c r="B105" i="20"/>
  <c r="B137" i="20"/>
  <c r="B358" i="20"/>
  <c r="B27" i="20"/>
  <c r="B35" i="20"/>
  <c r="B292" i="20"/>
  <c r="B272" i="20"/>
  <c r="B130" i="20"/>
  <c r="B97" i="20"/>
  <c r="B198" i="20"/>
  <c r="B58" i="20"/>
  <c r="B296" i="20"/>
  <c r="B289" i="20"/>
  <c r="B156" i="20"/>
  <c r="B179" i="20"/>
  <c r="B24" i="20"/>
  <c r="B144" i="20"/>
  <c r="B163" i="20"/>
  <c r="B278" i="20"/>
  <c r="B215" i="20"/>
  <c r="B293" i="20"/>
  <c r="B201" i="20"/>
  <c r="B275" i="20"/>
  <c r="B191" i="20"/>
  <c r="B341" i="20"/>
  <c r="B347" i="20"/>
  <c r="B128" i="20"/>
  <c r="B127" i="20"/>
  <c r="B17" i="20"/>
  <c r="B30" i="20"/>
  <c r="B40" i="20"/>
  <c r="B273" i="20"/>
  <c r="B340" i="20"/>
  <c r="B283" i="20"/>
  <c r="B189" i="20"/>
  <c r="B33" i="20"/>
  <c r="B68" i="20"/>
  <c r="B152" i="20"/>
  <c r="B245" i="20"/>
  <c r="B20" i="20"/>
  <c r="B182" i="20"/>
  <c r="B267" i="20"/>
  <c r="B281" i="20"/>
  <c r="B121" i="20"/>
  <c r="B12" i="20"/>
  <c r="B214" i="20"/>
  <c r="B139" i="20"/>
  <c r="B290" i="20"/>
  <c r="B122" i="20"/>
  <c r="B142" i="20"/>
  <c r="B18" i="20"/>
  <c r="B41" i="20"/>
  <c r="B140" i="20"/>
  <c r="B304" i="20"/>
  <c r="B349" i="20"/>
  <c r="B209" i="20"/>
  <c r="B226" i="20"/>
  <c r="B170" i="20"/>
  <c r="B147" i="20"/>
  <c r="B205" i="20"/>
  <c r="B57" i="20"/>
  <c r="B333" i="20"/>
  <c r="B29" i="20"/>
  <c r="B38" i="20"/>
  <c r="B303" i="20"/>
  <c r="B300" i="20"/>
  <c r="B286" i="20"/>
  <c r="B301" i="20"/>
  <c r="B279" i="20"/>
  <c r="B197" i="20"/>
  <c r="B344" i="20"/>
  <c r="B221" i="20"/>
  <c r="B14" i="20"/>
  <c r="B39" i="20"/>
  <c r="B363" i="20"/>
  <c r="B260" i="20"/>
  <c r="B66" i="20"/>
  <c r="B92" i="20"/>
  <c r="B50" i="20"/>
  <c r="B237" i="20"/>
  <c r="B252" i="20"/>
  <c r="B343" i="20"/>
  <c r="B246" i="20"/>
  <c r="B285" i="20"/>
  <c r="B359" i="20"/>
  <c r="B82" i="20"/>
  <c r="B21" i="20"/>
  <c r="B32" i="20"/>
  <c r="B44" i="20"/>
  <c r="B230" i="20"/>
  <c r="B26" i="20"/>
  <c r="B51" i="20"/>
  <c r="B67" i="20"/>
  <c r="B320" i="20"/>
  <c r="B171" i="20"/>
  <c r="B319" i="20"/>
  <c r="B228" i="20"/>
  <c r="B129" i="20"/>
  <c r="B155" i="20"/>
  <c r="B36" i="20"/>
  <c r="B309" i="20"/>
  <c r="B178" i="20"/>
  <c r="B207" i="20"/>
  <c r="B222" i="20"/>
  <c r="B22" i="20"/>
  <c r="B45" i="20"/>
  <c r="B183" i="20"/>
  <c r="B242" i="20"/>
  <c r="B352" i="20"/>
  <c r="B261" i="20"/>
  <c r="B93" i="20"/>
  <c r="B314" i="20"/>
  <c r="B111" i="20"/>
  <c r="B102" i="20"/>
  <c r="B224" i="20"/>
  <c r="B19" i="20"/>
  <c r="B31" i="20"/>
  <c r="B42" i="20"/>
  <c r="B302" i="20"/>
  <c r="B306" i="20"/>
  <c r="B312" i="20"/>
  <c r="B235" i="20"/>
  <c r="B164" i="20"/>
  <c r="B123" i="20"/>
  <c r="B157" i="20"/>
  <c r="B118" i="20"/>
  <c r="B326" i="20"/>
  <c r="B16" i="20"/>
  <c r="B43" i="20"/>
  <c r="B203" i="20"/>
  <c r="B100" i="20"/>
  <c r="B240" i="20"/>
  <c r="B135" i="20"/>
  <c r="B317" i="20"/>
  <c r="B236" i="20"/>
  <c r="B166" i="20"/>
  <c r="B59" i="20"/>
  <c r="B315" i="20"/>
  <c r="B227" i="20"/>
  <c r="B81" i="20"/>
  <c r="B110" i="20"/>
  <c r="B25" i="20"/>
  <c r="B34" i="20"/>
  <c r="B253" i="20"/>
  <c r="B311" i="20"/>
  <c r="B78" i="20"/>
  <c r="B86" i="20"/>
  <c r="B13" i="20"/>
  <c r="B49" i="20"/>
  <c r="B113" i="20"/>
  <c r="B193" i="20"/>
  <c r="B257" i="20"/>
  <c r="B168" i="20"/>
  <c r="B136" i="20"/>
  <c r="B23" i="20"/>
  <c r="B46" i="20"/>
  <c r="B355" i="20"/>
  <c r="B361" i="20"/>
  <c r="B370" i="20"/>
  <c r="B47" i="20"/>
  <c r="B354" i="20"/>
  <c r="B336" i="20"/>
  <c r="B219" i="20"/>
  <c r="B28" i="20"/>
  <c r="B284" i="20"/>
  <c r="B63" i="20"/>
  <c r="B342" i="20"/>
  <c r="B176" i="20"/>
  <c r="B83" i="20"/>
  <c r="B366" i="20"/>
  <c r="B89" i="20"/>
  <c r="B188" i="20"/>
  <c r="B87" i="20"/>
  <c r="B98" i="20"/>
  <c r="B73" i="20"/>
  <c r="B52" i="20"/>
  <c r="G85" i="20"/>
  <c r="B263" i="20"/>
  <c r="B277" i="20"/>
  <c r="B251" i="20"/>
  <c r="B177" i="20"/>
  <c r="B310" i="20"/>
  <c r="B94" i="20"/>
  <c r="B208" i="20"/>
  <c r="B250" i="20"/>
  <c r="B339" i="20"/>
  <c r="B55" i="20"/>
  <c r="B318" i="20"/>
  <c r="B330" i="20"/>
  <c r="B334" i="20"/>
  <c r="B238" i="20"/>
  <c r="B248" i="20"/>
  <c r="B210" i="20"/>
  <c r="B223" i="20"/>
  <c r="B169" i="20"/>
  <c r="B145" i="20"/>
  <c r="B165" i="20"/>
  <c r="B308" i="20"/>
  <c r="B299" i="20"/>
  <c r="B104" i="20"/>
  <c r="B212" i="20"/>
  <c r="B316" i="20"/>
  <c r="B239" i="20"/>
  <c r="B120" i="20"/>
  <c r="B217" i="20"/>
  <c r="B54" i="20"/>
  <c r="B269" i="20"/>
  <c r="B365" i="20"/>
  <c r="B79" i="20"/>
  <c r="E10" i="7" l="1"/>
  <c r="S30" i="7"/>
  <c r="Y30" i="7" s="1"/>
  <c r="S34" i="7"/>
  <c r="Y34" i="7" s="1"/>
  <c r="E14" i="7"/>
  <c r="K27" i="7"/>
  <c r="Q27" i="7" s="1"/>
  <c r="S32" i="7"/>
  <c r="Y32" i="7" s="1"/>
  <c r="E12" i="7"/>
  <c r="S33" i="7"/>
  <c r="Y33" i="7" s="1"/>
  <c r="E13" i="7"/>
  <c r="E11" i="7"/>
  <c r="S31" i="7"/>
  <c r="Y31" i="7" s="1"/>
  <c r="S29" i="7"/>
  <c r="Y29" i="7" s="1"/>
  <c r="E9" i="7"/>
  <c r="E7" i="7" s="1"/>
  <c r="E15" i="7" s="1"/>
  <c r="X43" i="7"/>
  <c r="Y28" i="7"/>
  <c r="AM45" i="7"/>
  <c r="AO45" i="7" s="1"/>
  <c r="AG45" i="7"/>
  <c r="J8" i="24"/>
  <c r="AG40" i="7"/>
  <c r="AI40" i="7"/>
  <c r="AO40" i="7" s="1"/>
  <c r="F5" i="27"/>
  <c r="D17" i="7"/>
  <c r="AM41" i="7"/>
  <c r="AG41" i="7"/>
  <c r="F8" i="7"/>
  <c r="AA28" i="7"/>
  <c r="AI46" i="7"/>
  <c r="AO46" i="7" s="1"/>
  <c r="AG46" i="7"/>
  <c r="K26" i="7"/>
  <c r="Q26" i="7" s="1"/>
  <c r="AE36" i="7"/>
  <c r="AK47" i="7"/>
  <c r="G26" i="10" s="1"/>
  <c r="AO43" i="7"/>
  <c r="R36" i="7"/>
  <c r="R47" i="7" s="1"/>
  <c r="I134" i="20"/>
  <c r="K76" i="20"/>
  <c r="C254" i="20"/>
  <c r="H148" i="20"/>
  <c r="D76" i="20"/>
  <c r="D134" i="20"/>
  <c r="K255" i="20"/>
  <c r="J117" i="20"/>
  <c r="C216" i="20"/>
  <c r="E134" i="20"/>
  <c r="G134" i="20"/>
  <c r="K346" i="20"/>
  <c r="H255" i="20"/>
  <c r="C95" i="20"/>
  <c r="K103" i="20"/>
  <c r="I264" i="20"/>
  <c r="J134" i="20"/>
  <c r="H134" i="20"/>
  <c r="E195" i="20"/>
  <c r="E288" i="20"/>
  <c r="I72" i="20"/>
  <c r="F134" i="20"/>
  <c r="K134" i="20"/>
  <c r="M14" i="25"/>
  <c r="O10" i="25"/>
  <c r="P11" i="25" s="1"/>
  <c r="J14" i="25"/>
  <c r="X36" i="7"/>
  <c r="X47" i="7" s="1"/>
  <c r="X51" i="7" s="1"/>
  <c r="I43" i="7"/>
  <c r="I36" i="7" s="1"/>
  <c r="D4" i="27" s="1"/>
  <c r="D11" i="27" s="1"/>
  <c r="D14" i="27" s="1"/>
  <c r="C36" i="7"/>
  <c r="C47" i="7" s="1"/>
  <c r="AG43" i="7"/>
  <c r="AA36" i="7"/>
  <c r="Q43" i="7"/>
  <c r="Q36" i="7" s="1"/>
  <c r="K36" i="7"/>
  <c r="K47" i="7" s="1"/>
  <c r="Y43" i="7"/>
  <c r="Y36" i="7" s="1"/>
  <c r="S36" i="7"/>
  <c r="G243" i="20"/>
  <c r="H158" i="20"/>
  <c r="I243" i="20"/>
  <c r="I288" i="20"/>
  <c r="I192" i="20"/>
  <c r="H88" i="20"/>
  <c r="E268" i="20"/>
  <c r="I346" i="20"/>
  <c r="E185" i="20"/>
  <c r="D61" i="20"/>
  <c r="I60" i="20"/>
  <c r="C185" i="20"/>
  <c r="I280" i="20"/>
  <c r="D108" i="20"/>
  <c r="G154" i="20"/>
  <c r="K241" i="20"/>
  <c r="F115" i="20"/>
  <c r="E360" i="20"/>
  <c r="I125" i="20"/>
  <c r="H101" i="20"/>
  <c r="G138" i="20"/>
  <c r="E60" i="20"/>
  <c r="G280" i="20"/>
  <c r="H172" i="20"/>
  <c r="G213" i="20"/>
  <c r="D91" i="20"/>
  <c r="E243" i="20"/>
  <c r="D119" i="20"/>
  <c r="D184" i="20"/>
  <c r="I71" i="20"/>
  <c r="C158" i="20"/>
  <c r="D185" i="20"/>
  <c r="J280" i="20"/>
  <c r="G131" i="20"/>
  <c r="E218" i="20"/>
  <c r="K91" i="20"/>
  <c r="K243" i="20"/>
  <c r="C353" i="20"/>
  <c r="J158" i="20"/>
  <c r="D280" i="20"/>
  <c r="F108" i="20"/>
  <c r="C131" i="20"/>
  <c r="I213" i="20"/>
  <c r="F88" i="20"/>
  <c r="H91" i="20"/>
  <c r="C115" i="20"/>
  <c r="I360" i="20"/>
  <c r="K184" i="20"/>
  <c r="F101" i="20"/>
  <c r="E158" i="20"/>
  <c r="D60" i="20"/>
  <c r="J60" i="20"/>
  <c r="K185" i="20"/>
  <c r="H185" i="20"/>
  <c r="K280" i="20"/>
  <c r="K172" i="20"/>
  <c r="J108" i="20"/>
  <c r="I131" i="20"/>
  <c r="D154" i="20"/>
  <c r="D213" i="20"/>
  <c r="G218" i="20"/>
  <c r="D88" i="20"/>
  <c r="J241" i="20"/>
  <c r="I91" i="20"/>
  <c r="G91" i="20"/>
  <c r="C243" i="20"/>
  <c r="D243" i="20"/>
  <c r="C119" i="20"/>
  <c r="I61" i="20"/>
  <c r="E115" i="20"/>
  <c r="K353" i="20"/>
  <c r="H360" i="20"/>
  <c r="H184" i="20"/>
  <c r="E71" i="20"/>
  <c r="G158" i="20"/>
  <c r="K158" i="20"/>
  <c r="H60" i="20"/>
  <c r="C60" i="20"/>
  <c r="G185" i="20"/>
  <c r="F185" i="20"/>
  <c r="H280" i="20"/>
  <c r="F172" i="20"/>
  <c r="C108" i="20"/>
  <c r="H154" i="20"/>
  <c r="H218" i="20"/>
  <c r="E241" i="20"/>
  <c r="J91" i="20"/>
  <c r="J119" i="20"/>
  <c r="J61" i="20"/>
  <c r="J353" i="20"/>
  <c r="C125" i="20"/>
  <c r="I158" i="20"/>
  <c r="K60" i="20"/>
  <c r="C280" i="20"/>
  <c r="D158" i="20"/>
  <c r="G60" i="20"/>
  <c r="G295" i="20"/>
  <c r="I185" i="20"/>
  <c r="F280" i="20"/>
  <c r="J172" i="20"/>
  <c r="G108" i="20"/>
  <c r="F131" i="20"/>
  <c r="C154" i="20"/>
  <c r="H213" i="20"/>
  <c r="F218" i="20"/>
  <c r="K88" i="20"/>
  <c r="C91" i="20"/>
  <c r="E91" i="20"/>
  <c r="F243" i="20"/>
  <c r="G119" i="20"/>
  <c r="K61" i="20"/>
  <c r="I115" i="20"/>
  <c r="G362" i="20"/>
  <c r="K360" i="20"/>
  <c r="G184" i="20"/>
  <c r="G125" i="20"/>
  <c r="K71" i="20"/>
  <c r="C101" i="20"/>
  <c r="E65" i="20"/>
  <c r="J258" i="20"/>
  <c r="K146" i="20"/>
  <c r="AF37" i="7"/>
  <c r="AF36" i="7" s="1"/>
  <c r="AF47" i="7" s="1"/>
  <c r="AF51" i="7" s="1"/>
  <c r="Z36" i="7"/>
  <c r="Z47" i="7" s="1"/>
  <c r="AH37" i="7"/>
  <c r="F160" i="20"/>
  <c r="F175" i="20"/>
  <c r="J76" i="20"/>
  <c r="I271" i="20"/>
  <c r="I107" i="20"/>
  <c r="J271" i="20"/>
  <c r="E64" i="20"/>
  <c r="D150" i="20"/>
  <c r="J99" i="20"/>
  <c r="F162" i="20"/>
  <c r="E76" i="20"/>
  <c r="F76" i="20"/>
  <c r="I175" i="20"/>
  <c r="H254" i="20"/>
  <c r="H332" i="20"/>
  <c r="D162" i="20"/>
  <c r="C76" i="20"/>
  <c r="I76" i="20"/>
  <c r="E346" i="20"/>
  <c r="H288" i="20"/>
  <c r="D255" i="20"/>
  <c r="K192" i="20"/>
  <c r="G72" i="20"/>
  <c r="E103" i="20"/>
  <c r="J181" i="20"/>
  <c r="C259" i="20"/>
  <c r="D268" i="20"/>
  <c r="K99" i="20"/>
  <c r="G270" i="20"/>
  <c r="G124" i="20"/>
  <c r="D196" i="20"/>
  <c r="E264" i="20"/>
  <c r="H74" i="20"/>
  <c r="H346" i="20"/>
  <c r="D288" i="20"/>
  <c r="C288" i="20"/>
  <c r="E255" i="20"/>
  <c r="F192" i="20"/>
  <c r="H192" i="20"/>
  <c r="E95" i="20"/>
  <c r="E72" i="20"/>
  <c r="E329" i="20"/>
  <c r="J103" i="20"/>
  <c r="E181" i="20"/>
  <c r="H259" i="20"/>
  <c r="J187" i="20"/>
  <c r="E99" i="20"/>
  <c r="H270" i="20"/>
  <c r="E216" i="20"/>
  <c r="G196" i="20"/>
  <c r="E74" i="20"/>
  <c r="C192" i="20"/>
  <c r="G117" i="20"/>
  <c r="J95" i="20"/>
  <c r="F329" i="20"/>
  <c r="E187" i="20"/>
  <c r="C148" i="20"/>
  <c r="G216" i="20"/>
  <c r="E196" i="20"/>
  <c r="K195" i="20"/>
  <c r="C362" i="20"/>
  <c r="J124" i="20"/>
  <c r="F362" i="20"/>
  <c r="C124" i="20"/>
  <c r="F351" i="20"/>
  <c r="G371" i="20"/>
  <c r="E172" i="20"/>
  <c r="J131" i="20"/>
  <c r="J213" i="20"/>
  <c r="I218" i="20"/>
  <c r="D241" i="20"/>
  <c r="H61" i="20"/>
  <c r="D115" i="20"/>
  <c r="H353" i="20"/>
  <c r="H362" i="20"/>
  <c r="C360" i="20"/>
  <c r="I184" i="20"/>
  <c r="H124" i="20"/>
  <c r="K124" i="20"/>
  <c r="K348" i="20"/>
  <c r="E125" i="20"/>
  <c r="D71" i="20"/>
  <c r="G101" i="20"/>
  <c r="C175" i="20"/>
  <c r="H76" i="20"/>
  <c r="I298" i="20"/>
  <c r="G298" i="20"/>
  <c r="C298" i="20"/>
  <c r="E298" i="20"/>
  <c r="K298" i="20"/>
  <c r="F298" i="20"/>
  <c r="H298" i="20"/>
  <c r="C80" i="20"/>
  <c r="D80" i="20"/>
  <c r="H80" i="20"/>
  <c r="I80" i="20"/>
  <c r="E80" i="20"/>
  <c r="G80" i="20"/>
  <c r="F80" i="20"/>
  <c r="K80" i="20"/>
  <c r="I249" i="20"/>
  <c r="K249" i="20"/>
  <c r="H249" i="20"/>
  <c r="G249" i="20"/>
  <c r="C249" i="20"/>
  <c r="D249" i="20"/>
  <c r="J249" i="20"/>
  <c r="E249" i="20"/>
  <c r="J345" i="20"/>
  <c r="E345" i="20"/>
  <c r="F345" i="20"/>
  <c r="D345" i="20"/>
  <c r="G345" i="20"/>
  <c r="I345" i="20"/>
  <c r="K345" i="20"/>
  <c r="C345" i="20"/>
  <c r="H220" i="20"/>
  <c r="G220" i="20"/>
  <c r="I220" i="20"/>
  <c r="J220" i="20"/>
  <c r="F220" i="20"/>
  <c r="E220" i="20"/>
  <c r="K220" i="20"/>
  <c r="D220" i="20"/>
  <c r="E75" i="20"/>
  <c r="H75" i="20"/>
  <c r="D75" i="20"/>
  <c r="K75" i="20"/>
  <c r="I75" i="20"/>
  <c r="G75" i="20"/>
  <c r="C75" i="20"/>
  <c r="J75" i="20"/>
  <c r="D200" i="20"/>
  <c r="K200" i="20"/>
  <c r="F200" i="20"/>
  <c r="G200" i="20"/>
  <c r="E200" i="20"/>
  <c r="C200" i="20"/>
  <c r="H200" i="20"/>
  <c r="I200" i="20"/>
  <c r="D69" i="20"/>
  <c r="H69" i="20"/>
  <c r="K69" i="20"/>
  <c r="C69" i="20"/>
  <c r="G69" i="20"/>
  <c r="E69" i="20"/>
  <c r="J69" i="20"/>
  <c r="K357" i="20"/>
  <c r="J200" i="20"/>
  <c r="F249" i="20"/>
  <c r="J351" i="20"/>
  <c r="D298" i="20"/>
  <c r="I69" i="20"/>
  <c r="C220" i="20"/>
  <c r="F75" i="20"/>
  <c r="J323" i="20"/>
  <c r="E323" i="20"/>
  <c r="F323" i="20"/>
  <c r="G323" i="20"/>
  <c r="I323" i="20"/>
  <c r="D323" i="20"/>
  <c r="H323" i="20"/>
  <c r="K323" i="20"/>
  <c r="H357" i="20"/>
  <c r="G357" i="20"/>
  <c r="F357" i="20"/>
  <c r="I357" i="20"/>
  <c r="E357" i="20"/>
  <c r="C357" i="20"/>
  <c r="J357" i="20"/>
  <c r="I233" i="20"/>
  <c r="C233" i="20"/>
  <c r="H233" i="20"/>
  <c r="J233" i="20"/>
  <c r="G233" i="20"/>
  <c r="E233" i="20"/>
  <c r="D233" i="20"/>
  <c r="D211" i="20"/>
  <c r="G211" i="20"/>
  <c r="E211" i="20"/>
  <c r="J211" i="20"/>
  <c r="F211" i="20"/>
  <c r="H211" i="20"/>
  <c r="I211" i="20"/>
  <c r="C211" i="20"/>
  <c r="C232" i="20"/>
  <c r="K232" i="20"/>
  <c r="G232" i="20"/>
  <c r="F232" i="20"/>
  <c r="E232" i="20"/>
  <c r="J232" i="20"/>
  <c r="D232" i="20"/>
  <c r="I232" i="20"/>
  <c r="D62" i="20"/>
  <c r="G62" i="20"/>
  <c r="I62" i="20"/>
  <c r="F62" i="20"/>
  <c r="C62" i="20"/>
  <c r="H62" i="20"/>
  <c r="K62" i="20"/>
  <c r="J62" i="20"/>
  <c r="K295" i="20"/>
  <c r="F295" i="20"/>
  <c r="E295" i="20"/>
  <c r="I295" i="20"/>
  <c r="D295" i="20"/>
  <c r="E173" i="20"/>
  <c r="D173" i="20"/>
  <c r="J173" i="20"/>
  <c r="C173" i="20"/>
  <c r="F173" i="20"/>
  <c r="I173" i="20"/>
  <c r="K173" i="20"/>
  <c r="G173" i="20"/>
  <c r="C194" i="20"/>
  <c r="H194" i="20"/>
  <c r="E194" i="20"/>
  <c r="D194" i="20"/>
  <c r="J194" i="20"/>
  <c r="G194" i="20"/>
  <c r="I194" i="20"/>
  <c r="F194" i="20"/>
  <c r="E287" i="20"/>
  <c r="F287" i="20"/>
  <c r="D287" i="20"/>
  <c r="G287" i="20"/>
  <c r="C287" i="20"/>
  <c r="I287" i="20"/>
  <c r="K287" i="20"/>
  <c r="H287" i="20"/>
  <c r="H138" i="20"/>
  <c r="K138" i="20"/>
  <c r="F138" i="20"/>
  <c r="J138" i="20"/>
  <c r="E138" i="20"/>
  <c r="I351" i="20"/>
  <c r="H351" i="20"/>
  <c r="K351" i="20"/>
  <c r="D351" i="20"/>
  <c r="F202" i="20"/>
  <c r="H202" i="20"/>
  <c r="K202" i="20"/>
  <c r="E202" i="20"/>
  <c r="D202" i="20"/>
  <c r="G202" i="20"/>
  <c r="C202" i="20"/>
  <c r="I202" i="20"/>
  <c r="K149" i="20"/>
  <c r="F149" i="20"/>
  <c r="J149" i="20"/>
  <c r="G149" i="20"/>
  <c r="E149" i="20"/>
  <c r="D149" i="20"/>
  <c r="C149" i="20"/>
  <c r="H149" i="20"/>
  <c r="K276" i="20"/>
  <c r="I276" i="20"/>
  <c r="C276" i="20"/>
  <c r="G276" i="20"/>
  <c r="H276" i="20"/>
  <c r="D276" i="20"/>
  <c r="J276" i="20"/>
  <c r="F276" i="20"/>
  <c r="C138" i="20"/>
  <c r="C295" i="20"/>
  <c r="C351" i="20"/>
  <c r="I138" i="20"/>
  <c r="H295" i="20"/>
  <c r="E351" i="20"/>
  <c r="F233" i="20"/>
  <c r="J298" i="20"/>
  <c r="K194" i="20"/>
  <c r="C323" i="20"/>
  <c r="H345" i="20"/>
  <c r="F69" i="20"/>
  <c r="H232" i="20"/>
  <c r="I149" i="20"/>
  <c r="E262" i="20"/>
  <c r="G262" i="20"/>
  <c r="D262" i="20"/>
  <c r="C72" i="20"/>
  <c r="F72" i="20"/>
  <c r="F103" i="20"/>
  <c r="D103" i="20"/>
  <c r="D346" i="20"/>
  <c r="C346" i="20"/>
  <c r="K288" i="20"/>
  <c r="G288" i="20"/>
  <c r="J255" i="20"/>
  <c r="C255" i="20"/>
  <c r="I255" i="20"/>
  <c r="G192" i="20"/>
  <c r="D192" i="20"/>
  <c r="F117" i="20"/>
  <c r="G95" i="20"/>
  <c r="K72" i="20"/>
  <c r="H329" i="20"/>
  <c r="C103" i="20"/>
  <c r="I84" i="20"/>
  <c r="C84" i="20"/>
  <c r="E84" i="20"/>
  <c r="D117" i="20"/>
  <c r="C117" i="20"/>
  <c r="H117" i="20"/>
  <c r="D259" i="20"/>
  <c r="G259" i="20"/>
  <c r="E259" i="20"/>
  <c r="J259" i="20"/>
  <c r="I259" i="20"/>
  <c r="I181" i="20"/>
  <c r="F181" i="20"/>
  <c r="H181" i="20"/>
  <c r="G181" i="20"/>
  <c r="D181" i="20"/>
  <c r="F99" i="20"/>
  <c r="D99" i="20"/>
  <c r="G99" i="20"/>
  <c r="I99" i="20"/>
  <c r="F148" i="20"/>
  <c r="G148" i="20"/>
  <c r="E148" i="20"/>
  <c r="J148" i="20"/>
  <c r="I148" i="20"/>
  <c r="K329" i="20"/>
  <c r="D329" i="20"/>
  <c r="G329" i="20"/>
  <c r="C196" i="20"/>
  <c r="F196" i="20"/>
  <c r="J196" i="20"/>
  <c r="I196" i="20"/>
  <c r="H268" i="20"/>
  <c r="J268" i="20"/>
  <c r="F268" i="20"/>
  <c r="I268" i="20"/>
  <c r="K268" i="20"/>
  <c r="I187" i="20"/>
  <c r="D187" i="20"/>
  <c r="K187" i="20"/>
  <c r="F187" i="20"/>
  <c r="H187" i="20"/>
  <c r="C270" i="20"/>
  <c r="J270" i="20"/>
  <c r="E270" i="20"/>
  <c r="K270" i="20"/>
  <c r="F270" i="20"/>
  <c r="D95" i="20"/>
  <c r="F95" i="20"/>
  <c r="F216" i="20"/>
  <c r="D216" i="20"/>
  <c r="I216" i="20"/>
  <c r="J216" i="20"/>
  <c r="C74" i="20"/>
  <c r="F74" i="20"/>
  <c r="J74" i="20"/>
  <c r="G74" i="20"/>
  <c r="I74" i="20"/>
  <c r="H195" i="20"/>
  <c r="D195" i="20"/>
  <c r="I195" i="20"/>
  <c r="J195" i="20"/>
  <c r="F195" i="20"/>
  <c r="H264" i="20"/>
  <c r="D264" i="20"/>
  <c r="G264" i="20"/>
  <c r="C264" i="20"/>
  <c r="F264" i="20"/>
  <c r="F346" i="20"/>
  <c r="G346" i="20"/>
  <c r="J288" i="20"/>
  <c r="F255" i="20"/>
  <c r="J192" i="20"/>
  <c r="K117" i="20"/>
  <c r="I117" i="20"/>
  <c r="K95" i="20"/>
  <c r="I95" i="20"/>
  <c r="D72" i="20"/>
  <c r="H72" i="20"/>
  <c r="C329" i="20"/>
  <c r="I329" i="20"/>
  <c r="G103" i="20"/>
  <c r="I103" i="20"/>
  <c r="C181" i="20"/>
  <c r="H84" i="20"/>
  <c r="F259" i="20"/>
  <c r="C268" i="20"/>
  <c r="C187" i="20"/>
  <c r="H99" i="20"/>
  <c r="D270" i="20"/>
  <c r="D148" i="20"/>
  <c r="H216" i="20"/>
  <c r="H196" i="20"/>
  <c r="K264" i="20"/>
  <c r="G195" i="20"/>
  <c r="D74" i="20"/>
  <c r="C371" i="20"/>
  <c r="I258" i="20"/>
  <c r="F186" i="20"/>
  <c r="K204" i="20"/>
  <c r="E160" i="20"/>
  <c r="J254" i="20"/>
  <c r="E254" i="20"/>
  <c r="C53" i="20"/>
  <c r="E332" i="20"/>
  <c r="J133" i="20"/>
  <c r="G162" i="20"/>
  <c r="H162" i="20"/>
  <c r="J175" i="20"/>
  <c r="D175" i="20"/>
  <c r="K254" i="20"/>
  <c r="K271" i="20"/>
  <c r="E271" i="20"/>
  <c r="D271" i="20"/>
  <c r="D85" i="20"/>
  <c r="I364" i="20"/>
  <c r="C172" i="20"/>
  <c r="D172" i="20"/>
  <c r="H108" i="20"/>
  <c r="K108" i="20"/>
  <c r="E153" i="20"/>
  <c r="E131" i="20"/>
  <c r="H131" i="20"/>
  <c r="K258" i="20"/>
  <c r="J154" i="20"/>
  <c r="K154" i="20"/>
  <c r="K213" i="20"/>
  <c r="C213" i="20"/>
  <c r="I186" i="20"/>
  <c r="J218" i="20"/>
  <c r="K218" i="20"/>
  <c r="E88" i="20"/>
  <c r="I88" i="20"/>
  <c r="J88" i="20"/>
  <c r="I241" i="20"/>
  <c r="H241" i="20"/>
  <c r="D204" i="20"/>
  <c r="J160" i="20"/>
  <c r="F254" i="20"/>
  <c r="D254" i="20"/>
  <c r="E119" i="20"/>
  <c r="F119" i="20"/>
  <c r="H119" i="20"/>
  <c r="G61" i="20"/>
  <c r="F61" i="20"/>
  <c r="G115" i="20"/>
  <c r="H115" i="20"/>
  <c r="H126" i="20"/>
  <c r="D353" i="20"/>
  <c r="I353" i="20"/>
  <c r="F353" i="20"/>
  <c r="J362" i="20"/>
  <c r="I362" i="20"/>
  <c r="K291" i="20"/>
  <c r="J360" i="20"/>
  <c r="G360" i="20"/>
  <c r="H53" i="20"/>
  <c r="J184" i="20"/>
  <c r="E184" i="20"/>
  <c r="E124" i="20"/>
  <c r="F124" i="20"/>
  <c r="F133" i="20"/>
  <c r="D125" i="20"/>
  <c r="H125" i="20"/>
  <c r="J162" i="20"/>
  <c r="E162" i="20"/>
  <c r="I162" i="20"/>
  <c r="F71" i="20"/>
  <c r="J71" i="20"/>
  <c r="J101" i="20"/>
  <c r="D101" i="20"/>
  <c r="I101" i="20"/>
  <c r="H175" i="20"/>
  <c r="E175" i="20"/>
  <c r="D368" i="20"/>
  <c r="H368" i="20"/>
  <c r="E368" i="20"/>
  <c r="I368" i="20"/>
  <c r="F368" i="20"/>
  <c r="J368" i="20"/>
  <c r="C368" i="20"/>
  <c r="G368" i="20"/>
  <c r="K368" i="20"/>
  <c r="E107" i="20"/>
  <c r="G271" i="20"/>
  <c r="C271" i="20"/>
  <c r="I85" i="20"/>
  <c r="D153" i="20"/>
  <c r="J64" i="20"/>
  <c r="F271" i="20"/>
  <c r="H364" i="20"/>
  <c r="G172" i="20"/>
  <c r="I108" i="20"/>
  <c r="K153" i="20"/>
  <c r="D131" i="20"/>
  <c r="E154" i="20"/>
  <c r="I154" i="20"/>
  <c r="E213" i="20"/>
  <c r="C218" i="20"/>
  <c r="C88" i="20"/>
  <c r="G241" i="20"/>
  <c r="C241" i="20"/>
  <c r="G254" i="20"/>
  <c r="I119" i="20"/>
  <c r="E61" i="20"/>
  <c r="H150" i="20"/>
  <c r="J115" i="20"/>
  <c r="J126" i="20"/>
  <c r="I146" i="20"/>
  <c r="G353" i="20"/>
  <c r="E362" i="20"/>
  <c r="D362" i="20"/>
  <c r="C291" i="20"/>
  <c r="F360" i="20"/>
  <c r="I332" i="20"/>
  <c r="G65" i="20"/>
  <c r="F184" i="20"/>
  <c r="D124" i="20"/>
  <c r="C348" i="20"/>
  <c r="K125" i="20"/>
  <c r="J125" i="20"/>
  <c r="C162" i="20"/>
  <c r="G71" i="20"/>
  <c r="H71" i="20"/>
  <c r="E101" i="20"/>
  <c r="K175" i="20"/>
  <c r="G107" i="20"/>
  <c r="J85" i="20"/>
  <c r="E371" i="20"/>
  <c r="I371" i="20"/>
  <c r="D364" i="20"/>
  <c r="F364" i="20"/>
  <c r="J153" i="20"/>
  <c r="C153" i="20"/>
  <c r="G64" i="20"/>
  <c r="K64" i="20"/>
  <c r="C64" i="20"/>
  <c r="D258" i="20"/>
  <c r="E258" i="20"/>
  <c r="H186" i="20"/>
  <c r="D186" i="20"/>
  <c r="F204" i="20"/>
  <c r="G204" i="20"/>
  <c r="D160" i="20"/>
  <c r="I160" i="20"/>
  <c r="E150" i="20"/>
  <c r="K150" i="20"/>
  <c r="G150" i="20"/>
  <c r="G126" i="20"/>
  <c r="C126" i="20"/>
  <c r="J146" i="20"/>
  <c r="E146" i="20"/>
  <c r="J291" i="20"/>
  <c r="E291" i="20"/>
  <c r="H291" i="20"/>
  <c r="E53" i="20"/>
  <c r="I53" i="20"/>
  <c r="K332" i="20"/>
  <c r="D332" i="20"/>
  <c r="F65" i="20"/>
  <c r="C65" i="20"/>
  <c r="I348" i="20"/>
  <c r="G348" i="20"/>
  <c r="F348" i="20"/>
  <c r="H133" i="20"/>
  <c r="C133" i="20"/>
  <c r="H107" i="20"/>
  <c r="D107" i="20"/>
  <c r="C85" i="20"/>
  <c r="F85" i="20"/>
  <c r="K371" i="20"/>
  <c r="D371" i="20"/>
  <c r="G364" i="20"/>
  <c r="J364" i="20"/>
  <c r="C364" i="20"/>
  <c r="I153" i="20"/>
  <c r="G153" i="20"/>
  <c r="I64" i="20"/>
  <c r="F64" i="20"/>
  <c r="G258" i="20"/>
  <c r="C258" i="20"/>
  <c r="C186" i="20"/>
  <c r="J186" i="20"/>
  <c r="E204" i="20"/>
  <c r="H204" i="20"/>
  <c r="C204" i="20"/>
  <c r="H160" i="20"/>
  <c r="K160" i="20"/>
  <c r="F150" i="20"/>
  <c r="C150" i="20"/>
  <c r="E126" i="20"/>
  <c r="K126" i="20"/>
  <c r="H146" i="20"/>
  <c r="F146" i="20"/>
  <c r="I291" i="20"/>
  <c r="F291" i="20"/>
  <c r="K53" i="20"/>
  <c r="D53" i="20"/>
  <c r="F332" i="20"/>
  <c r="G332" i="20"/>
  <c r="H65" i="20"/>
  <c r="K65" i="20"/>
  <c r="D65" i="20"/>
  <c r="D348" i="20"/>
  <c r="E348" i="20"/>
  <c r="D133" i="20"/>
  <c r="K133" i="20"/>
  <c r="G133" i="20"/>
  <c r="K107" i="20"/>
  <c r="H85" i="20"/>
  <c r="C107" i="20"/>
  <c r="J107" i="20"/>
  <c r="E85" i="20"/>
  <c r="F371" i="20"/>
  <c r="H371" i="20"/>
  <c r="E364" i="20"/>
  <c r="F153" i="20"/>
  <c r="H64" i="20"/>
  <c r="F258" i="20"/>
  <c r="K186" i="20"/>
  <c r="G186" i="20"/>
  <c r="J204" i="20"/>
  <c r="C160" i="20"/>
  <c r="J150" i="20"/>
  <c r="I126" i="20"/>
  <c r="F126" i="20"/>
  <c r="D146" i="20"/>
  <c r="G146" i="20"/>
  <c r="G291" i="20"/>
  <c r="J53" i="20"/>
  <c r="G53" i="20"/>
  <c r="C332" i="20"/>
  <c r="J65" i="20"/>
  <c r="H348" i="20"/>
  <c r="E133" i="20"/>
  <c r="F369" i="20"/>
  <c r="J369" i="20"/>
  <c r="C369" i="20"/>
  <c r="G369" i="20"/>
  <c r="K369" i="20"/>
  <c r="D369" i="20"/>
  <c r="H369" i="20"/>
  <c r="E369" i="20"/>
  <c r="I369" i="20"/>
  <c r="J84" i="20"/>
  <c r="D84" i="20"/>
  <c r="F262" i="20"/>
  <c r="I262" i="20"/>
  <c r="F84" i="20"/>
  <c r="K84" i="20"/>
  <c r="H262" i="20"/>
  <c r="K262" i="20"/>
  <c r="G84" i="20"/>
  <c r="J262" i="20"/>
  <c r="C262" i="20"/>
  <c r="D217" i="20"/>
  <c r="H217" i="20"/>
  <c r="E217" i="20"/>
  <c r="F217" i="20"/>
  <c r="J217" i="20"/>
  <c r="G217" i="20"/>
  <c r="C217" i="20"/>
  <c r="I217" i="20"/>
  <c r="K217" i="20"/>
  <c r="I165" i="20"/>
  <c r="E165" i="20"/>
  <c r="H165" i="20"/>
  <c r="C165" i="20"/>
  <c r="G165" i="20"/>
  <c r="F165" i="20"/>
  <c r="K165" i="20"/>
  <c r="J165" i="20"/>
  <c r="D165" i="20"/>
  <c r="I339" i="20"/>
  <c r="K339" i="20"/>
  <c r="G339" i="20"/>
  <c r="D339" i="20"/>
  <c r="F339" i="20"/>
  <c r="J339" i="20"/>
  <c r="E339" i="20"/>
  <c r="C339" i="20"/>
  <c r="H339" i="20"/>
  <c r="K263" i="20"/>
  <c r="H263" i="20"/>
  <c r="D263" i="20"/>
  <c r="J263" i="20"/>
  <c r="G263" i="20"/>
  <c r="I263" i="20"/>
  <c r="C263" i="20"/>
  <c r="E263" i="20"/>
  <c r="F263" i="20"/>
  <c r="D98" i="20"/>
  <c r="C98" i="20"/>
  <c r="G98" i="20"/>
  <c r="F98" i="20"/>
  <c r="E98" i="20"/>
  <c r="H98" i="20"/>
  <c r="I98" i="20"/>
  <c r="J98" i="20"/>
  <c r="K98" i="20"/>
  <c r="I63" i="20"/>
  <c r="J63" i="20"/>
  <c r="C63" i="20"/>
  <c r="F63" i="20"/>
  <c r="D63" i="20"/>
  <c r="K63" i="20"/>
  <c r="G63" i="20"/>
  <c r="H63" i="20"/>
  <c r="E63" i="20"/>
  <c r="G136" i="20"/>
  <c r="C136" i="20"/>
  <c r="E136" i="20"/>
  <c r="J136" i="20"/>
  <c r="D136" i="20"/>
  <c r="F136" i="20"/>
  <c r="K136" i="20"/>
  <c r="H136" i="20"/>
  <c r="I136" i="20"/>
  <c r="H78" i="20"/>
  <c r="I78" i="20"/>
  <c r="F78" i="20"/>
  <c r="C78" i="20"/>
  <c r="D78" i="20"/>
  <c r="G78" i="20"/>
  <c r="K78" i="20"/>
  <c r="J78" i="20"/>
  <c r="E78" i="20"/>
  <c r="I315" i="20"/>
  <c r="D315" i="20"/>
  <c r="C315" i="20"/>
  <c r="K315" i="20"/>
  <c r="J315" i="20"/>
  <c r="E315" i="20"/>
  <c r="G315" i="20"/>
  <c r="F315" i="20"/>
  <c r="H315" i="20"/>
  <c r="K203" i="20"/>
  <c r="H203" i="20"/>
  <c r="D203" i="20"/>
  <c r="E203" i="20"/>
  <c r="G203" i="20"/>
  <c r="C203" i="20"/>
  <c r="J203" i="20"/>
  <c r="F203" i="20"/>
  <c r="I203" i="20"/>
  <c r="E235" i="20"/>
  <c r="J235" i="20"/>
  <c r="H235" i="20"/>
  <c r="F235" i="20"/>
  <c r="D235" i="20"/>
  <c r="G235" i="20"/>
  <c r="K235" i="20"/>
  <c r="C235" i="20"/>
  <c r="I235" i="20"/>
  <c r="K102" i="20"/>
  <c r="I102" i="20"/>
  <c r="C102" i="20"/>
  <c r="F102" i="20"/>
  <c r="G102" i="20"/>
  <c r="D102" i="20"/>
  <c r="J102" i="20"/>
  <c r="H102" i="20"/>
  <c r="E102" i="20"/>
  <c r="E45" i="20"/>
  <c r="C45" i="20"/>
  <c r="K129" i="20"/>
  <c r="E129" i="20"/>
  <c r="H129" i="20"/>
  <c r="C129" i="20"/>
  <c r="I129" i="20"/>
  <c r="D129" i="20"/>
  <c r="J129" i="20"/>
  <c r="G129" i="20"/>
  <c r="F129" i="20"/>
  <c r="F230" i="20"/>
  <c r="I230" i="20"/>
  <c r="E230" i="20"/>
  <c r="C230" i="20"/>
  <c r="D230" i="20"/>
  <c r="J230" i="20"/>
  <c r="K230" i="20"/>
  <c r="G230" i="20"/>
  <c r="H230" i="20"/>
  <c r="J343" i="20"/>
  <c r="F343" i="20"/>
  <c r="I343" i="20"/>
  <c r="C343" i="20"/>
  <c r="D343" i="20"/>
  <c r="H343" i="20"/>
  <c r="K343" i="20"/>
  <c r="G343" i="20"/>
  <c r="E343" i="20"/>
  <c r="K197" i="20"/>
  <c r="F197" i="20"/>
  <c r="G197" i="20"/>
  <c r="J197" i="20"/>
  <c r="I197" i="20"/>
  <c r="E197" i="20"/>
  <c r="D197" i="20"/>
  <c r="H197" i="20"/>
  <c r="C197" i="20"/>
  <c r="C29" i="20"/>
  <c r="E29" i="20"/>
  <c r="D349" i="20"/>
  <c r="E349" i="20"/>
  <c r="H349" i="20"/>
  <c r="K349" i="20"/>
  <c r="G349" i="20"/>
  <c r="J349" i="20"/>
  <c r="F349" i="20"/>
  <c r="I349" i="20"/>
  <c r="C349" i="20"/>
  <c r="C18" i="20"/>
  <c r="E18" i="20"/>
  <c r="C281" i="20"/>
  <c r="D281" i="20"/>
  <c r="H281" i="20"/>
  <c r="G281" i="20"/>
  <c r="F281" i="20"/>
  <c r="I281" i="20"/>
  <c r="E281" i="20"/>
  <c r="K281" i="20"/>
  <c r="J281" i="20"/>
  <c r="K189" i="20"/>
  <c r="F189" i="20"/>
  <c r="I189" i="20"/>
  <c r="E189" i="20"/>
  <c r="J189" i="20"/>
  <c r="G189" i="20"/>
  <c r="H189" i="20"/>
  <c r="D189" i="20"/>
  <c r="C189" i="20"/>
  <c r="E128" i="20"/>
  <c r="H128" i="20"/>
  <c r="G128" i="20"/>
  <c r="I128" i="20"/>
  <c r="D128" i="20"/>
  <c r="K128" i="20"/>
  <c r="C128" i="20"/>
  <c r="F128" i="20"/>
  <c r="J128" i="20"/>
  <c r="K179" i="20"/>
  <c r="F179" i="20"/>
  <c r="G179" i="20"/>
  <c r="E179" i="20"/>
  <c r="I179" i="20"/>
  <c r="D179" i="20"/>
  <c r="J179" i="20"/>
  <c r="H179" i="20"/>
  <c r="C179" i="20"/>
  <c r="D58" i="20"/>
  <c r="H58" i="20"/>
  <c r="K58" i="20"/>
  <c r="I58" i="20"/>
  <c r="E58" i="20"/>
  <c r="F58" i="20"/>
  <c r="J58" i="20"/>
  <c r="G58" i="20"/>
  <c r="C58" i="20"/>
  <c r="J272" i="20"/>
  <c r="G272" i="20"/>
  <c r="C272" i="20"/>
  <c r="F272" i="20"/>
  <c r="K272" i="20"/>
  <c r="E272" i="20"/>
  <c r="H272" i="20"/>
  <c r="D272" i="20"/>
  <c r="I272" i="20"/>
  <c r="H365" i="20"/>
  <c r="J365" i="20"/>
  <c r="K365" i="20"/>
  <c r="I365" i="20"/>
  <c r="E365" i="20"/>
  <c r="D365" i="20"/>
  <c r="C365" i="20"/>
  <c r="F365" i="20"/>
  <c r="G365" i="20"/>
  <c r="J104" i="20"/>
  <c r="K104" i="20"/>
  <c r="F104" i="20"/>
  <c r="D104" i="20"/>
  <c r="C104" i="20"/>
  <c r="I104" i="20"/>
  <c r="G104" i="20"/>
  <c r="H104" i="20"/>
  <c r="E104" i="20"/>
  <c r="D330" i="20"/>
  <c r="C330" i="20"/>
  <c r="H330" i="20"/>
  <c r="F330" i="20"/>
  <c r="K330" i="20"/>
  <c r="J330" i="20"/>
  <c r="G330" i="20"/>
  <c r="I330" i="20"/>
  <c r="E330" i="20"/>
  <c r="J177" i="20"/>
  <c r="G177" i="20"/>
  <c r="C177" i="20"/>
  <c r="E177" i="20"/>
  <c r="K177" i="20"/>
  <c r="D177" i="20"/>
  <c r="F177" i="20"/>
  <c r="I177" i="20"/>
  <c r="H177" i="20"/>
  <c r="E83" i="20"/>
  <c r="F83" i="20"/>
  <c r="I83" i="20"/>
  <c r="C83" i="20"/>
  <c r="D83" i="20"/>
  <c r="H83" i="20"/>
  <c r="J83" i="20"/>
  <c r="K83" i="20"/>
  <c r="G83" i="20"/>
  <c r="J354" i="20"/>
  <c r="K354" i="20"/>
  <c r="G354" i="20"/>
  <c r="E354" i="20"/>
  <c r="H354" i="20"/>
  <c r="F354" i="20"/>
  <c r="C354" i="20"/>
  <c r="I354" i="20"/>
  <c r="D354" i="20"/>
  <c r="G168" i="20"/>
  <c r="E168" i="20"/>
  <c r="C168" i="20"/>
  <c r="J168" i="20"/>
  <c r="D168" i="20"/>
  <c r="K168" i="20"/>
  <c r="F168" i="20"/>
  <c r="I168" i="20"/>
  <c r="H168" i="20"/>
  <c r="F110" i="20"/>
  <c r="E110" i="20"/>
  <c r="D110" i="20"/>
  <c r="H110" i="20"/>
  <c r="G110" i="20"/>
  <c r="J110" i="20"/>
  <c r="I110" i="20"/>
  <c r="C110" i="20"/>
  <c r="K110" i="20"/>
  <c r="I135" i="20"/>
  <c r="G135" i="20"/>
  <c r="K135" i="20"/>
  <c r="C135" i="20"/>
  <c r="D135" i="20"/>
  <c r="E135" i="20"/>
  <c r="H135" i="20"/>
  <c r="F135" i="20"/>
  <c r="J135" i="20"/>
  <c r="H157" i="20"/>
  <c r="K157" i="20"/>
  <c r="E157" i="20"/>
  <c r="F157" i="20"/>
  <c r="C157" i="20"/>
  <c r="G157" i="20"/>
  <c r="J157" i="20"/>
  <c r="I157" i="20"/>
  <c r="D157" i="20"/>
  <c r="E31" i="20"/>
  <c r="C31" i="20"/>
  <c r="C22" i="20"/>
  <c r="E22" i="20"/>
  <c r="I228" i="20"/>
  <c r="H228" i="20"/>
  <c r="C228" i="20"/>
  <c r="K228" i="20"/>
  <c r="G228" i="20"/>
  <c r="J228" i="20"/>
  <c r="F228" i="20"/>
  <c r="E228" i="20"/>
  <c r="D228" i="20"/>
  <c r="H359" i="20"/>
  <c r="E359" i="20"/>
  <c r="F359" i="20"/>
  <c r="D359" i="20"/>
  <c r="C359" i="20"/>
  <c r="K359" i="20"/>
  <c r="G359" i="20"/>
  <c r="I359" i="20"/>
  <c r="J359" i="20"/>
  <c r="F66" i="20"/>
  <c r="J66" i="20"/>
  <c r="G66" i="20"/>
  <c r="K66" i="20"/>
  <c r="H66" i="20"/>
  <c r="I66" i="20"/>
  <c r="C66" i="20"/>
  <c r="E66" i="20"/>
  <c r="D66" i="20"/>
  <c r="H279" i="20"/>
  <c r="K279" i="20"/>
  <c r="G279" i="20"/>
  <c r="C279" i="20"/>
  <c r="I279" i="20"/>
  <c r="J279" i="20"/>
  <c r="E279" i="20"/>
  <c r="F279" i="20"/>
  <c r="D279" i="20"/>
  <c r="J333" i="20"/>
  <c r="H333" i="20"/>
  <c r="F333" i="20"/>
  <c r="I333" i="20"/>
  <c r="E333" i="20"/>
  <c r="G333" i="20"/>
  <c r="D333" i="20"/>
  <c r="K333" i="20"/>
  <c r="C333" i="20"/>
  <c r="D304" i="20"/>
  <c r="H304" i="20"/>
  <c r="K304" i="20"/>
  <c r="G304" i="20"/>
  <c r="C304" i="20"/>
  <c r="I304" i="20"/>
  <c r="J304" i="20"/>
  <c r="E304" i="20"/>
  <c r="F304" i="20"/>
  <c r="H214" i="20"/>
  <c r="E214" i="20"/>
  <c r="G214" i="20"/>
  <c r="J214" i="20"/>
  <c r="K214" i="20"/>
  <c r="F214" i="20"/>
  <c r="D214" i="20"/>
  <c r="I214" i="20"/>
  <c r="C214" i="20"/>
  <c r="K283" i="20"/>
  <c r="I283" i="20"/>
  <c r="H283" i="20"/>
  <c r="E283" i="20"/>
  <c r="C283" i="20"/>
  <c r="J283" i="20"/>
  <c r="G283" i="20"/>
  <c r="F283" i="20"/>
  <c r="D283" i="20"/>
  <c r="E347" i="20"/>
  <c r="I347" i="20"/>
  <c r="H347" i="20"/>
  <c r="C347" i="20"/>
  <c r="G347" i="20"/>
  <c r="J347" i="20"/>
  <c r="K347" i="20"/>
  <c r="F347" i="20"/>
  <c r="D347" i="20"/>
  <c r="G163" i="20"/>
  <c r="J163" i="20"/>
  <c r="D163" i="20"/>
  <c r="H163" i="20"/>
  <c r="E163" i="20"/>
  <c r="I163" i="20"/>
  <c r="K163" i="20"/>
  <c r="C163" i="20"/>
  <c r="F163" i="20"/>
  <c r="C198" i="20"/>
  <c r="J198" i="20"/>
  <c r="D198" i="20"/>
  <c r="H198" i="20"/>
  <c r="K198" i="20"/>
  <c r="I198" i="20"/>
  <c r="G198" i="20"/>
  <c r="F198" i="20"/>
  <c r="E198" i="20"/>
  <c r="K137" i="20"/>
  <c r="I137" i="20"/>
  <c r="D137" i="20"/>
  <c r="H137" i="20"/>
  <c r="E137" i="20"/>
  <c r="F137" i="20"/>
  <c r="G137" i="20"/>
  <c r="C137" i="20"/>
  <c r="J137" i="20"/>
  <c r="I265" i="20"/>
  <c r="D265" i="20"/>
  <c r="F265" i="20"/>
  <c r="K265" i="20"/>
  <c r="C265" i="20"/>
  <c r="G265" i="20"/>
  <c r="J265" i="20"/>
  <c r="E265" i="20"/>
  <c r="H265" i="20"/>
  <c r="D305" i="20"/>
  <c r="C305" i="20"/>
  <c r="J305" i="20"/>
  <c r="F305" i="20"/>
  <c r="G305" i="20"/>
  <c r="H305" i="20"/>
  <c r="E305" i="20"/>
  <c r="K305" i="20"/>
  <c r="I305" i="20"/>
  <c r="D322" i="20"/>
  <c r="I322" i="20"/>
  <c r="C322" i="20"/>
  <c r="K322" i="20"/>
  <c r="G322" i="20"/>
  <c r="J322" i="20"/>
  <c r="F322" i="20"/>
  <c r="E322" i="20"/>
  <c r="H322" i="20"/>
  <c r="C109" i="20"/>
  <c r="I109" i="20"/>
  <c r="F109" i="20"/>
  <c r="H109" i="20"/>
  <c r="J109" i="20"/>
  <c r="K109" i="20"/>
  <c r="D109" i="20"/>
  <c r="G109" i="20"/>
  <c r="E109" i="20"/>
  <c r="G269" i="20"/>
  <c r="J269" i="20"/>
  <c r="F269" i="20"/>
  <c r="E269" i="20"/>
  <c r="D269" i="20"/>
  <c r="I269" i="20"/>
  <c r="C269" i="20"/>
  <c r="H269" i="20"/>
  <c r="K269" i="20"/>
  <c r="G239" i="20"/>
  <c r="C239" i="20"/>
  <c r="K239" i="20"/>
  <c r="E239" i="20"/>
  <c r="F239" i="20"/>
  <c r="I239" i="20"/>
  <c r="J239" i="20"/>
  <c r="D239" i="20"/>
  <c r="H239" i="20"/>
  <c r="E299" i="20"/>
  <c r="K299" i="20"/>
  <c r="I299" i="20"/>
  <c r="J299" i="20"/>
  <c r="G299" i="20"/>
  <c r="D299" i="20"/>
  <c r="F299" i="20"/>
  <c r="C299" i="20"/>
  <c r="H299" i="20"/>
  <c r="J169" i="20"/>
  <c r="C169" i="20"/>
  <c r="G169" i="20"/>
  <c r="D169" i="20"/>
  <c r="K169" i="20"/>
  <c r="F169" i="20"/>
  <c r="E169" i="20"/>
  <c r="H169" i="20"/>
  <c r="I169" i="20"/>
  <c r="H238" i="20"/>
  <c r="I238" i="20"/>
  <c r="K238" i="20"/>
  <c r="C238" i="20"/>
  <c r="D238" i="20"/>
  <c r="E238" i="20"/>
  <c r="J238" i="20"/>
  <c r="G238" i="20"/>
  <c r="F238" i="20"/>
  <c r="G318" i="20"/>
  <c r="F318" i="20"/>
  <c r="E318" i="20"/>
  <c r="J318" i="20"/>
  <c r="D318" i="20"/>
  <c r="I318" i="20"/>
  <c r="K318" i="20"/>
  <c r="H318" i="20"/>
  <c r="C318" i="20"/>
  <c r="H208" i="20"/>
  <c r="D208" i="20"/>
  <c r="E208" i="20"/>
  <c r="K208" i="20"/>
  <c r="J208" i="20"/>
  <c r="C208" i="20"/>
  <c r="F208" i="20"/>
  <c r="I208" i="20"/>
  <c r="G208" i="20"/>
  <c r="H251" i="20"/>
  <c r="K251" i="20"/>
  <c r="F251" i="20"/>
  <c r="G251" i="20"/>
  <c r="I251" i="20"/>
  <c r="E251" i="20"/>
  <c r="J251" i="20"/>
  <c r="D251" i="20"/>
  <c r="C251" i="20"/>
  <c r="G52" i="20"/>
  <c r="K52" i="20"/>
  <c r="J52" i="20"/>
  <c r="F52" i="20"/>
  <c r="C52" i="20"/>
  <c r="E52" i="20"/>
  <c r="H52" i="20"/>
  <c r="D52" i="20"/>
  <c r="I52" i="20"/>
  <c r="D188" i="20"/>
  <c r="H188" i="20"/>
  <c r="I188" i="20"/>
  <c r="K188" i="20"/>
  <c r="J188" i="20"/>
  <c r="F188" i="20"/>
  <c r="E188" i="20"/>
  <c r="G188" i="20"/>
  <c r="C188" i="20"/>
  <c r="K176" i="20"/>
  <c r="G176" i="20"/>
  <c r="J176" i="20"/>
  <c r="F176" i="20"/>
  <c r="C176" i="20"/>
  <c r="H176" i="20"/>
  <c r="D176" i="20"/>
  <c r="I176" i="20"/>
  <c r="E176" i="20"/>
  <c r="C28" i="20"/>
  <c r="E28" i="20"/>
  <c r="E47" i="20"/>
  <c r="C47" i="20"/>
  <c r="C46" i="20"/>
  <c r="E46" i="20"/>
  <c r="I257" i="20"/>
  <c r="J257" i="20"/>
  <c r="F257" i="20"/>
  <c r="K257" i="20"/>
  <c r="C257" i="20"/>
  <c r="G257" i="20"/>
  <c r="D257" i="20"/>
  <c r="E257" i="20"/>
  <c r="H257" i="20"/>
  <c r="C13" i="20"/>
  <c r="E13" i="20"/>
  <c r="D253" i="20"/>
  <c r="E253" i="20"/>
  <c r="H253" i="20"/>
  <c r="J253" i="20"/>
  <c r="I253" i="20"/>
  <c r="K253" i="20"/>
  <c r="G253" i="20"/>
  <c r="F253" i="20"/>
  <c r="C253" i="20"/>
  <c r="I81" i="20"/>
  <c r="D81" i="20"/>
  <c r="C81" i="20"/>
  <c r="H81" i="20"/>
  <c r="K81" i="20"/>
  <c r="E81" i="20"/>
  <c r="G81" i="20"/>
  <c r="F81" i="20"/>
  <c r="J81" i="20"/>
  <c r="D166" i="20"/>
  <c r="E166" i="20"/>
  <c r="G166" i="20"/>
  <c r="I166" i="20"/>
  <c r="J166" i="20"/>
  <c r="C166" i="20"/>
  <c r="K166" i="20"/>
  <c r="F166" i="20"/>
  <c r="H166" i="20"/>
  <c r="J240" i="20"/>
  <c r="E240" i="20"/>
  <c r="C240" i="20"/>
  <c r="D240" i="20"/>
  <c r="F240" i="20"/>
  <c r="G240" i="20"/>
  <c r="K240" i="20"/>
  <c r="I240" i="20"/>
  <c r="H240" i="20"/>
  <c r="C16" i="20"/>
  <c r="E16" i="20"/>
  <c r="F123" i="20"/>
  <c r="E123" i="20"/>
  <c r="H123" i="20"/>
  <c r="J123" i="20"/>
  <c r="I123" i="20"/>
  <c r="G123" i="20"/>
  <c r="K123" i="20"/>
  <c r="D123" i="20"/>
  <c r="C123" i="20"/>
  <c r="C306" i="20"/>
  <c r="I306" i="20"/>
  <c r="D306" i="20"/>
  <c r="J306" i="20"/>
  <c r="G306" i="20"/>
  <c r="E306" i="20"/>
  <c r="H306" i="20"/>
  <c r="K306" i="20"/>
  <c r="F306" i="20"/>
  <c r="C19" i="20"/>
  <c r="E19" i="20"/>
  <c r="K314" i="20"/>
  <c r="E314" i="20"/>
  <c r="D314" i="20"/>
  <c r="J314" i="20"/>
  <c r="F314" i="20"/>
  <c r="I314" i="20"/>
  <c r="G314" i="20"/>
  <c r="C314" i="20"/>
  <c r="H314" i="20"/>
  <c r="H242" i="20"/>
  <c r="G242" i="20"/>
  <c r="K242" i="20"/>
  <c r="F242" i="20"/>
  <c r="E242" i="20"/>
  <c r="J242" i="20"/>
  <c r="I242" i="20"/>
  <c r="D242" i="20"/>
  <c r="C242" i="20"/>
  <c r="E222" i="20"/>
  <c r="C222" i="20"/>
  <c r="G222" i="20"/>
  <c r="F222" i="20"/>
  <c r="K222" i="20"/>
  <c r="J222" i="20"/>
  <c r="H222" i="20"/>
  <c r="D222" i="20"/>
  <c r="I222" i="20"/>
  <c r="C36" i="20"/>
  <c r="E36" i="20"/>
  <c r="G319" i="20"/>
  <c r="J319" i="20"/>
  <c r="D319" i="20"/>
  <c r="K319" i="20"/>
  <c r="F319" i="20"/>
  <c r="H319" i="20"/>
  <c r="E319" i="20"/>
  <c r="C319" i="20"/>
  <c r="I319" i="20"/>
  <c r="F51" i="20"/>
  <c r="K51" i="20"/>
  <c r="D51" i="20"/>
  <c r="J51" i="20"/>
  <c r="E51" i="20"/>
  <c r="G51" i="20"/>
  <c r="I51" i="20"/>
  <c r="H51" i="20"/>
  <c r="C51" i="20"/>
  <c r="E32" i="20"/>
  <c r="C32" i="20"/>
  <c r="D285" i="20"/>
  <c r="F285" i="20"/>
  <c r="C285" i="20"/>
  <c r="I285" i="20"/>
  <c r="E285" i="20"/>
  <c r="G285" i="20"/>
  <c r="K285" i="20"/>
  <c r="J285" i="20"/>
  <c r="H285" i="20"/>
  <c r="I237" i="20"/>
  <c r="D237" i="20"/>
  <c r="G237" i="20"/>
  <c r="C237" i="20"/>
  <c r="H237" i="20"/>
  <c r="F237" i="20"/>
  <c r="J237" i="20"/>
  <c r="K237" i="20"/>
  <c r="E237" i="20"/>
  <c r="J260" i="20"/>
  <c r="I260" i="20"/>
  <c r="E260" i="20"/>
  <c r="H260" i="20"/>
  <c r="K260" i="20"/>
  <c r="D260" i="20"/>
  <c r="F260" i="20"/>
  <c r="C260" i="20"/>
  <c r="G260" i="20"/>
  <c r="E221" i="20"/>
  <c r="J221" i="20"/>
  <c r="K221" i="20"/>
  <c r="D221" i="20"/>
  <c r="G221" i="20"/>
  <c r="I221" i="20"/>
  <c r="C221" i="20"/>
  <c r="H221" i="20"/>
  <c r="F221" i="20"/>
  <c r="D303" i="20"/>
  <c r="I303" i="20"/>
  <c r="G303" i="20"/>
  <c r="J303" i="20"/>
  <c r="E303" i="20"/>
  <c r="C303" i="20"/>
  <c r="K303" i="20"/>
  <c r="F303" i="20"/>
  <c r="H303" i="20"/>
  <c r="D57" i="20"/>
  <c r="G57" i="20"/>
  <c r="I57" i="20"/>
  <c r="C57" i="20"/>
  <c r="E57" i="20"/>
  <c r="F57" i="20"/>
  <c r="H57" i="20"/>
  <c r="K57" i="20"/>
  <c r="J57" i="20"/>
  <c r="D226" i="20"/>
  <c r="H226" i="20"/>
  <c r="G226" i="20"/>
  <c r="E226" i="20"/>
  <c r="J226" i="20"/>
  <c r="I226" i="20"/>
  <c r="C226" i="20"/>
  <c r="F226" i="20"/>
  <c r="K226" i="20"/>
  <c r="K140" i="20"/>
  <c r="I140" i="20"/>
  <c r="C140" i="20"/>
  <c r="H140" i="20"/>
  <c r="D140" i="20"/>
  <c r="G140" i="20"/>
  <c r="J140" i="20"/>
  <c r="F140" i="20"/>
  <c r="E140" i="20"/>
  <c r="G122" i="20"/>
  <c r="F122" i="20"/>
  <c r="C122" i="20"/>
  <c r="E122" i="20"/>
  <c r="H122" i="20"/>
  <c r="J122" i="20"/>
  <c r="K122" i="20"/>
  <c r="I122" i="20"/>
  <c r="D122" i="20"/>
  <c r="D12" i="20"/>
  <c r="I12" i="20" s="1"/>
  <c r="C12" i="20"/>
  <c r="E12" i="20"/>
  <c r="D182" i="20"/>
  <c r="I182" i="20"/>
  <c r="C182" i="20"/>
  <c r="J182" i="20"/>
  <c r="F182" i="20"/>
  <c r="K182" i="20"/>
  <c r="H182" i="20"/>
  <c r="E182" i="20"/>
  <c r="G182" i="20"/>
  <c r="C68" i="20"/>
  <c r="E68" i="20"/>
  <c r="K68" i="20"/>
  <c r="F68" i="20"/>
  <c r="J68" i="20"/>
  <c r="H68" i="20"/>
  <c r="D68" i="20"/>
  <c r="G68" i="20"/>
  <c r="I68" i="20"/>
  <c r="C340" i="20"/>
  <c r="E340" i="20"/>
  <c r="K340" i="20"/>
  <c r="J340" i="20"/>
  <c r="H340" i="20"/>
  <c r="G340" i="20"/>
  <c r="D340" i="20"/>
  <c r="I340" i="20"/>
  <c r="F340" i="20"/>
  <c r="C17" i="20"/>
  <c r="E17" i="20"/>
  <c r="K341" i="20"/>
  <c r="G341" i="20"/>
  <c r="F341" i="20"/>
  <c r="C341" i="20"/>
  <c r="H341" i="20"/>
  <c r="E341" i="20"/>
  <c r="I341" i="20"/>
  <c r="J341" i="20"/>
  <c r="D341" i="20"/>
  <c r="E293" i="20"/>
  <c r="K293" i="20"/>
  <c r="G293" i="20"/>
  <c r="F293" i="20"/>
  <c r="D293" i="20"/>
  <c r="H293" i="20"/>
  <c r="C293" i="20"/>
  <c r="I293" i="20"/>
  <c r="J293" i="20"/>
  <c r="D144" i="20"/>
  <c r="K144" i="20"/>
  <c r="G144" i="20"/>
  <c r="C144" i="20"/>
  <c r="E144" i="20"/>
  <c r="F144" i="20"/>
  <c r="J144" i="20"/>
  <c r="I144" i="20"/>
  <c r="H144" i="20"/>
  <c r="G289" i="20"/>
  <c r="K289" i="20"/>
  <c r="I289" i="20"/>
  <c r="E289" i="20"/>
  <c r="D289" i="20"/>
  <c r="H289" i="20"/>
  <c r="C289" i="20"/>
  <c r="J289" i="20"/>
  <c r="F289" i="20"/>
  <c r="K97" i="20"/>
  <c r="I97" i="20"/>
  <c r="G97" i="20"/>
  <c r="D97" i="20"/>
  <c r="H97" i="20"/>
  <c r="E97" i="20"/>
  <c r="J97" i="20"/>
  <c r="C97" i="20"/>
  <c r="F97" i="20"/>
  <c r="E35" i="20"/>
  <c r="C35" i="20"/>
  <c r="C105" i="20"/>
  <c r="F105" i="20"/>
  <c r="G105" i="20"/>
  <c r="J105" i="20"/>
  <c r="I105" i="20"/>
  <c r="D105" i="20"/>
  <c r="K105" i="20"/>
  <c r="E105" i="20"/>
  <c r="H105" i="20"/>
  <c r="K256" i="20"/>
  <c r="G256" i="20"/>
  <c r="J256" i="20"/>
  <c r="D256" i="20"/>
  <c r="I256" i="20"/>
  <c r="H256" i="20"/>
  <c r="E256" i="20"/>
  <c r="C256" i="20"/>
  <c r="F256" i="20"/>
  <c r="E37" i="20"/>
  <c r="C37" i="20"/>
  <c r="G231" i="20"/>
  <c r="D231" i="20"/>
  <c r="J231" i="20"/>
  <c r="C231" i="20"/>
  <c r="E231" i="20"/>
  <c r="H231" i="20"/>
  <c r="K231" i="20"/>
  <c r="F231" i="20"/>
  <c r="I231" i="20"/>
  <c r="G167" i="20"/>
  <c r="K167" i="20"/>
  <c r="H167" i="20"/>
  <c r="F167" i="20"/>
  <c r="I167" i="20"/>
  <c r="C167" i="20"/>
  <c r="J167" i="20"/>
  <c r="E167" i="20"/>
  <c r="D167" i="20"/>
  <c r="H70" i="20"/>
  <c r="E70" i="20"/>
  <c r="F70" i="20"/>
  <c r="D70" i="20"/>
  <c r="C70" i="20"/>
  <c r="I70" i="20"/>
  <c r="G70" i="20"/>
  <c r="J70" i="20"/>
  <c r="K70" i="20"/>
  <c r="E206" i="20"/>
  <c r="K206" i="20"/>
  <c r="H206" i="20"/>
  <c r="C206" i="20"/>
  <c r="J206" i="20"/>
  <c r="I206" i="20"/>
  <c r="D206" i="20"/>
  <c r="F206" i="20"/>
  <c r="G206" i="20"/>
  <c r="J294" i="20"/>
  <c r="C294" i="20"/>
  <c r="G294" i="20"/>
  <c r="H294" i="20"/>
  <c r="F294" i="20"/>
  <c r="E294" i="20"/>
  <c r="D294" i="20"/>
  <c r="K294" i="20"/>
  <c r="I294" i="20"/>
  <c r="J274" i="20"/>
  <c r="I274" i="20"/>
  <c r="K274" i="20"/>
  <c r="H274" i="20"/>
  <c r="F274" i="20"/>
  <c r="E274" i="20"/>
  <c r="G274" i="20"/>
  <c r="D274" i="20"/>
  <c r="C274" i="20"/>
  <c r="I199" i="20"/>
  <c r="C199" i="20"/>
  <c r="F199" i="20"/>
  <c r="K199" i="20"/>
  <c r="E199" i="20"/>
  <c r="D199" i="20"/>
  <c r="G199" i="20"/>
  <c r="J199" i="20"/>
  <c r="H199" i="20"/>
  <c r="G337" i="20"/>
  <c r="C337" i="20"/>
  <c r="E337" i="20"/>
  <c r="D337" i="20"/>
  <c r="I337" i="20"/>
  <c r="K337" i="20"/>
  <c r="H337" i="20"/>
  <c r="J337" i="20"/>
  <c r="F337" i="20"/>
  <c r="C180" i="20"/>
  <c r="I180" i="20"/>
  <c r="K180" i="20"/>
  <c r="H180" i="20"/>
  <c r="F180" i="20"/>
  <c r="J180" i="20"/>
  <c r="D180" i="20"/>
  <c r="G180" i="20"/>
  <c r="E180" i="20"/>
  <c r="K225" i="20"/>
  <c r="F225" i="20"/>
  <c r="I225" i="20"/>
  <c r="J225" i="20"/>
  <c r="C225" i="20"/>
  <c r="D225" i="20"/>
  <c r="E225" i="20"/>
  <c r="H225" i="20"/>
  <c r="G225" i="20"/>
  <c r="F327" i="20"/>
  <c r="E327" i="20"/>
  <c r="C327" i="20"/>
  <c r="K327" i="20"/>
  <c r="G327" i="20"/>
  <c r="J327" i="20"/>
  <c r="H327" i="20"/>
  <c r="I327" i="20"/>
  <c r="D327" i="20"/>
  <c r="E79" i="20"/>
  <c r="K79" i="20"/>
  <c r="F79" i="20"/>
  <c r="J79" i="20"/>
  <c r="G79" i="20"/>
  <c r="D79" i="20"/>
  <c r="H79" i="20"/>
  <c r="C79" i="20"/>
  <c r="I79" i="20"/>
  <c r="J212" i="20"/>
  <c r="I212" i="20"/>
  <c r="E212" i="20"/>
  <c r="C212" i="20"/>
  <c r="F212" i="20"/>
  <c r="D212" i="20"/>
  <c r="K212" i="20"/>
  <c r="G212" i="20"/>
  <c r="H212" i="20"/>
  <c r="H210" i="20"/>
  <c r="C210" i="20"/>
  <c r="G210" i="20"/>
  <c r="F210" i="20"/>
  <c r="J210" i="20"/>
  <c r="K210" i="20"/>
  <c r="I210" i="20"/>
  <c r="D210" i="20"/>
  <c r="E210" i="20"/>
  <c r="J334" i="20"/>
  <c r="I334" i="20"/>
  <c r="E334" i="20"/>
  <c r="G334" i="20"/>
  <c r="K334" i="20"/>
  <c r="C334" i="20"/>
  <c r="D334" i="20"/>
  <c r="F334" i="20"/>
  <c r="H334" i="20"/>
  <c r="E310" i="20"/>
  <c r="K310" i="20"/>
  <c r="H310" i="20"/>
  <c r="J310" i="20"/>
  <c r="G310" i="20"/>
  <c r="F310" i="20"/>
  <c r="C310" i="20"/>
  <c r="I310" i="20"/>
  <c r="D310" i="20"/>
  <c r="E366" i="20"/>
  <c r="C366" i="20"/>
  <c r="H366" i="20"/>
  <c r="J366" i="20"/>
  <c r="D366" i="20"/>
  <c r="K366" i="20"/>
  <c r="G366" i="20"/>
  <c r="F366" i="20"/>
  <c r="I366" i="20"/>
  <c r="I336" i="20"/>
  <c r="J336" i="20"/>
  <c r="K336" i="20"/>
  <c r="H336" i="20"/>
  <c r="G336" i="20"/>
  <c r="D336" i="20"/>
  <c r="F336" i="20"/>
  <c r="E336" i="20"/>
  <c r="C336" i="20"/>
  <c r="C361" i="20"/>
  <c r="J361" i="20"/>
  <c r="G361" i="20"/>
  <c r="H361" i="20"/>
  <c r="D361" i="20"/>
  <c r="F361" i="20"/>
  <c r="I361" i="20"/>
  <c r="E361" i="20"/>
  <c r="K361" i="20"/>
  <c r="F113" i="20"/>
  <c r="J113" i="20"/>
  <c r="E113" i="20"/>
  <c r="G113" i="20"/>
  <c r="K113" i="20"/>
  <c r="D113" i="20"/>
  <c r="C113" i="20"/>
  <c r="H113" i="20"/>
  <c r="I113" i="20"/>
  <c r="C25" i="20"/>
  <c r="E25" i="20"/>
  <c r="C317" i="20"/>
  <c r="G317" i="20"/>
  <c r="I317" i="20"/>
  <c r="H317" i="20"/>
  <c r="J317" i="20"/>
  <c r="K317" i="20"/>
  <c r="F317" i="20"/>
  <c r="E317" i="20"/>
  <c r="D317" i="20"/>
  <c r="K118" i="20"/>
  <c r="H118" i="20"/>
  <c r="I118" i="20"/>
  <c r="C118" i="20"/>
  <c r="F118" i="20"/>
  <c r="D118" i="20"/>
  <c r="J118" i="20"/>
  <c r="G118" i="20"/>
  <c r="E118" i="20"/>
  <c r="C42" i="20"/>
  <c r="E42" i="20"/>
  <c r="E261" i="20"/>
  <c r="J261" i="20"/>
  <c r="G261" i="20"/>
  <c r="H261" i="20"/>
  <c r="C261" i="20"/>
  <c r="I261" i="20"/>
  <c r="F261" i="20"/>
  <c r="D261" i="20"/>
  <c r="K261" i="20"/>
  <c r="D178" i="20"/>
  <c r="I178" i="20"/>
  <c r="H178" i="20"/>
  <c r="E178" i="20"/>
  <c r="C178" i="20"/>
  <c r="G178" i="20"/>
  <c r="F178" i="20"/>
  <c r="K178" i="20"/>
  <c r="J178" i="20"/>
  <c r="K320" i="20"/>
  <c r="E320" i="20"/>
  <c r="I320" i="20"/>
  <c r="F320" i="20"/>
  <c r="D320" i="20"/>
  <c r="C320" i="20"/>
  <c r="H320" i="20"/>
  <c r="J320" i="20"/>
  <c r="G320" i="20"/>
  <c r="J82" i="20"/>
  <c r="F82" i="20"/>
  <c r="K82" i="20"/>
  <c r="E82" i="20"/>
  <c r="D82" i="20"/>
  <c r="I82" i="20"/>
  <c r="H82" i="20"/>
  <c r="G82" i="20"/>
  <c r="C82" i="20"/>
  <c r="J92" i="20"/>
  <c r="G92" i="20"/>
  <c r="I92" i="20"/>
  <c r="H92" i="20"/>
  <c r="C92" i="20"/>
  <c r="F92" i="20"/>
  <c r="E92" i="20"/>
  <c r="K92" i="20"/>
  <c r="D92" i="20"/>
  <c r="E39" i="20"/>
  <c r="C39" i="20"/>
  <c r="F286" i="20"/>
  <c r="E286" i="20"/>
  <c r="I286" i="20"/>
  <c r="D286" i="20"/>
  <c r="C286" i="20"/>
  <c r="K286" i="20"/>
  <c r="H286" i="20"/>
  <c r="J286" i="20"/>
  <c r="G286" i="20"/>
  <c r="H147" i="20"/>
  <c r="F147" i="20"/>
  <c r="K147" i="20"/>
  <c r="D147" i="20"/>
  <c r="G147" i="20"/>
  <c r="J147" i="20"/>
  <c r="I147" i="20"/>
  <c r="C147" i="20"/>
  <c r="E147" i="20"/>
  <c r="F139" i="20"/>
  <c r="G139" i="20"/>
  <c r="H139" i="20"/>
  <c r="C139" i="20"/>
  <c r="K139" i="20"/>
  <c r="I139" i="20"/>
  <c r="E139" i="20"/>
  <c r="D139" i="20"/>
  <c r="J139" i="20"/>
  <c r="I245" i="20"/>
  <c r="F245" i="20"/>
  <c r="K245" i="20"/>
  <c r="E245" i="20"/>
  <c r="D245" i="20"/>
  <c r="H245" i="20"/>
  <c r="C245" i="20"/>
  <c r="G245" i="20"/>
  <c r="J245" i="20"/>
  <c r="E40" i="20"/>
  <c r="C40" i="20"/>
  <c r="C275" i="20"/>
  <c r="G275" i="20"/>
  <c r="F275" i="20"/>
  <c r="J275" i="20"/>
  <c r="E275" i="20"/>
  <c r="H275" i="20"/>
  <c r="D275" i="20"/>
  <c r="I275" i="20"/>
  <c r="K275" i="20"/>
  <c r="J278" i="20"/>
  <c r="F278" i="20"/>
  <c r="E278" i="20"/>
  <c r="I278" i="20"/>
  <c r="H278" i="20"/>
  <c r="G278" i="20"/>
  <c r="C278" i="20"/>
  <c r="D278" i="20"/>
  <c r="K278" i="20"/>
  <c r="J358" i="20"/>
  <c r="G358" i="20"/>
  <c r="F358" i="20"/>
  <c r="I358" i="20"/>
  <c r="K358" i="20"/>
  <c r="H358" i="20"/>
  <c r="C358" i="20"/>
  <c r="E358" i="20"/>
  <c r="D358" i="20"/>
  <c r="E120" i="20"/>
  <c r="I120" i="20"/>
  <c r="F120" i="20"/>
  <c r="D120" i="20"/>
  <c r="J120" i="20"/>
  <c r="K120" i="20"/>
  <c r="C120" i="20"/>
  <c r="H120" i="20"/>
  <c r="G120" i="20"/>
  <c r="J145" i="20"/>
  <c r="G145" i="20"/>
  <c r="D145" i="20"/>
  <c r="E145" i="20"/>
  <c r="H145" i="20"/>
  <c r="F145" i="20"/>
  <c r="K145" i="20"/>
  <c r="I145" i="20"/>
  <c r="C145" i="20"/>
  <c r="D248" i="20"/>
  <c r="G248" i="20"/>
  <c r="I248" i="20"/>
  <c r="H248" i="20"/>
  <c r="E248" i="20"/>
  <c r="F248" i="20"/>
  <c r="K248" i="20"/>
  <c r="C248" i="20"/>
  <c r="J248" i="20"/>
  <c r="H250" i="20"/>
  <c r="I250" i="20"/>
  <c r="C250" i="20"/>
  <c r="D250" i="20"/>
  <c r="J250" i="20"/>
  <c r="E250" i="20"/>
  <c r="K250" i="20"/>
  <c r="G250" i="20"/>
  <c r="F250" i="20"/>
  <c r="F87" i="20"/>
  <c r="C87" i="20"/>
  <c r="E87" i="20"/>
  <c r="I87" i="20"/>
  <c r="D87" i="20"/>
  <c r="J87" i="20"/>
  <c r="H87" i="20"/>
  <c r="K87" i="20"/>
  <c r="G87" i="20"/>
  <c r="G284" i="20"/>
  <c r="F284" i="20"/>
  <c r="I284" i="20"/>
  <c r="C284" i="20"/>
  <c r="H284" i="20"/>
  <c r="E284" i="20"/>
  <c r="J284" i="20"/>
  <c r="K284" i="20"/>
  <c r="D284" i="20"/>
  <c r="F355" i="20"/>
  <c r="E355" i="20"/>
  <c r="K355" i="20"/>
  <c r="H355" i="20"/>
  <c r="J355" i="20"/>
  <c r="G355" i="20"/>
  <c r="C355" i="20"/>
  <c r="I355" i="20"/>
  <c r="D355" i="20"/>
  <c r="G49" i="20"/>
  <c r="E49" i="20"/>
  <c r="J49" i="20"/>
  <c r="D49" i="20"/>
  <c r="I49" i="20"/>
  <c r="C49" i="20"/>
  <c r="K49" i="20"/>
  <c r="F49" i="20"/>
  <c r="H49" i="20"/>
  <c r="K311" i="20"/>
  <c r="E311" i="20"/>
  <c r="G311" i="20"/>
  <c r="I311" i="20"/>
  <c r="D311" i="20"/>
  <c r="J311" i="20"/>
  <c r="H311" i="20"/>
  <c r="F311" i="20"/>
  <c r="C311" i="20"/>
  <c r="H59" i="20"/>
  <c r="I59" i="20"/>
  <c r="E59" i="20"/>
  <c r="F59" i="20"/>
  <c r="D59" i="20"/>
  <c r="K59" i="20"/>
  <c r="C59" i="20"/>
  <c r="G59" i="20"/>
  <c r="J59" i="20"/>
  <c r="E43" i="20"/>
  <c r="C43" i="20"/>
  <c r="D312" i="20"/>
  <c r="E312" i="20"/>
  <c r="C312" i="20"/>
  <c r="I312" i="20"/>
  <c r="F312" i="20"/>
  <c r="J312" i="20"/>
  <c r="G312" i="20"/>
  <c r="K312" i="20"/>
  <c r="H312" i="20"/>
  <c r="K111" i="20"/>
  <c r="C111" i="20"/>
  <c r="H111" i="20"/>
  <c r="F111" i="20"/>
  <c r="G111" i="20"/>
  <c r="I111" i="20"/>
  <c r="D111" i="20"/>
  <c r="E111" i="20"/>
  <c r="J111" i="20"/>
  <c r="D352" i="20"/>
  <c r="F352" i="20"/>
  <c r="C352" i="20"/>
  <c r="J352" i="20"/>
  <c r="E352" i="20"/>
  <c r="I352" i="20"/>
  <c r="K352" i="20"/>
  <c r="G352" i="20"/>
  <c r="H352" i="20"/>
  <c r="F309" i="20"/>
  <c r="D309" i="20"/>
  <c r="J309" i="20"/>
  <c r="E309" i="20"/>
  <c r="H309" i="20"/>
  <c r="C309" i="20"/>
  <c r="G309" i="20"/>
  <c r="I309" i="20"/>
  <c r="K309" i="20"/>
  <c r="G67" i="20"/>
  <c r="C67" i="20"/>
  <c r="H67" i="20"/>
  <c r="J67" i="20"/>
  <c r="D67" i="20"/>
  <c r="K67" i="20"/>
  <c r="I67" i="20"/>
  <c r="F67" i="20"/>
  <c r="E67" i="20"/>
  <c r="E44" i="20"/>
  <c r="C44" i="20"/>
  <c r="F252" i="20"/>
  <c r="G252" i="20"/>
  <c r="D252" i="20"/>
  <c r="I252" i="20"/>
  <c r="C252" i="20"/>
  <c r="J252" i="20"/>
  <c r="H252" i="20"/>
  <c r="E252" i="20"/>
  <c r="K252" i="20"/>
  <c r="E14" i="20"/>
  <c r="C14" i="20"/>
  <c r="F300" i="20"/>
  <c r="G300" i="20"/>
  <c r="J300" i="20"/>
  <c r="D300" i="20"/>
  <c r="K300" i="20"/>
  <c r="I300" i="20"/>
  <c r="H300" i="20"/>
  <c r="E300" i="20"/>
  <c r="C300" i="20"/>
  <c r="I170" i="20"/>
  <c r="J170" i="20"/>
  <c r="F170" i="20"/>
  <c r="H170" i="20"/>
  <c r="E170" i="20"/>
  <c r="G170" i="20"/>
  <c r="K170" i="20"/>
  <c r="D170" i="20"/>
  <c r="C170" i="20"/>
  <c r="I142" i="20"/>
  <c r="D142" i="20"/>
  <c r="G142" i="20"/>
  <c r="E142" i="20"/>
  <c r="F142" i="20"/>
  <c r="K142" i="20"/>
  <c r="J142" i="20"/>
  <c r="C142" i="20"/>
  <c r="H142" i="20"/>
  <c r="E267" i="20"/>
  <c r="J267" i="20"/>
  <c r="H267" i="20"/>
  <c r="I267" i="20"/>
  <c r="F267" i="20"/>
  <c r="C267" i="20"/>
  <c r="K267" i="20"/>
  <c r="D267" i="20"/>
  <c r="G267" i="20"/>
  <c r="F152" i="20"/>
  <c r="C152" i="20"/>
  <c r="J152" i="20"/>
  <c r="G152" i="20"/>
  <c r="E152" i="20"/>
  <c r="H152" i="20"/>
  <c r="K152" i="20"/>
  <c r="I152" i="20"/>
  <c r="D152" i="20"/>
  <c r="E30" i="20"/>
  <c r="C30" i="20"/>
  <c r="H201" i="20"/>
  <c r="I201" i="20"/>
  <c r="F201" i="20"/>
  <c r="G201" i="20"/>
  <c r="J201" i="20"/>
  <c r="C201" i="20"/>
  <c r="K201" i="20"/>
  <c r="D201" i="20"/>
  <c r="E201" i="20"/>
  <c r="D156" i="20"/>
  <c r="C156" i="20"/>
  <c r="E156" i="20"/>
  <c r="K156" i="20"/>
  <c r="H156" i="20"/>
  <c r="J156" i="20"/>
  <c r="F156" i="20"/>
  <c r="I156" i="20"/>
  <c r="G156" i="20"/>
  <c r="G292" i="20"/>
  <c r="F292" i="20"/>
  <c r="E292" i="20"/>
  <c r="D292" i="20"/>
  <c r="C292" i="20"/>
  <c r="J292" i="20"/>
  <c r="I292" i="20"/>
  <c r="K292" i="20"/>
  <c r="H292" i="20"/>
  <c r="D313" i="20"/>
  <c r="E313" i="20"/>
  <c r="I313" i="20"/>
  <c r="J313" i="20"/>
  <c r="K313" i="20"/>
  <c r="F313" i="20"/>
  <c r="H313" i="20"/>
  <c r="G313" i="20"/>
  <c r="C313" i="20"/>
  <c r="J151" i="20"/>
  <c r="H151" i="20"/>
  <c r="C151" i="20"/>
  <c r="G151" i="20"/>
  <c r="D151" i="20"/>
  <c r="I151" i="20"/>
  <c r="F151" i="20"/>
  <c r="E151" i="20"/>
  <c r="K151" i="20"/>
  <c r="F190" i="20"/>
  <c r="K190" i="20"/>
  <c r="J190" i="20"/>
  <c r="E190" i="20"/>
  <c r="G190" i="20"/>
  <c r="C190" i="20"/>
  <c r="D190" i="20"/>
  <c r="H190" i="20"/>
  <c r="I190" i="20"/>
  <c r="I331" i="20"/>
  <c r="G331" i="20"/>
  <c r="E331" i="20"/>
  <c r="K331" i="20"/>
  <c r="C331" i="20"/>
  <c r="H331" i="20"/>
  <c r="F331" i="20"/>
  <c r="J331" i="20"/>
  <c r="D331" i="20"/>
  <c r="F244" i="20"/>
  <c r="G244" i="20"/>
  <c r="E244" i="20"/>
  <c r="C244" i="20"/>
  <c r="K244" i="20"/>
  <c r="H244" i="20"/>
  <c r="D244" i="20"/>
  <c r="I244" i="20"/>
  <c r="J244" i="20"/>
  <c r="G356" i="20"/>
  <c r="D356" i="20"/>
  <c r="H356" i="20"/>
  <c r="C356" i="20"/>
  <c r="E356" i="20"/>
  <c r="I356" i="20"/>
  <c r="K356" i="20"/>
  <c r="F356" i="20"/>
  <c r="J356" i="20"/>
  <c r="E116" i="20"/>
  <c r="H116" i="20"/>
  <c r="I116" i="20"/>
  <c r="D116" i="20"/>
  <c r="C116" i="20"/>
  <c r="G116" i="20"/>
  <c r="K116" i="20"/>
  <c r="F116" i="20"/>
  <c r="J116" i="20"/>
  <c r="D77" i="20"/>
  <c r="K77" i="20"/>
  <c r="E77" i="20"/>
  <c r="C77" i="20"/>
  <c r="I77" i="20"/>
  <c r="G77" i="20"/>
  <c r="F77" i="20"/>
  <c r="J77" i="20"/>
  <c r="H77" i="20"/>
  <c r="G335" i="20"/>
  <c r="J335" i="20"/>
  <c r="K335" i="20"/>
  <c r="H335" i="20"/>
  <c r="C335" i="20"/>
  <c r="I335" i="20"/>
  <c r="E335" i="20"/>
  <c r="D335" i="20"/>
  <c r="F335" i="20"/>
  <c r="F54" i="20"/>
  <c r="D54" i="20"/>
  <c r="C54" i="20"/>
  <c r="I54" i="20"/>
  <c r="G54" i="20"/>
  <c r="J54" i="20"/>
  <c r="K54" i="20"/>
  <c r="E54" i="20"/>
  <c r="H54" i="20"/>
  <c r="E316" i="20"/>
  <c r="I316" i="20"/>
  <c r="C316" i="20"/>
  <c r="F316" i="20"/>
  <c r="G316" i="20"/>
  <c r="D316" i="20"/>
  <c r="K316" i="20"/>
  <c r="H316" i="20"/>
  <c r="J316" i="20"/>
  <c r="K308" i="20"/>
  <c r="E308" i="20"/>
  <c r="I308" i="20"/>
  <c r="D308" i="20"/>
  <c r="H308" i="20"/>
  <c r="F308" i="20"/>
  <c r="C308" i="20"/>
  <c r="G308" i="20"/>
  <c r="J308" i="20"/>
  <c r="H223" i="20"/>
  <c r="K223" i="20"/>
  <c r="C223" i="20"/>
  <c r="D223" i="20"/>
  <c r="G223" i="20"/>
  <c r="F223" i="20"/>
  <c r="I223" i="20"/>
  <c r="J223" i="20"/>
  <c r="E223" i="20"/>
  <c r="K55" i="20"/>
  <c r="J55" i="20"/>
  <c r="H55" i="20"/>
  <c r="F55" i="20"/>
  <c r="G55" i="20"/>
  <c r="E55" i="20"/>
  <c r="D55" i="20"/>
  <c r="C55" i="20"/>
  <c r="I55" i="20"/>
  <c r="I94" i="20"/>
  <c r="J94" i="20"/>
  <c r="F94" i="20"/>
  <c r="G94" i="20"/>
  <c r="D94" i="20"/>
  <c r="K94" i="20"/>
  <c r="H94" i="20"/>
  <c r="E94" i="20"/>
  <c r="C94" i="20"/>
  <c r="G277" i="20"/>
  <c r="I277" i="20"/>
  <c r="K277" i="20"/>
  <c r="H277" i="20"/>
  <c r="J277" i="20"/>
  <c r="C277" i="20"/>
  <c r="F277" i="20"/>
  <c r="D277" i="20"/>
  <c r="E277" i="20"/>
  <c r="F73" i="20"/>
  <c r="E73" i="20"/>
  <c r="H73" i="20"/>
  <c r="G73" i="20"/>
  <c r="C73" i="20"/>
  <c r="D73" i="20"/>
  <c r="J73" i="20"/>
  <c r="K73" i="20"/>
  <c r="I73" i="20"/>
  <c r="I89" i="20"/>
  <c r="H89" i="20"/>
  <c r="E89" i="20"/>
  <c r="C89" i="20"/>
  <c r="G89" i="20"/>
  <c r="J89" i="20"/>
  <c r="F89" i="20"/>
  <c r="D89" i="20"/>
  <c r="K89" i="20"/>
  <c r="J342" i="20"/>
  <c r="I342" i="20"/>
  <c r="E342" i="20"/>
  <c r="C342" i="20"/>
  <c r="D342" i="20"/>
  <c r="G342" i="20"/>
  <c r="F342" i="20"/>
  <c r="H342" i="20"/>
  <c r="K342" i="20"/>
  <c r="C219" i="20"/>
  <c r="I219" i="20"/>
  <c r="H219" i="20"/>
  <c r="D219" i="20"/>
  <c r="E219" i="20"/>
  <c r="G219" i="20"/>
  <c r="F219" i="20"/>
  <c r="K219" i="20"/>
  <c r="J219" i="20"/>
  <c r="E370" i="20"/>
  <c r="H370" i="20"/>
  <c r="G370" i="20"/>
  <c r="K370" i="20"/>
  <c r="J370" i="20"/>
  <c r="C370" i="20"/>
  <c r="F370" i="20"/>
  <c r="I370" i="20"/>
  <c r="D370" i="20"/>
  <c r="C23" i="20"/>
  <c r="E23" i="20"/>
  <c r="C193" i="20"/>
  <c r="H193" i="20"/>
  <c r="D193" i="20"/>
  <c r="J193" i="20"/>
  <c r="F193" i="20"/>
  <c r="I193" i="20"/>
  <c r="G193" i="20"/>
  <c r="E193" i="20"/>
  <c r="K193" i="20"/>
  <c r="I86" i="20"/>
  <c r="J86" i="20"/>
  <c r="H86" i="20"/>
  <c r="F86" i="20"/>
  <c r="E86" i="20"/>
  <c r="G86" i="20"/>
  <c r="D86" i="20"/>
  <c r="C86" i="20"/>
  <c r="K86" i="20"/>
  <c r="C34" i="20"/>
  <c r="E34" i="20"/>
  <c r="E227" i="20"/>
  <c r="K227" i="20"/>
  <c r="C227" i="20"/>
  <c r="H227" i="20"/>
  <c r="F227" i="20"/>
  <c r="J227" i="20"/>
  <c r="D227" i="20"/>
  <c r="I227" i="20"/>
  <c r="G227" i="20"/>
  <c r="K236" i="20"/>
  <c r="G236" i="20"/>
  <c r="H236" i="20"/>
  <c r="I236" i="20"/>
  <c r="D236" i="20"/>
  <c r="C236" i="20"/>
  <c r="F236" i="20"/>
  <c r="J236" i="20"/>
  <c r="E236" i="20"/>
  <c r="F100" i="20"/>
  <c r="K100" i="20"/>
  <c r="I100" i="20"/>
  <c r="G100" i="20"/>
  <c r="D100" i="20"/>
  <c r="C100" i="20"/>
  <c r="H100" i="20"/>
  <c r="J100" i="20"/>
  <c r="E100" i="20"/>
  <c r="G326" i="20"/>
  <c r="E326" i="20"/>
  <c r="J326" i="20"/>
  <c r="H326" i="20"/>
  <c r="C326" i="20"/>
  <c r="F326" i="20"/>
  <c r="K326" i="20"/>
  <c r="D326" i="20"/>
  <c r="I326" i="20"/>
  <c r="I164" i="20"/>
  <c r="J164" i="20"/>
  <c r="E164" i="20"/>
  <c r="K164" i="20"/>
  <c r="G164" i="20"/>
  <c r="H164" i="20"/>
  <c r="F164" i="20"/>
  <c r="C164" i="20"/>
  <c r="D164" i="20"/>
  <c r="J302" i="20"/>
  <c r="H302" i="20"/>
  <c r="F302" i="20"/>
  <c r="G302" i="20"/>
  <c r="K302" i="20"/>
  <c r="C302" i="20"/>
  <c r="D302" i="20"/>
  <c r="E302" i="20"/>
  <c r="I302" i="20"/>
  <c r="J224" i="20"/>
  <c r="E224" i="20"/>
  <c r="F224" i="20"/>
  <c r="D224" i="20"/>
  <c r="G224" i="20"/>
  <c r="C224" i="20"/>
  <c r="I224" i="20"/>
  <c r="K224" i="20"/>
  <c r="H224" i="20"/>
  <c r="F93" i="20"/>
  <c r="E93" i="20"/>
  <c r="C93" i="20"/>
  <c r="J93" i="20"/>
  <c r="I93" i="20"/>
  <c r="H93" i="20"/>
  <c r="K93" i="20"/>
  <c r="G93" i="20"/>
  <c r="D93" i="20"/>
  <c r="J183" i="20"/>
  <c r="E183" i="20"/>
  <c r="D183" i="20"/>
  <c r="C183" i="20"/>
  <c r="F183" i="20"/>
  <c r="K183" i="20"/>
  <c r="I183" i="20"/>
  <c r="G183" i="20"/>
  <c r="H183" i="20"/>
  <c r="E207" i="20"/>
  <c r="G207" i="20"/>
  <c r="H207" i="20"/>
  <c r="J207" i="20"/>
  <c r="F207" i="20"/>
  <c r="D207" i="20"/>
  <c r="C207" i="20"/>
  <c r="K207" i="20"/>
  <c r="I207" i="20"/>
  <c r="F155" i="20"/>
  <c r="D155" i="20"/>
  <c r="J155" i="20"/>
  <c r="I155" i="20"/>
  <c r="H155" i="20"/>
  <c r="K155" i="20"/>
  <c r="C155" i="20"/>
  <c r="E155" i="20"/>
  <c r="G155" i="20"/>
  <c r="C171" i="20"/>
  <c r="H171" i="20"/>
  <c r="D171" i="20"/>
  <c r="E171" i="20"/>
  <c r="I171" i="20"/>
  <c r="G171" i="20"/>
  <c r="K171" i="20"/>
  <c r="J171" i="20"/>
  <c r="F171" i="20"/>
  <c r="C26" i="20"/>
  <c r="E26" i="20"/>
  <c r="C21" i="20"/>
  <c r="E21" i="20"/>
  <c r="F246" i="20"/>
  <c r="K246" i="20"/>
  <c r="D246" i="20"/>
  <c r="G246" i="20"/>
  <c r="C246" i="20"/>
  <c r="H246" i="20"/>
  <c r="J246" i="20"/>
  <c r="I246" i="20"/>
  <c r="E246" i="20"/>
  <c r="K50" i="20"/>
  <c r="E50" i="20"/>
  <c r="C50" i="20"/>
  <c r="G50" i="20"/>
  <c r="H50" i="20"/>
  <c r="J50" i="20"/>
  <c r="D50" i="20"/>
  <c r="F50" i="20"/>
  <c r="I50" i="20"/>
  <c r="K363" i="20"/>
  <c r="H363" i="20"/>
  <c r="F363" i="20"/>
  <c r="C363" i="20"/>
  <c r="J363" i="20"/>
  <c r="D363" i="20"/>
  <c r="G363" i="20"/>
  <c r="E363" i="20"/>
  <c r="I363" i="20"/>
  <c r="D344" i="20"/>
  <c r="J344" i="20"/>
  <c r="G344" i="20"/>
  <c r="I344" i="20"/>
  <c r="C344" i="20"/>
  <c r="H344" i="20"/>
  <c r="F344" i="20"/>
  <c r="K344" i="20"/>
  <c r="E344" i="20"/>
  <c r="G301" i="20"/>
  <c r="H301" i="20"/>
  <c r="J301" i="20"/>
  <c r="K301" i="20"/>
  <c r="E301" i="20"/>
  <c r="I301" i="20"/>
  <c r="F301" i="20"/>
  <c r="D301" i="20"/>
  <c r="C301" i="20"/>
  <c r="C38" i="20"/>
  <c r="E38" i="20"/>
  <c r="D205" i="20"/>
  <c r="H205" i="20"/>
  <c r="G205" i="20"/>
  <c r="C205" i="20"/>
  <c r="I205" i="20"/>
  <c r="J205" i="20"/>
  <c r="F205" i="20"/>
  <c r="E205" i="20"/>
  <c r="K205" i="20"/>
  <c r="D209" i="20"/>
  <c r="E209" i="20"/>
  <c r="H209" i="20"/>
  <c r="J209" i="20"/>
  <c r="F209" i="20"/>
  <c r="I209" i="20"/>
  <c r="C209" i="20"/>
  <c r="K209" i="20"/>
  <c r="G209" i="20"/>
  <c r="E41" i="20"/>
  <c r="C41" i="20"/>
  <c r="I290" i="20"/>
  <c r="E290" i="20"/>
  <c r="D290" i="20"/>
  <c r="C290" i="20"/>
  <c r="H290" i="20"/>
  <c r="K290" i="20"/>
  <c r="J290" i="20"/>
  <c r="G290" i="20"/>
  <c r="F290" i="20"/>
  <c r="J121" i="20"/>
  <c r="E121" i="20"/>
  <c r="K121" i="20"/>
  <c r="I121" i="20"/>
  <c r="F121" i="20"/>
  <c r="G121" i="20"/>
  <c r="H121" i="20"/>
  <c r="D121" i="20"/>
  <c r="C121" i="20"/>
  <c r="C20" i="20"/>
  <c r="E20" i="20"/>
  <c r="C33" i="20"/>
  <c r="E33" i="20"/>
  <c r="K273" i="20"/>
  <c r="J273" i="20"/>
  <c r="I273" i="20"/>
  <c r="H273" i="20"/>
  <c r="D273" i="20"/>
  <c r="F273" i="20"/>
  <c r="C273" i="20"/>
  <c r="G273" i="20"/>
  <c r="E273" i="20"/>
  <c r="F127" i="20"/>
  <c r="K127" i="20"/>
  <c r="J127" i="20"/>
  <c r="C127" i="20"/>
  <c r="H127" i="20"/>
  <c r="D127" i="20"/>
  <c r="G127" i="20"/>
  <c r="I127" i="20"/>
  <c r="E127" i="20"/>
  <c r="H191" i="20"/>
  <c r="F191" i="20"/>
  <c r="G191" i="20"/>
  <c r="C191" i="20"/>
  <c r="K191" i="20"/>
  <c r="J191" i="20"/>
  <c r="I191" i="20"/>
  <c r="D191" i="20"/>
  <c r="E191" i="20"/>
  <c r="I215" i="20"/>
  <c r="J215" i="20"/>
  <c r="F215" i="20"/>
  <c r="H215" i="20"/>
  <c r="K215" i="20"/>
  <c r="G215" i="20"/>
  <c r="D215" i="20"/>
  <c r="C215" i="20"/>
  <c r="E215" i="20"/>
  <c r="C24" i="20"/>
  <c r="E24" i="20"/>
  <c r="H296" i="20"/>
  <c r="K296" i="20"/>
  <c r="F296" i="20"/>
  <c r="D296" i="20"/>
  <c r="I296" i="20"/>
  <c r="J296" i="20"/>
  <c r="C296" i="20"/>
  <c r="E296" i="20"/>
  <c r="G296" i="20"/>
  <c r="K130" i="20"/>
  <c r="C130" i="20"/>
  <c r="J130" i="20"/>
  <c r="E130" i="20"/>
  <c r="D130" i="20"/>
  <c r="H130" i="20"/>
  <c r="F130" i="20"/>
  <c r="G130" i="20"/>
  <c r="I130" i="20"/>
  <c r="E27" i="20"/>
  <c r="C27" i="20"/>
  <c r="D159" i="20"/>
  <c r="F159" i="20"/>
  <c r="G159" i="20"/>
  <c r="J159" i="20"/>
  <c r="C159" i="20"/>
  <c r="I159" i="20"/>
  <c r="K159" i="20"/>
  <c r="E159" i="20"/>
  <c r="H159" i="20"/>
  <c r="H90" i="20"/>
  <c r="J90" i="20"/>
  <c r="G90" i="20"/>
  <c r="I90" i="20"/>
  <c r="D90" i="20"/>
  <c r="K90" i="20"/>
  <c r="F90" i="20"/>
  <c r="C90" i="20"/>
  <c r="E90" i="20"/>
  <c r="E15" i="20"/>
  <c r="C15" i="20"/>
  <c r="K338" i="20"/>
  <c r="G338" i="20"/>
  <c r="F338" i="20"/>
  <c r="H338" i="20"/>
  <c r="E338" i="20"/>
  <c r="C338" i="20"/>
  <c r="I338" i="20"/>
  <c r="D338" i="20"/>
  <c r="J338" i="20"/>
  <c r="I350" i="20"/>
  <c r="K350" i="20"/>
  <c r="E350" i="20"/>
  <c r="C350" i="20"/>
  <c r="G350" i="20"/>
  <c r="F350" i="20"/>
  <c r="J350" i="20"/>
  <c r="D350" i="20"/>
  <c r="H350" i="20"/>
  <c r="C266" i="20"/>
  <c r="J266" i="20"/>
  <c r="G266" i="20"/>
  <c r="D266" i="20"/>
  <c r="I266" i="20"/>
  <c r="K266" i="20"/>
  <c r="F266" i="20"/>
  <c r="H266" i="20"/>
  <c r="E266" i="20"/>
  <c r="F328" i="20"/>
  <c r="J328" i="20"/>
  <c r="K328" i="20"/>
  <c r="H328" i="20"/>
  <c r="C328" i="20"/>
  <c r="I328" i="20"/>
  <c r="D328" i="20"/>
  <c r="E328" i="20"/>
  <c r="G328" i="20"/>
  <c r="D143" i="20"/>
  <c r="C143" i="20"/>
  <c r="F143" i="20"/>
  <c r="J143" i="20"/>
  <c r="E143" i="20"/>
  <c r="K143" i="20"/>
  <c r="I143" i="20"/>
  <c r="G143" i="20"/>
  <c r="H143" i="20"/>
  <c r="I367" i="20"/>
  <c r="J367" i="20"/>
  <c r="D367" i="20"/>
  <c r="E367" i="20"/>
  <c r="K367" i="20"/>
  <c r="G367" i="20"/>
  <c r="H367" i="20"/>
  <c r="F367" i="20"/>
  <c r="C367" i="20"/>
  <c r="K234" i="20"/>
  <c r="I234" i="20"/>
  <c r="J234" i="20"/>
  <c r="F234" i="20"/>
  <c r="C234" i="20"/>
  <c r="H234" i="20"/>
  <c r="G234" i="20"/>
  <c r="E234" i="20"/>
  <c r="D234" i="20"/>
  <c r="G56" i="20"/>
  <c r="D56" i="20"/>
  <c r="K56" i="20"/>
  <c r="F56" i="20"/>
  <c r="E56" i="20"/>
  <c r="I56" i="20"/>
  <c r="C56" i="20"/>
  <c r="J56" i="20"/>
  <c r="H56" i="20"/>
  <c r="F161" i="20"/>
  <c r="D161" i="20"/>
  <c r="E161" i="20"/>
  <c r="J161" i="20"/>
  <c r="H161" i="20"/>
  <c r="K161" i="20"/>
  <c r="I161" i="20"/>
  <c r="C161" i="20"/>
  <c r="G161" i="20"/>
  <c r="H282" i="20"/>
  <c r="D282" i="20"/>
  <c r="G282" i="20"/>
  <c r="K282" i="20"/>
  <c r="E282" i="20"/>
  <c r="I282" i="20"/>
  <c r="J282" i="20"/>
  <c r="F282" i="20"/>
  <c r="C282" i="20"/>
  <c r="K324" i="20"/>
  <c r="C324" i="20"/>
  <c r="J324" i="20"/>
  <c r="E324" i="20"/>
  <c r="H324" i="20"/>
  <c r="F324" i="20"/>
  <c r="I324" i="20"/>
  <c r="D324" i="20"/>
  <c r="G324" i="20"/>
  <c r="K297" i="20"/>
  <c r="J297" i="20"/>
  <c r="H297" i="20"/>
  <c r="F297" i="20"/>
  <c r="G297" i="20"/>
  <c r="E297" i="20"/>
  <c r="C297" i="20"/>
  <c r="I297" i="20"/>
  <c r="D297" i="20"/>
  <c r="D229" i="20"/>
  <c r="G229" i="20"/>
  <c r="I229" i="20"/>
  <c r="H229" i="20"/>
  <c r="C229" i="20"/>
  <c r="K229" i="20"/>
  <c r="F229" i="20"/>
  <c r="E229" i="20"/>
  <c r="J229" i="20"/>
  <c r="D48" i="20"/>
  <c r="F48" i="20"/>
  <c r="G48" i="20"/>
  <c r="K48" i="20"/>
  <c r="C48" i="20"/>
  <c r="J48" i="20"/>
  <c r="E48" i="20"/>
  <c r="I48" i="20"/>
  <c r="H48" i="20"/>
  <c r="G114" i="20"/>
  <c r="I114" i="20"/>
  <c r="C114" i="20"/>
  <c r="K114" i="20"/>
  <c r="F114" i="20"/>
  <c r="H114" i="20"/>
  <c r="E114" i="20"/>
  <c r="D114" i="20"/>
  <c r="J114" i="20"/>
  <c r="F247" i="20"/>
  <c r="K247" i="20"/>
  <c r="I247" i="20"/>
  <c r="C247" i="20"/>
  <c r="E247" i="20"/>
  <c r="G247" i="20"/>
  <c r="J247" i="20"/>
  <c r="H247" i="20"/>
  <c r="D247" i="20"/>
  <c r="E174" i="20"/>
  <c r="G174" i="20"/>
  <c r="I174" i="20"/>
  <c r="J174" i="20"/>
  <c r="F174" i="20"/>
  <c r="K174" i="20"/>
  <c r="D174" i="20"/>
  <c r="C174" i="20"/>
  <c r="H174" i="20"/>
  <c r="E321" i="20"/>
  <c r="I321" i="20"/>
  <c r="G321" i="20"/>
  <c r="H321" i="20"/>
  <c r="F321" i="20"/>
  <c r="C321" i="20"/>
  <c r="K321" i="20"/>
  <c r="J321" i="20"/>
  <c r="D321" i="20"/>
  <c r="K132" i="20"/>
  <c r="C132" i="20"/>
  <c r="G132" i="20"/>
  <c r="J132" i="20"/>
  <c r="E132" i="20"/>
  <c r="H132" i="20"/>
  <c r="F132" i="20"/>
  <c r="D132" i="20"/>
  <c r="I132" i="20"/>
  <c r="F141" i="20"/>
  <c r="E141" i="20"/>
  <c r="H141" i="20"/>
  <c r="C141" i="20"/>
  <c r="D141" i="20"/>
  <c r="J141" i="20"/>
  <c r="I141" i="20"/>
  <c r="K141" i="20"/>
  <c r="G141" i="20"/>
  <c r="J106" i="20"/>
  <c r="F106" i="20"/>
  <c r="I106" i="20"/>
  <c r="H106" i="20"/>
  <c r="D106" i="20"/>
  <c r="G106" i="20"/>
  <c r="E106" i="20"/>
  <c r="K106" i="20"/>
  <c r="C106" i="20"/>
  <c r="K112" i="20"/>
  <c r="D112" i="20"/>
  <c r="I112" i="20"/>
  <c r="F112" i="20"/>
  <c r="H112" i="20"/>
  <c r="G112" i="20"/>
  <c r="J112" i="20"/>
  <c r="E112" i="20"/>
  <c r="C112" i="20"/>
  <c r="K325" i="20"/>
  <c r="E325" i="20"/>
  <c r="J325" i="20"/>
  <c r="D325" i="20"/>
  <c r="H325" i="20"/>
  <c r="G325" i="20"/>
  <c r="C325" i="20"/>
  <c r="I325" i="20"/>
  <c r="F325" i="20"/>
  <c r="G307" i="20"/>
  <c r="D307" i="20"/>
  <c r="C307" i="20"/>
  <c r="K307" i="20"/>
  <c r="F307" i="20"/>
  <c r="I307" i="20"/>
  <c r="H307" i="20"/>
  <c r="E307" i="20"/>
  <c r="J307" i="20"/>
  <c r="AA34" i="7" l="1"/>
  <c r="AG34" i="7" s="1"/>
  <c r="F14" i="7"/>
  <c r="AI34" i="7" s="1"/>
  <c r="AO34" i="7" s="1"/>
  <c r="S27" i="7"/>
  <c r="AA32" i="7"/>
  <c r="AG32" i="7" s="1"/>
  <c r="F12" i="7"/>
  <c r="AI32" i="7" s="1"/>
  <c r="AO32" i="7" s="1"/>
  <c r="AA31" i="7"/>
  <c r="AG31" i="7" s="1"/>
  <c r="F11" i="7"/>
  <c r="AI31" i="7" s="1"/>
  <c r="AO31" i="7" s="1"/>
  <c r="F9" i="7"/>
  <c r="AI29" i="7" s="1"/>
  <c r="AO29" i="7" s="1"/>
  <c r="AA29" i="7"/>
  <c r="AG29" i="7" s="1"/>
  <c r="AA33" i="7"/>
  <c r="AG33" i="7" s="1"/>
  <c r="F13" i="7"/>
  <c r="AI33" i="7" s="1"/>
  <c r="AO33" i="7" s="1"/>
  <c r="F10" i="7"/>
  <c r="AI30" i="7" s="1"/>
  <c r="AO30" i="7" s="1"/>
  <c r="AA30" i="7"/>
  <c r="AG30" i="7" s="1"/>
  <c r="G5" i="27"/>
  <c r="E17" i="7"/>
  <c r="AA27" i="7"/>
  <c r="AG28" i="7"/>
  <c r="AO41" i="7"/>
  <c r="AO36" i="7" s="1"/>
  <c r="AM36" i="7"/>
  <c r="F7" i="7"/>
  <c r="F15" i="7" s="1"/>
  <c r="AI28" i="7"/>
  <c r="S26" i="7"/>
  <c r="Y26" i="7" s="1"/>
  <c r="Y47" i="7" s="1"/>
  <c r="Y51" i="7" s="1"/>
  <c r="Y52" i="7" s="1"/>
  <c r="Y54" i="7" s="1"/>
  <c r="Y27" i="7"/>
  <c r="AG36" i="7"/>
  <c r="AE47" i="7"/>
  <c r="F27" i="10" s="1"/>
  <c r="J9" i="24"/>
  <c r="AI36" i="7"/>
  <c r="G5" i="24"/>
  <c r="D25" i="10"/>
  <c r="K12" i="20"/>
  <c r="P14" i="25"/>
  <c r="R10" i="25"/>
  <c r="S11" i="25" s="1"/>
  <c r="S14" i="25" s="1"/>
  <c r="F4" i="27"/>
  <c r="C25" i="10"/>
  <c r="E5" i="24"/>
  <c r="I47" i="7"/>
  <c r="I51" i="7" s="1"/>
  <c r="I52" i="7" s="1"/>
  <c r="I54" i="7" s="1"/>
  <c r="Q47" i="7"/>
  <c r="Q51" i="7" s="1"/>
  <c r="Q52" i="7" s="1"/>
  <c r="Q54" i="7" s="1"/>
  <c r="E4" i="27"/>
  <c r="G4" i="27"/>
  <c r="AN37" i="7"/>
  <c r="AN36" i="7" s="1"/>
  <c r="AN47" i="7" s="1"/>
  <c r="AN51" i="7" s="1"/>
  <c r="AH36" i="7"/>
  <c r="AH47" i="7" s="1"/>
  <c r="F12" i="20"/>
  <c r="G12" i="20" s="1"/>
  <c r="H12" i="20" s="1"/>
  <c r="H4" i="27" l="1"/>
  <c r="H11" i="27" s="1"/>
  <c r="H14" i="27" s="1"/>
  <c r="AI27" i="7"/>
  <c r="AO28" i="7"/>
  <c r="L9" i="24"/>
  <c r="AM47" i="7"/>
  <c r="G27" i="10" s="1"/>
  <c r="S47" i="7"/>
  <c r="F17" i="7"/>
  <c r="H5" i="27"/>
  <c r="AA26" i="7"/>
  <c r="AG27" i="7"/>
  <c r="G11" i="27"/>
  <c r="G14" i="27" s="1"/>
  <c r="E11" i="27"/>
  <c r="E14" i="27" s="1"/>
  <c r="F11" i="27"/>
  <c r="F14" i="27" s="1"/>
  <c r="C8" i="8"/>
  <c r="D8" i="8" s="1"/>
  <c r="C20" i="8"/>
  <c r="D20" i="8" s="1"/>
  <c r="C16" i="8"/>
  <c r="D16" i="8" s="1"/>
  <c r="C12" i="8"/>
  <c r="D12" i="8" s="1"/>
  <c r="C4" i="8"/>
  <c r="J12" i="20"/>
  <c r="D13" i="20"/>
  <c r="I5" i="24" l="1"/>
  <c r="E25" i="10"/>
  <c r="AI26" i="7"/>
  <c r="AO27" i="7"/>
  <c r="AG26" i="7"/>
  <c r="AG47" i="7" s="1"/>
  <c r="AG51" i="7" s="1"/>
  <c r="AG52" i="7" s="1"/>
  <c r="AG54" i="7" s="1"/>
  <c r="AA47" i="7"/>
  <c r="K4" i="24"/>
  <c r="F6" i="10"/>
  <c r="F8" i="10" s="1"/>
  <c r="C8" i="13" s="1"/>
  <c r="M4" i="24"/>
  <c r="G6" i="10"/>
  <c r="G8" i="10" s="1"/>
  <c r="C9" i="13" s="1"/>
  <c r="I4" i="24"/>
  <c r="E6" i="10"/>
  <c r="E8" i="10" s="1"/>
  <c r="C7" i="13" s="1"/>
  <c r="H3" i="27"/>
  <c r="D3" i="27"/>
  <c r="G3" i="27"/>
  <c r="D4" i="8"/>
  <c r="E3" i="27"/>
  <c r="F3" i="27"/>
  <c r="G4" i="24"/>
  <c r="D6" i="10"/>
  <c r="D8" i="10" s="1"/>
  <c r="C6" i="13" s="1"/>
  <c r="F13" i="20"/>
  <c r="I13" i="20"/>
  <c r="AO26" i="7" l="1"/>
  <c r="AO47" i="7" s="1"/>
  <c r="AO51" i="7" s="1"/>
  <c r="AO52" i="7" s="1"/>
  <c r="AO54" i="7" s="1"/>
  <c r="AI47" i="7"/>
  <c r="F25" i="10"/>
  <c r="K5" i="24"/>
  <c r="K6" i="24" s="1"/>
  <c r="K10" i="24" s="1"/>
  <c r="M20" i="28"/>
  <c r="N20" i="28" s="1"/>
  <c r="G6" i="24"/>
  <c r="G10" i="24" s="1"/>
  <c r="G20" i="28"/>
  <c r="H20" i="28" s="1"/>
  <c r="I6" i="24"/>
  <c r="I10" i="24" s="1"/>
  <c r="I20" i="28"/>
  <c r="J20" i="28" s="1"/>
  <c r="K20" i="28"/>
  <c r="L20" i="28" s="1"/>
  <c r="F16" i="27"/>
  <c r="F26" i="27"/>
  <c r="F37" i="27"/>
  <c r="F32" i="27"/>
  <c r="F38" i="27"/>
  <c r="F31" i="27"/>
  <c r="F25" i="27"/>
  <c r="F18" i="27"/>
  <c r="D32" i="27"/>
  <c r="E8" i="27"/>
  <c r="E10" i="27" s="1"/>
  <c r="E12" i="27" s="1"/>
  <c r="D31" i="27"/>
  <c r="D18" i="27"/>
  <c r="H8" i="27"/>
  <c r="H10" i="27" s="1"/>
  <c r="H12" i="27" s="1"/>
  <c r="F8" i="27"/>
  <c r="F10" i="27" s="1"/>
  <c r="F12" i="27" s="1"/>
  <c r="D26" i="27"/>
  <c r="D38" i="27"/>
  <c r="D25" i="27"/>
  <c r="D16" i="27"/>
  <c r="D8" i="27"/>
  <c r="D10" i="27" s="1"/>
  <c r="D12" i="27" s="1"/>
  <c r="D37" i="27"/>
  <c r="G8" i="27"/>
  <c r="G10" i="27" s="1"/>
  <c r="G12" i="27" s="1"/>
  <c r="E26" i="27"/>
  <c r="E38" i="27"/>
  <c r="E31" i="27"/>
  <c r="E25" i="27"/>
  <c r="E32" i="27"/>
  <c r="E37" i="27"/>
  <c r="E16" i="27"/>
  <c r="E18" i="27"/>
  <c r="H37" i="27"/>
  <c r="H26" i="27"/>
  <c r="H25" i="27"/>
  <c r="H38" i="27"/>
  <c r="H18" i="27"/>
  <c r="H16" i="27"/>
  <c r="H31" i="27"/>
  <c r="H32" i="27"/>
  <c r="C6" i="10"/>
  <c r="C8" i="10" s="1"/>
  <c r="C5" i="13" s="1"/>
  <c r="E4" i="24"/>
  <c r="G25" i="27"/>
  <c r="G37" i="27"/>
  <c r="G26" i="27"/>
  <c r="G38" i="27"/>
  <c r="G31" i="27"/>
  <c r="G32" i="27"/>
  <c r="G16" i="27"/>
  <c r="G18" i="27"/>
  <c r="K13" i="20"/>
  <c r="G13" i="20"/>
  <c r="M5" i="24" l="1"/>
  <c r="M6" i="24" s="1"/>
  <c r="M10" i="24" s="1"/>
  <c r="M12" i="24" s="1"/>
  <c r="L13" i="24" s="1"/>
  <c r="M17" i="28" s="1"/>
  <c r="N17" i="28" s="1"/>
  <c r="G25" i="10"/>
  <c r="K12" i="24"/>
  <c r="J13" i="24" s="1"/>
  <c r="K17" i="28" s="1"/>
  <c r="L17" i="28" s="1"/>
  <c r="E6" i="24"/>
  <c r="E10" i="24" s="1"/>
  <c r="E20" i="28"/>
  <c r="F20" i="28" s="1"/>
  <c r="G44" i="27"/>
  <c r="G46" i="27" s="1"/>
  <c r="E44" i="27"/>
  <c r="E46" i="27" s="1"/>
  <c r="F44" i="27"/>
  <c r="F46" i="27" s="1"/>
  <c r="G48" i="27"/>
  <c r="G50" i="27" s="1"/>
  <c r="D40" i="27"/>
  <c r="D42" i="27" s="1"/>
  <c r="F40" i="27"/>
  <c r="F42" i="27" s="1"/>
  <c r="E40" i="27"/>
  <c r="E42" i="27" s="1"/>
  <c r="D48" i="27"/>
  <c r="D50" i="27" s="1"/>
  <c r="H40" i="27"/>
  <c r="H42" i="27" s="1"/>
  <c r="E48" i="27"/>
  <c r="E50" i="27" s="1"/>
  <c r="G40" i="27"/>
  <c r="G42" i="27" s="1"/>
  <c r="H44" i="27"/>
  <c r="H46" i="27" s="1"/>
  <c r="H48" i="27"/>
  <c r="H50" i="27" s="1"/>
  <c r="D44" i="27"/>
  <c r="D46" i="27" s="1"/>
  <c r="F48" i="27"/>
  <c r="F50" i="27" s="1"/>
  <c r="H13" i="20"/>
  <c r="M14" i="24" l="1"/>
  <c r="G28" i="10"/>
  <c r="G29" i="10" s="1"/>
  <c r="D9" i="13" s="1"/>
  <c r="E9" i="13" s="1"/>
  <c r="K14" i="24"/>
  <c r="F28" i="10"/>
  <c r="F29" i="10" s="1"/>
  <c r="D8" i="13" s="1"/>
  <c r="E8" i="13" s="1"/>
  <c r="J13" i="20"/>
  <c r="O35" i="25" l="1"/>
  <c r="K5" i="28"/>
  <c r="L5" i="28" s="1"/>
  <c r="R35" i="25"/>
  <c r="M5" i="28"/>
  <c r="N5" i="28" s="1"/>
  <c r="D14" i="20"/>
  <c r="I14" i="20" l="1"/>
  <c r="F14" i="20"/>
  <c r="B23" i="10" l="1"/>
  <c r="B11" i="24"/>
  <c r="B60" i="7"/>
  <c r="G14" i="20"/>
  <c r="E56" i="18"/>
  <c r="K14" i="20"/>
  <c r="H14" i="20" l="1"/>
  <c r="C12" i="24"/>
  <c r="E55" i="18" l="1"/>
  <c r="D8" i="17" s="1"/>
  <c r="D9" i="17" s="1"/>
  <c r="B22" i="10"/>
  <c r="J14" i="20"/>
  <c r="C29" i="25" s="1"/>
  <c r="B13" i="24"/>
  <c r="C14" i="24" s="1"/>
  <c r="C35" i="25" s="1"/>
  <c r="D36" i="25" s="1"/>
  <c r="C8" i="17" l="1"/>
  <c r="G34" i="25"/>
  <c r="E13" i="28" s="1"/>
  <c r="F13" i="28" s="1"/>
  <c r="D34" i="25"/>
  <c r="S34" i="25"/>
  <c r="M13" i="28" s="1"/>
  <c r="N13" i="28" s="1"/>
  <c r="P34" i="25"/>
  <c r="K13" i="28" s="1"/>
  <c r="L13" i="28" s="1"/>
  <c r="J34" i="25"/>
  <c r="G13" i="28" s="1"/>
  <c r="H13" i="28" s="1"/>
  <c r="M34" i="25"/>
  <c r="I13" i="28" s="1"/>
  <c r="J13" i="28" s="1"/>
  <c r="E37" i="25"/>
  <c r="F36" i="25"/>
  <c r="B29" i="10"/>
  <c r="D4" i="13" s="1"/>
  <c r="E4" i="13" s="1"/>
  <c r="E58" i="18"/>
  <c r="D30" i="25"/>
  <c r="E31" i="25" s="1"/>
  <c r="D15" i="20"/>
  <c r="B4" i="10" l="1"/>
  <c r="I15" i="20"/>
  <c r="F15" i="20"/>
  <c r="B30" i="10" l="1"/>
  <c r="C6" i="25" s="1"/>
  <c r="E39" i="25"/>
  <c r="K15" i="20"/>
  <c r="G15" i="20"/>
  <c r="D7" i="25" l="1"/>
  <c r="E25" i="25" s="1"/>
  <c r="E21" i="28" s="1"/>
  <c r="F21" i="28" s="1"/>
  <c r="H15" i="20"/>
  <c r="C4" i="10"/>
  <c r="J15" i="20" l="1"/>
  <c r="D16" i="20" l="1"/>
  <c r="I16" i="20" l="1"/>
  <c r="F16" i="20"/>
  <c r="G16" i="20" l="1"/>
  <c r="K16" i="20"/>
  <c r="H16" i="20" l="1"/>
  <c r="J16" i="20" l="1"/>
  <c r="D17" i="20" l="1"/>
  <c r="I17" i="20" l="1"/>
  <c r="F17" i="20"/>
  <c r="G17" i="20" l="1"/>
  <c r="K17" i="20"/>
  <c r="H17" i="20" l="1"/>
  <c r="J17" i="20" l="1"/>
  <c r="D18" i="20" s="1"/>
  <c r="I18" i="20" l="1"/>
  <c r="F18" i="20"/>
  <c r="K18" i="20" l="1"/>
  <c r="G18" i="20"/>
  <c r="H18" i="20" l="1"/>
  <c r="J18" i="20" l="1"/>
  <c r="D19" i="20" s="1"/>
  <c r="I19" i="20" l="1"/>
  <c r="F19" i="20"/>
  <c r="K19" i="20" l="1"/>
  <c r="G19" i="20"/>
  <c r="H19" i="20" l="1"/>
  <c r="J19" i="20" l="1"/>
  <c r="D20" i="20" s="1"/>
  <c r="I20" i="20" l="1"/>
  <c r="K20" i="20" s="1"/>
  <c r="F20" i="20"/>
  <c r="G20" i="20" l="1"/>
  <c r="H20" i="20" s="1"/>
  <c r="J20" i="20" s="1"/>
  <c r="D21" i="20" s="1"/>
  <c r="I21" i="20" l="1"/>
  <c r="K21" i="20" s="1"/>
  <c r="F21" i="20"/>
  <c r="G21" i="20" l="1"/>
  <c r="H21" i="20" s="1"/>
  <c r="J21" i="20" s="1"/>
  <c r="D22" i="20" s="1"/>
  <c r="I22" i="20" l="1"/>
  <c r="K22" i="20" s="1"/>
  <c r="F22" i="20"/>
  <c r="G22" i="20" l="1"/>
  <c r="H22" i="20" s="1"/>
  <c r="J22" i="20" s="1"/>
  <c r="D23" i="20" s="1"/>
  <c r="I23" i="20" l="1"/>
  <c r="K23" i="20" s="1"/>
  <c r="F23" i="20"/>
  <c r="G23" i="20" l="1"/>
  <c r="H23" i="20" s="1"/>
  <c r="J23" i="20" s="1"/>
  <c r="D24" i="20" s="1"/>
  <c r="I24" i="20" l="1"/>
  <c r="K24" i="20" s="1"/>
  <c r="F24" i="20"/>
  <c r="G24" i="20" l="1"/>
  <c r="H24" i="20" s="1"/>
  <c r="J24" i="20" s="1"/>
  <c r="D25" i="20" s="1"/>
  <c r="I25" i="20" l="1"/>
  <c r="K25" i="20" s="1"/>
  <c r="F25" i="20"/>
  <c r="G25" i="20" l="1"/>
  <c r="H25" i="20" s="1"/>
  <c r="J25" i="20" s="1"/>
  <c r="D26" i="20" s="1"/>
  <c r="I26" i="20" l="1"/>
  <c r="C60" i="7" s="1"/>
  <c r="F26" i="20"/>
  <c r="G26" i="20" l="1"/>
  <c r="K26" i="20"/>
  <c r="C23" i="10"/>
  <c r="H26" i="20" l="1"/>
  <c r="D11" i="24"/>
  <c r="E12" i="24" l="1"/>
  <c r="D13" i="24" s="1"/>
  <c r="C28" i="10" s="1"/>
  <c r="C22" i="10"/>
  <c r="J26" i="20"/>
  <c r="C29" i="10" l="1"/>
  <c r="D5" i="13" s="1"/>
  <c r="E5" i="13" s="1"/>
  <c r="E17" i="28"/>
  <c r="F17" i="28" s="1"/>
  <c r="E14" i="24"/>
  <c r="D27" i="20"/>
  <c r="F27" i="20" s="1"/>
  <c r="F29" i="25"/>
  <c r="G30" i="25" s="1"/>
  <c r="C30" i="10" l="1"/>
  <c r="D4" i="10" s="1"/>
  <c r="F35" i="25"/>
  <c r="G36" i="25" s="1"/>
  <c r="I36" i="25" s="1"/>
  <c r="E5" i="28"/>
  <c r="F5" i="28" s="1"/>
  <c r="I27" i="20"/>
  <c r="K27" i="20" s="1"/>
  <c r="H31" i="25"/>
  <c r="E12" i="28"/>
  <c r="F12" i="28" s="1"/>
  <c r="H37" i="25"/>
  <c r="E14" i="28" s="1"/>
  <c r="F14" i="28" s="1"/>
  <c r="G27" i="20"/>
  <c r="F6" i="25" l="1"/>
  <c r="E7" i="28"/>
  <c r="F7" i="28" s="1"/>
  <c r="E18" i="28"/>
  <c r="F18" i="28" s="1"/>
  <c r="H39" i="25"/>
  <c r="G7" i="25"/>
  <c r="E9" i="28" s="1"/>
  <c r="F9" i="28" s="1"/>
  <c r="H27" i="20"/>
  <c r="H25" i="25" l="1"/>
  <c r="J27" i="20"/>
  <c r="D28" i="20" s="1"/>
  <c r="G21" i="28" l="1"/>
  <c r="H21" i="28" s="1"/>
  <c r="E11" i="28"/>
  <c r="F11" i="28" s="1"/>
  <c r="E6" i="28"/>
  <c r="F6" i="28" s="1"/>
  <c r="E16" i="28"/>
  <c r="F16" i="28" s="1"/>
  <c r="F28" i="20"/>
  <c r="I28" i="20"/>
  <c r="K28" i="20" l="1"/>
  <c r="G28" i="20"/>
  <c r="H28" i="20" l="1"/>
  <c r="J28" i="20" l="1"/>
  <c r="D29" i="20" s="1"/>
  <c r="I29" i="20" l="1"/>
  <c r="F29" i="20"/>
  <c r="K29" i="20" l="1"/>
  <c r="G29" i="20"/>
  <c r="H29" i="20" l="1"/>
  <c r="J29" i="20" l="1"/>
  <c r="D30" i="20" s="1"/>
  <c r="I30" i="20" l="1"/>
  <c r="F30" i="20"/>
  <c r="K30" i="20" l="1"/>
  <c r="G30" i="20"/>
  <c r="H30" i="20" l="1"/>
  <c r="J30" i="20" l="1"/>
  <c r="D31" i="20" s="1"/>
  <c r="F31" i="20" l="1"/>
  <c r="I31" i="20"/>
  <c r="K31" i="20" l="1"/>
  <c r="G31" i="20"/>
  <c r="H31" i="20" l="1"/>
  <c r="J31" i="20" l="1"/>
  <c r="D32" i="20" s="1"/>
  <c r="F32" i="20" l="1"/>
  <c r="I32" i="20"/>
  <c r="K32" i="20" s="1"/>
  <c r="G32" i="20" l="1"/>
  <c r="H32" i="20" s="1"/>
  <c r="J32" i="20" s="1"/>
  <c r="D33" i="20" s="1"/>
  <c r="I33" i="20" l="1"/>
  <c r="K33" i="20" s="1"/>
  <c r="F33" i="20"/>
  <c r="G33" i="20" l="1"/>
  <c r="H33" i="20" s="1"/>
  <c r="J33" i="20" s="1"/>
  <c r="D34" i="20" s="1"/>
  <c r="F34" i="20" l="1"/>
  <c r="I34" i="20"/>
  <c r="K34" i="20" s="1"/>
  <c r="G34" i="20" l="1"/>
  <c r="H34" i="20" s="1"/>
  <c r="J34" i="20" s="1"/>
  <c r="D35" i="20" s="1"/>
  <c r="F35" i="20" l="1"/>
  <c r="I35" i="20"/>
  <c r="K35" i="20" s="1"/>
  <c r="G35" i="20" l="1"/>
  <c r="H35" i="20" s="1"/>
  <c r="J35" i="20" s="1"/>
  <c r="D36" i="20" s="1"/>
  <c r="F36" i="20" l="1"/>
  <c r="I36" i="20"/>
  <c r="K36" i="20" s="1"/>
  <c r="G36" i="20" l="1"/>
  <c r="H36" i="20" s="1"/>
  <c r="J36" i="20" s="1"/>
  <c r="D37" i="20" s="1"/>
  <c r="I37" i="20" l="1"/>
  <c r="K37" i="20" s="1"/>
  <c r="F37" i="20"/>
  <c r="G37" i="20" l="1"/>
  <c r="H37" i="20" s="1"/>
  <c r="J37" i="20" s="1"/>
  <c r="D38" i="20" s="1"/>
  <c r="F38" i="20" l="1"/>
  <c r="I38" i="20"/>
  <c r="D60" i="7" s="1"/>
  <c r="K38" i="20" l="1"/>
  <c r="D23" i="10"/>
  <c r="G38" i="20"/>
  <c r="H38" i="20" l="1"/>
  <c r="F11" i="24"/>
  <c r="G12" i="24" l="1"/>
  <c r="F13" i="24" s="1"/>
  <c r="D28" i="10" s="1"/>
  <c r="D22" i="10"/>
  <c r="J38" i="20"/>
  <c r="D29" i="10" l="1"/>
  <c r="D6" i="13" s="1"/>
  <c r="E6" i="13" s="1"/>
  <c r="G14" i="24"/>
  <c r="G5" i="28" s="1"/>
  <c r="H5" i="28" s="1"/>
  <c r="G17" i="28"/>
  <c r="H17" i="28" s="1"/>
  <c r="D39" i="20"/>
  <c r="F39" i="20" s="1"/>
  <c r="I29" i="25"/>
  <c r="J30" i="25" s="1"/>
  <c r="D30" i="10"/>
  <c r="E4" i="10" s="1"/>
  <c r="I35" i="25" l="1"/>
  <c r="J36" i="25" s="1"/>
  <c r="I39" i="20"/>
  <c r="K31" i="25"/>
  <c r="G12" i="28"/>
  <c r="H12" i="28" s="1"/>
  <c r="I6" i="25"/>
  <c r="J7" i="25" s="1"/>
  <c r="K39" i="20"/>
  <c r="G39" i="20"/>
  <c r="K37" i="25" l="1"/>
  <c r="K39" i="25" s="1"/>
  <c r="L36" i="25"/>
  <c r="G18" i="28"/>
  <c r="H18" i="28" s="1"/>
  <c r="K25" i="25"/>
  <c r="G9" i="28"/>
  <c r="H9" i="28" s="1"/>
  <c r="H39" i="20"/>
  <c r="G14" i="28" l="1"/>
  <c r="H14" i="28" s="1"/>
  <c r="G7" i="28"/>
  <c r="H7" i="28" s="1"/>
  <c r="G11" i="28"/>
  <c r="H11" i="28" s="1"/>
  <c r="I21" i="28"/>
  <c r="J21" i="28" s="1"/>
  <c r="G6" i="28"/>
  <c r="H6" i="28" s="1"/>
  <c r="G16" i="28"/>
  <c r="H16" i="28" s="1"/>
  <c r="J39" i="20"/>
  <c r="D40" i="20" s="1"/>
  <c r="I40" i="20" l="1"/>
  <c r="F40" i="20"/>
  <c r="G40" i="20" l="1"/>
  <c r="K40" i="20"/>
  <c r="H40" i="20" l="1"/>
  <c r="J40" i="20" l="1"/>
  <c r="D41" i="20" s="1"/>
  <c r="I41" i="20" l="1"/>
  <c r="F41" i="20"/>
  <c r="G41" i="20" l="1"/>
  <c r="K41" i="20"/>
  <c r="H41" i="20" l="1"/>
  <c r="J41" i="20" l="1"/>
  <c r="D42" i="20" s="1"/>
  <c r="I42" i="20" l="1"/>
  <c r="F42" i="20"/>
  <c r="G42" i="20" l="1"/>
  <c r="K42" i="20"/>
  <c r="H42" i="20" l="1"/>
  <c r="J42" i="20" l="1"/>
  <c r="D43" i="20" s="1"/>
  <c r="I43" i="20" l="1"/>
  <c r="F43" i="20"/>
  <c r="G43" i="20" l="1"/>
  <c r="K43" i="20"/>
  <c r="H43" i="20" l="1"/>
  <c r="J43" i="20" l="1"/>
  <c r="D44" i="20" s="1"/>
  <c r="I44" i="20" l="1"/>
  <c r="K44" i="20" s="1"/>
  <c r="F44" i="20"/>
  <c r="G44" i="20" l="1"/>
  <c r="H44" i="20" s="1"/>
  <c r="J44" i="20" s="1"/>
  <c r="D45" i="20" s="1"/>
  <c r="I45" i="20" l="1"/>
  <c r="K45" i="20" s="1"/>
  <c r="F45" i="20"/>
  <c r="G45" i="20" l="1"/>
  <c r="H45" i="20" s="1"/>
  <c r="J45" i="20" s="1"/>
  <c r="D46" i="20" s="1"/>
  <c r="I46" i="20" l="1"/>
  <c r="K46" i="20" s="1"/>
  <c r="F46" i="20"/>
  <c r="G46" i="20" l="1"/>
  <c r="H46" i="20" s="1"/>
  <c r="J46" i="20" s="1"/>
  <c r="D47" i="20" s="1"/>
  <c r="I47" i="20" l="1"/>
  <c r="E60" i="7" s="1"/>
  <c r="F47" i="20"/>
  <c r="J47" i="20" l="1"/>
  <c r="I5" i="20" s="1"/>
  <c r="G47" i="20"/>
  <c r="I6" i="20"/>
  <c r="K47" i="20"/>
  <c r="M30" i="25" s="1"/>
  <c r="N31" i="25" s="1"/>
  <c r="I7" i="20"/>
  <c r="E23" i="10"/>
  <c r="H47" i="20" l="1"/>
  <c r="E22" i="10" s="1"/>
  <c r="H11" i="24"/>
  <c r="I12" i="24" l="1"/>
  <c r="H13" i="24"/>
  <c r="I17" i="28" s="1"/>
  <c r="J17" i="28" s="1"/>
  <c r="I14" i="24" l="1"/>
  <c r="E28" i="10"/>
  <c r="E29" i="10" s="1"/>
  <c r="L35" i="25" l="1"/>
  <c r="M36" i="25" s="1"/>
  <c r="I5" i="28"/>
  <c r="J5" i="28" s="1"/>
  <c r="E30" i="10"/>
  <c r="D7" i="13"/>
  <c r="E7" i="13" s="1"/>
  <c r="O36" i="25" l="1"/>
  <c r="P36" i="25" s="1"/>
  <c r="N37" i="25"/>
  <c r="C11" i="13"/>
  <c r="C12" i="13"/>
  <c r="L6" i="25"/>
  <c r="M7" i="25" s="1"/>
  <c r="F4" i="10"/>
  <c r="F30" i="10" s="1"/>
  <c r="N39" i="25" l="1"/>
  <c r="I14" i="28"/>
  <c r="J14" i="28" s="1"/>
  <c r="I7" i="28"/>
  <c r="J7" i="28" s="1"/>
  <c r="N25" i="25"/>
  <c r="I9" i="28"/>
  <c r="J9" i="28" s="1"/>
  <c r="R36" i="25"/>
  <c r="S36" i="25" s="1"/>
  <c r="T37" i="25" s="1"/>
  <c r="Q37" i="25"/>
  <c r="G4" i="10"/>
  <c r="G30" i="10" s="1"/>
  <c r="R6" i="25" s="1"/>
  <c r="S7" i="25" s="1"/>
  <c r="M9" i="28" s="1"/>
  <c r="N9" i="28" s="1"/>
  <c r="O6" i="25"/>
  <c r="P7" i="25" s="1"/>
  <c r="K9" i="28" s="1"/>
  <c r="L9" i="28" s="1"/>
  <c r="K21" i="28" l="1"/>
  <c r="L21" i="28" s="1"/>
  <c r="I6" i="28"/>
  <c r="J6" i="28" s="1"/>
  <c r="Q39" i="25"/>
  <c r="K7" i="28"/>
  <c r="L7" i="28" s="1"/>
  <c r="K14" i="28"/>
  <c r="L14" i="28" s="1"/>
  <c r="T39" i="25"/>
  <c r="M7" i="28"/>
  <c r="N7" i="28" s="1"/>
  <c r="M14" i="28"/>
  <c r="N14" i="28" s="1"/>
  <c r="T25" i="25"/>
  <c r="M6" i="28" s="1"/>
  <c r="N6" i="28" s="1"/>
  <c r="Q25" i="25"/>
  <c r="M21" i="28" l="1"/>
  <c r="N21" i="28" s="1"/>
  <c r="K6" i="28"/>
  <c r="L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A2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Costos son solo producción y gastos los demás
</t>
        </r>
      </text>
    </comment>
    <comment ref="A3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costo es en producción, el gasto todo lo demás</t>
        </r>
      </text>
    </comment>
    <comment ref="A4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 el único rubro al que no le aplicamos el % de inflación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Calva</author>
  </authors>
  <commentList>
    <comment ref="H3" authorId="0" shapeId="0" xr:uid="{9A253793-B1DC-497B-B0D6-1AC4B8E2B027}">
      <text>
        <r>
          <rPr>
            <b/>
            <sz val="9"/>
            <color indexed="81"/>
            <rFont val="Tahoma"/>
            <family val="2"/>
          </rPr>
          <t>Manuel Calva:</t>
        </r>
        <r>
          <rPr>
            <sz val="9"/>
            <color indexed="81"/>
            <rFont val="Tahoma"/>
            <family val="2"/>
          </rPr>
          <t xml:space="preserve">
Se considera un riesgo alto al tratarse de un sistema innovador en escuelas públicas, lo que puede llegar a implicar inclusive licitaciones que acarrean contratiempos.</t>
        </r>
      </text>
    </comment>
  </commentList>
</comments>
</file>

<file path=xl/sharedStrings.xml><?xml version="1.0" encoding="utf-8"?>
<sst xmlns="http://schemas.openxmlformats.org/spreadsheetml/2006/main" count="541" uniqueCount="373">
  <si>
    <t>Socio</t>
  </si>
  <si>
    <t>Valor de la acción</t>
  </si>
  <si>
    <t>No. de acciones</t>
  </si>
  <si>
    <t>Aportación inicial</t>
  </si>
  <si>
    <t>Aguiar Hernández Irving Arturo</t>
  </si>
  <si>
    <t>Calva Hernández José Manuel</t>
  </si>
  <si>
    <t>De los Santos Díaz Luis Alejandro</t>
  </si>
  <si>
    <t>Portilla Martínez José David</t>
  </si>
  <si>
    <t>Sánchez Martínez Yolanda</t>
  </si>
  <si>
    <t>Capital Social</t>
  </si>
  <si>
    <t>Inversionistas externos</t>
  </si>
  <si>
    <t>Total Capital Social</t>
  </si>
  <si>
    <t>ÁREA</t>
  </si>
  <si>
    <t>PUESTO</t>
  </si>
  <si>
    <t>SALARIO/SUELDO MENSUAL</t>
  </si>
  <si>
    <t>SALARIO/SUELDO MENSUAL MÁS PRESTACIONES</t>
  </si>
  <si>
    <t>NO. DE PERSONAS</t>
  </si>
  <si>
    <t>TOTAL MENSUAL</t>
  </si>
  <si>
    <t>TOTAL ANUAL</t>
  </si>
  <si>
    <t>PRODUCCIÓN/SERVICIO</t>
  </si>
  <si>
    <t>Encargado del proyecto</t>
  </si>
  <si>
    <t>Programador</t>
  </si>
  <si>
    <t>Desarrollador</t>
  </si>
  <si>
    <t>Intendencia (diario)</t>
  </si>
  <si>
    <t>Investigador de mercado (1 vez al año)</t>
  </si>
  <si>
    <t>Totales departamento de producción</t>
  </si>
  <si>
    <t>VENTAS</t>
  </si>
  <si>
    <t>Asesor en marketing (2 veces al año)</t>
  </si>
  <si>
    <t>Encargado de ventas</t>
  </si>
  <si>
    <t>* Revisar</t>
  </si>
  <si>
    <t>Totales departamento de ventas</t>
  </si>
  <si>
    <t>ADMINISTRACIÓN</t>
  </si>
  <si>
    <t>Encargado de recursos humanos</t>
  </si>
  <si>
    <t>Encargado de servicios materiales</t>
  </si>
  <si>
    <t>Gerente</t>
  </si>
  <si>
    <t>Asistente</t>
  </si>
  <si>
    <t>Contador (1 vez al mes)</t>
  </si>
  <si>
    <t>Abogado (1 vez al trimestre)</t>
  </si>
  <si>
    <t>Totales departamento de administración</t>
  </si>
  <si>
    <t>Total</t>
  </si>
  <si>
    <t>Modifica los conceptos y montos en función de tu negocio</t>
  </si>
  <si>
    <t>INVERSION TOTAL</t>
  </si>
  <si>
    <t>PASO 1</t>
  </si>
  <si>
    <t xml:space="preserve">RECURSOS PARA CONSTRUIR, REMODELAR Y ACONDICIONAR </t>
  </si>
  <si>
    <t>Instalaciones</t>
  </si>
  <si>
    <t>Monto</t>
  </si>
  <si>
    <t>Albañileria</t>
  </si>
  <si>
    <t>Plomería</t>
  </si>
  <si>
    <t>Pintura</t>
  </si>
  <si>
    <t>Herrero</t>
  </si>
  <si>
    <t>Electricidad</t>
  </si>
  <si>
    <t>Barra de café</t>
  </si>
  <si>
    <t>Varios</t>
  </si>
  <si>
    <t>Imprevistos</t>
  </si>
  <si>
    <t>Espacio requerido:</t>
  </si>
  <si>
    <t>mts. Cuadrados</t>
  </si>
  <si>
    <t>PASO 2</t>
  </si>
  <si>
    <t>RECURSOS PARA EQUIPAR</t>
  </si>
  <si>
    <t>Concepto</t>
  </si>
  <si>
    <t>Unidades</t>
  </si>
  <si>
    <t>Precio Unitario</t>
  </si>
  <si>
    <t>Escritorio Blanki (Asistente)</t>
  </si>
  <si>
    <t>Escritorio MIZI (Programador)</t>
  </si>
  <si>
    <t>Silla Logan</t>
  </si>
  <si>
    <t>Paquete mesa para juntas</t>
  </si>
  <si>
    <t>Laptop (Lenovo AIO 300)</t>
  </si>
  <si>
    <t>Laptop (HP 14-bs024la)</t>
  </si>
  <si>
    <t>Laptop (DELL XPS 13)</t>
  </si>
  <si>
    <t>Proyector</t>
  </si>
  <si>
    <t>No-break</t>
  </si>
  <si>
    <t>Telefono Fijo</t>
  </si>
  <si>
    <t>PASO 3</t>
  </si>
  <si>
    <t>RECURSOS PARA INICIAR</t>
  </si>
  <si>
    <t>Costo/mes</t>
  </si>
  <si>
    <t>Base</t>
  </si>
  <si>
    <t>Depósitos de renta  (1)</t>
  </si>
  <si>
    <t>Pago de renta mensual (los meses que se van a pagar antes de entrar en operación)</t>
  </si>
  <si>
    <t>Publicidad inicial</t>
  </si>
  <si>
    <t>Licencias y permisos (costos de acuerdo con SEDECO)</t>
  </si>
  <si>
    <t>Acta constitutiva</t>
  </si>
  <si>
    <t>Contratación Agua</t>
  </si>
  <si>
    <t>Pago Agua</t>
  </si>
  <si>
    <t>Contratación Líneas telefónicas</t>
  </si>
  <si>
    <t>Pago Líneas telefónicas</t>
  </si>
  <si>
    <t>Contratación Electricidad</t>
  </si>
  <si>
    <t>Sueldos para el primer mes de operación y si es necesario para algunos meses previos</t>
  </si>
  <si>
    <t>Papelería</t>
  </si>
  <si>
    <t>Pago a capital (en caso de solicitar financiamiento)</t>
  </si>
  <si>
    <t>Pago de intereses (en caso de solicitar financiamiento)</t>
  </si>
  <si>
    <t>Paso 4</t>
  </si>
  <si>
    <t>INVERSIÓN TOTAL</t>
  </si>
  <si>
    <t>Recursos para remodelar</t>
  </si>
  <si>
    <t>Recursos para equipar</t>
  </si>
  <si>
    <t>Recursos para iniciar (sin pagos de financiamiento)</t>
  </si>
  <si>
    <t>Total de inversión</t>
  </si>
  <si>
    <t xml:space="preserve">Disponible / capital social </t>
  </si>
  <si>
    <t>Financiamiento requerido</t>
  </si>
  <si>
    <t>Fecha de solicitud del préstamo</t>
  </si>
  <si>
    <t>Financiamiento</t>
  </si>
  <si>
    <t>Institución en la que se solicita el préstamo</t>
  </si>
  <si>
    <t>NAFIN</t>
  </si>
  <si>
    <t>Periodos</t>
  </si>
  <si>
    <t>Tasa de interés mensual</t>
  </si>
  <si>
    <t>Valor de la anualidad</t>
  </si>
  <si>
    <t>* Tabla de Amortización *</t>
  </si>
  <si>
    <t>PROGRAMACIÓN DE LA AMORTIZACIÓN DEL PRÉSTAMO</t>
  </si>
  <si>
    <t>ESCRIBA LOS VALORES</t>
  </si>
  <si>
    <t>RESUMEN DEL PRÉSTAMO</t>
  </si>
  <si>
    <t>Importe del préstamo</t>
  </si>
  <si>
    <t>Pago programado</t>
  </si>
  <si>
    <t>Tasa de interés anual</t>
  </si>
  <si>
    <t>Número de pagos programados</t>
  </si>
  <si>
    <t>Periodo del préstamo en años</t>
  </si>
  <si>
    <t>Número real de pagos</t>
  </si>
  <si>
    <t>Número de pagos por año</t>
  </si>
  <si>
    <t>Importe total de pagos anticipados</t>
  </si>
  <si>
    <t>Fecha de inicio del préstamo</t>
  </si>
  <si>
    <t>Importe total de intereses</t>
  </si>
  <si>
    <t>Pagos extra opcionales</t>
  </si>
  <si>
    <t>NOMBRE DE LA ENTIDAD DE CRÉDITO</t>
  </si>
  <si>
    <t>Nacional Financiera Banca de Desarrollo (NAFIN)</t>
  </si>
  <si>
    <t>Nº. DE PAGO</t>
  </si>
  <si>
    <t>FECHA DE PAGO</t>
  </si>
  <si>
    <t>SALDO INICIAL</t>
  </si>
  <si>
    <t>PAGO PROGRAMADO</t>
  </si>
  <si>
    <t>PAGO EXTRA</t>
  </si>
  <si>
    <t>IMPORTE TOTAL DEL PAGO</t>
  </si>
  <si>
    <t>PRINCIPAL</t>
  </si>
  <si>
    <t>INTERÉS</t>
  </si>
  <si>
    <t>SALDO FINAL</t>
  </si>
  <si>
    <t>INTERÉS ACUMULADO</t>
  </si>
  <si>
    <t>ESTIMADO DE DEPRECIACIÓN DEL ACTIVO FIJO (INMUEBLES, PLANTA Y EQUIPO)</t>
  </si>
  <si>
    <t>Los porcentajes de depreciación están en el artículo 34 de la Ley del ISR</t>
  </si>
  <si>
    <t>UBICACIÓN: DEPTO/ÁREA</t>
  </si>
  <si>
    <t>Inversión (activo fijo)</t>
  </si>
  <si>
    <t>% de dep. anual máximo ley ISR</t>
  </si>
  <si>
    <t>Vida útil (años)</t>
  </si>
  <si>
    <t>Costo de adquisición</t>
  </si>
  <si>
    <t>Valor residual estimado</t>
  </si>
  <si>
    <t>depreciación anual por unidad por el método de linea recta</t>
  </si>
  <si>
    <t>Número de unidades</t>
  </si>
  <si>
    <t>Monto total de dep. anual</t>
  </si>
  <si>
    <t>Monto de la depreciación mensual</t>
  </si>
  <si>
    <t>PRODUCCIÓN/ SERVICIO</t>
  </si>
  <si>
    <t>Mobiliario y equipo de oficina</t>
  </si>
  <si>
    <t>Escritorio FORZZA M602</t>
  </si>
  <si>
    <t>Silla  H-4116BR</t>
  </si>
  <si>
    <t>Escritorio MIZI</t>
  </si>
  <si>
    <t>No-Break Koblenz 7016</t>
  </si>
  <si>
    <t>Mesa de dibujo MIZI</t>
  </si>
  <si>
    <t>Equipo de cómputo</t>
  </si>
  <si>
    <t>Computadora Lenovo AIO 300</t>
  </si>
  <si>
    <t>Computadora DELL XPS 13</t>
  </si>
  <si>
    <t>TOTAL DE DEPRECIACIÓN ANUAL A CARGO DEL ÁREA DE PRODUCCIÓN O DE PRESTACIÓN DE SERVICIOS</t>
  </si>
  <si>
    <t>Escritorio Blanki</t>
  </si>
  <si>
    <t>Computadora HP 14-bs024la</t>
  </si>
  <si>
    <t>TOTAL DE DEPRECIACIÓN ANUAL A CARGO DEL ÁREA DE DE VENTAS</t>
  </si>
  <si>
    <t>Silla ejecutiva H-4116BR</t>
  </si>
  <si>
    <t>Teléfono fijo Panasonic TGB112</t>
  </si>
  <si>
    <t>Paquete mesa para juntas ENZZO 21814</t>
  </si>
  <si>
    <t>Proyector Epson 3200</t>
  </si>
  <si>
    <t>Archivero</t>
  </si>
  <si>
    <t>TOTAL DE DEPRECIACIÓN ANUAL A CARGO DEL ÁREA DE ADMINISTRACIÓN</t>
  </si>
  <si>
    <t>NOTA</t>
  </si>
  <si>
    <t>Para el cálculo de la depreciación utilizar el método de linea recta</t>
  </si>
  <si>
    <t>PLAN DE PRODUCCIÓN (en número de unidades)</t>
  </si>
  <si>
    <t>CONCEPTO</t>
  </si>
  <si>
    <t xml:space="preserve">PRODUCCIÓN ANUAL       (en número de unidades) </t>
  </si>
  <si>
    <t xml:space="preserve">PRODUCCIÓN ANUAL           (en número de unidades) </t>
  </si>
  <si>
    <t xml:space="preserve">PRODUCCIÓN ANUAL          (en número de unidades) </t>
  </si>
  <si>
    <t>Producto 1</t>
  </si>
  <si>
    <t>Estadísticas de matriculación</t>
  </si>
  <si>
    <t>http://www.ipn.mx/ofertaeducativa/Paginas/Estadisticas.aspx</t>
  </si>
  <si>
    <t>Total alumnos IPN</t>
  </si>
  <si>
    <t>Promedio de alumnos por salón</t>
  </si>
  <si>
    <t>Promedio de salones requeridos</t>
  </si>
  <si>
    <t>Total de escuelas</t>
  </si>
  <si>
    <t>Promedio de salones por escuela</t>
  </si>
  <si>
    <t>Promedio de laboratorios por escuela</t>
  </si>
  <si>
    <t>Total de espacios por escuela</t>
  </si>
  <si>
    <t>Unidades promedio por salón</t>
  </si>
  <si>
    <t>Costo por unidad</t>
  </si>
  <si>
    <t>Costo promedio por salón</t>
  </si>
  <si>
    <t>Costo promedio por escuela</t>
  </si>
  <si>
    <t>Tablet</t>
  </si>
  <si>
    <t>Cable red</t>
  </si>
  <si>
    <t>Cable de electricidad</t>
  </si>
  <si>
    <t>Estructura de metal</t>
  </si>
  <si>
    <t>Carcaza de plástico</t>
  </si>
  <si>
    <t>Lector QR</t>
  </si>
  <si>
    <t>Mano de obra</t>
  </si>
  <si>
    <t>Servidor</t>
  </si>
  <si>
    <t>PROMEDIO GENERAL DE INFLACIÓN PARA LOS PRÓXIMOS 5 AÑOS=</t>
  </si>
  <si>
    <t>ESTIMACIÓN DEL COSTO VARIBALE UNITARIO</t>
  </si>
  <si>
    <t>ÁREA/DEPTO.</t>
  </si>
  <si>
    <t>PRODUCCIÓN</t>
  </si>
  <si>
    <t>Materiales de instalación</t>
  </si>
  <si>
    <t>Mano de obra a destajo (por unidad producida)</t>
  </si>
  <si>
    <t>COSTO VARIABLE UNITARIO (C.V.U)</t>
  </si>
  <si>
    <t>UNIDADES A PRODUCIR POR AÑO</t>
  </si>
  <si>
    <t>COSTO VARIABLE TOTAL (C.V.T)</t>
  </si>
  <si>
    <t>ESTIMACIÓN DE GASTOS VARIABLES Y COSTOS FIJOS POR ÁREA</t>
  </si>
  <si>
    <t>COSTO DE PRODUCCIÓN</t>
  </si>
  <si>
    <t>GASTOS DE VENTA</t>
  </si>
  <si>
    <t>GASTOS DE ADMÓN</t>
  </si>
  <si>
    <t>TOTAL MENSUAL TODOS LAS ÁREAS</t>
  </si>
  <si>
    <t>TOTAL ANUAL TODAS LAS ÁREAS</t>
  </si>
  <si>
    <t>MENSUAL</t>
  </si>
  <si>
    <t>ANUAL</t>
  </si>
  <si>
    <t>Costos y gastos variables totales</t>
  </si>
  <si>
    <t>Cargos indirectos (luz, gas)</t>
  </si>
  <si>
    <t>Costos y gastos fijos</t>
  </si>
  <si>
    <t>Sueldos/remuneraciones</t>
  </si>
  <si>
    <t>Renta</t>
  </si>
  <si>
    <t>Luzy agua</t>
  </si>
  <si>
    <t>Servicio telefónico</t>
  </si>
  <si>
    <t>Material de aseo y limpieza</t>
  </si>
  <si>
    <t>Depreciación del activo fijo</t>
  </si>
  <si>
    <t>Licencia</t>
  </si>
  <si>
    <t>Host Web Page</t>
  </si>
  <si>
    <t>COSTO TOTAL POR ÁREA (CVT + CF)</t>
  </si>
  <si>
    <t>ESTIMACIÓN DEL PRECIO DE VENTA POR UNIDAD AÑO 2019</t>
  </si>
  <si>
    <t>ESTIMACIÓN DEL PRECIO DE VENTA POR UNIDAD AÑO 2020</t>
  </si>
  <si>
    <t>ESTIMACIÓN DEL PRECIO DE VENTA POR UNIDAD AÑO 2021</t>
  </si>
  <si>
    <t>ESTIMACIÓN DEL PRECIO DE VENTA POR UNIDAD AÑO 2022</t>
  </si>
  <si>
    <t>ESTIMACIÓN DEL PRECIO DE VENTA POR UNIDAD AÑO 2023</t>
  </si>
  <si>
    <t xml:space="preserve">COSTO TOTAL </t>
  </si>
  <si>
    <t>COSTO TOTAL</t>
  </si>
  <si>
    <t>COSTO TOTAL DE CADA SISTEMA</t>
  </si>
  <si>
    <t>UTILIDAD SOBRE EL COSTO TOTAL</t>
  </si>
  <si>
    <t>PRECIO DE VENTA UNITARIO por costeo</t>
  </si>
  <si>
    <t>PRESUPUESTO DE GASTOS FINANCIEROS</t>
  </si>
  <si>
    <t>Pago de intereses</t>
  </si>
  <si>
    <t>Producto</t>
  </si>
  <si>
    <t>Cantidad</t>
  </si>
  <si>
    <t>Precio</t>
  </si>
  <si>
    <t>Ventas / Ingresos</t>
  </si>
  <si>
    <t>Sistema Acceso</t>
  </si>
  <si>
    <t>DATOS POR AÑO</t>
  </si>
  <si>
    <t>Precio de venta</t>
  </si>
  <si>
    <t>Costos fijos</t>
  </si>
  <si>
    <t>Costos Variables por U</t>
  </si>
  <si>
    <t>Ingreso</t>
  </si>
  <si>
    <t>-</t>
  </si>
  <si>
    <t>Costos variables</t>
  </si>
  <si>
    <t>=</t>
  </si>
  <si>
    <t>Margen de contribución</t>
  </si>
  <si>
    <t>Utilidad</t>
  </si>
  <si>
    <t>*</t>
  </si>
  <si>
    <t>Costos Totales</t>
  </si>
  <si>
    <t>Punto de Equilibro Unidades</t>
  </si>
  <si>
    <t>Punto de Equilibro Ingreso</t>
  </si>
  <si>
    <t>Grado de Apalancamiento Operativo</t>
  </si>
  <si>
    <t>Q1:</t>
  </si>
  <si>
    <t>Q2:</t>
  </si>
  <si>
    <t>U1:</t>
  </si>
  <si>
    <t>U2:</t>
  </si>
  <si>
    <t>Centro de Tecnología y Seguridad S. de R. L. de C.V.</t>
  </si>
  <si>
    <t>PRESUPUESTO DE ESTADO BÁSICO DE FLUJO DE EFECTIVO</t>
  </si>
  <si>
    <t>Saldo Inicial</t>
  </si>
  <si>
    <t>INGRESOS</t>
  </si>
  <si>
    <t>Ventas</t>
  </si>
  <si>
    <t>Préstamo</t>
  </si>
  <si>
    <t>TOTAL INGRESOS</t>
  </si>
  <si>
    <t>EGRESOS</t>
  </si>
  <si>
    <t>Sueldos</t>
  </si>
  <si>
    <t>Pago a capital</t>
  </si>
  <si>
    <t>Pago a intereses</t>
  </si>
  <si>
    <t>Costos de producción</t>
  </si>
  <si>
    <t>Gastos de venta</t>
  </si>
  <si>
    <t>Gastos de administración</t>
  </si>
  <si>
    <t>TOTAL EGRESOS</t>
  </si>
  <si>
    <t>Saldo Final (Flujo de Efectivo)</t>
  </si>
  <si>
    <t>ESTADO DE RESULTADOS</t>
  </si>
  <si>
    <t>Del 01 de octubre al 31 de diciembre del 2018</t>
  </si>
  <si>
    <t>Del 01 de enero al 31 de diciembre del 2019</t>
  </si>
  <si>
    <t>Del 01 de enero al 31 de diciembre del 2020</t>
  </si>
  <si>
    <t>Del 01 de enero al 31 de diciembre del 2021</t>
  </si>
  <si>
    <t>Del 01 de enero al 31 de diciembre del 2022</t>
  </si>
  <si>
    <t>Del 01 de enero al 31 de diciembre del 2023</t>
  </si>
  <si>
    <t>Ventas netas</t>
  </si>
  <si>
    <t>Utilidad/Pérdida bruta</t>
  </si>
  <si>
    <t>Utilidad/Pérdida de operación</t>
  </si>
  <si>
    <t>RIF</t>
  </si>
  <si>
    <t>Utilidad/Pérdida del ejercicio antes de impuestos</t>
  </si>
  <si>
    <t>Impuesto sobre la renta</t>
  </si>
  <si>
    <t>Utilidad/Pérdida neta del ejercicio</t>
  </si>
  <si>
    <t>Propaganda y publicidad</t>
  </si>
  <si>
    <t>Mobiliario y equipo</t>
  </si>
  <si>
    <t>BALANCE GENERAL</t>
  </si>
  <si>
    <t>AL 31 DE DICIEMBRE DEL AÑO 2018</t>
  </si>
  <si>
    <t>AL 31 DE DICIEMBRE DEL AÑO 2019</t>
  </si>
  <si>
    <t>AL 31 DE DICIEMBRE DEL AÑO 2020</t>
  </si>
  <si>
    <t>AL 31 DE DICIEMBRE DEL AÑO 2021</t>
  </si>
  <si>
    <t>AL 31 DE DICIEMBRE DEL AÑO 2022</t>
  </si>
  <si>
    <t>AL 31 DE DICIEMBRE DEL AÑO 2023</t>
  </si>
  <si>
    <t>ACTIVO</t>
  </si>
  <si>
    <t>CIRCULANTE</t>
  </si>
  <si>
    <t>TOTAL Capital Circulante</t>
  </si>
  <si>
    <t>FIJO</t>
  </si>
  <si>
    <t>Depreciación mobiliario y equipo</t>
  </si>
  <si>
    <t>Depreciación equipo de cómputo</t>
  </si>
  <si>
    <t>TOTAL Capital Fijo</t>
  </si>
  <si>
    <t>DIFERIDO</t>
  </si>
  <si>
    <t>Gastos de instalación</t>
  </si>
  <si>
    <t>Gastos de organización</t>
  </si>
  <si>
    <t>Rentas pagadas por anticipados</t>
  </si>
  <si>
    <t>TOTAL Capital Diferido</t>
  </si>
  <si>
    <t>TOTAL ACTIVO</t>
  </si>
  <si>
    <t>PASIVO</t>
  </si>
  <si>
    <t>NO CIRCULANTE</t>
  </si>
  <si>
    <t>TOTAL PASIVO</t>
  </si>
  <si>
    <t>CAPITAL</t>
  </si>
  <si>
    <t>TOTAL CAPITAL</t>
  </si>
  <si>
    <t>TOTAL PASIVO + CAPITAL</t>
  </si>
  <si>
    <t>Ingresos</t>
  </si>
  <si>
    <t>Egresos</t>
  </si>
  <si>
    <t>FNE</t>
  </si>
  <si>
    <t>Utilidad/Pérdida Acumulada</t>
  </si>
  <si>
    <t>gastos de instalación</t>
  </si>
  <si>
    <t>Mob y equipo de ofocina</t>
  </si>
  <si>
    <t>Depósito de renta</t>
  </si>
  <si>
    <t>Gastos de admón</t>
  </si>
  <si>
    <t>Gasos de organización</t>
  </si>
  <si>
    <t>Publicidad Inicial</t>
  </si>
  <si>
    <t>Depósito de Renta</t>
  </si>
  <si>
    <t>Licencias y Permisos</t>
  </si>
  <si>
    <t>Acta Constitutiva</t>
  </si>
  <si>
    <t>Contratación Linea Telfónica</t>
  </si>
  <si>
    <t>Pago Linea  Telefónica</t>
  </si>
  <si>
    <t>Papeleria</t>
  </si>
  <si>
    <t>caja</t>
  </si>
  <si>
    <t>Caja</t>
  </si>
  <si>
    <t>Papelería y útiles de escritorio</t>
  </si>
  <si>
    <t>Costo de desarrollo</t>
  </si>
  <si>
    <t>Gastos de servicio</t>
  </si>
  <si>
    <t>TOTAL Pasivo no circulante</t>
  </si>
  <si>
    <t>Amortización acumulada de gastos de instalación</t>
  </si>
  <si>
    <t>Amortización acumulada de gastos de organización</t>
  </si>
  <si>
    <t>Gastos Financieros</t>
  </si>
  <si>
    <t>Inversión Inicial</t>
  </si>
  <si>
    <t>Periodo</t>
  </si>
  <si>
    <t xml:space="preserve">TIR = </t>
  </si>
  <si>
    <t xml:space="preserve">VNA = </t>
  </si>
  <si>
    <t xml:space="preserve">TMAR = </t>
  </si>
  <si>
    <t>Tasa de Inflación =</t>
  </si>
  <si>
    <t xml:space="preserve">Riesgo de la Inversión = </t>
  </si>
  <si>
    <t>Razones Financieras (Fórmulas)</t>
  </si>
  <si>
    <t>Resultado</t>
  </si>
  <si>
    <t>Razón Estándar</t>
  </si>
  <si>
    <t>Nombre</t>
  </si>
  <si>
    <t>Fórmula</t>
  </si>
  <si>
    <t>Benchmarking</t>
  </si>
  <si>
    <t>INDICES DE RENTABILIDAD</t>
  </si>
  <si>
    <t>Margen de utilidad</t>
  </si>
  <si>
    <t>Retorno sobre activos</t>
  </si>
  <si>
    <t>Retorno sobre patrimonio</t>
  </si>
  <si>
    <t>ÍNDICES DE LIQUIDEZ</t>
  </si>
  <si>
    <t>Capital de trabajo</t>
  </si>
  <si>
    <t>ÍNDICES DE ESTRUCTURA</t>
  </si>
  <si>
    <t>Solvencia</t>
  </si>
  <si>
    <t>Seguridad a largo plazo</t>
  </si>
  <si>
    <t>Inmovilización de capital social</t>
  </si>
  <si>
    <t>Inmovilización de capital contable</t>
  </si>
  <si>
    <t>ÍNDICES DE ENDEUDAMIENTO</t>
  </si>
  <si>
    <t>Apalancamiento</t>
  </si>
  <si>
    <t>Cobertura de los cargos fijos</t>
  </si>
  <si>
    <t>Razón de estabilidad financiera</t>
  </si>
  <si>
    <t>ÍNDICES DE ROTACIÓN Y ADMINISTRACIÓN DE ACTIVOS</t>
  </si>
  <si>
    <t>Rotación de los activos fijos</t>
  </si>
  <si>
    <t>Rotación de los activos totales</t>
  </si>
  <si>
    <t>TOTAL</t>
  </si>
  <si>
    <t>Costo de un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</si>
</sst>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0.000000%"/>
    <numFmt numFmtId="168" formatCode="#,##0.00\ &quot;€&quot;"/>
    <numFmt numFmtId="169" formatCode="#,##0.00\ &quot;$&quot;"/>
    <numFmt numFmtId="170" formatCode="#,##0.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1F497D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 tint="0.24994659260841701"/>
      <name val="Calibri Light"/>
      <family val="2"/>
      <scheme val="major"/>
    </font>
    <font>
      <b/>
      <sz val="16"/>
      <color theme="1" tint="0.2499465926084170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1"/>
      <color theme="1"/>
      <name val="Arial Black"/>
      <family val="2"/>
    </font>
    <font>
      <i/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b/>
      <i/>
      <sz val="6"/>
      <color theme="1"/>
      <name val="Arial"/>
      <family val="2"/>
    </font>
    <font>
      <sz val="6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A6CAF0"/>
        <bgColor rgb="FFA6CAF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A9A8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DD7EE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indexed="64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3">
    <xf numFmtId="0" fontId="0" fillId="0" borderId="0"/>
    <xf numFmtId="43" fontId="3" fillId="0" borderId="0" applyFont="0" applyFill="0" applyBorder="0" applyAlignment="0" applyProtection="0"/>
    <xf numFmtId="0" fontId="13" fillId="0" borderId="0"/>
    <xf numFmtId="0" fontId="20" fillId="0" borderId="0" applyNumberFormat="0" applyFill="0" applyBorder="0" applyAlignment="0" applyProtection="0"/>
    <xf numFmtId="0" fontId="21" fillId="0" borderId="0"/>
    <xf numFmtId="168" fontId="12" fillId="26" borderId="0" applyFont="0" applyFill="0" applyBorder="0" applyProtection="0">
      <alignment horizontal="right" indent="2"/>
    </xf>
    <xf numFmtId="14" fontId="12" fillId="0" borderId="0" applyFont="0" applyFill="0" applyBorder="0" applyAlignment="0"/>
    <xf numFmtId="1" fontId="12" fillId="17" borderId="0" applyFont="0" applyFill="0" applyBorder="0" applyAlignment="0"/>
    <xf numFmtId="0" fontId="10" fillId="27" borderId="0" applyBorder="0" applyProtection="0">
      <alignment horizontal="right" vertical="center" wrapText="1" indent="2"/>
    </xf>
    <xf numFmtId="0" fontId="10" fillId="27" borderId="0" applyNumberFormat="0" applyBorder="0" applyProtection="0">
      <alignment vertical="center" wrapText="1"/>
    </xf>
    <xf numFmtId="0" fontId="12" fillId="26" borderId="74" applyNumberFormat="0" applyProtection="0">
      <alignment horizontal="right"/>
    </xf>
    <xf numFmtId="0" fontId="11" fillId="0" borderId="75" applyNumberFormat="0" applyFill="0" applyProtection="0">
      <alignment vertical="center"/>
    </xf>
    <xf numFmtId="168" fontId="12" fillId="26" borderId="0" applyFont="0" applyFill="0" applyBorder="0" applyAlignment="0" applyProtection="0"/>
    <xf numFmtId="0" fontId="22" fillId="0" borderId="74" applyNumberFormat="0" applyProtection="0">
      <alignment vertical="center"/>
    </xf>
    <xf numFmtId="168" fontId="12" fillId="17" borderId="0" applyFont="0" applyAlignment="0">
      <alignment horizontal="center" vertical="center" wrapText="1"/>
    </xf>
    <xf numFmtId="10" fontId="21" fillId="0" borderId="0" applyFont="0" applyFill="0" applyBorder="0" applyAlignment="0" applyProtection="0"/>
    <xf numFmtId="0" fontId="23" fillId="0" borderId="77" applyNumberFormat="0" applyFill="0" applyProtection="0">
      <alignment vertical="center"/>
    </xf>
    <xf numFmtId="0" fontId="24" fillId="0" borderId="78" applyNumberFormat="0" applyFill="0" applyProtection="0">
      <alignment vertical="center"/>
    </xf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16" borderId="121" applyNumberFormat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25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3" fontId="0" fillId="0" borderId="0" xfId="0" applyNumberFormat="1" applyAlignment="1">
      <alignment horizontal="right"/>
    </xf>
    <xf numFmtId="43" fontId="5" fillId="0" borderId="18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0" fontId="0" fillId="0" borderId="10" xfId="0" applyBorder="1"/>
    <xf numFmtId="43" fontId="0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5" fillId="0" borderId="27" xfId="0" applyFont="1" applyBorder="1"/>
    <xf numFmtId="0" fontId="0" fillId="0" borderId="27" xfId="0" applyBorder="1"/>
    <xf numFmtId="0" fontId="5" fillId="0" borderId="27" xfId="0" applyFont="1" applyBorder="1" applyAlignment="1">
      <alignment horizontal="left" wrapText="1"/>
    </xf>
    <xf numFmtId="0" fontId="0" fillId="0" borderId="28" xfId="0" applyBorder="1"/>
    <xf numFmtId="43" fontId="8" fillId="10" borderId="5" xfId="1" applyFont="1" applyFill="1" applyBorder="1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3" xfId="0" applyBorder="1"/>
    <xf numFmtId="0" fontId="1" fillId="0" borderId="29" xfId="0" applyFont="1" applyBorder="1"/>
    <xf numFmtId="0" fontId="1" fillId="0" borderId="29" xfId="0" applyFont="1" applyBorder="1" applyAlignment="1">
      <alignment horizontal="left" wrapText="1"/>
    </xf>
    <xf numFmtId="0" fontId="1" fillId="0" borderId="29" xfId="0" applyFont="1" applyBorder="1" applyAlignment="1">
      <alignment horizontal="left"/>
    </xf>
    <xf numFmtId="43" fontId="0" fillId="0" borderId="1" xfId="0" applyNumberFormat="1" applyBorder="1" applyAlignment="1">
      <alignment horizontal="center"/>
    </xf>
    <xf numFmtId="43" fontId="3" fillId="0" borderId="1" xfId="1" applyFont="1" applyBorder="1" applyAlignment="1">
      <alignment horizontal="right"/>
    </xf>
    <xf numFmtId="0" fontId="0" fillId="0" borderId="2" xfId="0" applyBorder="1" applyAlignment="1">
      <alignment horizontal="right"/>
    </xf>
    <xf numFmtId="43" fontId="0" fillId="0" borderId="2" xfId="0" applyNumberFormat="1" applyBorder="1"/>
    <xf numFmtId="0" fontId="0" fillId="0" borderId="12" xfId="0" applyBorder="1"/>
    <xf numFmtId="0" fontId="0" fillId="6" borderId="15" xfId="0" applyFill="1" applyBorder="1"/>
    <xf numFmtId="0" fontId="0" fillId="0" borderId="13" xfId="0" applyBorder="1" applyAlignment="1">
      <alignment horizontal="right"/>
    </xf>
    <xf numFmtId="0" fontId="0" fillId="6" borderId="13" xfId="0" applyFill="1" applyBorder="1"/>
    <xf numFmtId="43" fontId="0" fillId="0" borderId="3" xfId="0" applyNumberFormat="1" applyBorder="1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vertical="center" wrapText="1"/>
    </xf>
    <xf numFmtId="43" fontId="0" fillId="0" borderId="1" xfId="1" applyFont="1" applyBorder="1"/>
    <xf numFmtId="0" fontId="1" fillId="0" borderId="17" xfId="0" applyFont="1" applyBorder="1" applyAlignment="1">
      <alignment horizontal="center"/>
    </xf>
    <xf numFmtId="0" fontId="0" fillId="13" borderId="0" xfId="0" applyFill="1"/>
    <xf numFmtId="43" fontId="1" fillId="0" borderId="1" xfId="1" applyFont="1" applyBorder="1" applyAlignment="1">
      <alignment horizontal="right"/>
    </xf>
    <xf numFmtId="0" fontId="0" fillId="0" borderId="0" xfId="0" applyBorder="1"/>
    <xf numFmtId="43" fontId="0" fillId="0" borderId="4" xfId="0" applyNumberFormat="1" applyBorder="1"/>
    <xf numFmtId="0" fontId="8" fillId="10" borderId="12" xfId="0" applyFont="1" applyFill="1" applyBorder="1"/>
    <xf numFmtId="0" fontId="8" fillId="8" borderId="10" xfId="0" applyFont="1" applyFill="1" applyBorder="1"/>
    <xf numFmtId="0" fontId="9" fillId="14" borderId="10" xfId="0" applyFont="1" applyFill="1" applyBorder="1"/>
    <xf numFmtId="43" fontId="8" fillId="10" borderId="34" xfId="1" applyFont="1" applyFill="1" applyBorder="1" applyAlignment="1">
      <alignment horizontal="right"/>
    </xf>
    <xf numFmtId="43" fontId="8" fillId="10" borderId="35" xfId="1" applyFont="1" applyFill="1" applyBorder="1" applyAlignment="1">
      <alignment horizontal="right"/>
    </xf>
    <xf numFmtId="43" fontId="8" fillId="10" borderId="36" xfId="1" applyFont="1" applyFill="1" applyBorder="1" applyAlignment="1">
      <alignment horizontal="right"/>
    </xf>
    <xf numFmtId="43" fontId="8" fillId="10" borderId="37" xfId="1" applyFont="1" applyFill="1" applyBorder="1" applyAlignment="1">
      <alignment horizontal="right"/>
    </xf>
    <xf numFmtId="43" fontId="1" fillId="0" borderId="32" xfId="1" applyFont="1" applyBorder="1" applyAlignment="1">
      <alignment horizontal="right"/>
    </xf>
    <xf numFmtId="43" fontId="1" fillId="0" borderId="31" xfId="0" applyNumberFormat="1" applyFont="1" applyBorder="1" applyAlignment="1">
      <alignment horizontal="center"/>
    </xf>
    <xf numFmtId="43" fontId="0" fillId="0" borderId="32" xfId="1" applyFont="1" applyBorder="1" applyAlignment="1">
      <alignment horizontal="right"/>
    </xf>
    <xf numFmtId="43" fontId="0" fillId="0" borderId="31" xfId="0" applyNumberFormat="1" applyBorder="1" applyAlignment="1">
      <alignment horizontal="center"/>
    </xf>
    <xf numFmtId="43" fontId="8" fillId="10" borderId="38" xfId="1" applyFont="1" applyFill="1" applyBorder="1" applyAlignment="1">
      <alignment horizontal="right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43" fontId="3" fillId="0" borderId="10" xfId="1" applyFont="1" applyBorder="1" applyAlignment="1">
      <alignment horizontal="right"/>
    </xf>
    <xf numFmtId="43" fontId="4" fillId="14" borderId="45" xfId="0" applyNumberFormat="1" applyFont="1" applyFill="1" applyBorder="1" applyAlignment="1">
      <alignment horizontal="right"/>
    </xf>
    <xf numFmtId="43" fontId="4" fillId="14" borderId="46" xfId="0" applyNumberFormat="1" applyFont="1" applyFill="1" applyBorder="1" applyAlignment="1">
      <alignment horizontal="right"/>
    </xf>
    <xf numFmtId="43" fontId="4" fillId="14" borderId="46" xfId="0" applyNumberFormat="1" applyFont="1" applyFill="1" applyBorder="1" applyAlignment="1">
      <alignment horizontal="center"/>
    </xf>
    <xf numFmtId="43" fontId="4" fillId="14" borderId="47" xfId="0" applyNumberFormat="1" applyFont="1" applyFill="1" applyBorder="1" applyAlignment="1">
      <alignment horizontal="center"/>
    </xf>
    <xf numFmtId="43" fontId="4" fillId="14" borderId="47" xfId="0" applyNumberFormat="1" applyFont="1" applyFill="1" applyBorder="1" applyAlignment="1">
      <alignment horizontal="right"/>
    </xf>
    <xf numFmtId="10" fontId="0" fillId="0" borderId="7" xfId="0" applyNumberFormat="1" applyBorder="1"/>
    <xf numFmtId="0" fontId="0" fillId="0" borderId="7" xfId="0" applyNumberFormat="1" applyBorder="1"/>
    <xf numFmtId="0" fontId="0" fillId="0" borderId="4" xfId="0" applyBorder="1" applyAlignment="1">
      <alignment horizontal="left"/>
    </xf>
    <xf numFmtId="0" fontId="0" fillId="0" borderId="4" xfId="0" applyFill="1" applyBorder="1"/>
    <xf numFmtId="165" fontId="0" fillId="0" borderId="1" xfId="0" applyNumberFormat="1" applyBorder="1"/>
    <xf numFmtId="165" fontId="0" fillId="14" borderId="1" xfId="0" applyNumberFormat="1" applyFill="1" applyBorder="1"/>
    <xf numFmtId="165" fontId="0" fillId="0" borderId="0" xfId="0" applyNumberFormat="1"/>
    <xf numFmtId="0" fontId="0" fillId="0" borderId="0" xfId="0" applyNumberFormat="1"/>
    <xf numFmtId="0" fontId="13" fillId="0" borderId="0" xfId="2" applyFont="1" applyAlignment="1"/>
    <xf numFmtId="0" fontId="14" fillId="20" borderId="0" xfId="2" applyFont="1" applyFill="1" applyBorder="1"/>
    <xf numFmtId="6" fontId="14" fillId="21" borderId="57" xfId="2" applyNumberFormat="1" applyFont="1" applyFill="1" applyBorder="1" applyAlignment="1">
      <alignment horizontal="center" vertical="center" wrapText="1"/>
    </xf>
    <xf numFmtId="166" fontId="15" fillId="21" borderId="57" xfId="2" applyNumberFormat="1" applyFont="1" applyFill="1" applyBorder="1" applyAlignment="1">
      <alignment horizontal="center" vertical="center"/>
    </xf>
    <xf numFmtId="6" fontId="14" fillId="21" borderId="60" xfId="2" applyNumberFormat="1" applyFont="1" applyFill="1" applyBorder="1" applyAlignment="1">
      <alignment horizontal="center" vertical="center" wrapText="1"/>
    </xf>
    <xf numFmtId="0" fontId="14" fillId="21" borderId="62" xfId="2" applyFont="1" applyFill="1" applyBorder="1"/>
    <xf numFmtId="0" fontId="14" fillId="21" borderId="0" xfId="2" applyFont="1" applyFill="1" applyBorder="1"/>
    <xf numFmtId="0" fontId="14" fillId="21" borderId="63" xfId="2" applyFont="1" applyFill="1" applyBorder="1"/>
    <xf numFmtId="166" fontId="15" fillId="21" borderId="58" xfId="2" applyNumberFormat="1" applyFont="1" applyFill="1" applyBorder="1" applyAlignment="1">
      <alignment horizontal="center" vertical="center"/>
    </xf>
    <xf numFmtId="0" fontId="14" fillId="22" borderId="0" xfId="2" applyFont="1" applyFill="1" applyBorder="1" applyAlignment="1">
      <alignment wrapText="1"/>
    </xf>
    <xf numFmtId="0" fontId="14" fillId="20" borderId="0" xfId="2" applyFont="1" applyFill="1" applyBorder="1" applyAlignment="1"/>
    <xf numFmtId="0" fontId="15" fillId="23" borderId="68" xfId="2" applyFont="1" applyFill="1" applyBorder="1" applyAlignment="1">
      <alignment horizontal="center" vertical="center"/>
    </xf>
    <xf numFmtId="0" fontId="15" fillId="23" borderId="57" xfId="2" applyFont="1" applyFill="1" applyBorder="1" applyAlignment="1">
      <alignment horizontal="center" vertical="center"/>
    </xf>
    <xf numFmtId="164" fontId="14" fillId="24" borderId="60" xfId="2" applyNumberFormat="1" applyFont="1" applyFill="1" applyBorder="1" applyAlignment="1"/>
    <xf numFmtId="0" fontId="14" fillId="24" borderId="60" xfId="2" applyFont="1" applyFill="1" applyBorder="1" applyAlignment="1">
      <alignment horizontal="center"/>
    </xf>
    <xf numFmtId="0" fontId="14" fillId="22" borderId="60" xfId="2" applyFont="1" applyFill="1" applyBorder="1" applyAlignment="1">
      <alignment wrapText="1"/>
    </xf>
    <xf numFmtId="6" fontId="14" fillId="21" borderId="68" xfId="2" applyNumberFormat="1" applyFont="1" applyFill="1" applyBorder="1" applyAlignment="1">
      <alignment horizontal="center" vertical="center" wrapText="1"/>
    </xf>
    <xf numFmtId="164" fontId="14" fillId="24" borderId="68" xfId="2" applyNumberFormat="1" applyFont="1" applyFill="1" applyBorder="1" applyAlignment="1"/>
    <xf numFmtId="0" fontId="14" fillId="24" borderId="68" xfId="2" applyFont="1" applyFill="1" applyBorder="1" applyAlignment="1">
      <alignment horizontal="center"/>
    </xf>
    <xf numFmtId="0" fontId="14" fillId="22" borderId="68" xfId="2" applyFont="1" applyFill="1" applyBorder="1" applyAlignment="1">
      <alignment wrapText="1"/>
    </xf>
    <xf numFmtId="0" fontId="18" fillId="23" borderId="68" xfId="2" applyFont="1" applyFill="1" applyBorder="1" applyAlignment="1">
      <alignment horizontal="center" vertical="center"/>
    </xf>
    <xf numFmtId="0" fontId="17" fillId="0" borderId="0" xfId="2" applyFont="1" applyBorder="1"/>
    <xf numFmtId="0" fontId="15" fillId="21" borderId="0" xfId="2" applyFont="1" applyFill="1" applyBorder="1" applyAlignment="1">
      <alignment horizontal="center"/>
    </xf>
    <xf numFmtId="0" fontId="15" fillId="20" borderId="0" xfId="2" applyFont="1" applyFill="1" applyBorder="1" applyAlignment="1">
      <alignment horizontal="right" vertical="center"/>
    </xf>
    <xf numFmtId="0" fontId="14" fillId="20" borderId="0" xfId="2" applyFont="1" applyFill="1" applyBorder="1" applyAlignment="1">
      <alignment horizontal="center"/>
    </xf>
    <xf numFmtId="0" fontId="14" fillId="25" borderId="0" xfId="2" applyFont="1" applyFill="1" applyBorder="1"/>
    <xf numFmtId="6" fontId="0" fillId="0" borderId="73" xfId="0" applyNumberFormat="1" applyFont="1" applyBorder="1"/>
    <xf numFmtId="0" fontId="10" fillId="19" borderId="73" xfId="0" applyFont="1" applyFill="1" applyBorder="1"/>
    <xf numFmtId="167" fontId="0" fillId="18" borderId="73" xfId="0" applyNumberFormat="1" applyFont="1" applyFill="1" applyBorder="1"/>
    <xf numFmtId="6" fontId="0" fillId="18" borderId="73" xfId="0" applyNumberFormat="1" applyFont="1" applyFill="1" applyBorder="1"/>
    <xf numFmtId="14" fontId="0" fillId="18" borderId="73" xfId="0" applyNumberFormat="1" applyFont="1" applyFill="1" applyBorder="1"/>
    <xf numFmtId="0" fontId="21" fillId="0" borderId="0" xfId="4"/>
    <xf numFmtId="168" fontId="0" fillId="0" borderId="0" xfId="5" applyFont="1" applyFill="1" applyBorder="1">
      <alignment horizontal="right" indent="2"/>
    </xf>
    <xf numFmtId="14" fontId="0" fillId="0" borderId="0" xfId="6" applyFont="1" applyFill="1" applyBorder="1" applyAlignment="1">
      <alignment horizontal="right"/>
    </xf>
    <xf numFmtId="1" fontId="0" fillId="0" borderId="0" xfId="7" applyFont="1" applyFill="1" applyBorder="1" applyAlignment="1">
      <alignment horizontal="left"/>
    </xf>
    <xf numFmtId="169" fontId="0" fillId="0" borderId="0" xfId="5" applyNumberFormat="1" applyFont="1" applyFill="1" applyBorder="1">
      <alignment horizontal="right" indent="2"/>
    </xf>
    <xf numFmtId="0" fontId="10" fillId="27" borderId="0" xfId="8">
      <alignment horizontal="right" vertical="center" wrapText="1" indent="2"/>
    </xf>
    <xf numFmtId="0" fontId="10" fillId="27" borderId="0" xfId="9">
      <alignment vertical="center" wrapText="1"/>
    </xf>
    <xf numFmtId="0" fontId="11" fillId="0" borderId="75" xfId="11">
      <alignment vertical="center"/>
    </xf>
    <xf numFmtId="169" fontId="12" fillId="26" borderId="74" xfId="12" applyNumberFormat="1" applyFont="1" applyFill="1" applyBorder="1"/>
    <xf numFmtId="169" fontId="12" fillId="17" borderId="74" xfId="14" applyNumberFormat="1" applyBorder="1" applyAlignment="1"/>
    <xf numFmtId="14" fontId="12" fillId="26" borderId="74" xfId="6" applyFill="1" applyBorder="1"/>
    <xf numFmtId="1" fontId="12" fillId="26" borderId="74" xfId="7" applyFill="1" applyBorder="1"/>
    <xf numFmtId="1" fontId="12" fillId="17" borderId="74" xfId="7" applyBorder="1" applyAlignment="1"/>
    <xf numFmtId="1" fontId="12" fillId="26" borderId="0" xfId="7" applyFill="1"/>
    <xf numFmtId="10" fontId="12" fillId="26" borderId="74" xfId="15" applyFont="1" applyFill="1" applyBorder="1" applyAlignment="1">
      <alignment horizontal="right"/>
    </xf>
    <xf numFmtId="169" fontId="12" fillId="17" borderId="0" xfId="14" applyNumberFormat="1" applyBorder="1" applyAlignment="1"/>
    <xf numFmtId="169" fontId="12" fillId="26" borderId="0" xfId="12" applyNumberFormat="1"/>
    <xf numFmtId="0" fontId="23" fillId="0" borderId="77" xfId="16">
      <alignment vertical="center"/>
    </xf>
    <xf numFmtId="0" fontId="24" fillId="0" borderId="78" xfId="17">
      <alignment vertical="center"/>
    </xf>
    <xf numFmtId="0" fontId="21" fillId="0" borderId="0" xfId="4" applyFont="1"/>
    <xf numFmtId="166" fontId="14" fillId="20" borderId="0" xfId="2" applyNumberFormat="1" applyFont="1" applyFill="1"/>
    <xf numFmtId="165" fontId="0" fillId="3" borderId="5" xfId="0" applyNumberFormat="1" applyFill="1" applyBorder="1"/>
    <xf numFmtId="165" fontId="0" fillId="0" borderId="4" xfId="0" applyNumberFormat="1" applyBorder="1"/>
    <xf numFmtId="165" fontId="0" fillId="3" borderId="7" xfId="0" applyNumberFormat="1" applyFill="1" applyBorder="1"/>
    <xf numFmtId="165" fontId="0" fillId="4" borderId="1" xfId="0" applyNumberFormat="1" applyFill="1" applyBorder="1"/>
    <xf numFmtId="165" fontId="0" fillId="0" borderId="7" xfId="0" applyNumberFormat="1" applyBorder="1"/>
    <xf numFmtId="165" fontId="0" fillId="3" borderId="4" xfId="0" applyNumberFormat="1" applyFill="1" applyBorder="1"/>
    <xf numFmtId="165" fontId="0" fillId="0" borderId="7" xfId="0" applyNumberFormat="1" applyFill="1" applyBorder="1"/>
    <xf numFmtId="166" fontId="14" fillId="20" borderId="0" xfId="2" applyNumberFormat="1" applyFont="1" applyFill="1" applyBorder="1"/>
    <xf numFmtId="6" fontId="14" fillId="20" borderId="0" xfId="2" applyNumberFormat="1" applyFont="1" applyFill="1" applyBorder="1"/>
    <xf numFmtId="0" fontId="1" fillId="9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12" fillId="18" borderId="56" xfId="0" applyNumberFormat="1" applyFont="1" applyFill="1" applyBorder="1"/>
    <xf numFmtId="165" fontId="12" fillId="18" borderId="55" xfId="0" applyNumberFormat="1" applyFont="1" applyFill="1" applyBorder="1"/>
    <xf numFmtId="0" fontId="12" fillId="18" borderId="55" xfId="0" applyNumberFormat="1" applyFont="1" applyFill="1" applyBorder="1"/>
    <xf numFmtId="165" fontId="12" fillId="18" borderId="79" xfId="0" applyNumberFormat="1" applyFont="1" applyFill="1" applyBorder="1"/>
    <xf numFmtId="43" fontId="0" fillId="0" borderId="0" xfId="0" applyNumberFormat="1"/>
    <xf numFmtId="0" fontId="13" fillId="0" borderId="0" xfId="2" applyFont="1" applyAlignment="1"/>
    <xf numFmtId="0" fontId="0" fillId="0" borderId="0" xfId="0" applyAlignment="1">
      <alignment horizontal="center"/>
    </xf>
    <xf numFmtId="0" fontId="20" fillId="0" borderId="0" xfId="3"/>
    <xf numFmtId="0" fontId="0" fillId="0" borderId="16" xfId="0" applyBorder="1"/>
    <xf numFmtId="43" fontId="0" fillId="0" borderId="80" xfId="1" applyFont="1" applyBorder="1" applyAlignment="1">
      <alignment horizontal="right"/>
    </xf>
    <xf numFmtId="43" fontId="0" fillId="0" borderId="81" xfId="1" applyFont="1" applyBorder="1" applyAlignment="1">
      <alignment horizontal="right"/>
    </xf>
    <xf numFmtId="43" fontId="0" fillId="0" borderId="81" xfId="0" applyNumberFormat="1" applyBorder="1" applyAlignment="1">
      <alignment horizontal="center"/>
    </xf>
    <xf numFmtId="43" fontId="0" fillId="0" borderId="82" xfId="0" applyNumberFormat="1" applyBorder="1" applyAlignment="1">
      <alignment horizontal="center"/>
    </xf>
    <xf numFmtId="43" fontId="0" fillId="0" borderId="83" xfId="1" applyFont="1" applyBorder="1" applyAlignment="1">
      <alignment horizontal="right"/>
    </xf>
    <xf numFmtId="43" fontId="0" fillId="0" borderId="84" xfId="1" applyFont="1" applyBorder="1" applyAlignment="1">
      <alignment horizontal="right"/>
    </xf>
    <xf numFmtId="43" fontId="0" fillId="0" borderId="84" xfId="0" applyNumberFormat="1" applyBorder="1" applyAlignment="1">
      <alignment horizontal="center"/>
    </xf>
    <xf numFmtId="43" fontId="0" fillId="0" borderId="85" xfId="0" applyNumberFormat="1" applyBorder="1" applyAlignment="1">
      <alignment horizontal="center"/>
    </xf>
    <xf numFmtId="43" fontId="0" fillId="0" borderId="86" xfId="1" applyFont="1" applyBorder="1" applyAlignment="1">
      <alignment horizontal="right"/>
    </xf>
    <xf numFmtId="43" fontId="0" fillId="0" borderId="87" xfId="1" applyFont="1" applyBorder="1" applyAlignment="1">
      <alignment horizontal="right"/>
    </xf>
    <xf numFmtId="43" fontId="0" fillId="0" borderId="87" xfId="0" applyNumberFormat="1" applyBorder="1" applyAlignment="1">
      <alignment horizontal="center"/>
    </xf>
    <xf numFmtId="43" fontId="0" fillId="0" borderId="88" xfId="0" applyNumberFormat="1" applyBorder="1" applyAlignment="1">
      <alignment horizontal="center"/>
    </xf>
    <xf numFmtId="43" fontId="3" fillId="0" borderId="81" xfId="1" applyFont="1" applyBorder="1" applyAlignment="1">
      <alignment horizontal="right"/>
    </xf>
    <xf numFmtId="43" fontId="3" fillId="0" borderId="82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0" fontId="0" fillId="0" borderId="4" xfId="0" applyNumberFormat="1" applyBorder="1"/>
    <xf numFmtId="9" fontId="0" fillId="0" borderId="0" xfId="0" applyNumberFormat="1" applyBorder="1"/>
    <xf numFmtId="43" fontId="8" fillId="10" borderId="89" xfId="1" applyFont="1" applyFill="1" applyBorder="1" applyAlignment="1">
      <alignment horizontal="right"/>
    </xf>
    <xf numFmtId="43" fontId="3" fillId="0" borderId="21" xfId="1" applyFont="1" applyBorder="1" applyAlignment="1">
      <alignment horizontal="right"/>
    </xf>
    <xf numFmtId="0" fontId="3" fillId="0" borderId="99" xfId="0" applyFont="1" applyBorder="1"/>
    <xf numFmtId="0" fontId="0" fillId="0" borderId="100" xfId="0" applyFont="1" applyBorder="1"/>
    <xf numFmtId="165" fontId="3" fillId="28" borderId="101" xfId="0" applyNumberFormat="1" applyFont="1" applyFill="1" applyBorder="1"/>
    <xf numFmtId="165" fontId="3" fillId="0" borderId="101" xfId="0" applyNumberFormat="1" applyFont="1" applyBorder="1" applyAlignment="1">
      <alignment horizontal="right"/>
    </xf>
    <xf numFmtId="0" fontId="0" fillId="0" borderId="94" xfId="0" applyFont="1" applyBorder="1"/>
    <xf numFmtId="165" fontId="0" fillId="0" borderId="101" xfId="0" applyNumberFormat="1" applyFont="1" applyBorder="1" applyAlignment="1">
      <alignment horizontal="right"/>
    </xf>
    <xf numFmtId="0" fontId="3" fillId="28" borderId="96" xfId="0" applyFont="1" applyFill="1" applyBorder="1"/>
    <xf numFmtId="165" fontId="3" fillId="28" borderId="104" xfId="0" applyNumberFormat="1" applyFont="1" applyFill="1" applyBorder="1" applyAlignment="1">
      <alignment horizontal="right"/>
    </xf>
    <xf numFmtId="165" fontId="0" fillId="0" borderId="101" xfId="0" applyNumberFormat="1" applyFont="1" applyBorder="1" applyAlignment="1">
      <alignment horizontal="center"/>
    </xf>
    <xf numFmtId="0" fontId="1" fillId="29" borderId="100" xfId="0" applyFont="1" applyFill="1" applyBorder="1"/>
    <xf numFmtId="165" fontId="3" fillId="29" borderId="104" xfId="0" applyNumberFormat="1" applyFont="1" applyFill="1" applyBorder="1" applyAlignment="1">
      <alignment horizontal="right"/>
    </xf>
    <xf numFmtId="0" fontId="3" fillId="0" borderId="0" xfId="0" applyFont="1"/>
    <xf numFmtId="0" fontId="0" fillId="0" borderId="0" xfId="0" applyFont="1" applyFill="1" applyBorder="1"/>
    <xf numFmtId="0" fontId="0" fillId="0" borderId="96" xfId="0" applyFont="1" applyBorder="1" applyAlignment="1"/>
    <xf numFmtId="0" fontId="3" fillId="28" borderId="94" xfId="0" applyFont="1" applyFill="1" applyBorder="1"/>
    <xf numFmtId="165" fontId="0" fillId="30" borderId="98" xfId="0" applyNumberFormat="1" applyFill="1" applyBorder="1"/>
    <xf numFmtId="165" fontId="0" fillId="0" borderId="105" xfId="0" applyNumberFormat="1" applyBorder="1"/>
    <xf numFmtId="165" fontId="0" fillId="0" borderId="106" xfId="0" applyNumberFormat="1" applyBorder="1"/>
    <xf numFmtId="0" fontId="0" fillId="30" borderId="96" xfId="0" applyFont="1" applyFill="1" applyBorder="1"/>
    <xf numFmtId="165" fontId="0" fillId="0" borderId="95" xfId="0" applyNumberFormat="1" applyBorder="1"/>
    <xf numFmtId="165" fontId="0" fillId="0" borderId="107" xfId="0" applyNumberFormat="1" applyBorder="1"/>
    <xf numFmtId="165" fontId="0" fillId="29" borderId="95" xfId="0" applyNumberFormat="1" applyFill="1" applyBorder="1"/>
    <xf numFmtId="0" fontId="0" fillId="29" borderId="94" xfId="0" applyFont="1" applyFill="1" applyBorder="1"/>
    <xf numFmtId="165" fontId="0" fillId="0" borderId="108" xfId="0" applyNumberFormat="1" applyBorder="1"/>
    <xf numFmtId="165" fontId="3" fillId="29" borderId="95" xfId="0" applyNumberFormat="1" applyFont="1" applyFill="1" applyBorder="1"/>
    <xf numFmtId="4" fontId="3" fillId="0" borderId="7" xfId="0" applyNumberFormat="1" applyFont="1" applyFill="1" applyBorder="1"/>
    <xf numFmtId="165" fontId="3" fillId="0" borderId="7" xfId="0" applyNumberFormat="1" applyFont="1" applyFill="1" applyBorder="1"/>
    <xf numFmtId="165" fontId="3" fillId="0" borderId="107" xfId="0" applyNumberFormat="1" applyFont="1" applyFill="1" applyBorder="1"/>
    <xf numFmtId="0" fontId="1" fillId="29" borderId="94" xfId="0" applyFont="1" applyFill="1" applyBorder="1"/>
    <xf numFmtId="0" fontId="3" fillId="0" borderId="110" xfId="0" applyFont="1" applyBorder="1"/>
    <xf numFmtId="0" fontId="1" fillId="0" borderId="111" xfId="0" applyFont="1" applyBorder="1"/>
    <xf numFmtId="165" fontId="3" fillId="0" borderId="110" xfId="0" applyNumberFormat="1" applyFont="1" applyBorder="1"/>
    <xf numFmtId="0" fontId="1" fillId="0" borderId="110" xfId="0" applyFont="1" applyBorder="1"/>
    <xf numFmtId="0" fontId="3" fillId="0" borderId="112" xfId="0" applyFont="1" applyBorder="1"/>
    <xf numFmtId="0" fontId="3" fillId="0" borderId="1" xfId="0" applyFont="1" applyBorder="1"/>
    <xf numFmtId="0" fontId="3" fillId="0" borderId="113" xfId="0" applyFont="1" applyBorder="1"/>
    <xf numFmtId="165" fontId="3" fillId="0" borderId="112" xfId="0" applyNumberFormat="1" applyFont="1" applyBorder="1"/>
    <xf numFmtId="165" fontId="3" fillId="0" borderId="1" xfId="0" applyNumberFormat="1" applyFont="1" applyBorder="1"/>
    <xf numFmtId="0" fontId="25" fillId="0" borderId="113" xfId="0" applyFont="1" applyBorder="1"/>
    <xf numFmtId="0" fontId="25" fillId="0" borderId="1" xfId="0" applyFont="1" applyBorder="1"/>
    <xf numFmtId="0" fontId="4" fillId="0" borderId="113" xfId="0" applyFont="1" applyBorder="1"/>
    <xf numFmtId="0" fontId="3" fillId="0" borderId="114" xfId="0" applyFont="1" applyBorder="1"/>
    <xf numFmtId="0" fontId="25" fillId="0" borderId="112" xfId="0" applyFont="1" applyBorder="1"/>
    <xf numFmtId="0" fontId="4" fillId="0" borderId="115" xfId="0" applyFont="1" applyBorder="1"/>
    <xf numFmtId="0" fontId="4" fillId="0" borderId="116" xfId="0" applyFont="1" applyBorder="1"/>
    <xf numFmtId="0" fontId="4" fillId="0" borderId="117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14" fillId="0" borderId="0" xfId="2" applyFont="1" applyBorder="1"/>
    <xf numFmtId="0" fontId="0" fillId="31" borderId="118" xfId="0" applyFont="1" applyFill="1" applyBorder="1"/>
    <xf numFmtId="10" fontId="0" fillId="31" borderId="119" xfId="0" applyNumberFormat="1" applyFont="1" applyFill="1" applyBorder="1"/>
    <xf numFmtId="0" fontId="0" fillId="31" borderId="120" xfId="0" applyFont="1" applyFill="1" applyBorder="1"/>
    <xf numFmtId="0" fontId="0" fillId="18" borderId="118" xfId="0" applyFont="1" applyFill="1" applyBorder="1"/>
    <xf numFmtId="165" fontId="0" fillId="18" borderId="119" xfId="0" applyNumberFormat="1" applyFont="1" applyFill="1" applyBorder="1"/>
    <xf numFmtId="165" fontId="0" fillId="18" borderId="12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3" fontId="0" fillId="6" borderId="9" xfId="0" applyNumberFormat="1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3" fillId="0" borderId="0" xfId="2" applyFont="1" applyAlignment="1"/>
    <xf numFmtId="0" fontId="0" fillId="0" borderId="0" xfId="0" applyProtection="1">
      <protection locked="0"/>
    </xf>
    <xf numFmtId="44" fontId="0" fillId="32" borderId="1" xfId="18" applyFont="1" applyFill="1" applyBorder="1" applyAlignment="1" applyProtection="1">
      <alignment vertical="center"/>
      <protection hidden="1"/>
    </xf>
    <xf numFmtId="44" fontId="0" fillId="0" borderId="1" xfId="18" applyFont="1" applyBorder="1" applyProtection="1">
      <protection locked="0"/>
    </xf>
    <xf numFmtId="44" fontId="0" fillId="6" borderId="1" xfId="18" applyFont="1" applyFill="1" applyBorder="1" applyProtection="1">
      <protection locked="0"/>
    </xf>
    <xf numFmtId="3" fontId="0" fillId="6" borderId="1" xfId="18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4" fontId="0" fillId="0" borderId="1" xfId="18" applyFont="1" applyBorder="1" applyProtection="1">
      <protection hidden="1"/>
    </xf>
    <xf numFmtId="0" fontId="0" fillId="6" borderId="1" xfId="0" applyFill="1" applyBorder="1" applyAlignment="1" applyProtection="1">
      <alignment horizontal="left" vertical="center"/>
      <protection locked="0"/>
    </xf>
    <xf numFmtId="44" fontId="0" fillId="6" borderId="1" xfId="18" applyFont="1" applyFill="1" applyBorder="1" applyProtection="1">
      <protection hidden="1"/>
    </xf>
    <xf numFmtId="0" fontId="0" fillId="33" borderId="1" xfId="0" applyFill="1" applyBorder="1" applyAlignment="1" applyProtection="1">
      <alignment horizontal="center" vertical="center"/>
      <protection locked="0"/>
    </xf>
    <xf numFmtId="0" fontId="0" fillId="33" borderId="1" xfId="0" applyFill="1" applyBorder="1" applyAlignment="1" applyProtection="1">
      <alignment horizontal="left" vertical="center"/>
      <protection locked="0"/>
    </xf>
    <xf numFmtId="44" fontId="0" fillId="33" borderId="1" xfId="18" applyFont="1" applyFill="1" applyBorder="1" applyProtection="1">
      <protection hidden="1"/>
    </xf>
    <xf numFmtId="44" fontId="0" fillId="32" borderId="1" xfId="18" applyFont="1" applyFill="1" applyBorder="1" applyProtection="1">
      <protection locked="0"/>
    </xf>
    <xf numFmtId="3" fontId="0" fillId="34" borderId="1" xfId="18" applyNumberFormat="1" applyFont="1" applyFill="1" applyBorder="1" applyProtection="1">
      <protection locked="0"/>
    </xf>
    <xf numFmtId="44" fontId="0" fillId="34" borderId="1" xfId="18" applyFont="1" applyFill="1" applyBorder="1" applyProtection="1">
      <protection hidden="1"/>
    </xf>
    <xf numFmtId="9" fontId="0" fillId="35" borderId="3" xfId="19" applyFont="1" applyFill="1" applyBorder="1" applyAlignment="1" applyProtection="1">
      <alignment horizontal="center" vertical="center"/>
      <protection hidden="1"/>
    </xf>
    <xf numFmtId="9" fontId="0" fillId="35" borderId="14" xfId="19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44" fontId="0" fillId="0" borderId="0" xfId="18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4" fontId="0" fillId="0" borderId="0" xfId="18" applyFont="1" applyProtection="1">
      <protection locked="0"/>
    </xf>
    <xf numFmtId="0" fontId="0" fillId="0" borderId="0" xfId="18" applyNumberFormat="1" applyFont="1" applyProtection="1">
      <protection locked="0"/>
    </xf>
    <xf numFmtId="170" fontId="0" fillId="32" borderId="1" xfId="18" applyNumberFormat="1" applyFont="1" applyFill="1" applyBorder="1" applyAlignment="1" applyProtection="1">
      <alignment horizontal="right" vertical="center"/>
      <protection hidden="1"/>
    </xf>
    <xf numFmtId="3" fontId="0" fillId="0" borderId="22" xfId="0" applyNumberFormat="1" applyBorder="1" applyAlignment="1"/>
    <xf numFmtId="0" fontId="1" fillId="0" borderId="26" xfId="0" applyFont="1" applyBorder="1" applyAlignment="1">
      <alignment horizontal="center"/>
    </xf>
    <xf numFmtId="43" fontId="5" fillId="0" borderId="27" xfId="1" applyFont="1" applyBorder="1" applyAlignment="1">
      <alignment horizontal="right"/>
    </xf>
    <xf numFmtId="43" fontId="0" fillId="0" borderId="27" xfId="1" applyFont="1" applyBorder="1" applyAlignment="1">
      <alignment horizontal="right"/>
    </xf>
    <xf numFmtId="3" fontId="0" fillId="0" borderId="27" xfId="0" applyNumberFormat="1" applyBorder="1" applyAlignment="1"/>
    <xf numFmtId="3" fontId="0" fillId="0" borderId="28" xfId="0" applyNumberFormat="1" applyBorder="1" applyAlignment="1"/>
    <xf numFmtId="0" fontId="4" fillId="0" borderId="123" xfId="0" applyFont="1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4" xfId="0" applyBorder="1" applyAlignment="1">
      <alignment horizontal="center"/>
    </xf>
    <xf numFmtId="0" fontId="1" fillId="0" borderId="122" xfId="0" applyFont="1" applyBorder="1" applyAlignment="1">
      <alignment horizontal="center"/>
    </xf>
    <xf numFmtId="4" fontId="0" fillId="0" borderId="27" xfId="0" applyNumberFormat="1" applyBorder="1" applyAlignment="1"/>
    <xf numFmtId="0" fontId="1" fillId="0" borderId="27" xfId="0" applyFont="1" applyBorder="1"/>
    <xf numFmtId="44" fontId="0" fillId="0" borderId="0" xfId="18" applyFont="1" applyFill="1" applyBorder="1" applyProtection="1">
      <protection locked="0"/>
    </xf>
    <xf numFmtId="44" fontId="0" fillId="0" borderId="0" xfId="18" applyFont="1" applyFill="1" applyProtection="1">
      <protection hidden="1"/>
    </xf>
    <xf numFmtId="44" fontId="1" fillId="0" borderId="0" xfId="18" applyFont="1" applyFill="1" applyAlignment="1" applyProtection="1">
      <alignment wrapText="1"/>
      <protection hidden="1"/>
    </xf>
    <xf numFmtId="44" fontId="0" fillId="35" borderId="5" xfId="18" applyFont="1" applyFill="1" applyBorder="1" applyProtection="1">
      <protection locked="0"/>
    </xf>
    <xf numFmtId="44" fontId="0" fillId="35" borderId="8" xfId="18" applyFont="1" applyFill="1" applyBorder="1" applyProtection="1">
      <protection locked="0"/>
    </xf>
    <xf numFmtId="0" fontId="4" fillId="0" borderId="125" xfId="0" applyFont="1" applyBorder="1"/>
    <xf numFmtId="0" fontId="25" fillId="0" borderId="10" xfId="0" applyFont="1" applyBorder="1"/>
    <xf numFmtId="0" fontId="3" fillId="0" borderId="10" xfId="0" applyFont="1" applyBorder="1"/>
    <xf numFmtId="0" fontId="0" fillId="0" borderId="10" xfId="0" applyFont="1" applyBorder="1"/>
    <xf numFmtId="165" fontId="3" fillId="0" borderId="126" xfId="0" applyNumberFormat="1" applyFont="1" applyBorder="1"/>
    <xf numFmtId="0" fontId="3" fillId="0" borderId="126" xfId="0" applyFont="1" applyBorder="1"/>
    <xf numFmtId="165" fontId="3" fillId="0" borderId="113" xfId="0" applyNumberFormat="1" applyFont="1" applyBorder="1"/>
    <xf numFmtId="165" fontId="3" fillId="0" borderId="111" xfId="0" applyNumberFormat="1" applyFont="1" applyBorder="1"/>
    <xf numFmtId="0" fontId="3" fillId="0" borderId="111" xfId="0" applyFont="1" applyBorder="1"/>
    <xf numFmtId="165" fontId="3" fillId="0" borderId="0" xfId="0" applyNumberFormat="1" applyFont="1"/>
    <xf numFmtId="0" fontId="0" fillId="3" borderId="1" xfId="0" applyFill="1" applyBorder="1" applyAlignment="1">
      <alignment horizontal="center" vertical="center" wrapText="1"/>
    </xf>
    <xf numFmtId="0" fontId="14" fillId="22" borderId="62" xfId="2" applyFont="1" applyFill="1" applyBorder="1" applyAlignment="1">
      <alignment wrapText="1"/>
    </xf>
    <xf numFmtId="0" fontId="13" fillId="0" borderId="0" xfId="2" applyFont="1" applyAlignment="1"/>
    <xf numFmtId="0" fontId="0" fillId="0" borderId="0" xfId="0" applyAlignment="1"/>
    <xf numFmtId="0" fontId="10" fillId="15" borderId="5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3" fillId="0" borderId="107" xfId="0" applyNumberFormat="1" applyFont="1" applyFill="1" applyBorder="1"/>
    <xf numFmtId="165" fontId="0" fillId="0" borderId="94" xfId="0" applyNumberFormat="1" applyBorder="1"/>
    <xf numFmtId="8" fontId="14" fillId="20" borderId="0" xfId="2" applyNumberFormat="1" applyFont="1" applyFill="1" applyBorder="1"/>
    <xf numFmtId="0" fontId="0" fillId="0" borderId="94" xfId="0" applyFont="1" applyFill="1" applyBorder="1"/>
    <xf numFmtId="0" fontId="13" fillId="0" borderId="0" xfId="2" applyFont="1" applyAlignment="1"/>
    <xf numFmtId="8" fontId="0" fillId="0" borderId="0" xfId="0" applyNumberFormat="1"/>
    <xf numFmtId="9" fontId="0" fillId="0" borderId="0" xfId="0" applyNumberFormat="1"/>
    <xf numFmtId="0" fontId="0" fillId="0" borderId="0" xfId="0" applyFont="1"/>
    <xf numFmtId="8" fontId="14" fillId="20" borderId="0" xfId="2" applyNumberFormat="1" applyFont="1" applyFill="1" applyBorder="1" applyAlignment="1"/>
    <xf numFmtId="165" fontId="1" fillId="0" borderId="109" xfId="0" applyNumberFormat="1" applyFont="1" applyBorder="1"/>
    <xf numFmtId="165" fontId="1" fillId="0" borderId="112" xfId="0" applyNumberFormat="1" applyFont="1" applyBorder="1"/>
    <xf numFmtId="0" fontId="27" fillId="0" borderId="10" xfId="0" applyFont="1" applyBorder="1" applyAlignment="1">
      <alignment horizontal="right"/>
    </xf>
    <xf numFmtId="0" fontId="0" fillId="0" borderId="0" xfId="0" applyFill="1" applyBorder="1"/>
    <xf numFmtId="165" fontId="15" fillId="21" borderId="58" xfId="2" applyNumberFormat="1" applyFont="1" applyFill="1" applyBorder="1" applyAlignment="1">
      <alignment horizontal="center" vertical="center"/>
    </xf>
    <xf numFmtId="8" fontId="14" fillId="21" borderId="60" xfId="2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/>
    <xf numFmtId="0" fontId="0" fillId="0" borderId="0" xfId="0"/>
    <xf numFmtId="165" fontId="0" fillId="0" borderId="0" xfId="0" applyNumberFormat="1"/>
    <xf numFmtId="165" fontId="3" fillId="0" borderId="101" xfId="0" applyNumberFormat="1" applyFont="1" applyBorder="1" applyAlignment="1">
      <alignment horizontal="right"/>
    </xf>
    <xf numFmtId="0" fontId="0" fillId="0" borderId="94" xfId="0" applyFont="1" applyBorder="1"/>
    <xf numFmtId="165" fontId="0" fillId="0" borderId="101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Font="1" applyFill="1" applyBorder="1"/>
    <xf numFmtId="0" fontId="3" fillId="0" borderId="10" xfId="0" applyFont="1" applyBorder="1"/>
    <xf numFmtId="0" fontId="0" fillId="0" borderId="10" xfId="0" applyFont="1" applyBorder="1"/>
    <xf numFmtId="0" fontId="13" fillId="0" borderId="0" xfId="2" applyFont="1" applyAlignment="1"/>
    <xf numFmtId="8" fontId="0" fillId="0" borderId="73" xfId="0" applyNumberFormat="1" applyFont="1" applyBorder="1"/>
    <xf numFmtId="0" fontId="0" fillId="0" borderId="95" xfId="0" applyFont="1" applyFill="1" applyBorder="1"/>
    <xf numFmtId="4" fontId="3" fillId="0" borderId="94" xfId="0" applyNumberFormat="1" applyFont="1" applyFill="1" applyBorder="1"/>
    <xf numFmtId="8" fontId="3" fillId="0" borderId="0" xfId="0" applyNumberFormat="1" applyFont="1"/>
    <xf numFmtId="165" fontId="3" fillId="0" borderId="94" xfId="0" applyNumberFormat="1" applyFont="1" applyFill="1" applyBorder="1"/>
    <xf numFmtId="0" fontId="10" fillId="19" borderId="56" xfId="0" applyFont="1" applyFill="1" applyBorder="1" applyAlignment="1">
      <alignment horizontal="center"/>
    </xf>
    <xf numFmtId="0" fontId="10" fillId="19" borderId="55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10" xfId="0" applyFill="1" applyBorder="1" applyAlignment="1">
      <alignment horizontal="right"/>
    </xf>
    <xf numFmtId="0" fontId="0" fillId="14" borderId="11" xfId="0" applyFill="1" applyBorder="1" applyAlignment="1">
      <alignment horizontal="right"/>
    </xf>
    <xf numFmtId="0" fontId="0" fillId="14" borderId="14" xfId="0" applyFill="1" applyBorder="1" applyAlignment="1">
      <alignment horizontal="right"/>
    </xf>
    <xf numFmtId="0" fontId="14" fillId="22" borderId="62" xfId="2" applyFont="1" applyFill="1" applyBorder="1" applyAlignment="1">
      <alignment wrapText="1"/>
    </xf>
    <xf numFmtId="0" fontId="14" fillId="0" borderId="0" xfId="2" applyFont="1" applyBorder="1" applyAlignment="1"/>
    <xf numFmtId="0" fontId="14" fillId="0" borderId="67" xfId="2" applyFont="1" applyBorder="1" applyAlignment="1"/>
    <xf numFmtId="0" fontId="19" fillId="20" borderId="0" xfId="2" applyFont="1" applyFill="1" applyBorder="1" applyAlignment="1">
      <alignment horizontal="center" vertical="center"/>
    </xf>
    <xf numFmtId="0" fontId="13" fillId="0" borderId="0" xfId="2" applyFont="1" applyAlignment="1"/>
    <xf numFmtId="0" fontId="16" fillId="0" borderId="59" xfId="2" applyFont="1" applyBorder="1" applyAlignment="1">
      <alignment horizontal="center" vertical="center" wrapText="1"/>
    </xf>
    <xf numFmtId="0" fontId="14" fillId="0" borderId="64" xfId="2" applyFont="1" applyBorder="1" applyAlignment="1"/>
    <xf numFmtId="0" fontId="14" fillId="0" borderId="58" xfId="2" applyFont="1" applyBorder="1" applyAlignment="1"/>
    <xf numFmtId="0" fontId="15" fillId="23" borderId="70" xfId="2" applyFont="1" applyFill="1" applyBorder="1" applyAlignment="1">
      <alignment horizontal="center" vertical="center" wrapText="1"/>
    </xf>
    <xf numFmtId="0" fontId="14" fillId="0" borderId="63" xfId="2" applyFont="1" applyBorder="1" applyAlignment="1"/>
    <xf numFmtId="0" fontId="14" fillId="0" borderId="69" xfId="2" applyFont="1" applyBorder="1" applyAlignment="1"/>
    <xf numFmtId="0" fontId="15" fillId="22" borderId="62" xfId="2" applyFont="1" applyFill="1" applyBorder="1" applyAlignment="1">
      <alignment wrapText="1"/>
    </xf>
    <xf numFmtId="0" fontId="14" fillId="20" borderId="0" xfId="2" applyFont="1" applyFill="1" applyAlignment="1"/>
    <xf numFmtId="0" fontId="14" fillId="20" borderId="59" xfId="2" applyFont="1" applyFill="1" applyBorder="1" applyAlignment="1"/>
    <xf numFmtId="0" fontId="14" fillId="22" borderId="66" xfId="2" applyFont="1" applyFill="1" applyBorder="1" applyAlignment="1">
      <alignment wrapText="1"/>
    </xf>
    <xf numFmtId="0" fontId="14" fillId="0" borderId="61" xfId="2" applyFont="1" applyBorder="1" applyAlignment="1"/>
    <xf numFmtId="0" fontId="14" fillId="0" borderId="65" xfId="2" applyFont="1" applyBorder="1" applyAlignment="1"/>
    <xf numFmtId="0" fontId="15" fillId="0" borderId="59" xfId="2" applyFont="1" applyBorder="1" applyAlignment="1"/>
    <xf numFmtId="0" fontId="1" fillId="0" borderId="91" xfId="0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96" xfId="0" applyFont="1" applyBorder="1" applyAlignment="1">
      <alignment horizontal="center"/>
    </xf>
    <xf numFmtId="0" fontId="1" fillId="0" borderId="97" xfId="0" applyFont="1" applyBorder="1" applyAlignment="1">
      <alignment horizontal="center"/>
    </xf>
    <xf numFmtId="0" fontId="1" fillId="0" borderId="98" xfId="0" applyFont="1" applyBorder="1" applyAlignment="1">
      <alignment horizontal="center"/>
    </xf>
    <xf numFmtId="0" fontId="0" fillId="0" borderId="99" xfId="0" applyFont="1" applyBorder="1" applyAlignment="1">
      <alignment horizontal="center"/>
    </xf>
    <xf numFmtId="0" fontId="0" fillId="0" borderId="103" xfId="0" applyFont="1" applyBorder="1" applyAlignment="1">
      <alignment horizontal="center"/>
    </xf>
    <xf numFmtId="0" fontId="0" fillId="0" borderId="97" xfId="0" applyFont="1" applyBorder="1" applyAlignment="1">
      <alignment horizontal="center"/>
    </xf>
    <xf numFmtId="0" fontId="0" fillId="0" borderId="98" xfId="0" applyFont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1" fillId="0" borderId="99" xfId="0" applyFont="1" applyBorder="1" applyAlignment="1">
      <alignment horizontal="center"/>
    </xf>
    <xf numFmtId="0" fontId="1" fillId="0" borderId="102" xfId="0" applyFont="1" applyBorder="1" applyAlignment="1">
      <alignment horizontal="center"/>
    </xf>
    <xf numFmtId="0" fontId="1" fillId="0" borderId="103" xfId="0" applyFont="1" applyBorder="1" applyAlignment="1">
      <alignment horizontal="center"/>
    </xf>
    <xf numFmtId="0" fontId="4" fillId="0" borderId="91" xfId="0" applyFont="1" applyBorder="1" applyAlignment="1">
      <alignment horizont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/>
    </xf>
    <xf numFmtId="0" fontId="4" fillId="0" borderId="96" xfId="0" applyFont="1" applyBorder="1" applyAlignment="1">
      <alignment horizontal="center"/>
    </xf>
    <xf numFmtId="0" fontId="4" fillId="0" borderId="97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4" fillId="0" borderId="102" xfId="0" applyFont="1" applyBorder="1" applyAlignment="1">
      <alignment horizontal="center"/>
    </xf>
    <xf numFmtId="0" fontId="4" fillId="0" borderId="10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1" borderId="45" xfId="0" applyFont="1" applyFill="1" applyBorder="1" applyAlignment="1">
      <alignment horizontal="center"/>
    </xf>
    <xf numFmtId="0" fontId="0" fillId="11" borderId="46" xfId="0" applyFill="1" applyBorder="1" applyAlignment="1"/>
    <xf numFmtId="0" fontId="0" fillId="11" borderId="90" xfId="0" applyFill="1" applyBorder="1" applyAlignment="1"/>
    <xf numFmtId="0" fontId="1" fillId="9" borderId="52" xfId="0" applyFont="1" applyFill="1" applyBorder="1" applyAlignment="1">
      <alignment horizontal="center" vertical="center" wrapText="1" shrinkToFit="1"/>
    </xf>
    <xf numFmtId="0" fontId="1" fillId="9" borderId="53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 vertical="center" wrapText="1" shrinkToFit="1"/>
    </xf>
    <xf numFmtId="0" fontId="1" fillId="7" borderId="53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 vertical="center" wrapText="1" shrinkToFit="1"/>
    </xf>
    <xf numFmtId="0" fontId="1" fillId="5" borderId="53" xfId="0" applyFont="1" applyFill="1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0" fillId="0" borderId="25" xfId="0" applyBorder="1" applyAlignment="1"/>
    <xf numFmtId="0" fontId="4" fillId="0" borderId="16" xfId="0" applyFont="1" applyBorder="1" applyAlignment="1">
      <alignment horizontal="center"/>
    </xf>
    <xf numFmtId="0" fontId="1" fillId="9" borderId="43" xfId="0" applyFont="1" applyFill="1" applyBorder="1" applyAlignment="1">
      <alignment horizontal="center" vertical="center" wrapText="1" shrinkToFit="1"/>
    </xf>
    <xf numFmtId="0" fontId="1" fillId="9" borderId="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vertical="center" wrapText="1" shrinkToFit="1"/>
    </xf>
    <xf numFmtId="0" fontId="1" fillId="7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 shrinkToFit="1"/>
    </xf>
    <xf numFmtId="0" fontId="1" fillId="5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/>
    <xf numFmtId="0" fontId="0" fillId="5" borderId="0" xfId="0" applyFill="1" applyAlignment="1">
      <alignment horizontal="center"/>
    </xf>
    <xf numFmtId="0" fontId="0" fillId="11" borderId="51" xfId="0" applyFill="1" applyBorder="1" applyAlignment="1"/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11" borderId="47" xfId="0" applyFill="1" applyBorder="1" applyAlignment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0" fillId="16" borderId="72" xfId="3" applyFill="1" applyBorder="1" applyAlignment="1">
      <alignment horizontal="center"/>
    </xf>
    <xf numFmtId="0" fontId="20" fillId="16" borderId="71" xfId="3" applyFill="1" applyBorder="1" applyAlignment="1">
      <alignment horizontal="center"/>
    </xf>
    <xf numFmtId="0" fontId="22" fillId="0" borderId="74" xfId="13" applyAlignment="1">
      <alignment vertical="center"/>
    </xf>
    <xf numFmtId="0" fontId="12" fillId="26" borderId="74" xfId="10" applyAlignment="1">
      <alignment horizontal="right"/>
    </xf>
    <xf numFmtId="0" fontId="22" fillId="0" borderId="76" xfId="13" applyBorder="1" applyAlignment="1">
      <alignment vertical="center"/>
    </xf>
    <xf numFmtId="0" fontId="2" fillId="0" borderId="0" xfId="0" applyFont="1" applyAlignment="1">
      <alignment horizontal="center"/>
    </xf>
    <xf numFmtId="0" fontId="1" fillId="3" borderId="6" xfId="0" applyFont="1" applyFill="1" applyBorder="1" applyAlignment="1"/>
    <xf numFmtId="0" fontId="0" fillId="0" borderId="0" xfId="0" applyAlignment="1"/>
    <xf numFmtId="0" fontId="0" fillId="0" borderId="4" xfId="0" applyBorder="1" applyAlignment="1"/>
    <xf numFmtId="0" fontId="1" fillId="3" borderId="12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32" borderId="10" xfId="0" applyFill="1" applyBorder="1" applyAlignment="1" applyProtection="1">
      <alignment horizontal="center" vertical="center"/>
      <protection locked="0"/>
    </xf>
    <xf numFmtId="0" fontId="0" fillId="32" borderId="11" xfId="0" applyFill="1" applyBorder="1" applyAlignment="1" applyProtection="1">
      <alignment horizontal="center" vertical="center"/>
      <protection locked="0"/>
    </xf>
    <xf numFmtId="0" fontId="0" fillId="32" borderId="1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4" fontId="0" fillId="32" borderId="10" xfId="18" applyFont="1" applyFill="1" applyBorder="1" applyAlignment="1" applyProtection="1">
      <alignment horizontal="center" vertical="center"/>
      <protection locked="0"/>
    </xf>
    <xf numFmtId="44" fontId="0" fillId="32" borderId="14" xfId="18" applyFont="1" applyFill="1" applyBorder="1" applyAlignment="1" applyProtection="1">
      <alignment horizontal="center" vertical="center"/>
      <protection locked="0"/>
    </xf>
    <xf numFmtId="0" fontId="10" fillId="15" borderId="54" xfId="0" applyFont="1" applyFill="1" applyBorder="1" applyAlignment="1">
      <alignment horizontal="center"/>
    </xf>
    <xf numFmtId="165" fontId="0" fillId="0" borderId="0" xfId="0" applyNumberFormat="1" applyBorder="1"/>
    <xf numFmtId="165" fontId="0" fillId="0" borderId="97" xfId="0" applyNumberFormat="1" applyBorder="1"/>
    <xf numFmtId="165" fontId="0" fillId="0" borderId="98" xfId="0" applyNumberFormat="1" applyBorder="1"/>
    <xf numFmtId="0" fontId="0" fillId="30" borderId="100" xfId="0" applyFill="1" applyBorder="1"/>
    <xf numFmtId="0" fontId="0" fillId="30" borderId="102" xfId="0" applyFill="1" applyBorder="1"/>
    <xf numFmtId="0" fontId="0" fillId="30" borderId="103" xfId="0" applyFill="1" applyBorder="1"/>
    <xf numFmtId="0" fontId="0" fillId="28" borderId="101" xfId="0" applyFill="1" applyBorder="1"/>
    <xf numFmtId="0" fontId="0" fillId="28" borderId="104" xfId="0" applyFill="1" applyBorder="1"/>
    <xf numFmtId="10" fontId="0" fillId="0" borderId="0" xfId="0" applyNumberFormat="1"/>
    <xf numFmtId="0" fontId="28" fillId="0" borderId="127" xfId="0" applyFont="1" applyBorder="1" applyAlignment="1">
      <alignment horizontal="center" vertical="center" wrapText="1"/>
    </xf>
    <xf numFmtId="0" fontId="29" fillId="0" borderId="129" xfId="0" applyFont="1" applyBorder="1" applyAlignment="1">
      <alignment horizontal="center" vertical="center" wrapText="1"/>
    </xf>
    <xf numFmtId="0" fontId="30" fillId="0" borderId="133" xfId="0" applyFont="1" applyBorder="1" applyAlignment="1">
      <alignment horizontal="center" vertical="center" wrapText="1"/>
    </xf>
    <xf numFmtId="0" fontId="28" fillId="0" borderId="98" xfId="0" applyFont="1" applyBorder="1" applyAlignment="1">
      <alignment horizontal="center" vertical="center" wrapText="1"/>
    </xf>
    <xf numFmtId="0" fontId="30" fillId="0" borderId="134" xfId="0" applyFont="1" applyBorder="1" applyAlignment="1">
      <alignment horizontal="center" vertical="center" wrapText="1"/>
    </xf>
    <xf numFmtId="0" fontId="30" fillId="0" borderId="129" xfId="0" applyFont="1" applyBorder="1" applyAlignment="1">
      <alignment horizontal="center" vertical="center" wrapText="1"/>
    </xf>
    <xf numFmtId="0" fontId="28" fillId="0" borderId="130" xfId="0" applyFont="1" applyBorder="1" applyAlignment="1">
      <alignment horizontal="center" vertical="center" wrapText="1"/>
    </xf>
    <xf numFmtId="0" fontId="28" fillId="0" borderId="135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136" xfId="0" applyFont="1" applyBorder="1" applyAlignment="1">
      <alignment horizontal="center" vertical="center" wrapText="1"/>
    </xf>
    <xf numFmtId="0" fontId="28" fillId="0" borderId="132" xfId="0" applyFont="1" applyBorder="1" applyAlignment="1">
      <alignment horizontal="center" vertical="center" wrapText="1"/>
    </xf>
    <xf numFmtId="0" fontId="28" fillId="29" borderId="127" xfId="0" applyFont="1" applyFill="1" applyBorder="1" applyAlignment="1">
      <alignment horizontal="center" vertical="center" wrapText="1"/>
    </xf>
    <xf numFmtId="0" fontId="28" fillId="29" borderId="131" xfId="0" applyFont="1" applyFill="1" applyBorder="1" applyAlignment="1">
      <alignment horizontal="center" vertical="center" wrapText="1"/>
    </xf>
    <xf numFmtId="0" fontId="28" fillId="29" borderId="132" xfId="0" applyFont="1" applyFill="1" applyBorder="1" applyAlignment="1">
      <alignment horizontal="center" vertical="center" wrapText="1"/>
    </xf>
    <xf numFmtId="0" fontId="28" fillId="29" borderId="137" xfId="0" applyFont="1" applyFill="1" applyBorder="1" applyAlignment="1">
      <alignment horizontal="center" vertical="center" wrapText="1"/>
    </xf>
    <xf numFmtId="0" fontId="28" fillId="29" borderId="97" xfId="0" applyFont="1" applyFill="1" applyBorder="1" applyAlignment="1">
      <alignment horizontal="center" vertical="center" wrapText="1"/>
    </xf>
    <xf numFmtId="0" fontId="28" fillId="29" borderId="134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28" fillId="0" borderId="136" xfId="0" applyFont="1" applyBorder="1" applyAlignment="1">
      <alignment vertical="center" wrapText="1"/>
    </xf>
    <xf numFmtId="0" fontId="28" fillId="0" borderId="138" xfId="0" applyFont="1" applyBorder="1" applyAlignment="1">
      <alignment horizontal="center" vertical="center" wrapText="1"/>
    </xf>
    <xf numFmtId="0" fontId="28" fillId="0" borderId="139" xfId="0" applyFont="1" applyBorder="1" applyAlignment="1">
      <alignment vertical="center" wrapText="1"/>
    </xf>
    <xf numFmtId="0" fontId="29" fillId="0" borderId="25" xfId="0" applyFont="1" applyBorder="1" applyAlignment="1">
      <alignment horizontal="center" vertical="center" wrapText="1"/>
    </xf>
    <xf numFmtId="0" fontId="28" fillId="29" borderId="140" xfId="0" applyFont="1" applyFill="1" applyBorder="1" applyAlignment="1">
      <alignment horizontal="center" vertical="center" wrapText="1"/>
    </xf>
    <xf numFmtId="0" fontId="28" fillId="29" borderId="135" xfId="0" applyFont="1" applyFill="1" applyBorder="1" applyAlignment="1">
      <alignment horizontal="center" vertical="center" wrapText="1"/>
    </xf>
    <xf numFmtId="0" fontId="28" fillId="29" borderId="24" xfId="0" applyFont="1" applyFill="1" applyBorder="1" applyAlignment="1">
      <alignment horizontal="center" vertical="center" wrapText="1"/>
    </xf>
    <xf numFmtId="0" fontId="30" fillId="0" borderId="141" xfId="0" applyFont="1" applyBorder="1" applyAlignment="1">
      <alignment horizontal="center" vertical="center" wrapText="1"/>
    </xf>
    <xf numFmtId="0" fontId="30" fillId="0" borderId="143" xfId="0" applyFont="1" applyBorder="1" applyAlignment="1">
      <alignment horizontal="center" vertical="center" wrapText="1"/>
    </xf>
    <xf numFmtId="0" fontId="30" fillId="0" borderId="142" xfId="0" applyFont="1" applyBorder="1" applyAlignment="1">
      <alignment horizontal="center" vertical="center" wrapText="1"/>
    </xf>
    <xf numFmtId="0" fontId="30" fillId="0" borderId="144" xfId="0" applyFont="1" applyBorder="1" applyAlignment="1">
      <alignment horizontal="center" vertical="center" wrapText="1"/>
    </xf>
    <xf numFmtId="0" fontId="30" fillId="0" borderId="145" xfId="0" applyFont="1" applyBorder="1" applyAlignment="1">
      <alignment horizontal="center" vertical="center" wrapText="1"/>
    </xf>
    <xf numFmtId="0" fontId="30" fillId="0" borderId="124" xfId="0" applyFont="1" applyBorder="1" applyAlignment="1">
      <alignment horizontal="center" vertical="center" wrapText="1"/>
    </xf>
    <xf numFmtId="0" fontId="28" fillId="0" borderId="123" xfId="0" applyFont="1" applyBorder="1" applyAlignment="1">
      <alignment horizontal="center" vertical="center" wrapText="1"/>
    </xf>
    <xf numFmtId="0" fontId="28" fillId="0" borderId="124" xfId="0" applyFont="1" applyBorder="1" applyAlignment="1">
      <alignment horizontal="center" vertical="center" wrapText="1"/>
    </xf>
    <xf numFmtId="10" fontId="28" fillId="0" borderId="128" xfId="0" applyNumberFormat="1" applyFont="1" applyBorder="1" applyAlignment="1">
      <alignment horizontal="center" vertical="center" wrapText="1"/>
    </xf>
    <xf numFmtId="10" fontId="30" fillId="0" borderId="132" xfId="0" applyNumberFormat="1" applyFont="1" applyBorder="1" applyAlignment="1">
      <alignment horizontal="center" vertical="center" wrapText="1"/>
    </xf>
    <xf numFmtId="10" fontId="28" fillId="0" borderId="98" xfId="0" applyNumberFormat="1" applyFont="1" applyBorder="1" applyAlignment="1">
      <alignment horizontal="center" vertical="center" wrapText="1"/>
    </xf>
    <xf numFmtId="10" fontId="30" fillId="0" borderId="134" xfId="0" applyNumberFormat="1" applyFont="1" applyBorder="1" applyAlignment="1">
      <alignment horizontal="center" vertical="center" wrapText="1"/>
    </xf>
    <xf numFmtId="10" fontId="28" fillId="0" borderId="130" xfId="0" applyNumberFormat="1" applyFont="1" applyBorder="1" applyAlignment="1">
      <alignment horizontal="center" vertical="center" wrapText="1"/>
    </xf>
    <xf numFmtId="0" fontId="28" fillId="0" borderId="98" xfId="0" applyNumberFormat="1" applyFont="1" applyBorder="1" applyAlignment="1">
      <alignment horizontal="center" vertical="center" wrapText="1"/>
    </xf>
    <xf numFmtId="0" fontId="30" fillId="0" borderId="134" xfId="0" applyNumberFormat="1" applyFont="1" applyBorder="1" applyAlignment="1">
      <alignment horizontal="center" vertical="center" wrapText="1"/>
    </xf>
    <xf numFmtId="0" fontId="28" fillId="0" borderId="130" xfId="0" applyNumberFormat="1" applyFont="1" applyBorder="1" applyAlignment="1">
      <alignment horizontal="center" vertical="center" wrapText="1"/>
    </xf>
    <xf numFmtId="10" fontId="30" fillId="0" borderId="146" xfId="0" applyNumberFormat="1" applyFont="1" applyBorder="1" applyAlignment="1">
      <alignment horizontal="center" vertical="center" wrapText="1"/>
    </xf>
    <xf numFmtId="10" fontId="30" fillId="0" borderId="145" xfId="0" applyNumberFormat="1" applyFont="1" applyBorder="1" applyAlignment="1">
      <alignment horizontal="center" vertical="center" wrapText="1"/>
    </xf>
    <xf numFmtId="10" fontId="30" fillId="0" borderId="124" xfId="0" applyNumberFormat="1" applyFont="1" applyBorder="1" applyAlignment="1">
      <alignment horizontal="center" vertical="center" wrapText="1"/>
    </xf>
    <xf numFmtId="0" fontId="30" fillId="0" borderId="145" xfId="0" applyNumberFormat="1" applyFont="1" applyBorder="1" applyAlignment="1">
      <alignment horizontal="center" vertical="center" wrapText="1"/>
    </xf>
    <xf numFmtId="0" fontId="15" fillId="20" borderId="0" xfId="2" applyFont="1" applyFill="1" applyBorder="1"/>
    <xf numFmtId="0" fontId="15" fillId="0" borderId="59" xfId="2" applyFont="1" applyBorder="1" applyAlignment="1">
      <alignment horizontal="center"/>
    </xf>
    <xf numFmtId="0" fontId="15" fillId="0" borderId="64" xfId="2" applyFont="1" applyBorder="1" applyAlignment="1">
      <alignment horizontal="center"/>
    </xf>
    <xf numFmtId="0" fontId="15" fillId="0" borderId="58" xfId="2" applyFont="1" applyBorder="1" applyAlignment="1">
      <alignment horizontal="center"/>
    </xf>
    <xf numFmtId="0" fontId="15" fillId="0" borderId="59" xfId="2" applyFont="1" applyBorder="1" applyAlignment="1">
      <alignment horizontal="left"/>
    </xf>
    <xf numFmtId="0" fontId="15" fillId="0" borderId="64" xfId="2" applyFont="1" applyBorder="1" applyAlignment="1">
      <alignment horizontal="left"/>
    </xf>
    <xf numFmtId="0" fontId="15" fillId="0" borderId="58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0" fontId="15" fillId="0" borderId="11" xfId="2" applyFont="1" applyBorder="1" applyAlignment="1">
      <alignment horizontal="left"/>
    </xf>
    <xf numFmtId="0" fontId="15" fillId="0" borderId="14" xfId="2" applyFont="1" applyBorder="1" applyAlignment="1">
      <alignment horizontal="left"/>
    </xf>
    <xf numFmtId="166" fontId="15" fillId="21" borderId="1" xfId="2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165" fontId="0" fillId="29" borderId="1" xfId="0" applyNumberFormat="1" applyFill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2" xfId="0" applyFont="1" applyBorder="1" applyAlignment="1"/>
    <xf numFmtId="0" fontId="4" fillId="0" borderId="93" xfId="0" applyFont="1" applyBorder="1" applyAlignment="1"/>
    <xf numFmtId="0" fontId="4" fillId="0" borderId="97" xfId="0" applyFont="1" applyBorder="1" applyAlignment="1"/>
    <xf numFmtId="0" fontId="4" fillId="0" borderId="98" xfId="0" applyFont="1" applyBorder="1" applyAlignment="1"/>
    <xf numFmtId="0" fontId="10" fillId="16" borderId="72" xfId="20" applyBorder="1" applyAlignment="1">
      <alignment horizontal="center"/>
    </xf>
    <xf numFmtId="0" fontId="10" fillId="16" borderId="147" xfId="20" applyBorder="1" applyAlignment="1">
      <alignment horizontal="center"/>
    </xf>
    <xf numFmtId="0" fontId="10" fillId="16" borderId="71" xfId="20" applyBorder="1" applyAlignment="1">
      <alignment horizontal="center"/>
    </xf>
  </cellXfs>
  <cellStyles count="23">
    <cellStyle name="Celda de comprobación" xfId="20" builtinId="23"/>
    <cellStyle name="Encabezado 1 2" xfId="17" xr:uid="{FEE96D04-B262-4437-A73A-C2DD6D08DB37}"/>
    <cellStyle name="Encabezado 4 2" xfId="9" xr:uid="{0F6F579E-ACD2-4C58-A69A-4ACF3ABC3A07}"/>
    <cellStyle name="Entrada 2" xfId="10" xr:uid="{7D07AB0E-02A3-4397-8A26-CB32CD412C2B}"/>
    <cellStyle name="Fecha" xfId="6" xr:uid="{51B34F59-0EC3-41BA-9BB4-9D72DE0091E4}"/>
    <cellStyle name="Hipervínculo" xfId="3" builtinId="8"/>
    <cellStyle name="Importe" xfId="12" xr:uid="{61274977-E019-45FF-B9AE-18A2CF133405}"/>
    <cellStyle name="Importe de la tabla" xfId="5" xr:uid="{41803DD2-324A-40BB-8380-BDC8ECE77327}"/>
    <cellStyle name="Millares" xfId="1" builtinId="3"/>
    <cellStyle name="Millares 2" xfId="21" xr:uid="{00000000-0005-0000-0000-000040000000}"/>
    <cellStyle name="Moneda" xfId="18" builtinId="4"/>
    <cellStyle name="Moneda 2" xfId="22" xr:uid="{00000000-0005-0000-0000-000041000000}"/>
    <cellStyle name="Normal" xfId="0" builtinId="0"/>
    <cellStyle name="Normal 2" xfId="4" xr:uid="{4998A54D-7F3D-4D67-834B-382215E86CA9}"/>
    <cellStyle name="Normal 3" xfId="2" xr:uid="{BFBB6412-5D04-48B0-A763-20EC64025F18}"/>
    <cellStyle name="Número" xfId="7" xr:uid="{7639E1CE-8BB3-4EDE-A9F4-91C17907064B}"/>
    <cellStyle name="Porcentaje" xfId="19" builtinId="5"/>
    <cellStyle name="Porcentaje 2" xfId="15" xr:uid="{D3D7D508-7979-45C2-9D34-46A0D9618A82}"/>
    <cellStyle name="Resumen del préstamo" xfId="14" xr:uid="{44751768-9DBF-4346-B9DA-82010BD55FB1}"/>
    <cellStyle name="Texto explicativo 2" xfId="13" xr:uid="{80F7DF56-7EDD-44AF-B334-9B7C02A8D0AC}"/>
    <cellStyle name="Título 2 2" xfId="16" xr:uid="{7D550B8C-0540-47D7-8A0E-BC58DA76AD79}"/>
    <cellStyle name="Título 3 2" xfId="11" xr:uid="{90438AB8-EE43-40E9-B830-5C523872313B}"/>
    <cellStyle name="Título 4 alineado a la derecha" xfId="8" xr:uid="{D98251BD-6524-4B1D-839C-18466E47E815}"/>
  </cellStyles>
  <dxfs count="18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</dxfs>
  <tableStyles count="3" defaultTableStyle="TableStyleMedium2" defaultPivotStyle="PivotStyleLight16">
    <tableStyle name="Estilo de tabla 1" pivot="0" count="2" xr9:uid="{05E5B9C0-01C7-43D2-A9CA-73EB6765D7F6}">
      <tableStyleElement type="wholeTable" dxfId="17"/>
      <tableStyleElement type="firstColumn" dxfId="16"/>
    </tableStyle>
    <tableStyle name="MySqlDefault" pivot="0" table="0" count="2" xr9:uid="{45EBDF7A-01BC-4132-860A-269A2AF0D7B5}">
      <tableStyleElement type="wholeTable" dxfId="15"/>
      <tableStyleElement type="headerRow" dxfId="14"/>
    </tableStyle>
    <tableStyle name="Programación de la amortización del préstamo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328083</xdr:colOff>
      <xdr:row>39</xdr:row>
      <xdr:rowOff>95250</xdr:rowOff>
    </xdr:from>
    <xdr:ext cx="57272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F056EB8-49A5-4520-81D3-50B8FD282160}"/>
                </a:ext>
              </a:extLst>
            </xdr:cNvPr>
            <xdr:cNvSpPr txBox="1"/>
          </xdr:nvSpPr>
          <xdr:spPr>
            <a:xfrm>
              <a:off x="8984403" y="536829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GAO</m:t>
                    </m:r>
                    <m: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F056EB8-49A5-4520-81D3-50B8FD282160}"/>
                </a:ext>
              </a:extLst>
            </xdr:cNvPr>
            <xdr:cNvSpPr txBox="1"/>
          </xdr:nvSpPr>
          <xdr:spPr>
            <a:xfrm>
              <a:off x="8984403" y="536829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  <a:cs typeface="+mn-cs"/>
                </a:rPr>
                <a:t>GAO=</a:t>
              </a:r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328083</xdr:colOff>
      <xdr:row>43</xdr:row>
      <xdr:rowOff>95250</xdr:rowOff>
    </xdr:from>
    <xdr:ext cx="57272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10F1CD8-1C06-4E83-8811-A3274735C1F1}"/>
                </a:ext>
              </a:extLst>
            </xdr:cNvPr>
            <xdr:cNvSpPr txBox="1"/>
          </xdr:nvSpPr>
          <xdr:spPr>
            <a:xfrm>
              <a:off x="8984403" y="609981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GAO</m:t>
                    </m:r>
                    <m: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10F1CD8-1C06-4E83-8811-A3274735C1F1}"/>
                </a:ext>
              </a:extLst>
            </xdr:cNvPr>
            <xdr:cNvSpPr txBox="1"/>
          </xdr:nvSpPr>
          <xdr:spPr>
            <a:xfrm>
              <a:off x="8984403" y="609981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  <a:cs typeface="+mn-cs"/>
                </a:rPr>
                <a:t>GAO=</a:t>
              </a:r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328083</xdr:colOff>
      <xdr:row>47</xdr:row>
      <xdr:rowOff>95250</xdr:rowOff>
    </xdr:from>
    <xdr:ext cx="57272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DBC9C-B5B2-45C6-BBB6-D4A91D82F2B1}"/>
                </a:ext>
              </a:extLst>
            </xdr:cNvPr>
            <xdr:cNvSpPr txBox="1"/>
          </xdr:nvSpPr>
          <xdr:spPr>
            <a:xfrm>
              <a:off x="8984403" y="683133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GAO</m:t>
                    </m:r>
                    <m: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DBC9C-B5B2-45C6-BBB6-D4A91D82F2B1}"/>
                </a:ext>
              </a:extLst>
            </xdr:cNvPr>
            <xdr:cNvSpPr txBox="1"/>
          </xdr:nvSpPr>
          <xdr:spPr>
            <a:xfrm>
              <a:off x="8984403" y="683133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  <a:cs typeface="+mn-cs"/>
                </a:rPr>
                <a:t>GAO=</a:t>
              </a:r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619125</xdr:colOff>
      <xdr:row>4</xdr:row>
      <xdr:rowOff>22225</xdr:rowOff>
    </xdr:from>
    <xdr:ext cx="494879" cy="17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D15B2F9-8474-4B79-A679-F8A9882BA7C2}"/>
                </a:ext>
              </a:extLst>
            </xdr:cNvPr>
            <xdr:cNvSpPr txBox="1"/>
          </xdr:nvSpPr>
          <xdr:spPr>
            <a:xfrm>
              <a:off x="2120265" y="62420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D15B2F9-8474-4B79-A679-F8A9882BA7C2}"/>
                </a:ext>
              </a:extLst>
            </xdr:cNvPr>
            <xdr:cNvSpPr txBox="1"/>
          </xdr:nvSpPr>
          <xdr:spPr>
            <a:xfrm>
              <a:off x="2120265" y="62420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𝑁𝑒𝑡𝑎)/(𝑉𝑒𝑛𝑡𝑎𝑠 𝑁𝑒𝑡𝑎𝑠)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625475</xdr:colOff>
      <xdr:row>5</xdr:row>
      <xdr:rowOff>22225</xdr:rowOff>
    </xdr:from>
    <xdr:ext cx="494879" cy="17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A081A0D-4B22-46FA-A5DC-DA7C75AE890D}"/>
                </a:ext>
              </a:extLst>
            </xdr:cNvPr>
            <xdr:cNvSpPr txBox="1"/>
          </xdr:nvSpPr>
          <xdr:spPr>
            <a:xfrm>
              <a:off x="2126615" y="85280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A081A0D-4B22-46FA-A5DC-DA7C75AE890D}"/>
                </a:ext>
              </a:extLst>
            </xdr:cNvPr>
            <xdr:cNvSpPr txBox="1"/>
          </xdr:nvSpPr>
          <xdr:spPr>
            <a:xfrm>
              <a:off x="2126615" y="85280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587375</xdr:colOff>
      <xdr:row>6</xdr:row>
      <xdr:rowOff>15875</xdr:rowOff>
    </xdr:from>
    <xdr:ext cx="600164" cy="190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996B9A-2C5B-45EF-AD41-5E74C4D892ED}"/>
                </a:ext>
              </a:extLst>
            </xdr:cNvPr>
            <xdr:cNvSpPr txBox="1"/>
          </xdr:nvSpPr>
          <xdr:spPr>
            <a:xfrm>
              <a:off x="2088515" y="107505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996B9A-2C5B-45EF-AD41-5E74C4D892ED}"/>
                </a:ext>
              </a:extLst>
            </xdr:cNvPr>
            <xdr:cNvSpPr txBox="1"/>
          </xdr:nvSpPr>
          <xdr:spPr>
            <a:xfrm>
              <a:off x="2088515" y="107505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631825</xdr:colOff>
      <xdr:row>10</xdr:row>
      <xdr:rowOff>22225</xdr:rowOff>
    </xdr:from>
    <xdr:ext cx="45602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68FD73E-CA6F-4BAF-9D6C-7F61DCEFC49D}"/>
                </a:ext>
              </a:extLst>
            </xdr:cNvPr>
            <xdr:cNvSpPr txBox="1"/>
          </xdr:nvSpPr>
          <xdr:spPr>
            <a:xfrm>
              <a:off x="2132965" y="231584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68FD73E-CA6F-4BAF-9D6C-7F61DCEFC49D}"/>
                </a:ext>
              </a:extLst>
            </xdr:cNvPr>
            <xdr:cNvSpPr txBox="1"/>
          </xdr:nvSpPr>
          <xdr:spPr>
            <a:xfrm>
              <a:off x="2132965" y="231584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𝑇𝑜𝑡𝑎𝑙)/(𝑃𝑎𝑠𝑖𝑣𝑜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574675</xdr:colOff>
      <xdr:row>11</xdr:row>
      <xdr:rowOff>22225</xdr:rowOff>
    </xdr:from>
    <xdr:ext cx="583686" cy="189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83463EB-1593-4D98-B2DA-245F6038ABE5}"/>
                </a:ext>
              </a:extLst>
            </xdr:cNvPr>
            <xdr:cNvSpPr txBox="1"/>
          </xdr:nvSpPr>
          <xdr:spPr>
            <a:xfrm>
              <a:off x="2075815" y="252920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83463EB-1593-4D98-B2DA-245F6038ABE5}"/>
                </a:ext>
              </a:extLst>
            </xdr:cNvPr>
            <xdr:cNvSpPr txBox="1"/>
          </xdr:nvSpPr>
          <xdr:spPr>
            <a:xfrm>
              <a:off x="2075815" y="252920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𝑁𝑒𝑡𝑜)/(𝑃𝑎𝑠𝑖𝑣𝑜 𝐹𝑖𝑗𝑜)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612775</xdr:colOff>
      <xdr:row>15</xdr:row>
      <xdr:rowOff>9525</xdr:rowOff>
    </xdr:from>
    <xdr:ext cx="45602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491F267-6901-4283-BC6A-2A0EF2A75410}"/>
                </a:ext>
              </a:extLst>
            </xdr:cNvPr>
            <xdr:cNvSpPr txBox="1"/>
          </xdr:nvSpPr>
          <xdr:spPr>
            <a:xfrm>
              <a:off x="2113915" y="339280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491F267-6901-4283-BC6A-2A0EF2A75410}"/>
                </a:ext>
              </a:extLst>
            </xdr:cNvPr>
            <xdr:cNvSpPr txBox="1"/>
          </xdr:nvSpPr>
          <xdr:spPr>
            <a:xfrm>
              <a:off x="2113915" y="339280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15875</xdr:colOff>
      <xdr:row>16</xdr:row>
      <xdr:rowOff>15875</xdr:rowOff>
    </xdr:from>
    <xdr:ext cx="1677126" cy="1919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C907D5-6ECF-4A69-A9C2-D35E8325681A}"/>
                </a:ext>
              </a:extLst>
            </xdr:cNvPr>
            <xdr:cNvSpPr txBox="1"/>
          </xdr:nvSpPr>
          <xdr:spPr>
            <a:xfrm>
              <a:off x="1517015" y="3825875"/>
              <a:ext cx="1677126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𝑂𝑝𝑒𝑟𝑎𝑐𝑖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𝑎𝑛𝑡𝑒𝑠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𝑙𝑜𝑠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𝐶𝑎𝑟𝑔𝑜𝑠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𝐶𝑎𝑟𝑔𝑜𝑠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C907D5-6ECF-4A69-A9C2-D35E8325681A}"/>
                </a:ext>
              </a:extLst>
            </xdr:cNvPr>
            <xdr:cNvSpPr txBox="1"/>
          </xdr:nvSpPr>
          <xdr:spPr>
            <a:xfrm>
              <a:off x="1517015" y="3825875"/>
              <a:ext cx="1677126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(𝑈𝑡𝑖𝑙𝑖𝑑𝑎𝑑 </a:t>
              </a:r>
              <a:r>
                <a:rPr lang="es-MX" sz="600" b="0" i="0">
                  <a:latin typeface="Cambria Math" panose="02040503050406030204" pitchFamily="18" charset="0"/>
                </a:rPr>
                <a:t>𝑑𝑒 𝑂𝑝𝑒𝑟𝑎𝑐𝑖ó𝑛 𝑎𝑛𝑡𝑒𝑠 𝑑𝑒 𝑙𝑜𝑠 𝐶𝑎𝑟𝑔𝑜𝑠 𝐹𝑖𝑗𝑜𝑠)/(𝐶𝑎𝑟𝑔𝑜𝑠 𝐹𝑖𝑗𝑜𝑠)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339725</xdr:colOff>
      <xdr:row>8</xdr:row>
      <xdr:rowOff>47625</xdr:rowOff>
    </xdr:from>
    <xdr:ext cx="1148904" cy="93936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397B15E-C3BC-4D8F-A7C2-27C3C1EAA581}"/>
            </a:ext>
          </a:extLst>
        </xdr:cNvPr>
        <xdr:cNvSpPr txBox="1"/>
      </xdr:nvSpPr>
      <xdr:spPr>
        <a:xfrm>
          <a:off x="1840865" y="1952625"/>
          <a:ext cx="1148904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600"/>
            <a:t>Activo</a:t>
          </a:r>
          <a:r>
            <a:rPr lang="es-MX" sz="600" baseline="0"/>
            <a:t> Circulante - Pasivo Circulante</a:t>
          </a:r>
          <a:endParaRPr lang="es-MX" sz="600"/>
        </a:p>
      </xdr:txBody>
    </xdr:sp>
    <xdr:clientData/>
  </xdr:oneCellAnchor>
  <xdr:oneCellAnchor>
    <xdr:from>
      <xdr:col>2</xdr:col>
      <xdr:colOff>568325</xdr:colOff>
      <xdr:row>12</xdr:row>
      <xdr:rowOff>9525</xdr:rowOff>
    </xdr:from>
    <xdr:ext cx="583686" cy="1890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827434D-D77E-4C37-BFFF-420A9EA95F6D}"/>
                </a:ext>
              </a:extLst>
            </xdr:cNvPr>
            <xdr:cNvSpPr txBox="1"/>
          </xdr:nvSpPr>
          <xdr:spPr>
            <a:xfrm>
              <a:off x="2069465" y="273748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827434D-D77E-4C37-BFFF-420A9EA95F6D}"/>
                </a:ext>
              </a:extLst>
            </xdr:cNvPr>
            <xdr:cNvSpPr txBox="1"/>
          </xdr:nvSpPr>
          <xdr:spPr>
            <a:xfrm>
              <a:off x="2069465" y="273748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555625</xdr:colOff>
      <xdr:row>13</xdr:row>
      <xdr:rowOff>15875</xdr:rowOff>
    </xdr:from>
    <xdr:ext cx="600164" cy="1890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381DC77-421D-4E99-A8B2-EF8A395A4FDF}"/>
                </a:ext>
              </a:extLst>
            </xdr:cNvPr>
            <xdr:cNvSpPr txBox="1"/>
          </xdr:nvSpPr>
          <xdr:spPr>
            <a:xfrm>
              <a:off x="2056765" y="297243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381DC77-421D-4E99-A8B2-EF8A395A4FDF}"/>
                </a:ext>
              </a:extLst>
            </xdr:cNvPr>
            <xdr:cNvSpPr txBox="1"/>
          </xdr:nvSpPr>
          <xdr:spPr>
            <a:xfrm>
              <a:off x="2056765" y="297243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600075</xdr:colOff>
      <xdr:row>17</xdr:row>
      <xdr:rowOff>15875</xdr:rowOff>
    </xdr:from>
    <xdr:ext cx="501419" cy="190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8B49683-C476-473E-A498-F923321F9DE2}"/>
                </a:ext>
              </a:extLst>
            </xdr:cNvPr>
            <xdr:cNvSpPr txBox="1"/>
          </xdr:nvSpPr>
          <xdr:spPr>
            <a:xfrm>
              <a:off x="210121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8B49683-C476-473E-A498-F923321F9DE2}"/>
                </a:ext>
              </a:extLst>
            </xdr:cNvPr>
            <xdr:cNvSpPr txBox="1"/>
          </xdr:nvSpPr>
          <xdr:spPr>
            <a:xfrm>
              <a:off x="210121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625475</xdr:colOff>
      <xdr:row>19</xdr:row>
      <xdr:rowOff>9525</xdr:rowOff>
    </xdr:from>
    <xdr:ext cx="583686" cy="1890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BC4BA34-A8AB-43D9-A393-1EF145A1DB86}"/>
                </a:ext>
              </a:extLst>
            </xdr:cNvPr>
            <xdr:cNvSpPr txBox="1"/>
          </xdr:nvSpPr>
          <xdr:spPr>
            <a:xfrm>
              <a:off x="2126615" y="643318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BC4BA34-A8AB-43D9-A393-1EF145A1DB86}"/>
                </a:ext>
              </a:extLst>
            </xdr:cNvPr>
            <xdr:cNvSpPr txBox="1"/>
          </xdr:nvSpPr>
          <xdr:spPr>
            <a:xfrm>
              <a:off x="2126615" y="643318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𝐹𝑖𝑗𝑜 𝑁𝑒𝑡𝑜)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2</xdr:col>
      <xdr:colOff>688975</xdr:colOff>
      <xdr:row>20</xdr:row>
      <xdr:rowOff>22225</xdr:rowOff>
    </xdr:from>
    <xdr:ext cx="479940" cy="1729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EDE9949-AC4D-4BF0-AA4F-03BC441EFA51}"/>
                </a:ext>
              </a:extLst>
            </xdr:cNvPr>
            <xdr:cNvSpPr txBox="1"/>
          </xdr:nvSpPr>
          <xdr:spPr>
            <a:xfrm>
              <a:off x="2190115" y="665162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EDE9949-AC4D-4BF0-AA4F-03BC441EFA51}"/>
                </a:ext>
              </a:extLst>
            </xdr:cNvPr>
            <xdr:cNvSpPr txBox="1"/>
          </xdr:nvSpPr>
          <xdr:spPr>
            <a:xfrm>
              <a:off x="2190115" y="665162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290F7-8F48-4903-AC50-74312D7F5F2D}" name="Tabla2" displayName="Tabla2" ref="A1:D6" totalsRowShown="0">
  <autoFilter ref="A1:D6" xr:uid="{EFA496B1-A929-4FF6-95AD-8520F35C5DD0}"/>
  <tableColumns count="4">
    <tableColumn id="1" xr3:uid="{35344F1D-7A43-4840-BF7B-529808A1611B}" name="Socio" dataDxfId="6"/>
    <tableColumn id="2" xr3:uid="{0C09CD78-E8B2-4C40-952F-FE537B6AC99A}" name="Valor de la acción" dataDxfId="5">
      <calculatedColumnFormula>80</calculatedColumnFormula>
    </tableColumn>
    <tableColumn id="3" xr3:uid="{C54E55CE-4790-45FA-AE37-10E7C60CF92A}" name="No. de acciones" dataDxfId="4">
      <calculatedColumnFormula>Tabla2[[#This Row],[Aportación inicial]]/Tabla2[[#This Row],[Valor de la acción]]</calculatedColumnFormula>
    </tableColumn>
    <tableColumn id="4" xr3:uid="{575C9F6C-B0B6-4E3D-9B0F-E6F2BB1E3E7B}" name="Aportación inicial" dataDxfId="3">
      <calculatedColumnFormula>Tabla2[[#This Row],[No. de acciones]]*Tabla2[[#This Row],[Valor de la acción]]</calculatedColumnFormula>
    </tableColumn>
  </tableColumns>
  <tableStyleInfo name="Programación de la amortización del préstam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AC3DD8-D9A8-4681-B9A6-686D494F606C}" name="PaymentSchedule" displayName="PaymentSchedule" ref="B11:K371" totalsRowShown="0">
  <tableColumns count="10">
    <tableColumn id="1" xr3:uid="{A6F65C0F-C05A-4774-B520-9B996849048D}" name="Nº. DE PAGO" dataDxfId="2" dataCellStyle="Número">
      <calculatedColumnFormula>IF(LoanIsGood,IF(ROW()-ROW(PaymentSchedule[[#Headers],[Nº. DE PAGO]])&gt;Numero_De_Pagos_Programados,"",ROW()-ROW(PaymentSchedule[[#Headers],[Nº. DE PAGO]])),"")</calculatedColumnFormula>
    </tableColumn>
    <tableColumn id="2" xr3:uid="{DE9B7310-A1CF-4306-8FF4-34AFCFA41287}" name="FECHA DE PAGO" dataDxfId="1" dataCellStyle="Fecha">
      <calculatedColumnFormula>IF(PaymentSchedule[[#This Row],[Nº. DE PAGO]]&lt;&gt;"",EOMONTH(Fecha_De_Inicio_Del_Prestamo,ROW(PaymentSchedule[[#This Row],[Nº. DE PAGO]])-ROW(PaymentSchedule[[#Headers],[Nº. DE PAGO]])-2)+DAY(Fecha_De_Inicio_Del_Prestamo),"")</calculatedColumnFormula>
    </tableColumn>
    <tableColumn id="3" xr3:uid="{F4D42D05-D67A-4547-B659-021C01DE88C3}" name="SALDO INICIAL" dataCellStyle="Importe de la tabla">
      <calculatedColumnFormula>IF(PaymentSchedule[[#This Row],[Nº. DE PAGO]]&lt;&gt;"",IF(ROW()-ROW(PaymentSchedule[[#Headers],[SALDO INICIAL]])=1,Importe_Del_Prestamo,INDEX(PaymentSchedule[SALDO FINAL],ROW()-ROW(PaymentSchedule[[#Headers],[SALDO INICIAL]])-1)),"")</calculatedColumnFormula>
    </tableColumn>
    <tableColumn id="4" xr3:uid="{F6EA24EB-49F6-4395-9A1C-12C7EC0AD2E1}" name="PAGO PROGRAMADO" dataCellStyle="Importe de la tabla">
      <calculatedColumnFormula>IF(PaymentSchedule[[#This Row],[Nº. DE PAGO]]&lt;&gt;"",Pago_Programado,"")</calculatedColumnFormula>
    </tableColumn>
    <tableColumn id="5" xr3:uid="{D750A4E2-9D41-424A-B22E-69BF92E31C03}" name="PAGO EXTRA" dataCellStyle="Importe de la tabla">
      <calculatedColumnFormula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calculatedColumnFormula>
    </tableColumn>
    <tableColumn id="6" xr3:uid="{B22F4272-6AE0-497F-B724-F8CED86938F9}" name="IMPORTE TOTAL DEL PAGO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calculatedColumnFormula>
    </tableColumn>
    <tableColumn id="7" xr3:uid="{C006CB9A-FE5B-4C5F-8C18-B950FE3105AB}" name="PRINCIPAL" dataCellStyle="Importe de la tabla">
      <calculatedColumnFormula>IF(PaymentSchedule[[#This Row],[Nº. DE PAGO]]&lt;&gt;"",PaymentSchedule[[#This Row],[IMPORTE TOTAL DEL PAGO]]-PaymentSchedule[[#This Row],[INTERÉS]],"")</calculatedColumnFormula>
    </tableColumn>
    <tableColumn id="8" xr3:uid="{15060AB7-675B-418B-9A7F-E8940B45EA79}" name="INTERÉS" dataCellStyle="Importe de la tabla">
      <calculatedColumnFormula>IF(PaymentSchedule[[#This Row],[Nº. DE PAGO]]&lt;&gt;"",PaymentSchedule[[#This Row],[SALDO INICIAL]]*(Tasa_De_Interes_Anual/Numero_De_Pagos_Por_Año),"")</calculatedColumnFormula>
    </tableColumn>
    <tableColumn id="9" xr3:uid="{2BDB81D4-CD4C-48F4-A28A-7002846E26E3}" name="SALDO FINAL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calculatedColumnFormula>
    </tableColumn>
    <tableColumn id="10" xr3:uid="{49CF48A0-6455-406D-A726-C0E6980C9D85}" name="INTERÉS ACUMULADO" dataCellStyle="Importe de la tabla">
      <calculatedColumnFormula>IF(PaymentSchedule[[#This Row],[Nº. DE PAGO]]&lt;&gt;"",SUM(INDEX(PaymentSchedule[INTERÉS],1,1):PaymentSchedule[[#This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extra, el importe del principal, el interés y los importes de los intereses acumulados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pn.mx/ofertaeducativa/Paginas/Estadisticas.asp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825B-5BA3-4478-BAD3-5C4C92F9BAE2}">
  <dimension ref="A1:E9"/>
  <sheetViews>
    <sheetView workbookViewId="0">
      <selection activeCell="F17" sqref="F17"/>
    </sheetView>
  </sheetViews>
  <sheetFormatPr baseColWidth="10" defaultColWidth="11.44140625" defaultRowHeight="14.4" x14ac:dyDescent="0.3"/>
  <cols>
    <col min="1" max="1" width="27.88671875" bestFit="1" customWidth="1"/>
    <col min="2" max="2" width="17.33203125" customWidth="1"/>
    <col min="3" max="3" width="15.88671875" customWidth="1"/>
    <col min="4" max="4" width="2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s="75" t="s">
        <v>4</v>
      </c>
      <c r="B2" s="75">
        <f>80</f>
        <v>80</v>
      </c>
      <c r="C2" s="76">
        <v>2500</v>
      </c>
      <c r="D2" s="75">
        <f>Tabla2[[#This Row],[No. de acciones]]*Tabla2[[#This Row],[Valor de la acción]]</f>
        <v>200000</v>
      </c>
    </row>
    <row r="3" spans="1:5" x14ac:dyDescent="0.3">
      <c r="A3" s="75" t="s">
        <v>5</v>
      </c>
      <c r="B3" s="312">
        <f>80</f>
        <v>80</v>
      </c>
      <c r="C3" s="76">
        <v>2500</v>
      </c>
      <c r="D3" s="312">
        <f>Tabla2[[#This Row],[No. de acciones]]*Tabla2[[#This Row],[Valor de la acción]]</f>
        <v>200000</v>
      </c>
    </row>
    <row r="4" spans="1:5" x14ac:dyDescent="0.3">
      <c r="A4" s="75" t="s">
        <v>6</v>
      </c>
      <c r="B4" s="312">
        <f>80</f>
        <v>80</v>
      </c>
      <c r="C4" s="76">
        <v>2500</v>
      </c>
      <c r="D4" s="312">
        <f>Tabla2[[#This Row],[No. de acciones]]*Tabla2[[#This Row],[Valor de la acción]]</f>
        <v>200000</v>
      </c>
    </row>
    <row r="5" spans="1:5" x14ac:dyDescent="0.3">
      <c r="A5" s="75" t="s">
        <v>7</v>
      </c>
      <c r="B5" s="312">
        <f>80</f>
        <v>80</v>
      </c>
      <c r="C5" s="76">
        <v>2500</v>
      </c>
      <c r="D5" s="312">
        <f>Tabla2[[#This Row],[No. de acciones]]*Tabla2[[#This Row],[Valor de la acción]]</f>
        <v>200000</v>
      </c>
    </row>
    <row r="6" spans="1:5" x14ac:dyDescent="0.3">
      <c r="A6" s="75" t="s">
        <v>8</v>
      </c>
      <c r="B6" s="312">
        <f>80</f>
        <v>80</v>
      </c>
      <c r="C6" s="76">
        <v>2500</v>
      </c>
      <c r="D6" s="312">
        <f>Tabla2[[#This Row],[No. de acciones]]*Tabla2[[#This Row],[Valor de la acción]]</f>
        <v>200000</v>
      </c>
    </row>
    <row r="7" spans="1:5" x14ac:dyDescent="0.3">
      <c r="A7" s="326" t="s">
        <v>9</v>
      </c>
      <c r="B7" s="327"/>
      <c r="C7" s="327"/>
      <c r="D7" s="75">
        <v>1000000</v>
      </c>
    </row>
    <row r="8" spans="1:5" x14ac:dyDescent="0.3">
      <c r="A8" s="143" t="s">
        <v>10</v>
      </c>
      <c r="B8" s="144">
        <v>80</v>
      </c>
      <c r="C8" s="145">
        <f>D8/B8</f>
        <v>279.06807461761235</v>
      </c>
      <c r="D8" s="146">
        <f>SUM(InversionTotal!E55:E56)</f>
        <v>22325.445969408989</v>
      </c>
      <c r="E8" s="300"/>
    </row>
    <row r="9" spans="1:5" x14ac:dyDescent="0.3">
      <c r="A9" s="326" t="s">
        <v>11</v>
      </c>
      <c r="B9" s="327"/>
      <c r="C9" s="327"/>
      <c r="D9" s="312">
        <f>SUM(D7:D8)</f>
        <v>1022325.445969409</v>
      </c>
    </row>
  </sheetData>
  <mergeCells count="2">
    <mergeCell ref="A7:C7"/>
    <mergeCell ref="A9:C9"/>
  </mergeCells>
  <pageMargins left="0.7" right="0.7" top="0.75" bottom="0.75" header="0.3" footer="0.3"/>
  <pageSetup paperSize="9" orientation="portrait" r:id="rId1"/>
  <ignoredErrors>
    <ignoredError sqref="C2 C3:C6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21"/>
  <sheetViews>
    <sheetView workbookViewId="0">
      <selection activeCell="A2" sqref="A2:D20"/>
    </sheetView>
  </sheetViews>
  <sheetFormatPr baseColWidth="10" defaultColWidth="11.44140625" defaultRowHeight="14.4" x14ac:dyDescent="0.3"/>
  <cols>
    <col min="1" max="1" width="19.44140625" bestFit="1" customWidth="1"/>
    <col min="2" max="2" width="10.6640625" bestFit="1" customWidth="1"/>
    <col min="3" max="3" width="14" bestFit="1" customWidth="1"/>
    <col min="4" max="4" width="17.6640625" bestFit="1" customWidth="1"/>
    <col min="5" max="5" width="11.109375" customWidth="1"/>
    <col min="6" max="6" width="9.44140625" bestFit="1" customWidth="1"/>
    <col min="7" max="7" width="18.88671875" bestFit="1" customWidth="1"/>
    <col min="8" max="8" width="11.109375" customWidth="1"/>
    <col min="9" max="9" width="9" customWidth="1"/>
    <col min="10" max="10" width="17.88671875" customWidth="1"/>
    <col min="11" max="11" width="11.109375" customWidth="1"/>
    <col min="12" max="12" width="9" customWidth="1"/>
    <col min="13" max="13" width="18.88671875" customWidth="1"/>
    <col min="14" max="14" width="12.109375" customWidth="1"/>
    <col min="15" max="15" width="10" customWidth="1"/>
    <col min="16" max="16" width="18.88671875" customWidth="1"/>
  </cols>
  <sheetData>
    <row r="2" spans="1:4" ht="15" thickBot="1" x14ac:dyDescent="0.35">
      <c r="B2" s="444">
        <v>2019</v>
      </c>
      <c r="C2" s="444"/>
      <c r="D2" s="444"/>
    </row>
    <row r="3" spans="1:4" ht="15.6" thickTop="1" thickBot="1" x14ac:dyDescent="0.35">
      <c r="A3" s="290" t="s">
        <v>233</v>
      </c>
      <c r="B3" s="220" t="s">
        <v>234</v>
      </c>
      <c r="C3" s="221" t="s">
        <v>235</v>
      </c>
      <c r="D3" s="222" t="s">
        <v>236</v>
      </c>
    </row>
    <row r="4" spans="1:4" ht="15.6" thickTop="1" thickBot="1" x14ac:dyDescent="0.35">
      <c r="A4" s="290" t="s">
        <v>237</v>
      </c>
      <c r="B4" s="223">
        <f>'Plan de producción'!B4</f>
        <v>2</v>
      </c>
      <c r="C4" s="224">
        <f>'Costos, Gastos, Precio'!$I$54</f>
        <v>3000000</v>
      </c>
      <c r="D4" s="225">
        <f>B4*C4</f>
        <v>6000000</v>
      </c>
    </row>
    <row r="5" spans="1:4" ht="15" thickTop="1" x14ac:dyDescent="0.3"/>
    <row r="6" spans="1:4" ht="15" thickBot="1" x14ac:dyDescent="0.35">
      <c r="B6" s="444">
        <v>2020</v>
      </c>
      <c r="C6" s="444"/>
      <c r="D6" s="444"/>
    </row>
    <row r="7" spans="1:4" ht="15.6" thickTop="1" thickBot="1" x14ac:dyDescent="0.35">
      <c r="A7" s="290" t="s">
        <v>233</v>
      </c>
      <c r="B7" s="220" t="s">
        <v>234</v>
      </c>
      <c r="C7" s="221" t="s">
        <v>235</v>
      </c>
      <c r="D7" s="222" t="s">
        <v>236</v>
      </c>
    </row>
    <row r="8" spans="1:4" ht="15.6" thickTop="1" thickBot="1" x14ac:dyDescent="0.35">
      <c r="A8" s="290" t="s">
        <v>237</v>
      </c>
      <c r="B8" s="223">
        <f>'Plan de producción'!C4</f>
        <v>4</v>
      </c>
      <c r="C8" s="224">
        <f>'Costos, Gastos, Precio'!$I$54</f>
        <v>3000000</v>
      </c>
      <c r="D8" s="225">
        <f>B8*C8</f>
        <v>12000000</v>
      </c>
    </row>
    <row r="9" spans="1:4" ht="15" thickTop="1" x14ac:dyDescent="0.3"/>
    <row r="10" spans="1:4" ht="15" thickBot="1" x14ac:dyDescent="0.35">
      <c r="B10" s="444">
        <v>2021</v>
      </c>
      <c r="C10" s="444"/>
      <c r="D10" s="444"/>
    </row>
    <row r="11" spans="1:4" ht="15.6" thickTop="1" thickBot="1" x14ac:dyDescent="0.35">
      <c r="A11" s="290" t="s">
        <v>233</v>
      </c>
      <c r="B11" s="220" t="s">
        <v>234</v>
      </c>
      <c r="C11" s="221" t="s">
        <v>235</v>
      </c>
      <c r="D11" s="222" t="s">
        <v>236</v>
      </c>
    </row>
    <row r="12" spans="1:4" ht="15.6" thickTop="1" thickBot="1" x14ac:dyDescent="0.35">
      <c r="A12" s="290" t="s">
        <v>237</v>
      </c>
      <c r="B12" s="223">
        <f>'Plan de producción'!D4</f>
        <v>6</v>
      </c>
      <c r="C12" s="224">
        <f>'Costos, Gastos, Precio'!$I$54</f>
        <v>3000000</v>
      </c>
      <c r="D12" s="225">
        <f>B12*C12</f>
        <v>18000000</v>
      </c>
    </row>
    <row r="13" spans="1:4" ht="15" thickTop="1" x14ac:dyDescent="0.3"/>
    <row r="14" spans="1:4" ht="15" thickBot="1" x14ac:dyDescent="0.35">
      <c r="B14" s="444">
        <v>2022</v>
      </c>
      <c r="C14" s="444"/>
      <c r="D14" s="444"/>
    </row>
    <row r="15" spans="1:4" ht="15.6" thickTop="1" thickBot="1" x14ac:dyDescent="0.35">
      <c r="A15" s="290" t="s">
        <v>233</v>
      </c>
      <c r="B15" s="220" t="s">
        <v>234</v>
      </c>
      <c r="C15" s="221" t="s">
        <v>235</v>
      </c>
      <c r="D15" s="222" t="s">
        <v>236</v>
      </c>
    </row>
    <row r="16" spans="1:4" ht="15.6" thickTop="1" thickBot="1" x14ac:dyDescent="0.35">
      <c r="A16" s="290" t="s">
        <v>237</v>
      </c>
      <c r="B16" s="223">
        <f>'Plan de producción'!E4</f>
        <v>8</v>
      </c>
      <c r="C16" s="224">
        <f>'Costos, Gastos, Precio'!$I$54</f>
        <v>3000000</v>
      </c>
      <c r="D16" s="225">
        <f>B16*C16</f>
        <v>24000000</v>
      </c>
    </row>
    <row r="17" spans="1:4" ht="15" thickTop="1" x14ac:dyDescent="0.3"/>
    <row r="18" spans="1:4" ht="15" thickBot="1" x14ac:dyDescent="0.35">
      <c r="B18" s="444">
        <v>2023</v>
      </c>
      <c r="C18" s="444"/>
      <c r="D18" s="444"/>
    </row>
    <row r="19" spans="1:4" ht="15.6" thickTop="1" thickBot="1" x14ac:dyDescent="0.35">
      <c r="A19" s="290" t="s">
        <v>233</v>
      </c>
      <c r="B19" s="220" t="s">
        <v>234</v>
      </c>
      <c r="C19" s="221" t="s">
        <v>235</v>
      </c>
      <c r="D19" s="222" t="s">
        <v>236</v>
      </c>
    </row>
    <row r="20" spans="1:4" ht="15.6" thickTop="1" thickBot="1" x14ac:dyDescent="0.35">
      <c r="A20" s="290" t="s">
        <v>237</v>
      </c>
      <c r="B20" s="223">
        <f>'Plan de producción'!F4</f>
        <v>11</v>
      </c>
      <c r="C20" s="224">
        <f>'Costos, Gastos, Precio'!$I$54</f>
        <v>3000000</v>
      </c>
      <c r="D20" s="225">
        <f>B20*C20</f>
        <v>33000000</v>
      </c>
    </row>
    <row r="21" spans="1:4" ht="15" thickTop="1" x14ac:dyDescent="0.3"/>
  </sheetData>
  <mergeCells count="5">
    <mergeCell ref="B2:D2"/>
    <mergeCell ref="B6:D6"/>
    <mergeCell ref="B10:D10"/>
    <mergeCell ref="B14:D14"/>
    <mergeCell ref="B18:D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F5A3-B3B9-4319-A60F-F3FCF6E6CDAD}">
  <sheetPr codeName="Hoja6"/>
  <dimension ref="A1:I57"/>
  <sheetViews>
    <sheetView topLeftCell="A34" zoomScaleNormal="100" workbookViewId="0">
      <selection activeCell="B20" sqref="B20:H50"/>
    </sheetView>
  </sheetViews>
  <sheetFormatPr baseColWidth="10" defaultColWidth="11.44140625" defaultRowHeight="14.4" x14ac:dyDescent="0.3"/>
  <cols>
    <col min="1" max="1" width="4.44140625" style="233" customWidth="1"/>
    <col min="2" max="2" width="4" style="254" customWidth="1"/>
    <col min="3" max="3" width="22.5546875" style="255" customWidth="1"/>
    <col min="4" max="8" width="18.6640625" style="256" customWidth="1"/>
    <col min="9" max="9" width="14.33203125" style="233" customWidth="1"/>
    <col min="10" max="16384" width="11.44140625" style="233"/>
  </cols>
  <sheetData>
    <row r="1" spans="1:9" ht="17.399999999999999" x14ac:dyDescent="0.3">
      <c r="A1" s="250"/>
      <c r="B1" s="431"/>
      <c r="C1" s="431"/>
      <c r="D1" s="431"/>
      <c r="E1" s="253"/>
      <c r="F1" s="253"/>
      <c r="G1" s="253"/>
      <c r="H1" s="271"/>
      <c r="I1" s="250"/>
    </row>
    <row r="2" spans="1:9" x14ac:dyDescent="0.3">
      <c r="A2" s="250"/>
      <c r="B2" s="437" t="s">
        <v>238</v>
      </c>
      <c r="C2" s="438"/>
      <c r="D2" s="237">
        <v>2019</v>
      </c>
      <c r="E2" s="237">
        <v>2020</v>
      </c>
      <c r="F2" s="237">
        <v>2021</v>
      </c>
      <c r="G2" s="237">
        <v>2022</v>
      </c>
      <c r="H2" s="237">
        <v>2023</v>
      </c>
      <c r="I2" s="250"/>
    </row>
    <row r="3" spans="1:9" x14ac:dyDescent="0.3">
      <c r="A3" s="250"/>
      <c r="B3" s="432" t="s">
        <v>239</v>
      </c>
      <c r="C3" s="433"/>
      <c r="D3" s="235">
        <f>'Ventas, Ingresos'!$C$4</f>
        <v>3000000</v>
      </c>
      <c r="E3" s="235">
        <f>'Ventas, Ingresos'!$C$4</f>
        <v>3000000</v>
      </c>
      <c r="F3" s="235">
        <f>'Ventas, Ingresos'!$C$4</f>
        <v>3000000</v>
      </c>
      <c r="G3" s="235">
        <f>'Ventas, Ingresos'!$C$4</f>
        <v>3000000</v>
      </c>
      <c r="H3" s="235">
        <f>'Ventas, Ingresos'!$C$4</f>
        <v>3000000</v>
      </c>
      <c r="I3" s="250"/>
    </row>
    <row r="4" spans="1:9" x14ac:dyDescent="0.3">
      <c r="A4" s="250"/>
      <c r="B4" s="440" t="s">
        <v>240</v>
      </c>
      <c r="C4" s="440"/>
      <c r="D4" s="236">
        <f>'Costos, Gastos, Precio'!I36</f>
        <v>3190648.1999999997</v>
      </c>
      <c r="E4" s="236">
        <f>'Costos, Gastos, Precio'!Q36</f>
        <v>3300507.8869999992</v>
      </c>
      <c r="F4" s="236">
        <f>'Costos, Gastos, Precio'!Y36</f>
        <v>3414212.6630449998</v>
      </c>
      <c r="G4" s="236">
        <f>'Costos, Gastos, Precio'!AG36</f>
        <v>3531897.1062515737</v>
      </c>
      <c r="H4" s="236">
        <f>'Costos, Gastos, Precio'!AO36</f>
        <v>3653700.5049703787</v>
      </c>
      <c r="I4" s="250"/>
    </row>
    <row r="5" spans="1:9" x14ac:dyDescent="0.3">
      <c r="A5" s="250"/>
      <c r="B5" s="441" t="s">
        <v>241</v>
      </c>
      <c r="C5" s="441"/>
      <c r="D5" s="235">
        <f>'Costos, Gastos, Precio'!B15</f>
        <v>392150</v>
      </c>
      <c r="E5" s="235">
        <f>'Costos, Gastos, Precio'!C15</f>
        <v>405875.25</v>
      </c>
      <c r="F5" s="235">
        <f>'Costos, Gastos, Precio'!D15</f>
        <v>420080.88374999992</v>
      </c>
      <c r="G5" s="235">
        <f>'Costos, Gastos, Precio'!E15</f>
        <v>434783.71468124993</v>
      </c>
      <c r="H5" s="235">
        <f>'Costos, Gastos, Precio'!F15</f>
        <v>450001.14469509356</v>
      </c>
      <c r="I5" s="250"/>
    </row>
    <row r="6" spans="1:9" x14ac:dyDescent="0.3">
      <c r="A6" s="250"/>
      <c r="B6" s="251"/>
      <c r="C6" s="252"/>
      <c r="D6" s="253"/>
      <c r="E6" s="253"/>
      <c r="F6" s="253"/>
      <c r="G6" s="253"/>
      <c r="H6" s="253"/>
      <c r="I6" s="250"/>
    </row>
    <row r="7" spans="1:9" x14ac:dyDescent="0.3">
      <c r="A7" s="250"/>
      <c r="B7" s="437" t="s">
        <v>234</v>
      </c>
      <c r="C7" s="439"/>
      <c r="D7" s="237">
        <f>'Plan de producción'!B4</f>
        <v>2</v>
      </c>
      <c r="E7" s="237">
        <f>'Plan de producción'!C4</f>
        <v>4</v>
      </c>
      <c r="F7" s="237">
        <f>'Plan de producción'!D4</f>
        <v>6</v>
      </c>
      <c r="G7" s="237">
        <f>'Plan de producción'!E4</f>
        <v>8</v>
      </c>
      <c r="H7" s="237">
        <f>'Plan de producción'!F4</f>
        <v>11</v>
      </c>
      <c r="I7" s="250"/>
    </row>
    <row r="8" spans="1:9" x14ac:dyDescent="0.3">
      <c r="A8" s="250"/>
      <c r="B8" s="294"/>
      <c r="C8" s="238" t="s">
        <v>242</v>
      </c>
      <c r="D8" s="239">
        <f>D7*D3</f>
        <v>6000000</v>
      </c>
      <c r="E8" s="239">
        <f>E7*D3</f>
        <v>12000000</v>
      </c>
      <c r="F8" s="239">
        <f>F7*$D$3</f>
        <v>18000000</v>
      </c>
      <c r="G8" s="239">
        <f>G7*$D$3</f>
        <v>24000000</v>
      </c>
      <c r="H8" s="239">
        <f>H7*$D$3</f>
        <v>33000000</v>
      </c>
      <c r="I8" s="250"/>
    </row>
    <row r="9" spans="1:9" x14ac:dyDescent="0.3">
      <c r="A9" s="250"/>
      <c r="B9" s="293" t="s">
        <v>243</v>
      </c>
      <c r="C9" s="240" t="s">
        <v>244</v>
      </c>
      <c r="D9" s="241">
        <f>D7*D5</f>
        <v>784300</v>
      </c>
      <c r="E9" s="241">
        <f>E7*$D$5</f>
        <v>1568600</v>
      </c>
      <c r="F9" s="241">
        <f>F7*$D$5</f>
        <v>2352900</v>
      </c>
      <c r="G9" s="241">
        <f>G7*$D$5</f>
        <v>3137200</v>
      </c>
      <c r="H9" s="241">
        <f>H7*$D$5</f>
        <v>4313650</v>
      </c>
      <c r="I9" s="250"/>
    </row>
    <row r="10" spans="1:9" x14ac:dyDescent="0.3">
      <c r="A10" s="250"/>
      <c r="B10" s="294" t="s">
        <v>245</v>
      </c>
      <c r="C10" s="238" t="s">
        <v>246</v>
      </c>
      <c r="D10" s="239">
        <f>D8-D9</f>
        <v>5215700</v>
      </c>
      <c r="E10" s="239">
        <f t="shared" ref="E10:H10" si="0">E8-E9</f>
        <v>10431400</v>
      </c>
      <c r="F10" s="239">
        <f t="shared" si="0"/>
        <v>15647100</v>
      </c>
      <c r="G10" s="239">
        <f t="shared" si="0"/>
        <v>20862800</v>
      </c>
      <c r="H10" s="239">
        <f t="shared" si="0"/>
        <v>28686350</v>
      </c>
      <c r="I10" s="250"/>
    </row>
    <row r="11" spans="1:9" x14ac:dyDescent="0.3">
      <c r="A11" s="250"/>
      <c r="B11" s="293" t="s">
        <v>243</v>
      </c>
      <c r="C11" s="240" t="s">
        <v>240</v>
      </c>
      <c r="D11" s="241">
        <f>D4</f>
        <v>3190648.1999999997</v>
      </c>
      <c r="E11" s="241">
        <f>E4</f>
        <v>3300507.8869999992</v>
      </c>
      <c r="F11" s="241">
        <f>F4</f>
        <v>3414212.6630449998</v>
      </c>
      <c r="G11" s="241">
        <f>G4</f>
        <v>3531897.1062515737</v>
      </c>
      <c r="H11" s="241">
        <f>H4</f>
        <v>3653700.5049703787</v>
      </c>
      <c r="I11" s="250"/>
    </row>
    <row r="12" spans="1:9" x14ac:dyDescent="0.3">
      <c r="A12" s="250"/>
      <c r="B12" s="294" t="s">
        <v>245</v>
      </c>
      <c r="C12" s="238" t="s">
        <v>247</v>
      </c>
      <c r="D12" s="239">
        <f>D10-D11</f>
        <v>2025051.8000000003</v>
      </c>
      <c r="E12" s="239">
        <f t="shared" ref="E12:H12" si="1">E10-E11</f>
        <v>7130892.1130000008</v>
      </c>
      <c r="F12" s="239">
        <f t="shared" si="1"/>
        <v>12232887.336955</v>
      </c>
      <c r="G12" s="239">
        <f t="shared" si="1"/>
        <v>17330902.893748425</v>
      </c>
      <c r="H12" s="239">
        <f t="shared" si="1"/>
        <v>25032649.495029621</v>
      </c>
      <c r="I12" s="250"/>
    </row>
    <row r="13" spans="1:9" x14ac:dyDescent="0.3">
      <c r="A13" s="250"/>
      <c r="B13" s="251"/>
      <c r="C13" s="252"/>
      <c r="D13" s="253"/>
      <c r="E13" s="253"/>
      <c r="F13" s="253"/>
      <c r="G13" s="253"/>
      <c r="H13" s="253"/>
      <c r="I13" s="250"/>
    </row>
    <row r="14" spans="1:9" x14ac:dyDescent="0.3">
      <c r="A14" s="250"/>
      <c r="B14" s="242" t="s">
        <v>248</v>
      </c>
      <c r="C14" s="243" t="s">
        <v>249</v>
      </c>
      <c r="D14" s="244">
        <f>D9+D11</f>
        <v>3974948.1999999997</v>
      </c>
      <c r="E14" s="244">
        <f t="shared" ref="E14:H14" si="2">E9+E11</f>
        <v>4869107.8869999992</v>
      </c>
      <c r="F14" s="244">
        <f t="shared" si="2"/>
        <v>5767112.6630450003</v>
      </c>
      <c r="G14" s="244">
        <f t="shared" si="2"/>
        <v>6669097.1062515732</v>
      </c>
      <c r="H14" s="244">
        <f t="shared" si="2"/>
        <v>7967350.5049703792</v>
      </c>
      <c r="I14" s="250"/>
    </row>
    <row r="15" spans="1:9" x14ac:dyDescent="0.3">
      <c r="A15" s="250"/>
      <c r="B15" s="251"/>
      <c r="C15" s="252"/>
      <c r="D15" s="253"/>
      <c r="E15"/>
      <c r="F15"/>
      <c r="G15"/>
      <c r="H15"/>
      <c r="I15"/>
    </row>
    <row r="16" spans="1:9" x14ac:dyDescent="0.3">
      <c r="A16" s="250"/>
      <c r="B16" s="442" t="s">
        <v>250</v>
      </c>
      <c r="C16" s="443"/>
      <c r="D16" s="258">
        <f>D4/(D3-D5)</f>
        <v>1.2234784209214487</v>
      </c>
      <c r="E16" s="258">
        <f>E4/(E3-E5)</f>
        <v>1.2723011439600194</v>
      </c>
      <c r="F16" s="258">
        <f>F4/(F3-F5)</f>
        <v>1.3233797298295435</v>
      </c>
      <c r="G16" s="258">
        <f>G4/(G3-G5)</f>
        <v>1.3768418384310646</v>
      </c>
      <c r="H16" s="258">
        <f>H4/(H3-H5)</f>
        <v>1.4328243706342767</v>
      </c>
      <c r="I16"/>
    </row>
    <row r="17" spans="1:9" x14ac:dyDescent="0.3">
      <c r="A17" s="250"/>
      <c r="B17" s="251"/>
      <c r="C17" s="252"/>
      <c r="D17" s="253"/>
      <c r="E17"/>
      <c r="F17"/>
      <c r="G17"/>
      <c r="H17"/>
      <c r="I17"/>
    </row>
    <row r="18" spans="1:9" x14ac:dyDescent="0.3">
      <c r="A18" s="250"/>
      <c r="B18" s="442" t="s">
        <v>251</v>
      </c>
      <c r="C18" s="443"/>
      <c r="D18" s="234">
        <f>D4/(1-D5/D3)</f>
        <v>3670435.2627643459</v>
      </c>
      <c r="E18" s="234">
        <f>E4/(1-E5/E3)</f>
        <v>3816903.4318800578</v>
      </c>
      <c r="F18" s="234">
        <f>F4/(1-F5/F3)</f>
        <v>3970139.1894886307</v>
      </c>
      <c r="G18" s="234">
        <f>G4/(1-G5/G3)</f>
        <v>4130525.515293193</v>
      </c>
      <c r="H18" s="234">
        <f>H4/(1-H5/H3)</f>
        <v>4298473.1119028302</v>
      </c>
      <c r="I18"/>
    </row>
    <row r="19" spans="1:9" x14ac:dyDescent="0.3">
      <c r="A19" s="250"/>
      <c r="B19" s="251"/>
      <c r="C19" s="252"/>
      <c r="D19" s="253"/>
      <c r="E19"/>
      <c r="F19"/>
      <c r="G19"/>
      <c r="H19"/>
      <c r="I19"/>
    </row>
    <row r="20" spans="1:9" x14ac:dyDescent="0.3">
      <c r="A20" s="250"/>
      <c r="B20" s="434" t="s">
        <v>252</v>
      </c>
      <c r="C20" s="435"/>
      <c r="D20" s="436"/>
      <c r="E20"/>
      <c r="F20"/>
      <c r="G20"/>
      <c r="H20"/>
      <c r="I20"/>
    </row>
    <row r="21" spans="1:9" x14ac:dyDescent="0.3">
      <c r="A21" s="250"/>
      <c r="B21" s="251"/>
      <c r="C21" s="252"/>
      <c r="D21" s="253"/>
      <c r="E21"/>
      <c r="F21"/>
      <c r="G21"/>
      <c r="H21"/>
      <c r="I21"/>
    </row>
    <row r="22" spans="1:9" x14ac:dyDescent="0.3">
      <c r="A22" s="250"/>
      <c r="B22" s="251"/>
      <c r="C22" s="272" t="str">
        <f>"Ventas de "&amp;D23&amp;" a "&amp;D24&amp;" unidades"</f>
        <v>Ventas de 2 a 3 unidades</v>
      </c>
      <c r="D22" s="253"/>
      <c r="E22"/>
      <c r="F22"/>
      <c r="G22"/>
      <c r="H22"/>
      <c r="I22"/>
    </row>
    <row r="23" spans="1:9" x14ac:dyDescent="0.3">
      <c r="A23" s="250"/>
      <c r="B23" s="251"/>
      <c r="C23" s="245" t="s">
        <v>253</v>
      </c>
      <c r="D23" s="246">
        <v>2</v>
      </c>
      <c r="E23" s="246">
        <v>4</v>
      </c>
      <c r="F23" s="246">
        <v>6</v>
      </c>
      <c r="G23" s="246">
        <v>8</v>
      </c>
      <c r="H23" s="246">
        <v>11</v>
      </c>
      <c r="I23"/>
    </row>
    <row r="24" spans="1:9" x14ac:dyDescent="0.3">
      <c r="A24" s="250"/>
      <c r="B24" s="251"/>
      <c r="C24" s="245" t="s">
        <v>254</v>
      </c>
      <c r="D24" s="246">
        <v>3</v>
      </c>
      <c r="E24" s="246">
        <v>5</v>
      </c>
      <c r="F24" s="246">
        <v>7</v>
      </c>
      <c r="G24" s="246">
        <v>9</v>
      </c>
      <c r="H24" s="246">
        <v>12</v>
      </c>
      <c r="I24"/>
    </row>
    <row r="25" spans="1:9" x14ac:dyDescent="0.3">
      <c r="A25" s="250"/>
      <c r="B25" s="251"/>
      <c r="C25" s="245" t="s">
        <v>255</v>
      </c>
      <c r="D25" s="247">
        <f>D23*D3-D23*D5-D4</f>
        <v>2025051.8000000003</v>
      </c>
      <c r="E25" s="247">
        <f>E23*E3-E23*E5-E4</f>
        <v>7075991.1130000008</v>
      </c>
      <c r="F25" s="247">
        <f>F23*F3-F23*F5-F4</f>
        <v>12065302.034455001</v>
      </c>
      <c r="G25" s="247">
        <f>G23*G3-G23*G5-G4</f>
        <v>16989833.176298425</v>
      </c>
      <c r="H25" s="247">
        <f>H23*H3-H23*H5-H4</f>
        <v>24396286.90338359</v>
      </c>
      <c r="I25"/>
    </row>
    <row r="26" spans="1:9" x14ac:dyDescent="0.3">
      <c r="A26" s="250"/>
      <c r="B26" s="251"/>
      <c r="C26" s="245" t="s">
        <v>256</v>
      </c>
      <c r="D26" s="247">
        <f>D24*D3-D24*D5-D4</f>
        <v>4632901.8000000007</v>
      </c>
      <c r="E26" s="247">
        <f>E24*E3-E24*E5-E4</f>
        <v>9670115.8630000018</v>
      </c>
      <c r="F26" s="247">
        <f>F24*F3-F24*F5-F4</f>
        <v>14645221.150704999</v>
      </c>
      <c r="G26" s="247">
        <f>G24*G3-G24*G5-G4</f>
        <v>19555049.461617175</v>
      </c>
      <c r="H26" s="247">
        <f>H24*H3-H24*H5-H4</f>
        <v>26946285.758688498</v>
      </c>
      <c r="I26"/>
    </row>
    <row r="27" spans="1:9" x14ac:dyDescent="0.3">
      <c r="A27" s="250"/>
      <c r="B27" s="251"/>
      <c r="C27" s="253"/>
      <c r="D27" s="253"/>
      <c r="E27" s="253"/>
      <c r="F27" s="253"/>
      <c r="G27" s="253"/>
      <c r="H27" s="253"/>
      <c r="I27"/>
    </row>
    <row r="28" spans="1:9" x14ac:dyDescent="0.3">
      <c r="A28" s="250"/>
      <c r="B28" s="251"/>
      <c r="C28" s="272" t="str">
        <f>"Ventas de "&amp;D29&amp;" a "&amp;D30&amp;" unidades"</f>
        <v>Ventas de 3 a 4 unidades</v>
      </c>
      <c r="D28" s="253"/>
      <c r="E28" s="253"/>
      <c r="F28" s="253"/>
      <c r="G28" s="253"/>
      <c r="H28" s="253"/>
      <c r="I28"/>
    </row>
    <row r="29" spans="1:9" x14ac:dyDescent="0.3">
      <c r="A29" s="250"/>
      <c r="B29" s="251"/>
      <c r="C29" s="245" t="s">
        <v>253</v>
      </c>
      <c r="D29" s="246">
        <v>3</v>
      </c>
      <c r="E29" s="246">
        <v>6</v>
      </c>
      <c r="F29" s="246">
        <v>7</v>
      </c>
      <c r="G29" s="246">
        <v>9</v>
      </c>
      <c r="H29" s="246">
        <v>12</v>
      </c>
      <c r="I29"/>
    </row>
    <row r="30" spans="1:9" x14ac:dyDescent="0.3">
      <c r="A30" s="250"/>
      <c r="B30" s="251"/>
      <c r="C30" s="245" t="s">
        <v>254</v>
      </c>
      <c r="D30" s="246">
        <v>4</v>
      </c>
      <c r="E30" s="246">
        <v>7</v>
      </c>
      <c r="F30" s="246">
        <v>8</v>
      </c>
      <c r="G30" s="246">
        <v>10</v>
      </c>
      <c r="H30" s="246">
        <v>13</v>
      </c>
      <c r="I30"/>
    </row>
    <row r="31" spans="1:9" x14ac:dyDescent="0.3">
      <c r="A31" s="250"/>
      <c r="B31" s="251"/>
      <c r="C31" s="245" t="s">
        <v>255</v>
      </c>
      <c r="D31" s="247">
        <f>D29*D3-D29*D5-D4</f>
        <v>4632901.8000000007</v>
      </c>
      <c r="E31" s="247">
        <f>E29*E3-E29*E5-E4</f>
        <v>12264240.613000002</v>
      </c>
      <c r="F31" s="247">
        <f>F29*F3-F29*F5-F4</f>
        <v>14645221.150704999</v>
      </c>
      <c r="G31" s="247">
        <f>G29*G3-G29*G5-G4</f>
        <v>19555049.461617175</v>
      </c>
      <c r="H31" s="247">
        <f>H29*H3-H29*H5-H4</f>
        <v>26946285.758688498</v>
      </c>
      <c r="I31"/>
    </row>
    <row r="32" spans="1:9" x14ac:dyDescent="0.3">
      <c r="A32" s="250"/>
      <c r="B32" s="251"/>
      <c r="C32" s="245" t="s">
        <v>256</v>
      </c>
      <c r="D32" s="247">
        <f>D30*D3-D30*D5-D4</f>
        <v>7240751.8000000007</v>
      </c>
      <c r="E32" s="247">
        <f>E30*E3-E30*E5-E4</f>
        <v>14858365.363000002</v>
      </c>
      <c r="F32" s="247">
        <f>F30*F3-F30*F5-F4</f>
        <v>17225140.266954999</v>
      </c>
      <c r="G32" s="247">
        <f>G30*G3-G30*G5-G4</f>
        <v>22120265.746935926</v>
      </c>
      <c r="H32" s="247">
        <f>H30*H3-H30*H5-H4</f>
        <v>29496284.613993406</v>
      </c>
      <c r="I32"/>
    </row>
    <row r="33" spans="1:9" x14ac:dyDescent="0.3">
      <c r="A33" s="250"/>
      <c r="B33" s="251"/>
      <c r="C33" s="253"/>
      <c r="D33" s="253"/>
      <c r="E33" s="253"/>
      <c r="F33" s="253"/>
      <c r="G33" s="253"/>
      <c r="H33" s="253"/>
      <c r="I33"/>
    </row>
    <row r="34" spans="1:9" x14ac:dyDescent="0.3">
      <c r="A34" s="250"/>
      <c r="B34" s="251"/>
      <c r="C34" s="272" t="str">
        <f>"Ventas de "&amp;D35&amp;" a "&amp;D36&amp;" unidades"</f>
        <v>Ventas de 4 a 5 unidades</v>
      </c>
      <c r="D34" s="253"/>
      <c r="E34" s="253"/>
      <c r="F34" s="253"/>
      <c r="G34" s="253"/>
      <c r="H34" s="253"/>
      <c r="I34"/>
    </row>
    <row r="35" spans="1:9" x14ac:dyDescent="0.3">
      <c r="A35" s="250"/>
      <c r="B35" s="251"/>
      <c r="C35" s="245" t="s">
        <v>253</v>
      </c>
      <c r="D35" s="246">
        <v>4</v>
      </c>
      <c r="E35" s="246">
        <v>7</v>
      </c>
      <c r="F35" s="246">
        <v>8</v>
      </c>
      <c r="G35" s="246">
        <v>10</v>
      </c>
      <c r="H35" s="246">
        <v>13</v>
      </c>
      <c r="I35"/>
    </row>
    <row r="36" spans="1:9" x14ac:dyDescent="0.3">
      <c r="A36" s="250"/>
      <c r="B36" s="251"/>
      <c r="C36" s="245" t="s">
        <v>254</v>
      </c>
      <c r="D36" s="246">
        <v>5</v>
      </c>
      <c r="E36" s="246">
        <v>8</v>
      </c>
      <c r="F36" s="246">
        <v>9</v>
      </c>
      <c r="G36" s="246">
        <v>11</v>
      </c>
      <c r="H36" s="246">
        <v>14</v>
      </c>
      <c r="I36"/>
    </row>
    <row r="37" spans="1:9" x14ac:dyDescent="0.3">
      <c r="A37" s="250"/>
      <c r="B37" s="251"/>
      <c r="C37" s="245" t="s">
        <v>255</v>
      </c>
      <c r="D37" s="247">
        <f>D30*D3-D30*D5-D4</f>
        <v>7240751.8000000007</v>
      </c>
      <c r="E37" s="247">
        <f>E30*E3-E30*E5-E4</f>
        <v>14858365.363000002</v>
      </c>
      <c r="F37" s="247">
        <f>F30*F3-F30*F5-F4</f>
        <v>17225140.266954999</v>
      </c>
      <c r="G37" s="247">
        <f>G30*G3-G30*G5-G4</f>
        <v>22120265.746935926</v>
      </c>
      <c r="H37" s="247">
        <f>H30*H3-H30*H5-H4</f>
        <v>29496284.613993406</v>
      </c>
      <c r="I37"/>
    </row>
    <row r="38" spans="1:9" x14ac:dyDescent="0.3">
      <c r="A38" s="250"/>
      <c r="B38" s="251"/>
      <c r="C38" s="245" t="s">
        <v>256</v>
      </c>
      <c r="D38" s="247">
        <f>D36*D3-D36*D5-D4</f>
        <v>9848601.8000000007</v>
      </c>
      <c r="E38" s="247">
        <f>E36*E3-E36*E5-E4</f>
        <v>17452490.113000002</v>
      </c>
      <c r="F38" s="247">
        <f>F36*F3-F36*F5-F4</f>
        <v>19805059.383205</v>
      </c>
      <c r="G38" s="247">
        <f>G36*G3-G36*G5-G4</f>
        <v>24685482.032254674</v>
      </c>
      <c r="H38" s="247">
        <f>H36*H3-H36*H5-H4</f>
        <v>32046283.469298311</v>
      </c>
      <c r="I38"/>
    </row>
    <row r="39" spans="1:9" x14ac:dyDescent="0.3">
      <c r="A39" s="253"/>
      <c r="B39" s="253"/>
      <c r="C39" s="253"/>
      <c r="D39" s="253"/>
      <c r="E39"/>
      <c r="F39"/>
      <c r="G39"/>
      <c r="H39"/>
      <c r="I39"/>
    </row>
    <row r="40" spans="1:9" x14ac:dyDescent="0.3">
      <c r="A40" s="253"/>
      <c r="B40" s="253"/>
      <c r="C40" s="274"/>
      <c r="D40" s="248">
        <f>ABS((D26-D25)/D25)</f>
        <v>1.2877942183997466</v>
      </c>
      <c r="E40" s="248">
        <f>ABS((E26-E25)/E25)</f>
        <v>0.36660938497139695</v>
      </c>
      <c r="F40" s="248">
        <f>ABS((F26-F25)/F25)</f>
        <v>0.21382963384443232</v>
      </c>
      <c r="G40" s="248">
        <f>ABS((G26-G25)/G25)</f>
        <v>0.15098537217524549</v>
      </c>
      <c r="H40" s="248">
        <f>ABS((H26-H25)/H25)</f>
        <v>0.10452405586979883</v>
      </c>
      <c r="I40"/>
    </row>
    <row r="41" spans="1:9" x14ac:dyDescent="0.3">
      <c r="A41" s="253"/>
      <c r="B41" s="253"/>
      <c r="C41" s="275"/>
      <c r="D41" s="249">
        <f>ABS((D24-D23)/D23)</f>
        <v>0.5</v>
      </c>
      <c r="E41" s="249">
        <f>ABS((E24-E23)/E23)</f>
        <v>0.25</v>
      </c>
      <c r="F41" s="249">
        <f>ABS((F24-F23)/F23)</f>
        <v>0.16666666666666666</v>
      </c>
      <c r="G41" s="249">
        <f>ABS((G24-G23)/G23)</f>
        <v>0.125</v>
      </c>
      <c r="H41" s="249">
        <f>ABS((H24-H23)/H23)</f>
        <v>9.0909090909090912E-2</v>
      </c>
      <c r="I41"/>
    </row>
    <row r="42" spans="1:9" ht="57.6" x14ac:dyDescent="0.3">
      <c r="A42" s="253"/>
      <c r="B42" s="253"/>
      <c r="C42" s="233"/>
      <c r="D42" s="273" t="str">
        <f>"Con el aumento del "&amp;TEXT(D41,"0%")&amp;" del producto, la ganancia aumenta un "&amp;TEXT(D40,"0%")</f>
        <v>Con el aumento del 50% del producto, la ganancia aumenta un 129%</v>
      </c>
      <c r="E42" s="273" t="str">
        <f>"Con el aumento del "&amp;TEXT(E41,"0%")&amp;" del producto, la ganancia aumenta un "&amp;TEXT(E40,"0%")</f>
        <v>Con el aumento del 25% del producto, la ganancia aumenta un 37%</v>
      </c>
      <c r="F42" s="273" t="str">
        <f>"Con el aumento del "&amp;TEXT(F41,"0%")&amp;" del producto, la ganancia aumenta un "&amp;TEXT(F40,"0%")</f>
        <v>Con el aumento del 17% del producto, la ganancia aumenta un 21%</v>
      </c>
      <c r="G42" s="273" t="str">
        <f>"Con el aumento del "&amp;TEXT(G41,"0%")&amp;" del producto, la ganancia aumenta un "&amp;TEXT(G40,"0%")</f>
        <v>Con el aumento del 13% del producto, la ganancia aumenta un 15%</v>
      </c>
      <c r="H42" s="273" t="str">
        <f>"Con el aumento del "&amp;TEXT(H41,"0%")&amp;" del producto, la ganancia aumenta un "&amp;TEXT(H40,"0%")</f>
        <v>Con el aumento del 9% del producto, la ganancia aumenta un 10%</v>
      </c>
      <c r="I42"/>
    </row>
    <row r="43" spans="1:9" x14ac:dyDescent="0.3">
      <c r="A43" s="253"/>
      <c r="B43" s="253"/>
      <c r="C43" s="253"/>
      <c r="D43" s="253"/>
      <c r="E43" s="253"/>
      <c r="F43" s="253"/>
      <c r="G43" s="253"/>
      <c r="H43" s="253"/>
      <c r="I43"/>
    </row>
    <row r="44" spans="1:9" x14ac:dyDescent="0.3">
      <c r="A44" s="253"/>
      <c r="B44" s="253"/>
      <c r="C44" s="274"/>
      <c r="D44" s="248">
        <f>ABS((D32-D31)/D31)</f>
        <v>0.56289775017463128</v>
      </c>
      <c r="E44" s="248">
        <f>ABS((E32-E31)/E31)</f>
        <v>0.21151939462523653</v>
      </c>
      <c r="F44" s="248">
        <f>ABS((F32-F31)/F31)</f>
        <v>0.17616115794371651</v>
      </c>
      <c r="G44" s="248">
        <f>ABS((G32-G31)/G31)</f>
        <v>0.13117922766463874</v>
      </c>
      <c r="H44" s="248">
        <f>ABS((H32-H31)/H31)</f>
        <v>9.4632665820471834E-2</v>
      </c>
      <c r="I44"/>
    </row>
    <row r="45" spans="1:9" x14ac:dyDescent="0.3">
      <c r="A45" s="253"/>
      <c r="B45" s="253"/>
      <c r="C45" s="275"/>
      <c r="D45" s="249">
        <f>ABS((D30-D29)/D29)</f>
        <v>0.33333333333333331</v>
      </c>
      <c r="E45" s="249">
        <f>ABS((E30-E29)/E29)</f>
        <v>0.16666666666666666</v>
      </c>
      <c r="F45" s="249">
        <f>ABS((F30-F29)/F29)</f>
        <v>0.14285714285714285</v>
      </c>
      <c r="G45" s="249">
        <f>ABS((G30-G29)/G29)</f>
        <v>0.1111111111111111</v>
      </c>
      <c r="H45" s="249">
        <f>ABS((H30-H29)/H29)</f>
        <v>8.3333333333333329E-2</v>
      </c>
      <c r="I45"/>
    </row>
    <row r="46" spans="1:9" ht="57.6" x14ac:dyDescent="0.3">
      <c r="A46" s="253"/>
      <c r="B46" s="253"/>
      <c r="C46" s="233"/>
      <c r="D46" s="273" t="str">
        <f>"Con el aumento del "&amp;TEXT(D45,"0%")&amp;" del producto, la ganancia aumenta un "&amp;TEXT(D44,"0%")</f>
        <v>Con el aumento del 33% del producto, la ganancia aumenta un 56%</v>
      </c>
      <c r="E46" s="273" t="str">
        <f>"Con el aumento del "&amp;TEXT(E45,"0%")&amp;" del producto, la ganancia aumenta un "&amp;TEXT(E44,"0%")</f>
        <v>Con el aumento del 17% del producto, la ganancia aumenta un 21%</v>
      </c>
      <c r="F46" s="273" t="str">
        <f>"Con el aumento del "&amp;TEXT(F45,"0%")&amp;" del producto, la ganancia aumenta un "&amp;TEXT(F44,"0%")</f>
        <v>Con el aumento del 14% del producto, la ganancia aumenta un 18%</v>
      </c>
      <c r="G46" s="273" t="str">
        <f>"Con el aumento del "&amp;TEXT(G45,"0%")&amp;" del producto, la ganancia aumenta un "&amp;TEXT(G44,"0%")</f>
        <v>Con el aumento del 11% del producto, la ganancia aumenta un 13%</v>
      </c>
      <c r="H46" s="273" t="str">
        <f>"Con el aumento del "&amp;TEXT(H45,"0%")&amp;" del producto, la ganancia aumenta un "&amp;TEXT(H44,"0%")</f>
        <v>Con el aumento del 8% del producto, la ganancia aumenta un 9%</v>
      </c>
      <c r="I46"/>
    </row>
    <row r="47" spans="1:9" x14ac:dyDescent="0.3">
      <c r="A47" s="253"/>
      <c r="B47" s="253"/>
      <c r="C47" s="253"/>
      <c r="D47" s="253"/>
      <c r="E47" s="253"/>
      <c r="F47" s="253"/>
      <c r="G47" s="253"/>
      <c r="H47" s="253"/>
      <c r="I47"/>
    </row>
    <row r="48" spans="1:9" x14ac:dyDescent="0.3">
      <c r="A48" s="253"/>
      <c r="B48" s="253"/>
      <c r="C48" s="274"/>
      <c r="D48" s="248">
        <f>ABS((D38-D37)/D37)</f>
        <v>0.3601628770095392</v>
      </c>
      <c r="E48" s="248">
        <f>ABS((E38-E37)/E37)</f>
        <v>0.17459018449363459</v>
      </c>
      <c r="F48" s="248">
        <f>ABS((F38-F37)/F37)</f>
        <v>0.14977637779817454</v>
      </c>
      <c r="G48" s="248">
        <f>ABS((G38-G37)/G37)</f>
        <v>0.11596679328656248</v>
      </c>
      <c r="H48" s="248">
        <f>ABS((H38-H37)/H37)</f>
        <v>8.6451527325416194E-2</v>
      </c>
      <c r="I48"/>
    </row>
    <row r="49" spans="1:9" x14ac:dyDescent="0.3">
      <c r="A49" s="253"/>
      <c r="B49" s="253"/>
      <c r="C49" s="275"/>
      <c r="D49" s="249">
        <f>ABS((D36-D35)/D35)</f>
        <v>0.25</v>
      </c>
      <c r="E49" s="249">
        <f>ABS((E36-E35)/E35)</f>
        <v>0.14285714285714285</v>
      </c>
      <c r="F49" s="249">
        <f>ABS((F36-F35)/F35)</f>
        <v>0.125</v>
      </c>
      <c r="G49" s="249">
        <f>ABS((G36-G35)/G35)</f>
        <v>0.1</v>
      </c>
      <c r="H49" s="249">
        <f>ABS((H36-H35)/H35)</f>
        <v>7.6923076923076927E-2</v>
      </c>
      <c r="I49"/>
    </row>
    <row r="50" spans="1:9" s="256" customFormat="1" ht="57.6" x14ac:dyDescent="0.3">
      <c r="A50" s="253"/>
      <c r="B50" s="253"/>
      <c r="D50" s="273" t="str">
        <f>"Con el aumento del "&amp;TEXT(D49,"0%")&amp;" del producto, la ganancia aumenta un "&amp;TEXT(D48,"0%")</f>
        <v>Con el aumento del 25% del producto, la ganancia aumenta un 36%</v>
      </c>
      <c r="E50" s="273" t="str">
        <f>"Con el aumento del "&amp;TEXT(E49,"0%")&amp;" del producto, la ganancia aumenta un "&amp;TEXT(E48,"0%")</f>
        <v>Con el aumento del 14% del producto, la ganancia aumenta un 17%</v>
      </c>
      <c r="F50" s="273" t="str">
        <f>"Con el aumento del "&amp;TEXT(F49,"0%")&amp;" del producto, la ganancia aumenta un "&amp;TEXT(F48,"0%")</f>
        <v>Con el aumento del 13% del producto, la ganancia aumenta un 15%</v>
      </c>
      <c r="G50" s="273" t="str">
        <f>"Con el aumento del "&amp;TEXT(G49,"0%")&amp;" del producto, la ganancia aumenta un "&amp;TEXT(G48,"0%")</f>
        <v>Con el aumento del 10% del producto, la ganancia aumenta un 12%</v>
      </c>
      <c r="H50" s="273" t="str">
        <f>"Con el aumento del "&amp;TEXT(H49,"0%")&amp;" del producto, la ganancia aumenta un "&amp;TEXT(H48,"0%")</f>
        <v>Con el aumento del 8% del producto, la ganancia aumenta un 9%</v>
      </c>
      <c r="I50"/>
    </row>
    <row r="51" spans="1:9" s="256" customFormat="1" x14ac:dyDescent="0.3">
      <c r="A51" s="233"/>
      <c r="B51" s="254"/>
      <c r="C51" s="255"/>
      <c r="E51" s="257"/>
      <c r="F51" s="257"/>
      <c r="G51" s="257"/>
      <c r="I51" s="233"/>
    </row>
    <row r="52" spans="1:9" s="256" customFormat="1" x14ac:dyDescent="0.3">
      <c r="A52" s="233"/>
      <c r="B52" s="254"/>
      <c r="C52" s="255"/>
      <c r="E52" s="257"/>
      <c r="F52" s="257"/>
      <c r="G52" s="257"/>
      <c r="I52" s="233"/>
    </row>
    <row r="53" spans="1:9" s="256" customFormat="1" x14ac:dyDescent="0.3">
      <c r="A53" s="233"/>
      <c r="B53" s="254"/>
      <c r="C53" s="255"/>
      <c r="E53" s="257"/>
      <c r="F53" s="257"/>
      <c r="G53" s="257"/>
      <c r="I53" s="233"/>
    </row>
    <row r="54" spans="1:9" s="256" customFormat="1" x14ac:dyDescent="0.3">
      <c r="A54" s="233"/>
      <c r="B54" s="254"/>
      <c r="C54" s="255"/>
      <c r="E54" s="257"/>
      <c r="F54" s="257"/>
      <c r="G54" s="257"/>
      <c r="I54" s="233"/>
    </row>
    <row r="55" spans="1:9" s="256" customFormat="1" x14ac:dyDescent="0.3">
      <c r="A55" s="233"/>
      <c r="B55" s="254"/>
      <c r="C55" s="255"/>
      <c r="E55" s="257"/>
      <c r="F55" s="257"/>
      <c r="G55" s="257"/>
      <c r="I55" s="233"/>
    </row>
    <row r="56" spans="1:9" s="256" customFormat="1" x14ac:dyDescent="0.3">
      <c r="A56" s="233"/>
      <c r="B56" s="254"/>
      <c r="C56" s="255"/>
      <c r="E56" s="257"/>
      <c r="F56" s="257"/>
      <c r="G56" s="257"/>
      <c r="I56" s="233"/>
    </row>
    <row r="57" spans="1:9" s="256" customFormat="1" x14ac:dyDescent="0.3">
      <c r="A57" s="233"/>
      <c r="B57" s="254"/>
      <c r="C57" s="255"/>
      <c r="E57" s="257"/>
      <c r="F57" s="257"/>
      <c r="G57" s="257"/>
      <c r="I57" s="233"/>
    </row>
  </sheetData>
  <mergeCells count="9">
    <mergeCell ref="B1:D1"/>
    <mergeCell ref="B3:C3"/>
    <mergeCell ref="B20:D20"/>
    <mergeCell ref="B2:C2"/>
    <mergeCell ref="B7:C7"/>
    <mergeCell ref="B4:C4"/>
    <mergeCell ref="B5:C5"/>
    <mergeCell ref="B18:C18"/>
    <mergeCell ref="B16:C16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workbookViewId="0">
      <selection sqref="A1:G30"/>
    </sheetView>
  </sheetViews>
  <sheetFormatPr baseColWidth="10" defaultColWidth="11.44140625" defaultRowHeight="14.4" x14ac:dyDescent="0.3"/>
  <cols>
    <col min="1" max="1" width="45" style="182" bestFit="1" customWidth="1"/>
    <col min="2" max="2" width="12.6640625" style="182" bestFit="1" customWidth="1"/>
    <col min="3" max="3" width="13.109375" style="182" bestFit="1" customWidth="1"/>
    <col min="4" max="4" width="13.44140625" style="182" bestFit="1" customWidth="1"/>
    <col min="5" max="7" width="14.109375" bestFit="1" customWidth="1"/>
    <col min="9" max="9" width="18" customWidth="1"/>
  </cols>
  <sheetData>
    <row r="1" spans="1:9" x14ac:dyDescent="0.3">
      <c r="A1" s="354" t="s">
        <v>257</v>
      </c>
      <c r="B1" s="355"/>
      <c r="C1" s="355"/>
      <c r="D1" s="355"/>
      <c r="E1" s="355"/>
      <c r="F1" s="355"/>
      <c r="G1" s="356"/>
    </row>
    <row r="2" spans="1:9" ht="15" thickBot="1" x14ac:dyDescent="0.35">
      <c r="A2" s="364" t="s">
        <v>258</v>
      </c>
      <c r="B2" s="365"/>
      <c r="C2" s="365"/>
      <c r="D2" s="365"/>
      <c r="E2" s="365"/>
      <c r="F2" s="365"/>
      <c r="G2" s="366"/>
    </row>
    <row r="3" spans="1:9" ht="15" thickBot="1" x14ac:dyDescent="0.35">
      <c r="A3" s="171"/>
      <c r="B3" s="172">
        <v>2018</v>
      </c>
      <c r="C3" s="172">
        <v>2019</v>
      </c>
      <c r="D3" s="172">
        <v>2020</v>
      </c>
      <c r="E3" s="172">
        <v>2021</v>
      </c>
      <c r="F3" s="172">
        <v>2022</v>
      </c>
      <c r="G3" s="172">
        <v>2023</v>
      </c>
    </row>
    <row r="4" spans="1:9" ht="15" thickBot="1" x14ac:dyDescent="0.35">
      <c r="A4" s="185" t="s">
        <v>259</v>
      </c>
      <c r="B4" s="173">
        <f>'Capital Social'!D9</f>
        <v>1022325.445969409</v>
      </c>
      <c r="C4" s="173">
        <f>B30</f>
        <v>15600</v>
      </c>
      <c r="D4" s="173">
        <f>C30</f>
        <v>1454373.8841450019</v>
      </c>
      <c r="E4" s="173">
        <f>D30</f>
        <v>6387417.5813948233</v>
      </c>
      <c r="F4" s="173">
        <f>E30</f>
        <v>14829657.9126439</v>
      </c>
      <c r="G4" s="173">
        <f>F30</f>
        <v>26782483.136052802</v>
      </c>
    </row>
    <row r="5" spans="1:9" ht="15" thickBot="1" x14ac:dyDescent="0.35">
      <c r="A5" s="367" t="s">
        <v>260</v>
      </c>
      <c r="B5" s="368"/>
      <c r="C5" s="368"/>
      <c r="D5" s="368"/>
      <c r="E5" s="368"/>
      <c r="F5" s="368"/>
      <c r="G5" s="369"/>
    </row>
    <row r="6" spans="1:9" x14ac:dyDescent="0.3">
      <c r="A6" s="175" t="s">
        <v>261</v>
      </c>
      <c r="B6" s="174">
        <f t="shared" ref="B6" si="0">H6*0.2</f>
        <v>0</v>
      </c>
      <c r="C6" s="174">
        <f>'Ventas, Ingresos'!D4</f>
        <v>6000000</v>
      </c>
      <c r="D6" s="174">
        <f>'Ventas, Ingresos'!D8</f>
        <v>12000000</v>
      </c>
      <c r="E6" s="174">
        <f>'Ventas, Ingresos'!D12</f>
        <v>18000000</v>
      </c>
      <c r="F6" s="174">
        <f>'Ventas, Ingresos'!D16</f>
        <v>24000000</v>
      </c>
      <c r="G6" s="174">
        <f>'Ventas, Ingresos'!D20</f>
        <v>33000000</v>
      </c>
    </row>
    <row r="7" spans="1:9" x14ac:dyDescent="0.3">
      <c r="A7" s="175" t="s">
        <v>262</v>
      </c>
      <c r="B7" s="176">
        <f>InversionTotal!D70</f>
        <v>216200</v>
      </c>
      <c r="C7" s="176"/>
      <c r="D7" s="176"/>
      <c r="E7" s="176"/>
      <c r="F7" s="176"/>
      <c r="G7" s="176"/>
    </row>
    <row r="8" spans="1:9" ht="15" thickBot="1" x14ac:dyDescent="0.35">
      <c r="A8" s="177" t="s">
        <v>263</v>
      </c>
      <c r="B8" s="178">
        <f>SUM(B6:B7)</f>
        <v>216200</v>
      </c>
      <c r="C8" s="178">
        <f t="shared" ref="C8:G8" si="1">SUM(C6:C7)</f>
        <v>6000000</v>
      </c>
      <c r="D8" s="178">
        <f t="shared" si="1"/>
        <v>12000000</v>
      </c>
      <c r="E8" s="178">
        <f t="shared" si="1"/>
        <v>18000000</v>
      </c>
      <c r="F8" s="178">
        <f t="shared" si="1"/>
        <v>24000000</v>
      </c>
      <c r="G8" s="178">
        <f t="shared" si="1"/>
        <v>33000000</v>
      </c>
    </row>
    <row r="9" spans="1:9" ht="15" thickBot="1" x14ac:dyDescent="0.35">
      <c r="A9" s="367" t="s">
        <v>264</v>
      </c>
      <c r="B9" s="368"/>
      <c r="C9" s="368"/>
      <c r="D9" s="368"/>
      <c r="E9" s="368"/>
      <c r="F9" s="368"/>
      <c r="G9" s="369"/>
      <c r="I9" s="312"/>
    </row>
    <row r="10" spans="1:9" ht="14.4" customHeight="1" x14ac:dyDescent="0.3">
      <c r="A10" s="314" t="s">
        <v>325</v>
      </c>
      <c r="B10" s="179">
        <f>InversionTotal!$E$43</f>
        <v>20000</v>
      </c>
      <c r="C10" s="174"/>
      <c r="D10" s="179"/>
      <c r="E10" s="179"/>
      <c r="F10" s="179"/>
      <c r="G10" s="179"/>
    </row>
    <row r="11" spans="1:9" x14ac:dyDescent="0.3">
      <c r="A11" s="175" t="s">
        <v>213</v>
      </c>
      <c r="B11" s="179">
        <f>InversionTotal!$E$44</f>
        <v>99000</v>
      </c>
      <c r="C11" s="174"/>
      <c r="D11" s="179"/>
      <c r="E11" s="179"/>
      <c r="F11" s="179"/>
      <c r="G11" s="179"/>
    </row>
    <row r="12" spans="1:9" ht="14.4" customHeight="1" x14ac:dyDescent="0.3">
      <c r="A12" s="175" t="s">
        <v>324</v>
      </c>
      <c r="B12" s="315">
        <f>InversionTotal!$E$45</f>
        <v>6000</v>
      </c>
      <c r="C12" s="174"/>
      <c r="D12" s="179"/>
      <c r="E12" s="179"/>
      <c r="F12" s="179"/>
      <c r="G12" s="179"/>
    </row>
    <row r="13" spans="1:9" ht="14.4" customHeight="1" x14ac:dyDescent="0.3">
      <c r="A13" s="175" t="s">
        <v>326</v>
      </c>
      <c r="B13" s="315">
        <f>InversionTotal!$E$46</f>
        <v>20000</v>
      </c>
      <c r="C13" s="174"/>
      <c r="D13" s="179"/>
      <c r="E13" s="179"/>
      <c r="F13" s="179"/>
      <c r="G13" s="179"/>
    </row>
    <row r="14" spans="1:9" ht="14.4" customHeight="1" x14ac:dyDescent="0.3">
      <c r="A14" s="175" t="s">
        <v>327</v>
      </c>
      <c r="B14" s="315">
        <f>InversionTotal!$E$47</f>
        <v>10000</v>
      </c>
      <c r="C14" s="174"/>
      <c r="D14" s="179"/>
      <c r="E14" s="179"/>
      <c r="F14" s="179"/>
      <c r="G14" s="179"/>
    </row>
    <row r="15" spans="1:9" ht="14.4" customHeight="1" x14ac:dyDescent="0.3">
      <c r="A15" s="298" t="s">
        <v>80</v>
      </c>
      <c r="B15" s="315">
        <f>InversionTotal!$E$48</f>
        <v>500</v>
      </c>
      <c r="C15" s="174"/>
      <c r="D15" s="179"/>
      <c r="E15" s="179"/>
      <c r="F15" s="179"/>
      <c r="G15" s="179"/>
    </row>
    <row r="16" spans="1:9" ht="14.4" customHeight="1" x14ac:dyDescent="0.3">
      <c r="A16" s="298" t="s">
        <v>81</v>
      </c>
      <c r="B16" s="315">
        <f>InversionTotal!$E$49</f>
        <v>2100</v>
      </c>
      <c r="C16" s="174"/>
      <c r="D16" s="179"/>
      <c r="E16" s="179"/>
      <c r="F16" s="179"/>
      <c r="G16" s="179"/>
    </row>
    <row r="17" spans="1:10" ht="14.4" customHeight="1" x14ac:dyDescent="0.3">
      <c r="A17" t="s">
        <v>328</v>
      </c>
      <c r="B17" s="315">
        <f>InversionTotal!$E$50</f>
        <v>1500</v>
      </c>
      <c r="C17" s="174"/>
      <c r="D17" s="179"/>
      <c r="E17" s="179"/>
      <c r="F17" s="179"/>
      <c r="G17" s="179"/>
    </row>
    <row r="18" spans="1:10" ht="14.4" customHeight="1" x14ac:dyDescent="0.3">
      <c r="A18" t="s">
        <v>329</v>
      </c>
      <c r="B18" s="315">
        <f>InversionTotal!$E$51</f>
        <v>7500</v>
      </c>
      <c r="C18" s="174"/>
      <c r="D18" s="179"/>
      <c r="E18" s="179"/>
      <c r="F18" s="179"/>
      <c r="G18" s="179"/>
    </row>
    <row r="19" spans="1:10" ht="14.4" customHeight="1" x14ac:dyDescent="0.3">
      <c r="A19" t="s">
        <v>84</v>
      </c>
      <c r="B19" s="315">
        <f>InversionTotal!$E$52</f>
        <v>1000</v>
      </c>
      <c r="C19" s="174"/>
      <c r="D19" s="179"/>
      <c r="E19" s="179"/>
      <c r="F19" s="179"/>
      <c r="G19" s="179"/>
    </row>
    <row r="20" spans="1:10" s="311" customFormat="1" ht="14.4" customHeight="1" x14ac:dyDescent="0.3">
      <c r="A20" s="311" t="s">
        <v>265</v>
      </c>
      <c r="B20" s="315">
        <f>InversionTotal!$E$53</f>
        <v>635500</v>
      </c>
      <c r="C20" s="313"/>
      <c r="D20" s="315"/>
      <c r="E20" s="315"/>
      <c r="F20" s="315"/>
      <c r="G20" s="315"/>
      <c r="I20" s="312"/>
    </row>
    <row r="21" spans="1:10" s="311" customFormat="1" ht="14.4" customHeight="1" x14ac:dyDescent="0.3">
      <c r="A21" s="307" t="s">
        <v>330</v>
      </c>
      <c r="B21" s="315">
        <f>InversionTotal!$E$54</f>
        <v>3000</v>
      </c>
      <c r="C21" s="313"/>
      <c r="D21" s="315"/>
      <c r="E21" s="315"/>
      <c r="F21" s="315"/>
      <c r="G21" s="315"/>
      <c r="I21" s="312"/>
    </row>
    <row r="22" spans="1:10" x14ac:dyDescent="0.3">
      <c r="A22" s="175" t="s">
        <v>266</v>
      </c>
      <c r="B22" s="315">
        <f>SUM('Tabla de Amortización'!H12:H14)</f>
        <v>14663.966796447348</v>
      </c>
      <c r="C22" s="174">
        <f>SUM('Tabla de Amortización'!H15:H26)</f>
        <v>64237.090468844428</v>
      </c>
      <c r="D22" s="179">
        <f>SUM('Tabla de Amortización'!H27:H38)</f>
        <v>74196.110452783279</v>
      </c>
      <c r="E22" s="179">
        <f>SUM('Tabla de Amortización'!H39:H47)</f>
        <v>63013.983931010596</v>
      </c>
      <c r="F22" s="179"/>
      <c r="G22" s="315"/>
      <c r="H22" s="312"/>
      <c r="I22" s="312"/>
      <c r="J22" s="312"/>
    </row>
    <row r="23" spans="1:10" x14ac:dyDescent="0.3">
      <c r="A23" s="175" t="s">
        <v>267</v>
      </c>
      <c r="B23" s="315">
        <f>SUM('Tabla de Amortización'!I12:I14)</f>
        <v>7661.47917296164</v>
      </c>
      <c r="C23" s="174">
        <f>SUM('Tabla de Amortización'!I15:I26)</f>
        <v>25064.693408791525</v>
      </c>
      <c r="D23" s="179">
        <f>SUM('Tabla de Amortización'!I27:I38)</f>
        <v>15105.673424852668</v>
      </c>
      <c r="E23" s="179">
        <f>SUM('Tabla de Amortización'!I39:I47)</f>
        <v>3873.5056263020492</v>
      </c>
      <c r="F23" s="179"/>
      <c r="G23" s="179"/>
    </row>
    <row r="24" spans="1:10" s="311" customFormat="1" x14ac:dyDescent="0.3">
      <c r="A24" s="317" t="s">
        <v>304</v>
      </c>
      <c r="B24" s="179">
        <f>InversionTotal!$F$16-InversionTotal!$F$14-InversionTotal!$F$15</f>
        <v>44000</v>
      </c>
      <c r="C24" s="313"/>
      <c r="D24" s="315"/>
      <c r="E24" s="315"/>
      <c r="F24" s="315"/>
      <c r="G24" s="315"/>
    </row>
    <row r="25" spans="1:10" ht="14.4" customHeight="1" x14ac:dyDescent="0.3">
      <c r="A25" s="322" t="s">
        <v>268</v>
      </c>
      <c r="C25" s="174">
        <f>'Costos, Gastos, Precio'!C47-'Costos, Gastos, Precio'!C43</f>
        <v>2455148.2000000002</v>
      </c>
      <c r="D25" s="313">
        <f>'Costos, Gastos, Precio'!K47-'Costos, Gastos, Precio'!K43</f>
        <v>3352828.8870000001</v>
      </c>
      <c r="E25" s="313">
        <f>'Costos, Gastos, Precio'!S47-'Costos, Gastos, Precio'!S43</f>
        <v>4310339.6655449988</v>
      </c>
      <c r="F25" s="313">
        <f>'Costos, Gastos, Precio'!AA47-'Costos, Gastos, Precio'!AA43</f>
        <v>5330768.9832015736</v>
      </c>
      <c r="G25" s="313">
        <f>'Costos, Gastos, Precio'!AI47-'Costos, Gastos, Precio'!AI43</f>
        <v>6867349.3316989085</v>
      </c>
    </row>
    <row r="26" spans="1:10" ht="15" customHeight="1" x14ac:dyDescent="0.3">
      <c r="A26" s="175" t="s">
        <v>269</v>
      </c>
      <c r="B26" s="179"/>
      <c r="C26" s="174">
        <f>'Costos, Gastos, Precio'!E47-'Costos, Gastos, Precio'!E43</f>
        <v>196000</v>
      </c>
      <c r="D26" s="313">
        <f>'Costos, Gastos, Precio'!M47-'Costos, Gastos, Precio'!M43</f>
        <v>202859.99999999997</v>
      </c>
      <c r="E26" s="313">
        <f>'Costos, Gastos, Precio'!U47-'Costos, Gastos, Precio'!U43</f>
        <v>209960.09999999995</v>
      </c>
      <c r="F26" s="313">
        <f>'Costos, Gastos, Precio'!AC47-'Costos, Gastos, Precio'!AC43</f>
        <v>217308.70349999992</v>
      </c>
      <c r="G26" s="313">
        <f>'Costos, Gastos, Precio'!AK47-'Costos, Gastos, Precio'!AK43</f>
        <v>224914.50812249989</v>
      </c>
    </row>
    <row r="27" spans="1:10" ht="15" customHeight="1" x14ac:dyDescent="0.3">
      <c r="A27" s="175" t="s">
        <v>270</v>
      </c>
      <c r="B27" s="179">
        <f>InversionTotal!$E$37</f>
        <v>350500</v>
      </c>
      <c r="C27" s="174">
        <f>'Costos, Gastos, Precio'!G47-'Costos, Gastos, Precio'!G43-'Balance General'!F18-'Balance General'!F20</f>
        <v>1259180</v>
      </c>
      <c r="D27" s="313">
        <f>'Costos, Gastos, Precio'!O47-'Costos, Gastos, Precio'!O43-'Balance General'!I18-'Balance General'!I20</f>
        <v>1303699.9999999998</v>
      </c>
      <c r="E27" s="313">
        <f>'Costos, Gastos, Precio'!W47-'Costos, Gastos, Precio'!W43-'Balance General'!L18-'Balance General'!L20</f>
        <v>1352117.1999999997</v>
      </c>
      <c r="F27" s="313">
        <f>'Costos, Gastos, Precio'!AE47-'Costos, Gastos, Precio'!AE43-'Balance General'!O18-'Balance General'!O20</f>
        <v>1402147.1369999994</v>
      </c>
      <c r="G27" s="313">
        <f>'Costos, Gastos, Precio'!AM47-'Costos, Gastos, Precio'!AM43-'Balance General'!R18-'Balance General'!R20</f>
        <v>1453389.7067949995</v>
      </c>
    </row>
    <row r="28" spans="1:10" s="311" customFormat="1" ht="15" customHeight="1" x14ac:dyDescent="0.3">
      <c r="A28" s="314" t="s">
        <v>339</v>
      </c>
      <c r="B28" s="315"/>
      <c r="C28" s="313">
        <f>'Estado de Resultados'!D13</f>
        <v>561596.13197736244</v>
      </c>
      <c r="D28" s="313">
        <f>'Estado de Resultados'!F13</f>
        <v>2118265.6318725441</v>
      </c>
      <c r="E28" s="313">
        <f>'Estado de Resultados'!H13</f>
        <v>3618455.2136486103</v>
      </c>
      <c r="F28" s="313">
        <f>'Estado de Resultados'!J13</f>
        <v>5096949.9528895272</v>
      </c>
      <c r="G28" s="313">
        <f>'Estado de Resultados'!L13</f>
        <v>7318886.0710150767</v>
      </c>
    </row>
    <row r="29" spans="1:10" ht="15.75" customHeight="1" thickBot="1" x14ac:dyDescent="0.35">
      <c r="A29" s="177" t="s">
        <v>271</v>
      </c>
      <c r="B29" s="178">
        <f t="shared" ref="B29:G29" si="2">SUM(B10:B27)</f>
        <v>1222925.4459694088</v>
      </c>
      <c r="C29" s="178">
        <f>SUM(C10:C28)</f>
        <v>4561226.1158549981</v>
      </c>
      <c r="D29" s="178">
        <f>SUM(D10:D28)</f>
        <v>7066956.3027501795</v>
      </c>
      <c r="E29" s="178">
        <f>SUM(E10:E28)</f>
        <v>9557759.6687509213</v>
      </c>
      <c r="F29" s="178">
        <f>SUM(F10:F28)</f>
        <v>12047174.7765911</v>
      </c>
      <c r="G29" s="178">
        <f>SUM(G10:G28)</f>
        <v>15864539.617631486</v>
      </c>
    </row>
    <row r="30" spans="1:10" ht="15.75" customHeight="1" thickBot="1" x14ac:dyDescent="0.35">
      <c r="A30" s="180" t="s">
        <v>272</v>
      </c>
      <c r="B30" s="181">
        <f t="shared" ref="B30:G30" si="3">B4+B8-B29</f>
        <v>15600</v>
      </c>
      <c r="C30" s="181">
        <f t="shared" si="3"/>
        <v>1454373.8841450019</v>
      </c>
      <c r="D30" s="181">
        <f t="shared" si="3"/>
        <v>6387417.5813948233</v>
      </c>
      <c r="E30" s="181">
        <f t="shared" si="3"/>
        <v>14829657.9126439</v>
      </c>
      <c r="F30" s="181">
        <f t="shared" si="3"/>
        <v>26782483.136052802</v>
      </c>
      <c r="G30" s="181">
        <f t="shared" si="3"/>
        <v>43917943.518421315</v>
      </c>
    </row>
    <row r="32" spans="1:10" ht="15" customHeight="1" x14ac:dyDescent="0.3">
      <c r="A32" s="183"/>
    </row>
    <row r="33" spans="3:3" ht="15" customHeight="1" x14ac:dyDescent="0.3"/>
    <row r="35" spans="3:3" x14ac:dyDescent="0.3">
      <c r="C35" s="285"/>
    </row>
    <row r="37" spans="3:3" x14ac:dyDescent="0.3">
      <c r="C37" s="285"/>
    </row>
  </sheetData>
  <mergeCells count="4">
    <mergeCell ref="A2:G2"/>
    <mergeCell ref="A5:G5"/>
    <mergeCell ref="A9:G9"/>
    <mergeCell ref="A1:G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D9A-C8E7-4743-ABEC-BC9BF9F81C82}">
  <sheetPr>
    <pageSetUpPr fitToPage="1"/>
  </sheetPr>
  <dimension ref="A1:M25"/>
  <sheetViews>
    <sheetView topLeftCell="A4" zoomScaleNormal="100" workbookViewId="0">
      <selection activeCell="B19" sqref="B19"/>
    </sheetView>
  </sheetViews>
  <sheetFormatPr baseColWidth="10" defaultColWidth="11.44140625" defaultRowHeight="14.4" x14ac:dyDescent="0.3"/>
  <cols>
    <col min="1" max="1" width="42.6640625" bestFit="1" customWidth="1"/>
    <col min="2" max="13" width="17.77734375" customWidth="1"/>
  </cols>
  <sheetData>
    <row r="1" spans="1:13" x14ac:dyDescent="0.3">
      <c r="A1" s="354" t="s">
        <v>257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6"/>
    </row>
    <row r="2" spans="1:13" ht="15" thickBot="1" x14ac:dyDescent="0.35">
      <c r="A2" s="357" t="s">
        <v>273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9"/>
    </row>
    <row r="3" spans="1:13" ht="15" thickBot="1" x14ac:dyDescent="0.35">
      <c r="A3" s="184"/>
      <c r="B3" s="360" t="s">
        <v>274</v>
      </c>
      <c r="C3" s="361"/>
      <c r="D3" s="362" t="s">
        <v>275</v>
      </c>
      <c r="E3" s="363"/>
      <c r="F3" s="362" t="s">
        <v>276</v>
      </c>
      <c r="G3" s="363"/>
      <c r="H3" s="362" t="s">
        <v>277</v>
      </c>
      <c r="I3" s="363"/>
      <c r="J3" s="362" t="s">
        <v>278</v>
      </c>
      <c r="K3" s="363"/>
      <c r="L3" s="362" t="s">
        <v>279</v>
      </c>
      <c r="M3" s="363"/>
    </row>
    <row r="4" spans="1:13" x14ac:dyDescent="0.3">
      <c r="A4" s="199" t="s">
        <v>280</v>
      </c>
      <c r="B4" s="198"/>
      <c r="C4" s="195">
        <v>0</v>
      </c>
      <c r="D4" s="197"/>
      <c r="E4" s="195">
        <f>'Ventas, Ingresos'!D4</f>
        <v>6000000</v>
      </c>
      <c r="F4" s="197"/>
      <c r="G4" s="195">
        <f>'Ventas, Ingresos'!D8</f>
        <v>12000000</v>
      </c>
      <c r="H4" s="197"/>
      <c r="I4" s="195">
        <f>'Ventas, Ingresos'!D12</f>
        <v>18000000</v>
      </c>
      <c r="J4" s="197"/>
      <c r="K4" s="195">
        <f>'Ventas, Ingresos'!D16</f>
        <v>24000000</v>
      </c>
      <c r="L4" s="197"/>
      <c r="M4" s="195">
        <f>'Ventas, Ingresos'!D20</f>
        <v>33000000</v>
      </c>
    </row>
    <row r="5" spans="1:13" x14ac:dyDescent="0.3">
      <c r="A5" s="199" t="s">
        <v>334</v>
      </c>
      <c r="B5" s="295"/>
      <c r="C5" s="195">
        <v>0</v>
      </c>
      <c r="D5" s="196"/>
      <c r="E5" s="195">
        <f>'Costos, Gastos, Precio'!C47</f>
        <v>2490372.2000000002</v>
      </c>
      <c r="F5" s="196"/>
      <c r="G5" s="195">
        <f>'Costos, Gastos, Precio'!K47</f>
        <v>3388052.8870000001</v>
      </c>
      <c r="H5" s="196"/>
      <c r="I5" s="195">
        <f>'Costos, Gastos, Precio'!S47</f>
        <v>4345563.6655449988</v>
      </c>
      <c r="J5" s="196"/>
      <c r="K5" s="195">
        <f>'Costos, Gastos, Precio'!AA47</f>
        <v>5365992.9832015736</v>
      </c>
      <c r="L5" s="196"/>
      <c r="M5" s="195">
        <f>'Costos, Gastos, Precio'!AI47</f>
        <v>6902573.3316989085</v>
      </c>
    </row>
    <row r="6" spans="1:13" x14ac:dyDescent="0.3">
      <c r="A6" s="199" t="s">
        <v>281</v>
      </c>
      <c r="B6" s="295"/>
      <c r="C6" s="195">
        <f>(C4-C5)</f>
        <v>0</v>
      </c>
      <c r="D6" s="196"/>
      <c r="E6" s="195">
        <f>(E4-E5)</f>
        <v>3509627.8</v>
      </c>
      <c r="F6" s="196"/>
      <c r="G6" s="195">
        <f>(G4-G5)</f>
        <v>8611947.1129999999</v>
      </c>
      <c r="H6" s="196"/>
      <c r="I6" s="195">
        <f>(I4-I5)+88.85</f>
        <v>13654525.184455002</v>
      </c>
      <c r="J6" s="196"/>
      <c r="K6" s="195">
        <f>(K4-K5)</f>
        <v>18634007.016798425</v>
      </c>
      <c r="L6" s="196"/>
      <c r="M6" s="195">
        <f>(M4-M5)</f>
        <v>26097426.668301091</v>
      </c>
    </row>
    <row r="7" spans="1:13" s="311" customFormat="1" x14ac:dyDescent="0.3">
      <c r="A7" s="314" t="s">
        <v>335</v>
      </c>
      <c r="B7" s="325">
        <f>Remuneraciones!F7*3</f>
        <v>399000</v>
      </c>
      <c r="C7" s="194"/>
      <c r="D7" s="323"/>
      <c r="E7" s="194"/>
      <c r="F7" s="323"/>
      <c r="G7" s="194"/>
      <c r="H7" s="323"/>
      <c r="I7" s="194"/>
      <c r="J7" s="323"/>
      <c r="K7" s="194"/>
      <c r="L7" s="323"/>
      <c r="M7" s="194"/>
    </row>
    <row r="8" spans="1:13" x14ac:dyDescent="0.3">
      <c r="A8" s="175" t="s">
        <v>269</v>
      </c>
      <c r="B8" s="296">
        <f>Remuneraciones!F10*3</f>
        <v>49000</v>
      </c>
      <c r="C8" s="194"/>
      <c r="D8" s="75">
        <f>'Costos, Gastos, Precio'!E47</f>
        <v>198720</v>
      </c>
      <c r="E8" s="194"/>
      <c r="F8" s="75">
        <f>'Costos, Gastos, Precio'!M36</f>
        <v>205579.99999999997</v>
      </c>
      <c r="G8" s="194"/>
      <c r="H8" s="75">
        <f>'Costos, Gastos, Precio'!U36</f>
        <v>212680.09999999995</v>
      </c>
      <c r="I8" s="194"/>
      <c r="J8" s="75">
        <f>'Costos, Gastos, Precio'!AC36</f>
        <v>220028.70349999992</v>
      </c>
      <c r="K8" s="194"/>
      <c r="L8" s="75">
        <f>'Costos, Gastos, Precio'!AK36</f>
        <v>227634.50812249989</v>
      </c>
      <c r="M8" s="194"/>
    </row>
    <row r="9" spans="1:13" x14ac:dyDescent="0.3">
      <c r="A9" s="175" t="s">
        <v>270</v>
      </c>
      <c r="B9" s="296">
        <f>Remuneraciones!F17*3</f>
        <v>187500</v>
      </c>
      <c r="C9" s="194"/>
      <c r="D9" s="75">
        <f>'Costos, Gastos, Precio'!G47+SUM('Balance General'!C21:C23)</f>
        <v>1413856</v>
      </c>
      <c r="E9" s="194"/>
      <c r="F9" s="75">
        <f>'Costos, Gastos, Precio'!O36</f>
        <v>1330375.9999999998</v>
      </c>
      <c r="G9" s="194"/>
      <c r="H9" s="75">
        <f>'Costos, Gastos, Precio'!W36</f>
        <v>1376454.1999999997</v>
      </c>
      <c r="I9" s="194"/>
      <c r="J9" s="75">
        <f>'Costos, Gastos, Precio'!AE36</f>
        <v>1424145.1369999994</v>
      </c>
      <c r="K9" s="194"/>
      <c r="L9" s="75">
        <f>'Costos, Gastos, Precio'!AM36</f>
        <v>1473505.2567949996</v>
      </c>
      <c r="M9" s="194"/>
    </row>
    <row r="10" spans="1:13" x14ac:dyDescent="0.3">
      <c r="A10" s="193" t="s">
        <v>282</v>
      </c>
      <c r="B10" s="191"/>
      <c r="C10" s="192">
        <f>C6-SUM(B7:B9)</f>
        <v>-635500</v>
      </c>
      <c r="D10" s="133"/>
      <c r="E10" s="192">
        <f>E6-SUM(D8:D9)</f>
        <v>1897051.7999999998</v>
      </c>
      <c r="F10" s="133"/>
      <c r="G10" s="192">
        <f>G6-SUM(F8:F9)</f>
        <v>7075991.1129999999</v>
      </c>
      <c r="H10" s="133"/>
      <c r="I10" s="192">
        <f>I6-SUM(H8:H9)</f>
        <v>12065390.884455003</v>
      </c>
      <c r="J10" s="133"/>
      <c r="K10" s="192">
        <f>K6-SUM(J8:J9)</f>
        <v>16989833.176298425</v>
      </c>
      <c r="L10" s="133"/>
      <c r="M10" s="192">
        <f>M6-SUM(L8:L9)</f>
        <v>24396286.90338359</v>
      </c>
    </row>
    <row r="11" spans="1:13" x14ac:dyDescent="0.3">
      <c r="A11" s="175" t="s">
        <v>283</v>
      </c>
      <c r="B11" s="191">
        <f>SUM('Tabla de Amortización'!I12:I14)</f>
        <v>7661.47917296164</v>
      </c>
      <c r="C11" s="190"/>
      <c r="D11" s="133">
        <f>'Costos, Gastos, Precio'!C60</f>
        <v>25064.693408791525</v>
      </c>
      <c r="E11" s="190"/>
      <c r="F11" s="133">
        <f>'Costos, Gastos, Precio'!D60</f>
        <v>15105.673424852668</v>
      </c>
      <c r="G11" s="190"/>
      <c r="H11" s="133">
        <f>'Costos, Gastos, Precio'!E60</f>
        <v>3873.5056263020492</v>
      </c>
      <c r="I11" s="190"/>
      <c r="J11" s="133">
        <f>'Costos, Gastos, Precio'!F60</f>
        <v>0</v>
      </c>
      <c r="K11" s="190"/>
      <c r="L11" s="133">
        <f>'Costos, Gastos, Precio'!G60</f>
        <v>0</v>
      </c>
      <c r="M11" s="190"/>
    </row>
    <row r="12" spans="1:13" x14ac:dyDescent="0.3">
      <c r="A12" s="193" t="s">
        <v>284</v>
      </c>
      <c r="B12" s="191"/>
      <c r="C12" s="192">
        <f>C10-B11</f>
        <v>-643161.47917296167</v>
      </c>
      <c r="D12" s="133"/>
      <c r="E12" s="192">
        <f>E10-D11</f>
        <v>1871987.1065912084</v>
      </c>
      <c r="F12" s="133"/>
      <c r="G12" s="192">
        <f>G10-F11</f>
        <v>7060885.4395751469</v>
      </c>
      <c r="H12" s="133"/>
      <c r="I12" s="192">
        <f>I10-H11</f>
        <v>12061517.378828701</v>
      </c>
      <c r="J12" s="133"/>
      <c r="K12" s="192">
        <f>K10-J11</f>
        <v>16989833.176298425</v>
      </c>
      <c r="L12" s="133"/>
      <c r="M12" s="192">
        <f>M10-L11</f>
        <v>24396286.90338359</v>
      </c>
    </row>
    <row r="13" spans="1:13" x14ac:dyDescent="0.3">
      <c r="A13" s="175" t="s">
        <v>285</v>
      </c>
      <c r="B13" s="191">
        <f>IF(C$12&gt;0,C$12*0.3,0)</f>
        <v>0</v>
      </c>
      <c r="C13" s="190"/>
      <c r="D13" s="133">
        <f>IF(E$12&gt;0,E$12*0.3,0)</f>
        <v>561596.13197736244</v>
      </c>
      <c r="E13" s="190"/>
      <c r="F13" s="133">
        <f>IF(G$12&gt;0,G$12*0.3,0)</f>
        <v>2118265.6318725441</v>
      </c>
      <c r="G13" s="190"/>
      <c r="H13" s="133">
        <f>IF(I$12&gt;0,I$12*0.3,0)</f>
        <v>3618455.2136486103</v>
      </c>
      <c r="I13" s="190"/>
      <c r="J13" s="133">
        <f>IF(K$12&gt;0,K$12*0.3,0)</f>
        <v>5096949.9528895272</v>
      </c>
      <c r="K13" s="190"/>
      <c r="L13" s="133">
        <f>M12*0.3</f>
        <v>7318886.0710150767</v>
      </c>
      <c r="M13" s="190"/>
    </row>
    <row r="14" spans="1:13" ht="15" thickBot="1" x14ac:dyDescent="0.35">
      <c r="A14" s="189" t="s">
        <v>286</v>
      </c>
      <c r="B14" s="188"/>
      <c r="C14" s="186">
        <f>(C12-B13)</f>
        <v>-643161.47917296167</v>
      </c>
      <c r="D14" s="187"/>
      <c r="E14" s="186">
        <f>(E12-D13)</f>
        <v>1310390.9746138458</v>
      </c>
      <c r="F14" s="187"/>
      <c r="G14" s="186">
        <f>(G12-F13)</f>
        <v>4942619.8077026028</v>
      </c>
      <c r="H14" s="187"/>
      <c r="I14" s="186">
        <f>(I12-H13)</f>
        <v>8443062.1651800908</v>
      </c>
      <c r="J14" s="187"/>
      <c r="K14" s="186">
        <f>(K12-J13)</f>
        <v>11892883.223408896</v>
      </c>
      <c r="L14" s="187"/>
      <c r="M14" s="186">
        <f>(M12-L13)</f>
        <v>17077400.832368515</v>
      </c>
    </row>
    <row r="16" spans="1:13" x14ac:dyDescent="0.3">
      <c r="F16" s="149"/>
      <c r="H16" s="149"/>
      <c r="L16" s="149"/>
    </row>
    <row r="17" spans="2:12" x14ac:dyDescent="0.3">
      <c r="F17" s="149"/>
      <c r="H17" s="149"/>
      <c r="L17" s="149"/>
    </row>
    <row r="18" spans="2:12" x14ac:dyDescent="0.3">
      <c r="D18" s="312"/>
      <c r="F18" s="149"/>
      <c r="H18" s="149"/>
      <c r="L18" s="149"/>
    </row>
    <row r="19" spans="2:12" x14ac:dyDescent="0.3">
      <c r="B19" s="312"/>
      <c r="D19" s="312"/>
      <c r="F19" s="149"/>
      <c r="H19" s="149"/>
      <c r="L19" s="149"/>
    </row>
    <row r="20" spans="2:12" x14ac:dyDescent="0.3">
      <c r="D20" s="312"/>
      <c r="H20" s="149"/>
      <c r="L20" s="149"/>
    </row>
    <row r="21" spans="2:12" x14ac:dyDescent="0.3">
      <c r="D21" s="312"/>
      <c r="H21" s="149"/>
      <c r="L21" s="149"/>
    </row>
    <row r="23" spans="2:12" x14ac:dyDescent="0.3">
      <c r="C23" s="312"/>
    </row>
    <row r="25" spans="2:12" x14ac:dyDescent="0.3">
      <c r="C25" s="312"/>
    </row>
  </sheetData>
  <mergeCells count="8">
    <mergeCell ref="A1:M1"/>
    <mergeCell ref="A2:M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scale="5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7B55-136F-4B1B-88D0-B9C968C09AD2}">
  <sheetPr>
    <pageSetUpPr fitToPage="1"/>
  </sheetPr>
  <dimension ref="A1:W43"/>
  <sheetViews>
    <sheetView topLeftCell="H19" zoomScale="93" zoomScaleNormal="85" workbookViewId="0">
      <selection activeCell="I3" sqref="I3:T39"/>
    </sheetView>
  </sheetViews>
  <sheetFormatPr baseColWidth="10" defaultColWidth="10.88671875" defaultRowHeight="14.4" x14ac:dyDescent="0.3"/>
  <cols>
    <col min="1" max="1" width="22.5546875" style="182" bestFit="1" customWidth="1"/>
    <col min="2" max="2" width="44.21875" style="182" bestFit="1" customWidth="1"/>
    <col min="3" max="20" width="14.5546875" style="182" customWidth="1"/>
    <col min="21" max="16384" width="10.88671875" style="182"/>
  </cols>
  <sheetData>
    <row r="1" spans="1:23" ht="18" x14ac:dyDescent="0.35">
      <c r="A1" s="370" t="s">
        <v>257</v>
      </c>
      <c r="B1" s="371"/>
      <c r="C1" s="371"/>
      <c r="D1" s="371"/>
      <c r="E1" s="371"/>
      <c r="F1" s="371"/>
      <c r="G1" s="371"/>
      <c r="H1" s="372"/>
      <c r="I1" s="518"/>
      <c r="J1" s="518"/>
      <c r="K1" s="518"/>
      <c r="L1" s="518"/>
      <c r="M1" s="518"/>
      <c r="N1" s="518"/>
      <c r="O1" s="518"/>
      <c r="P1" s="518"/>
      <c r="Q1" s="518"/>
      <c r="R1" s="518"/>
      <c r="S1" s="518"/>
      <c r="T1" s="519"/>
    </row>
    <row r="2" spans="1:23" ht="18.600000000000001" thickBot="1" x14ac:dyDescent="0.4">
      <c r="A2" s="373" t="s">
        <v>289</v>
      </c>
      <c r="B2" s="374"/>
      <c r="C2" s="374"/>
      <c r="D2" s="374"/>
      <c r="E2" s="374"/>
      <c r="F2" s="374"/>
      <c r="G2" s="374"/>
      <c r="H2" s="375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1"/>
    </row>
    <row r="3" spans="1:23" ht="18.600000000000001" thickBot="1" x14ac:dyDescent="0.4">
      <c r="A3" s="376"/>
      <c r="B3" s="377"/>
      <c r="C3" s="376" t="s">
        <v>290</v>
      </c>
      <c r="D3" s="377"/>
      <c r="E3" s="378"/>
      <c r="F3" s="377" t="s">
        <v>291</v>
      </c>
      <c r="G3" s="377"/>
      <c r="H3" s="378"/>
      <c r="I3" s="376" t="s">
        <v>292</v>
      </c>
      <c r="J3" s="377"/>
      <c r="K3" s="378"/>
      <c r="L3" s="376" t="s">
        <v>293</v>
      </c>
      <c r="M3" s="377"/>
      <c r="N3" s="378"/>
      <c r="O3" s="376" t="s">
        <v>294</v>
      </c>
      <c r="P3" s="377"/>
      <c r="Q3" s="378"/>
      <c r="R3" s="376" t="s">
        <v>295</v>
      </c>
      <c r="S3" s="377"/>
      <c r="T3" s="378"/>
      <c r="U3"/>
      <c r="V3"/>
      <c r="W3"/>
    </row>
    <row r="4" spans="1:23" ht="18" x14ac:dyDescent="0.35">
      <c r="A4" s="216" t="s">
        <v>296</v>
      </c>
      <c r="B4" s="276"/>
      <c r="C4" s="216"/>
      <c r="D4" s="215"/>
      <c r="E4" s="214"/>
      <c r="F4" s="216"/>
      <c r="G4" s="215"/>
      <c r="H4" s="214"/>
      <c r="I4" s="216"/>
      <c r="J4" s="215"/>
      <c r="K4" s="214"/>
      <c r="L4" s="216"/>
      <c r="M4" s="215"/>
      <c r="N4" s="214"/>
      <c r="O4" s="216"/>
      <c r="P4" s="215"/>
      <c r="Q4" s="214"/>
      <c r="R4" s="216"/>
      <c r="S4" s="215"/>
      <c r="T4" s="214"/>
    </row>
    <row r="5" spans="1:23" ht="15.6" x14ac:dyDescent="0.3">
      <c r="A5" s="209"/>
      <c r="B5" s="277" t="s">
        <v>297</v>
      </c>
      <c r="C5" s="209"/>
      <c r="D5" s="210"/>
      <c r="E5" s="213"/>
      <c r="F5" s="209"/>
      <c r="G5" s="210"/>
      <c r="H5" s="213"/>
      <c r="I5" s="209"/>
      <c r="J5" s="210"/>
      <c r="K5" s="213"/>
      <c r="L5" s="209"/>
      <c r="M5" s="210"/>
      <c r="N5" s="213"/>
      <c r="O5" s="209"/>
      <c r="P5" s="210"/>
      <c r="Q5" s="213"/>
      <c r="R5" s="209"/>
      <c r="S5" s="210"/>
      <c r="T5" s="213"/>
    </row>
    <row r="6" spans="1:23" x14ac:dyDescent="0.3">
      <c r="A6" s="206"/>
      <c r="B6" s="279" t="s">
        <v>332</v>
      </c>
      <c r="C6" s="282">
        <f>'Flujo de Efectivo'!B30</f>
        <v>15600</v>
      </c>
      <c r="D6" s="208"/>
      <c r="E6" s="207"/>
      <c r="F6" s="282">
        <f>'Flujo de Efectivo'!C30</f>
        <v>1454373.8841450019</v>
      </c>
      <c r="G6" s="208"/>
      <c r="H6" s="207"/>
      <c r="I6" s="282">
        <f>'Flujo de Efectivo'!D30</f>
        <v>6387417.5813948233</v>
      </c>
      <c r="J6" s="208"/>
      <c r="K6" s="207"/>
      <c r="L6" s="282">
        <f>'Flujo de Efectivo'!E30</f>
        <v>14829657.9126439</v>
      </c>
      <c r="M6" s="208"/>
      <c r="N6" s="207"/>
      <c r="O6" s="282">
        <f>'Flujo de Efectivo'!F30</f>
        <v>26782483.136052802</v>
      </c>
      <c r="P6" s="208"/>
      <c r="Q6" s="207"/>
      <c r="R6" s="282">
        <f>'Flujo de Efectivo'!G30</f>
        <v>43917943.518421315</v>
      </c>
      <c r="S6" s="208"/>
      <c r="T6" s="207"/>
    </row>
    <row r="7" spans="1:23" x14ac:dyDescent="0.3">
      <c r="A7" s="206"/>
      <c r="B7" s="306" t="s">
        <v>298</v>
      </c>
      <c r="C7" s="282"/>
      <c r="D7" s="310">
        <f>SUM(C6:C7)</f>
        <v>15600</v>
      </c>
      <c r="F7" s="282"/>
      <c r="G7" s="310">
        <f>SUM(F6:F7)</f>
        <v>1454373.8841450019</v>
      </c>
      <c r="H7" s="207"/>
      <c r="I7" s="282"/>
      <c r="J7" s="310">
        <f>SUM(I6:I7)</f>
        <v>6387417.5813948233</v>
      </c>
      <c r="K7" s="207"/>
      <c r="L7" s="282"/>
      <c r="M7" s="310">
        <f>SUM(L6:L7)</f>
        <v>14829657.9126439</v>
      </c>
      <c r="N7" s="207"/>
      <c r="O7" s="282"/>
      <c r="P7" s="310">
        <f>SUM(O6:O7)</f>
        <v>26782483.136052802</v>
      </c>
      <c r="Q7" s="207"/>
      <c r="R7" s="282"/>
      <c r="S7" s="310">
        <f>SUM(R6:R7)</f>
        <v>43917943.518421315</v>
      </c>
      <c r="T7" s="207"/>
    </row>
    <row r="8" spans="1:23" x14ac:dyDescent="0.3">
      <c r="A8" s="206"/>
      <c r="C8" s="282"/>
      <c r="D8" s="208"/>
      <c r="E8" s="207"/>
      <c r="F8" s="282"/>
      <c r="H8" s="207"/>
      <c r="I8" s="282"/>
      <c r="K8" s="207"/>
      <c r="L8" s="282"/>
      <c r="N8" s="207"/>
      <c r="O8" s="282"/>
      <c r="Q8" s="207"/>
      <c r="R8" s="282"/>
      <c r="T8" s="207"/>
    </row>
    <row r="9" spans="1:23" ht="15.6" x14ac:dyDescent="0.3">
      <c r="A9" s="206"/>
      <c r="B9" s="277" t="s">
        <v>299</v>
      </c>
      <c r="C9" s="282"/>
      <c r="D9" s="208"/>
      <c r="E9" s="207"/>
      <c r="F9" s="282"/>
      <c r="G9" s="208"/>
      <c r="H9" s="207"/>
      <c r="I9" s="282"/>
      <c r="J9" s="208"/>
      <c r="K9" s="207"/>
      <c r="L9" s="282"/>
      <c r="M9" s="208"/>
      <c r="N9" s="207"/>
      <c r="O9" s="282"/>
      <c r="P9" s="208"/>
      <c r="Q9" s="207"/>
      <c r="R9" s="282"/>
      <c r="S9" s="208"/>
      <c r="T9" s="207"/>
    </row>
    <row r="10" spans="1:23" x14ac:dyDescent="0.3">
      <c r="A10" s="206"/>
      <c r="B10" s="278" t="s">
        <v>288</v>
      </c>
      <c r="C10" s="282">
        <f>SUM(InversionTotal!E23:E30,InversionTotal!E34:E36)</f>
        <v>152500</v>
      </c>
      <c r="D10" s="208"/>
      <c r="E10" s="207"/>
      <c r="F10" s="282">
        <f>D11</f>
        <v>152500</v>
      </c>
      <c r="G10" s="208"/>
      <c r="H10" s="207"/>
      <c r="I10" s="282">
        <f>G11</f>
        <v>140300</v>
      </c>
      <c r="J10" s="208"/>
      <c r="K10" s="207"/>
      <c r="L10" s="282">
        <f>J11</f>
        <v>128100</v>
      </c>
      <c r="M10" s="208"/>
      <c r="N10" s="207"/>
      <c r="O10" s="282">
        <f>M11</f>
        <v>115900</v>
      </c>
      <c r="P10" s="208"/>
      <c r="Q10" s="207"/>
      <c r="R10" s="282">
        <f>P11</f>
        <v>103700</v>
      </c>
      <c r="S10" s="208"/>
      <c r="T10" s="207"/>
    </row>
    <row r="11" spans="1:23" x14ac:dyDescent="0.3">
      <c r="A11" s="206"/>
      <c r="B11" s="316" t="s">
        <v>300</v>
      </c>
      <c r="C11" s="282">
        <v>0</v>
      </c>
      <c r="D11" s="208">
        <f>C10-C11</f>
        <v>152500</v>
      </c>
      <c r="E11" s="207"/>
      <c r="F11" s="282">
        <f>SUM(Depreciación!$I$7:$I$12,Depreciación!$I$18:$I$19,Depreciación!$I$24:$I$31)</f>
        <v>12200</v>
      </c>
      <c r="G11" s="208">
        <f>F10-F11</f>
        <v>140300</v>
      </c>
      <c r="H11" s="207"/>
      <c r="I11" s="282">
        <f>F11</f>
        <v>12200</v>
      </c>
      <c r="J11" s="208">
        <f>I10-I11</f>
        <v>128100</v>
      </c>
      <c r="K11" s="207"/>
      <c r="L11" s="282">
        <f>I11</f>
        <v>12200</v>
      </c>
      <c r="M11" s="208">
        <f>L10-L11</f>
        <v>115900</v>
      </c>
      <c r="N11" s="207"/>
      <c r="O11" s="282">
        <f>L11</f>
        <v>12200</v>
      </c>
      <c r="P11" s="208">
        <f>O10-O11</f>
        <v>103700</v>
      </c>
      <c r="Q11" s="207"/>
      <c r="R11" s="282">
        <f>O11</f>
        <v>12200</v>
      </c>
      <c r="S11" s="208">
        <f>R10-R11</f>
        <v>91500</v>
      </c>
      <c r="T11" s="207"/>
    </row>
    <row r="12" spans="1:23" x14ac:dyDescent="0.3">
      <c r="A12" s="206"/>
      <c r="B12" s="318" t="s">
        <v>150</v>
      </c>
      <c r="C12" s="282">
        <f>SUM(InversionTotal!E31:E33)</f>
        <v>198000</v>
      </c>
      <c r="D12" s="208"/>
      <c r="E12" s="207"/>
      <c r="F12" s="282">
        <f>D13</f>
        <v>198000</v>
      </c>
      <c r="G12" s="208"/>
      <c r="H12" s="207"/>
      <c r="I12" s="282">
        <f>G13</f>
        <v>158400</v>
      </c>
      <c r="J12" s="208"/>
      <c r="K12" s="207"/>
      <c r="L12" s="282">
        <f>J13</f>
        <v>118800</v>
      </c>
      <c r="M12" s="208"/>
      <c r="N12" s="207"/>
      <c r="O12" s="282">
        <f>M13</f>
        <v>79200</v>
      </c>
      <c r="P12" s="208"/>
      <c r="Q12" s="207"/>
      <c r="R12" s="282">
        <f>P13</f>
        <v>39600</v>
      </c>
      <c r="S12" s="208"/>
      <c r="T12" s="207"/>
    </row>
    <row r="13" spans="1:23" x14ac:dyDescent="0.3">
      <c r="A13" s="206"/>
      <c r="B13" s="318" t="s">
        <v>301</v>
      </c>
      <c r="C13" s="282">
        <v>0</v>
      </c>
      <c r="D13" s="208">
        <f>C12-C13</f>
        <v>198000</v>
      </c>
      <c r="E13" s="207"/>
      <c r="F13" s="282">
        <f>SUM(Depreciación!$I$14:$I$15,Depreciación!$I$21,Depreciación!$I$33:$I$34)</f>
        <v>39600</v>
      </c>
      <c r="G13" s="208">
        <f>F12-F13</f>
        <v>158400</v>
      </c>
      <c r="H13" s="207"/>
      <c r="I13" s="282">
        <f>F13</f>
        <v>39600</v>
      </c>
      <c r="J13" s="208">
        <f>I12-I13</f>
        <v>118800</v>
      </c>
      <c r="K13" s="207"/>
      <c r="L13" s="282">
        <f>I13</f>
        <v>39600</v>
      </c>
      <c r="M13" s="208">
        <f>L12-L13</f>
        <v>79200</v>
      </c>
      <c r="N13" s="207"/>
      <c r="O13" s="282">
        <f>L13</f>
        <v>39600</v>
      </c>
      <c r="P13" s="208">
        <f>O12-O13</f>
        <v>39600</v>
      </c>
      <c r="Q13" s="207"/>
      <c r="R13" s="282">
        <f>O13</f>
        <v>39600</v>
      </c>
      <c r="S13" s="208">
        <f>R12-R13</f>
        <v>0</v>
      </c>
      <c r="T13" s="207"/>
    </row>
    <row r="14" spans="1:23" x14ac:dyDescent="0.3">
      <c r="A14" s="206"/>
      <c r="B14" s="306" t="s">
        <v>302</v>
      </c>
      <c r="C14" s="282"/>
      <c r="D14" s="310">
        <f>SUM(D10:D13)</f>
        <v>350500</v>
      </c>
      <c r="F14" s="282"/>
      <c r="G14" s="310">
        <f>SUM(G10:G13)</f>
        <v>298700</v>
      </c>
      <c r="H14" s="207"/>
      <c r="I14" s="282"/>
      <c r="J14" s="310">
        <f>SUM(J10:J13)</f>
        <v>246900</v>
      </c>
      <c r="K14" s="207"/>
      <c r="L14" s="282"/>
      <c r="M14" s="310">
        <f>SUM(M10:M13)</f>
        <v>195100</v>
      </c>
      <c r="N14" s="207"/>
      <c r="O14" s="282"/>
      <c r="P14" s="310">
        <f>SUM(P10:P13)</f>
        <v>143300</v>
      </c>
      <c r="Q14" s="207"/>
      <c r="R14" s="282"/>
      <c r="S14" s="310">
        <f>SUM(S10:S13)</f>
        <v>91500</v>
      </c>
      <c r="T14" s="207"/>
    </row>
    <row r="15" spans="1:23" x14ac:dyDescent="0.3">
      <c r="A15" s="206"/>
      <c r="B15" s="278"/>
      <c r="C15" s="282"/>
      <c r="D15" s="208"/>
      <c r="E15" s="207"/>
      <c r="F15" s="282"/>
      <c r="G15" s="208"/>
      <c r="H15" s="207"/>
      <c r="I15" s="282"/>
      <c r="J15" s="208"/>
      <c r="K15" s="207"/>
      <c r="L15" s="282"/>
      <c r="M15" s="208"/>
      <c r="N15" s="207"/>
      <c r="O15" s="282"/>
      <c r="P15" s="208"/>
      <c r="Q15" s="207"/>
      <c r="R15" s="282"/>
      <c r="S15" s="208"/>
      <c r="T15" s="207"/>
    </row>
    <row r="16" spans="1:23" ht="15.6" x14ac:dyDescent="0.3">
      <c r="A16" s="206"/>
      <c r="B16" s="277" t="s">
        <v>303</v>
      </c>
      <c r="C16" s="282"/>
      <c r="D16" s="208"/>
      <c r="E16" s="207"/>
      <c r="F16" s="282"/>
      <c r="G16" s="208"/>
      <c r="H16" s="207"/>
      <c r="I16" s="282"/>
      <c r="J16" s="208"/>
      <c r="K16" s="207"/>
      <c r="L16" s="282"/>
      <c r="M16" s="208"/>
      <c r="N16" s="207"/>
      <c r="O16" s="282"/>
      <c r="P16" s="208"/>
      <c r="Q16" s="207"/>
      <c r="R16" s="282"/>
      <c r="S16" s="208"/>
      <c r="T16" s="207"/>
    </row>
    <row r="17" spans="1:20" x14ac:dyDescent="0.3">
      <c r="A17" s="206"/>
      <c r="B17" s="319" t="s">
        <v>304</v>
      </c>
      <c r="C17" s="282">
        <f>InversionTotal!J8+InversionTotal!E48+InversionTotal!E49+InversionTotal!E50+InversionTotal!E51+InversionTotal!E52</f>
        <v>56600</v>
      </c>
      <c r="D17" s="208"/>
      <c r="E17" s="207"/>
      <c r="F17" s="282">
        <f>D18</f>
        <v>56600</v>
      </c>
      <c r="G17" s="208"/>
      <c r="H17" s="207"/>
      <c r="I17" s="282">
        <f>G18</f>
        <v>45280</v>
      </c>
      <c r="J17" s="208"/>
      <c r="K17" s="207"/>
      <c r="L17" s="282">
        <f>J18</f>
        <v>33960</v>
      </c>
      <c r="M17" s="208"/>
      <c r="N17" s="207"/>
      <c r="O17" s="282">
        <f>M18</f>
        <v>24904</v>
      </c>
      <c r="P17" s="208"/>
      <c r="Q17" s="207"/>
      <c r="R17" s="282">
        <f>P18</f>
        <v>18112</v>
      </c>
      <c r="S17" s="208"/>
      <c r="T17" s="207"/>
    </row>
    <row r="18" spans="1:20" s="316" customFormat="1" x14ac:dyDescent="0.3">
      <c r="A18" s="206"/>
      <c r="B18" s="319" t="s">
        <v>337</v>
      </c>
      <c r="C18" s="282">
        <v>0</v>
      </c>
      <c r="D18" s="208">
        <f>C17-C18</f>
        <v>56600</v>
      </c>
      <c r="E18" s="207"/>
      <c r="F18" s="282">
        <f>(C17*0.2)</f>
        <v>11320</v>
      </c>
      <c r="G18" s="208">
        <f>F17-F18</f>
        <v>45280</v>
      </c>
      <c r="H18" s="207"/>
      <c r="I18" s="282">
        <f>(F17*0.2)</f>
        <v>11320</v>
      </c>
      <c r="J18" s="208">
        <f>I17-I18</f>
        <v>33960</v>
      </c>
      <c r="K18" s="207"/>
      <c r="L18" s="282">
        <f>(I17*0.2)</f>
        <v>9056</v>
      </c>
      <c r="M18" s="208">
        <f>L17-L18</f>
        <v>24904</v>
      </c>
      <c r="N18" s="207"/>
      <c r="O18" s="282">
        <f>(L17*0.2)</f>
        <v>6792</v>
      </c>
      <c r="P18" s="208">
        <f>O17-O18</f>
        <v>18112</v>
      </c>
      <c r="Q18" s="207"/>
      <c r="R18" s="282">
        <f>(O17*0.2)</f>
        <v>4980.8</v>
      </c>
      <c r="S18" s="208">
        <f>R17-R18</f>
        <v>13131.2</v>
      </c>
      <c r="T18" s="207"/>
    </row>
    <row r="19" spans="1:20" x14ac:dyDescent="0.3">
      <c r="A19" s="206"/>
      <c r="B19" s="319" t="s">
        <v>305</v>
      </c>
      <c r="C19" s="282">
        <f>SUM(InversionTotal!E46:E47)</f>
        <v>30000</v>
      </c>
      <c r="D19" s="208"/>
      <c r="E19" s="207"/>
      <c r="F19" s="282">
        <f>D20</f>
        <v>30000</v>
      </c>
      <c r="G19" s="208"/>
      <c r="H19" s="207"/>
      <c r="I19" s="282">
        <f>G20</f>
        <v>28500</v>
      </c>
      <c r="J19" s="208"/>
      <c r="K19" s="207"/>
      <c r="L19" s="282">
        <f>J20</f>
        <v>27000</v>
      </c>
      <c r="M19" s="208"/>
      <c r="N19" s="207"/>
      <c r="O19" s="282">
        <f>M20</f>
        <v>25575</v>
      </c>
      <c r="P19" s="208"/>
      <c r="Q19" s="207"/>
      <c r="R19" s="282">
        <f>P20</f>
        <v>24225</v>
      </c>
      <c r="S19" s="208"/>
      <c r="T19" s="207"/>
    </row>
    <row r="20" spans="1:20" s="316" customFormat="1" x14ac:dyDescent="0.3">
      <c r="A20" s="206"/>
      <c r="B20" s="319" t="s">
        <v>338</v>
      </c>
      <c r="C20" s="282">
        <v>0</v>
      </c>
      <c r="D20" s="208">
        <f>C19-C20</f>
        <v>30000</v>
      </c>
      <c r="E20" s="207"/>
      <c r="F20" s="282">
        <f>(C19*0.05)</f>
        <v>1500</v>
      </c>
      <c r="G20" s="208">
        <f>F19-F20</f>
        <v>28500</v>
      </c>
      <c r="H20" s="207"/>
      <c r="I20" s="282">
        <f>(F19*0.05)</f>
        <v>1500</v>
      </c>
      <c r="J20" s="208">
        <f>I19-I20</f>
        <v>27000</v>
      </c>
      <c r="K20" s="207"/>
      <c r="L20" s="282">
        <f>(I19*0.05)</f>
        <v>1425</v>
      </c>
      <c r="M20" s="208">
        <f>L19-L20</f>
        <v>25575</v>
      </c>
      <c r="N20" s="207"/>
      <c r="O20" s="282">
        <f>(L19*0.05)</f>
        <v>1350</v>
      </c>
      <c r="P20" s="208">
        <f>O19-O20</f>
        <v>24225</v>
      </c>
      <c r="Q20" s="207"/>
      <c r="R20" s="282">
        <f>(O19*0.05)</f>
        <v>1278.75</v>
      </c>
      <c r="S20" s="208">
        <f>R19-R20</f>
        <v>22946.25</v>
      </c>
      <c r="T20" s="207"/>
    </row>
    <row r="21" spans="1:20" x14ac:dyDescent="0.3">
      <c r="A21" s="206"/>
      <c r="B21" s="319" t="s">
        <v>306</v>
      </c>
      <c r="C21" s="282">
        <f>InversionTotal!E44+InversionTotal!E43</f>
        <v>119000</v>
      </c>
      <c r="D21" s="208"/>
      <c r="E21" s="207"/>
      <c r="F21" s="282">
        <v>0</v>
      </c>
      <c r="G21" s="208"/>
      <c r="H21" s="207"/>
      <c r="I21" s="282">
        <v>0</v>
      </c>
      <c r="J21" s="208"/>
      <c r="K21" s="207"/>
      <c r="L21" s="282">
        <v>0</v>
      </c>
      <c r="M21" s="208"/>
      <c r="N21" s="207"/>
      <c r="O21" s="282">
        <v>0</v>
      </c>
      <c r="P21" s="208"/>
      <c r="Q21" s="207"/>
      <c r="R21" s="282">
        <v>0</v>
      </c>
      <c r="S21" s="208"/>
      <c r="T21" s="207"/>
    </row>
    <row r="22" spans="1:20" x14ac:dyDescent="0.3">
      <c r="A22" s="206"/>
      <c r="B22" s="319" t="s">
        <v>333</v>
      </c>
      <c r="C22" s="282">
        <f>InversionTotal!E54</f>
        <v>3000</v>
      </c>
      <c r="D22" s="208"/>
      <c r="E22" s="207"/>
      <c r="F22" s="282">
        <v>0</v>
      </c>
      <c r="G22" s="208"/>
      <c r="H22" s="207"/>
      <c r="I22" s="282">
        <v>0</v>
      </c>
      <c r="J22" s="208"/>
      <c r="K22" s="207"/>
      <c r="L22" s="282">
        <v>0</v>
      </c>
      <c r="M22" s="208"/>
      <c r="N22" s="207"/>
      <c r="O22" s="282">
        <v>0</v>
      </c>
      <c r="P22" s="208"/>
      <c r="Q22" s="207"/>
      <c r="R22" s="282">
        <v>0</v>
      </c>
      <c r="S22" s="208"/>
      <c r="T22" s="207"/>
    </row>
    <row r="23" spans="1:20" x14ac:dyDescent="0.3">
      <c r="A23" s="206"/>
      <c r="B23" s="278" t="s">
        <v>287</v>
      </c>
      <c r="C23" s="282">
        <f>InversionTotal!E45</f>
        <v>6000</v>
      </c>
      <c r="D23" s="208"/>
      <c r="E23" s="207"/>
      <c r="F23" s="282">
        <v>0</v>
      </c>
      <c r="G23" s="208"/>
      <c r="H23" s="207"/>
      <c r="I23" s="282">
        <v>0</v>
      </c>
      <c r="J23" s="208"/>
      <c r="K23" s="207"/>
      <c r="L23" s="282">
        <v>0</v>
      </c>
      <c r="M23" s="208"/>
      <c r="N23" s="207"/>
      <c r="O23" s="282">
        <v>0</v>
      </c>
      <c r="P23" s="208"/>
      <c r="Q23" s="207"/>
      <c r="R23" s="282">
        <v>0</v>
      </c>
      <c r="S23" s="208"/>
      <c r="T23" s="207"/>
    </row>
    <row r="24" spans="1:20" x14ac:dyDescent="0.3">
      <c r="A24" s="206"/>
      <c r="B24" s="306" t="s">
        <v>307</v>
      </c>
      <c r="C24" s="282"/>
      <c r="D24" s="310">
        <f>SUM(C21:C23,D18,D20)</f>
        <v>214600</v>
      </c>
      <c r="E24" s="207"/>
      <c r="F24" s="282"/>
      <c r="G24" s="310">
        <f>SUM(F21:F23,G18,G20)</f>
        <v>73780</v>
      </c>
      <c r="H24" s="207"/>
      <c r="I24" s="282"/>
      <c r="J24" s="310">
        <f>SUM(I21:I23,J18,J20)</f>
        <v>60960</v>
      </c>
      <c r="K24" s="207"/>
      <c r="L24" s="282"/>
      <c r="M24" s="310">
        <f>SUM(L21:L23,M18,M20)</f>
        <v>50479</v>
      </c>
      <c r="N24" s="207"/>
      <c r="O24" s="282"/>
      <c r="P24" s="310">
        <f>SUM(O21:O23,P18,P20)</f>
        <v>42337</v>
      </c>
      <c r="Q24" s="207"/>
      <c r="R24" s="282"/>
      <c r="S24" s="310">
        <f>SUM(R21:R23,S18,S20)</f>
        <v>36077.449999999997</v>
      </c>
      <c r="T24" s="207"/>
    </row>
    <row r="25" spans="1:20" ht="15" thickBot="1" x14ac:dyDescent="0.35">
      <c r="A25" s="203" t="s">
        <v>308</v>
      </c>
      <c r="B25" s="280"/>
      <c r="C25" s="283"/>
      <c r="D25" s="202"/>
      <c r="E25" s="304">
        <f>SUM(D24,D14,D7)</f>
        <v>580700</v>
      </c>
      <c r="F25" s="283"/>
      <c r="G25" s="202"/>
      <c r="H25" s="304">
        <f>SUM(G7,G14,G24)</f>
        <v>1826853.8841450019</v>
      </c>
      <c r="I25" s="283"/>
      <c r="J25" s="202"/>
      <c r="K25" s="304">
        <f>SUM(J7,J14,J24)</f>
        <v>6695277.5813948233</v>
      </c>
      <c r="L25" s="283"/>
      <c r="M25" s="202"/>
      <c r="N25" s="304">
        <f>SUM(M7,M14,M24)</f>
        <v>15075236.9126439</v>
      </c>
      <c r="O25" s="283"/>
      <c r="P25" s="202"/>
      <c r="Q25" s="304">
        <f>SUM(P7,P14,P24)</f>
        <v>26968120.136052802</v>
      </c>
      <c r="R25" s="283"/>
      <c r="S25" s="202"/>
      <c r="T25" s="304">
        <f>SUM(S7,S14,S24)</f>
        <v>44045520.968421318</v>
      </c>
    </row>
    <row r="26" spans="1:20" ht="15.6" thickTop="1" thickBot="1" x14ac:dyDescent="0.35">
      <c r="A26" s="522"/>
      <c r="B26" s="523"/>
      <c r="C26" s="523"/>
      <c r="D26" s="523"/>
      <c r="E26" s="523"/>
      <c r="F26" s="523"/>
      <c r="G26" s="523"/>
      <c r="H26" s="524"/>
      <c r="I26" s="522"/>
      <c r="J26" s="523"/>
      <c r="K26" s="523"/>
      <c r="L26" s="523"/>
      <c r="M26" s="523"/>
      <c r="N26" s="523"/>
      <c r="O26" s="523"/>
      <c r="P26" s="523"/>
      <c r="Q26" s="523"/>
      <c r="R26" s="523"/>
      <c r="S26" s="523"/>
      <c r="T26" s="524"/>
    </row>
    <row r="27" spans="1:20" ht="18.600000000000001" thickTop="1" x14ac:dyDescent="0.35">
      <c r="A27" s="216" t="s">
        <v>309</v>
      </c>
      <c r="B27" s="276"/>
      <c r="C27" s="216"/>
      <c r="D27" s="215"/>
      <c r="E27" s="214"/>
      <c r="F27" s="216"/>
      <c r="G27" s="215"/>
      <c r="H27" s="214"/>
      <c r="I27" s="216"/>
      <c r="J27" s="215"/>
      <c r="K27" s="214"/>
      <c r="L27" s="216"/>
      <c r="M27" s="215"/>
      <c r="N27" s="214"/>
      <c r="O27" s="216"/>
      <c r="P27" s="215"/>
      <c r="Q27" s="214"/>
      <c r="R27" s="216"/>
      <c r="S27" s="215"/>
      <c r="T27" s="214"/>
    </row>
    <row r="28" spans="1:20" ht="15.6" x14ac:dyDescent="0.3">
      <c r="A28" s="209"/>
      <c r="B28" s="277" t="s">
        <v>310</v>
      </c>
      <c r="C28" s="209"/>
      <c r="D28" s="210"/>
      <c r="E28" s="213"/>
      <c r="F28" s="209"/>
      <c r="G28" s="210"/>
      <c r="H28" s="213"/>
      <c r="I28" s="209"/>
      <c r="J28" s="210"/>
      <c r="K28" s="213"/>
      <c r="L28" s="209"/>
      <c r="M28" s="210"/>
      <c r="N28" s="213"/>
      <c r="O28" s="209"/>
      <c r="P28" s="210"/>
      <c r="Q28" s="213"/>
      <c r="R28" s="209"/>
      <c r="S28" s="210"/>
      <c r="T28" s="213"/>
    </row>
    <row r="29" spans="1:20" x14ac:dyDescent="0.3">
      <c r="A29" s="206"/>
      <c r="B29" s="279" t="s">
        <v>262</v>
      </c>
      <c r="C29" s="282">
        <f>'Tabla de Amortización'!J14</f>
        <v>201536.03320355268</v>
      </c>
      <c r="D29" s="208"/>
      <c r="E29" s="207"/>
      <c r="F29" s="282">
        <f>'Tabla de Amortización'!J26</f>
        <v>137298.94273470822</v>
      </c>
      <c r="G29" s="208"/>
      <c r="H29" s="207"/>
      <c r="I29" s="282">
        <f>'Tabla de Amortización'!J38</f>
        <v>63102.832281924944</v>
      </c>
      <c r="J29" s="208"/>
      <c r="K29" s="207"/>
      <c r="L29" s="282">
        <v>0</v>
      </c>
      <c r="M29" s="208"/>
      <c r="N29" s="207"/>
      <c r="O29" s="282">
        <v>0</v>
      </c>
      <c r="P29" s="208"/>
      <c r="Q29" s="207"/>
      <c r="R29" s="282">
        <v>0</v>
      </c>
      <c r="S29" s="208"/>
      <c r="T29" s="207"/>
    </row>
    <row r="30" spans="1:20" x14ac:dyDescent="0.3">
      <c r="A30" s="206"/>
      <c r="B30" s="306" t="s">
        <v>336</v>
      </c>
      <c r="C30" s="282"/>
      <c r="D30" s="310">
        <f>SUM(C29:C29)</f>
        <v>201536.03320355268</v>
      </c>
      <c r="E30" s="207"/>
      <c r="F30" s="282"/>
      <c r="G30" s="310">
        <f>SUM(F29:F29)</f>
        <v>137298.94273470822</v>
      </c>
      <c r="H30" s="207"/>
      <c r="I30" s="282"/>
      <c r="J30" s="310">
        <f>SUM(I29:I29)</f>
        <v>63102.832281924944</v>
      </c>
      <c r="K30" s="207"/>
      <c r="L30" s="282"/>
      <c r="M30" s="310">
        <f>SUM(L29:L29)</f>
        <v>0</v>
      </c>
      <c r="N30" s="207"/>
      <c r="O30" s="282"/>
      <c r="P30" s="310">
        <f>SUM(O29:O29)</f>
        <v>0</v>
      </c>
      <c r="Q30" s="207"/>
      <c r="R30" s="282"/>
      <c r="S30" s="310">
        <f>SUM(R29:R29)</f>
        <v>0</v>
      </c>
      <c r="T30" s="207"/>
    </row>
    <row r="31" spans="1:20" ht="15.6" x14ac:dyDescent="0.3">
      <c r="A31" s="209" t="s">
        <v>311</v>
      </c>
      <c r="B31" s="278"/>
      <c r="C31" s="282"/>
      <c r="D31" s="208"/>
      <c r="E31" s="305">
        <f>SUM(D28:D30)</f>
        <v>201536.03320355268</v>
      </c>
      <c r="F31" s="282"/>
      <c r="G31" s="208"/>
      <c r="H31" s="305">
        <f>SUM(G28:G30)</f>
        <v>137298.94273470822</v>
      </c>
      <c r="I31" s="282"/>
      <c r="J31" s="208"/>
      <c r="K31" s="305">
        <f>SUM(J28:J30)</f>
        <v>63102.832281924944</v>
      </c>
      <c r="L31" s="282"/>
      <c r="M31" s="208"/>
      <c r="N31" s="305">
        <f>SUM(M28:M30)</f>
        <v>0</v>
      </c>
      <c r="O31" s="282"/>
      <c r="P31" s="208"/>
      <c r="Q31" s="305">
        <f>SUM(P28:P30)</f>
        <v>0</v>
      </c>
      <c r="R31" s="282"/>
      <c r="S31" s="208"/>
      <c r="T31" s="305">
        <f>SUM(S28:S30)</f>
        <v>0</v>
      </c>
    </row>
    <row r="32" spans="1:20" x14ac:dyDescent="0.3">
      <c r="A32" s="212"/>
      <c r="B32" s="278"/>
      <c r="C32" s="282"/>
      <c r="D32" s="208"/>
      <c r="E32" s="207"/>
      <c r="F32" s="282"/>
      <c r="G32" s="208"/>
      <c r="H32" s="207"/>
      <c r="I32" s="282"/>
      <c r="J32" s="208"/>
      <c r="K32" s="207"/>
      <c r="L32" s="282"/>
      <c r="M32" s="208"/>
      <c r="N32" s="207"/>
      <c r="O32" s="282"/>
      <c r="P32" s="208"/>
      <c r="Q32" s="207"/>
      <c r="R32" s="282"/>
      <c r="S32" s="208"/>
      <c r="T32" s="207"/>
    </row>
    <row r="33" spans="1:20" ht="18" x14ac:dyDescent="0.35">
      <c r="A33" s="211" t="s">
        <v>312</v>
      </c>
      <c r="B33" s="278"/>
      <c r="C33" s="282"/>
      <c r="D33" s="208"/>
      <c r="E33" s="207"/>
      <c r="F33" s="282"/>
      <c r="G33" s="208"/>
      <c r="H33" s="207"/>
      <c r="I33" s="282"/>
      <c r="J33" s="208"/>
      <c r="K33" s="207"/>
      <c r="L33" s="282"/>
      <c r="M33" s="208"/>
      <c r="N33" s="207"/>
      <c r="O33" s="282"/>
      <c r="P33" s="208"/>
      <c r="Q33" s="207"/>
      <c r="R33" s="282"/>
      <c r="S33" s="208"/>
      <c r="T33" s="207"/>
    </row>
    <row r="34" spans="1:20" x14ac:dyDescent="0.3">
      <c r="A34" s="206"/>
      <c r="B34" s="279" t="s">
        <v>9</v>
      </c>
      <c r="C34" s="282"/>
      <c r="D34" s="208">
        <f>'Capital Social'!$D$9</f>
        <v>1022325.445969409</v>
      </c>
      <c r="E34" s="207"/>
      <c r="F34" s="282"/>
      <c r="G34" s="208">
        <f>'Capital Social'!$D$9</f>
        <v>1022325.445969409</v>
      </c>
      <c r="H34" s="207"/>
      <c r="I34" s="282"/>
      <c r="J34" s="208">
        <f>'Capital Social'!$D$9</f>
        <v>1022325.445969409</v>
      </c>
      <c r="K34" s="207"/>
      <c r="L34" s="282"/>
      <c r="M34" s="208">
        <f>'Capital Social'!$D$9</f>
        <v>1022325.445969409</v>
      </c>
      <c r="N34" s="207"/>
      <c r="O34" s="282"/>
      <c r="P34" s="208">
        <f>'Capital Social'!$D$9</f>
        <v>1022325.445969409</v>
      </c>
      <c r="Q34" s="207"/>
      <c r="R34" s="282"/>
      <c r="S34" s="208">
        <f>'Capital Social'!$D$9</f>
        <v>1022325.445969409</v>
      </c>
      <c r="T34" s="207"/>
    </row>
    <row r="35" spans="1:20" x14ac:dyDescent="0.3">
      <c r="A35" s="206"/>
      <c r="B35" s="279" t="s">
        <v>286</v>
      </c>
      <c r="C35" s="282">
        <f>'Estado de Resultados'!C14</f>
        <v>-643161.47917296167</v>
      </c>
      <c r="D35" s="208"/>
      <c r="E35" s="207"/>
      <c r="F35" s="282">
        <f>'Estado de Resultados'!E14</f>
        <v>1310390.9746138458</v>
      </c>
      <c r="G35" s="208"/>
      <c r="H35" s="207"/>
      <c r="I35" s="282">
        <f>'Estado de Resultados'!G14</f>
        <v>4942619.8077026028</v>
      </c>
      <c r="J35" s="208"/>
      <c r="K35" s="207"/>
      <c r="L35" s="282">
        <f>'Estado de Resultados'!I14</f>
        <v>8443062.1651800908</v>
      </c>
      <c r="M35" s="208"/>
      <c r="N35" s="207"/>
      <c r="O35" s="282">
        <f>'Estado de Resultados'!K14</f>
        <v>11892883.223408896</v>
      </c>
      <c r="P35" s="208"/>
      <c r="Q35" s="207"/>
      <c r="R35" s="282">
        <f>'Estado de Resultados'!M14</f>
        <v>17077400.832368515</v>
      </c>
      <c r="S35" s="208"/>
      <c r="T35" s="207"/>
    </row>
    <row r="36" spans="1:20" x14ac:dyDescent="0.3">
      <c r="B36" s="279" t="s">
        <v>318</v>
      </c>
      <c r="C36" s="282">
        <v>0</v>
      </c>
      <c r="D36" s="208">
        <f>SUM(C35:C36)</f>
        <v>-643161.47917296167</v>
      </c>
      <c r="E36" s="207"/>
      <c r="F36" s="282">
        <f>D36</f>
        <v>-643161.47917296167</v>
      </c>
      <c r="G36" s="208">
        <f>SUM(F35:F36)</f>
        <v>667229.49544088414</v>
      </c>
      <c r="I36" s="282">
        <f>G36</f>
        <v>667229.49544088414</v>
      </c>
      <c r="J36" s="208">
        <f>SUM(I35:I36)</f>
        <v>5609849.3031434873</v>
      </c>
      <c r="K36" s="316"/>
      <c r="L36" s="282">
        <f>J36</f>
        <v>5609849.3031434873</v>
      </c>
      <c r="M36" s="208">
        <f>SUM(L35:L36)</f>
        <v>14052911.468323577</v>
      </c>
      <c r="N36" s="316"/>
      <c r="O36" s="282">
        <f>M36</f>
        <v>14052911.468323577</v>
      </c>
      <c r="P36" s="208">
        <f>SUM(O35:O36)</f>
        <v>25945794.691732474</v>
      </c>
      <c r="Q36" s="316"/>
      <c r="R36" s="282">
        <f>P36</f>
        <v>25945794.691732474</v>
      </c>
      <c r="S36" s="208">
        <f>SUM(R35:R36)</f>
        <v>43023195.524100989</v>
      </c>
      <c r="T36" s="207"/>
    </row>
    <row r="37" spans="1:20" ht="15.6" x14ac:dyDescent="0.3">
      <c r="A37" s="209" t="s">
        <v>313</v>
      </c>
      <c r="B37" s="279"/>
      <c r="C37" s="282"/>
      <c r="D37" s="208"/>
      <c r="E37" s="305">
        <f>SUM(D34,D36)</f>
        <v>379163.96679644729</v>
      </c>
      <c r="F37" s="282"/>
      <c r="G37" s="208"/>
      <c r="H37" s="305">
        <f>SUM(G34,G36)</f>
        <v>1689554.9414102931</v>
      </c>
      <c r="I37" s="282"/>
      <c r="J37" s="208"/>
      <c r="K37" s="305">
        <f>SUM(J34,J36)</f>
        <v>6632174.7491128966</v>
      </c>
      <c r="L37" s="282"/>
      <c r="M37" s="208"/>
      <c r="N37" s="305">
        <f>SUM(M34,M36)</f>
        <v>15075236.914292986</v>
      </c>
      <c r="O37" s="282"/>
      <c r="P37" s="208"/>
      <c r="Q37" s="305">
        <f>SUM(P34,P36)</f>
        <v>26968120.137701884</v>
      </c>
      <c r="R37" s="282"/>
      <c r="S37" s="208"/>
      <c r="T37" s="305">
        <f>SUM(S34,S36)</f>
        <v>44045520.970070399</v>
      </c>
    </row>
    <row r="38" spans="1:20" x14ac:dyDescent="0.3">
      <c r="A38" s="206"/>
      <c r="B38" s="278"/>
      <c r="C38" s="206"/>
      <c r="D38" s="205"/>
      <c r="E38" s="204"/>
      <c r="F38" s="206"/>
      <c r="G38" s="205"/>
      <c r="H38" s="204"/>
      <c r="I38" s="206"/>
      <c r="J38" s="205"/>
      <c r="K38" s="204"/>
      <c r="L38" s="206"/>
      <c r="M38" s="205"/>
      <c r="N38" s="204"/>
      <c r="O38" s="206"/>
      <c r="P38" s="205"/>
      <c r="Q38" s="204"/>
      <c r="R38" s="206"/>
      <c r="S38" s="205"/>
      <c r="T38" s="204"/>
    </row>
    <row r="39" spans="1:20" ht="15" thickBot="1" x14ac:dyDescent="0.35">
      <c r="A39" s="201" t="s">
        <v>314</v>
      </c>
      <c r="B39" s="281"/>
      <c r="C39" s="284"/>
      <c r="D39" s="200"/>
      <c r="E39" s="304">
        <f>SUM(E31,E37)</f>
        <v>580700</v>
      </c>
      <c r="F39" s="284"/>
      <c r="G39" s="200"/>
      <c r="H39" s="304">
        <f>SUM(H31,H37)</f>
        <v>1826853.8841450014</v>
      </c>
      <c r="I39" s="284"/>
      <c r="J39" s="200"/>
      <c r="K39" s="304">
        <f>SUM(K31,K37)</f>
        <v>6695277.5813948214</v>
      </c>
      <c r="L39" s="284"/>
      <c r="M39" s="200"/>
      <c r="N39" s="304">
        <f>SUM(N31,N37)</f>
        <v>15075236.914292986</v>
      </c>
      <c r="O39" s="284"/>
      <c r="P39" s="200"/>
      <c r="Q39" s="304">
        <f>SUM(Q31,Q37)</f>
        <v>26968120.137701884</v>
      </c>
      <c r="R39" s="284"/>
      <c r="S39" s="200"/>
      <c r="T39" s="304">
        <f>SUM(T31,T37)</f>
        <v>44045520.970070399</v>
      </c>
    </row>
    <row r="41" spans="1:20" x14ac:dyDescent="0.3">
      <c r="B41" s="302"/>
      <c r="C41" s="324"/>
      <c r="E41" s="285"/>
      <c r="F41" s="324"/>
      <c r="H41" s="285"/>
      <c r="K41" s="285"/>
      <c r="N41" s="285"/>
      <c r="Q41" s="285"/>
      <c r="T41" s="285"/>
    </row>
    <row r="42" spans="1:20" x14ac:dyDescent="0.3">
      <c r="E42" s="285"/>
      <c r="H42" s="285"/>
    </row>
    <row r="43" spans="1:20" x14ac:dyDescent="0.3">
      <c r="E43" s="285"/>
      <c r="H43" s="285"/>
    </row>
  </sheetData>
  <mergeCells count="11">
    <mergeCell ref="L3:N3"/>
    <mergeCell ref="O3:Q3"/>
    <mergeCell ref="R3:T3"/>
    <mergeCell ref="C3:E3"/>
    <mergeCell ref="A3:B3"/>
    <mergeCell ref="F3:H3"/>
    <mergeCell ref="I3:K3"/>
    <mergeCell ref="A1:H1"/>
    <mergeCell ref="A2:H2"/>
    <mergeCell ref="A26:H26"/>
    <mergeCell ref="I26:T26"/>
  </mergeCells>
  <pageMargins left="0.7" right="0.7" top="0.75" bottom="0.75" header="0.3" footer="0.3"/>
  <pageSetup paperSize="9" scale="40" orientation="landscape" r:id="rId1"/>
  <ignoredErrors>
    <ignoredError sqref="C19" formulaRange="1"/>
    <ignoredError sqref="F11 F18 I18 I11 L11 L18 O11 O18 R11 R18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4F69-17F3-4C34-AD3F-62BCE1335377}">
  <dimension ref="B1:N22"/>
  <sheetViews>
    <sheetView workbookViewId="0">
      <selection activeCell="B2" sqref="B2:N21"/>
    </sheetView>
  </sheetViews>
  <sheetFormatPr baseColWidth="10" defaultColWidth="10.88671875" defaultRowHeight="14.4" x14ac:dyDescent="0.3"/>
  <cols>
    <col min="1" max="1" width="10.88671875" style="316"/>
    <col min="2" max="2" width="18" style="316" bestFit="1" customWidth="1"/>
    <col min="3" max="3" width="24.6640625" style="316" customWidth="1"/>
    <col min="4" max="4" width="11.88671875" style="316" customWidth="1"/>
    <col min="5" max="14" width="10.77734375" style="316" customWidth="1"/>
    <col min="15" max="16384" width="10.88671875" style="316"/>
  </cols>
  <sheetData>
    <row r="1" spans="2:14" ht="15" thickBot="1" x14ac:dyDescent="0.35"/>
    <row r="2" spans="2:14" ht="16.8" customHeight="1" thickTop="1" thickBot="1" x14ac:dyDescent="0.35">
      <c r="B2" s="454" t="s">
        <v>347</v>
      </c>
      <c r="C2" s="464"/>
      <c r="D2" s="485" t="s">
        <v>349</v>
      </c>
      <c r="E2" s="461">
        <v>2019</v>
      </c>
      <c r="F2" s="462"/>
      <c r="G2" s="454">
        <v>2020</v>
      </c>
      <c r="H2" s="464"/>
      <c r="I2" s="454">
        <v>2021</v>
      </c>
      <c r="J2" s="464"/>
      <c r="K2" s="454">
        <v>2022</v>
      </c>
      <c r="L2" s="464"/>
      <c r="M2" s="454">
        <v>2023</v>
      </c>
      <c r="N2" s="464"/>
    </row>
    <row r="3" spans="2:14" ht="15" thickBot="1" x14ac:dyDescent="0.35">
      <c r="B3" s="455" t="s">
        <v>350</v>
      </c>
      <c r="C3" s="475" t="s">
        <v>351</v>
      </c>
      <c r="D3" s="486"/>
      <c r="E3" s="463" t="s">
        <v>348</v>
      </c>
      <c r="F3" s="473" t="s">
        <v>352</v>
      </c>
      <c r="G3" s="472" t="s">
        <v>348</v>
      </c>
      <c r="H3" s="473" t="s">
        <v>352</v>
      </c>
      <c r="I3" s="472" t="s">
        <v>348</v>
      </c>
      <c r="J3" s="473" t="s">
        <v>352</v>
      </c>
      <c r="K3" s="474" t="s">
        <v>348</v>
      </c>
      <c r="L3" s="473" t="s">
        <v>352</v>
      </c>
      <c r="M3" s="472" t="s">
        <v>348</v>
      </c>
      <c r="N3" s="473" t="s">
        <v>352</v>
      </c>
    </row>
    <row r="4" spans="2:14" ht="15.6" thickTop="1" thickBot="1" x14ac:dyDescent="0.35">
      <c r="B4" s="476" t="s">
        <v>353</v>
      </c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8"/>
    </row>
    <row r="5" spans="2:14" ht="18.45" customHeight="1" thickTop="1" thickBot="1" x14ac:dyDescent="0.35">
      <c r="B5" s="479" t="s">
        <v>354</v>
      </c>
      <c r="C5" s="482"/>
      <c r="D5" s="495">
        <v>0.3</v>
      </c>
      <c r="E5" s="487">
        <f>('Estado de Resultados'!E14/'Estado de Resultados'!E4)</f>
        <v>0.2183984957689743</v>
      </c>
      <c r="F5" s="488">
        <f>E5-$D5</f>
        <v>-8.160150423102569E-2</v>
      </c>
      <c r="G5" s="487">
        <f>('Estado de Resultados'!G14/'Estado de Resultados'!G4)</f>
        <v>0.41188498397521689</v>
      </c>
      <c r="H5" s="488">
        <f>G5-$D5</f>
        <v>0.1118849839752169</v>
      </c>
      <c r="I5" s="487">
        <f>('Estado de Resultados'!I14/'Estado de Resultados'!I4)</f>
        <v>0.4690590091766717</v>
      </c>
      <c r="J5" s="488">
        <f>I5-$D5</f>
        <v>0.16905900917667172</v>
      </c>
      <c r="K5" s="487">
        <f>('Estado de Resultados'!K14/'Estado de Resultados'!K4)</f>
        <v>0.49553680097537067</v>
      </c>
      <c r="L5" s="488">
        <f>K5-$D5</f>
        <v>0.19553680097537068</v>
      </c>
      <c r="M5" s="487">
        <f>('Estado de Resultados'!M14/'Estado de Resultados'!M4)</f>
        <v>0.51749699492025802</v>
      </c>
      <c r="N5" s="488">
        <f>M5-$D5</f>
        <v>0.21749699492025804</v>
      </c>
    </row>
    <row r="6" spans="2:14" ht="18" customHeight="1" thickBot="1" x14ac:dyDescent="0.35">
      <c r="B6" s="456" t="s">
        <v>355</v>
      </c>
      <c r="C6" s="480"/>
      <c r="D6" s="496">
        <v>0.7</v>
      </c>
      <c r="E6" s="489">
        <f>'Estado de Resultados'!E14/'Balance General'!H25</f>
        <v>0.7172938054797583</v>
      </c>
      <c r="F6" s="490">
        <f>E6-$D6</f>
        <v>1.729380547975834E-2</v>
      </c>
      <c r="G6" s="489">
        <f>'Estado de Resultados'!G14/'Balance General'!K25</f>
        <v>0.73822477822837473</v>
      </c>
      <c r="H6" s="490">
        <f>G6-$D6</f>
        <v>3.8224778228374778E-2</v>
      </c>
      <c r="I6" s="489">
        <f>'Estado de Resultados'!I14/'Balance General'!N25</f>
        <v>0.56006165701440669</v>
      </c>
      <c r="J6" s="490">
        <f>I6-$D6</f>
        <v>-0.13993834298559327</v>
      </c>
      <c r="K6" s="489">
        <f>'Estado de Resultados'!K14/'Balance General'!Q25</f>
        <v>0.4409978583382862</v>
      </c>
      <c r="L6" s="490">
        <f>K6-$D6</f>
        <v>-0.25900214166171376</v>
      </c>
      <c r="M6" s="489">
        <f>'Estado de Resultados'!M14/'Balance General'!T25</f>
        <v>0.38772162201492072</v>
      </c>
      <c r="N6" s="490">
        <f>M6-$D6</f>
        <v>-0.31227837798507924</v>
      </c>
    </row>
    <row r="7" spans="2:14" ht="18" customHeight="1" thickBot="1" x14ac:dyDescent="0.35">
      <c r="B7" s="459" t="s">
        <v>356</v>
      </c>
      <c r="C7" s="481"/>
      <c r="D7" s="497">
        <v>0.7</v>
      </c>
      <c r="E7" s="491">
        <f>'Estado de Resultados'!E14/'Balance General'!H37</f>
        <v>0.77558352350474369</v>
      </c>
      <c r="F7" s="490">
        <f>E7-$D7</f>
        <v>7.5583523504743733E-2</v>
      </c>
      <c r="G7" s="491">
        <f>'Estado de Resultados'!G14/'Balance General'!K37</f>
        <v>0.74524872981727686</v>
      </c>
      <c r="H7" s="490">
        <f>G7-$D7</f>
        <v>4.52487298172769E-2</v>
      </c>
      <c r="I7" s="491">
        <f>'Estado de Resultados'!I14/'Balance General'!N37</f>
        <v>0.56006165695314136</v>
      </c>
      <c r="J7" s="490">
        <f>I7-$D7</f>
        <v>-0.13993834304685859</v>
      </c>
      <c r="K7" s="491">
        <f>'Estado de Resultados'!K14/'Balance General'!Q37</f>
        <v>0.44099785831131944</v>
      </c>
      <c r="L7" s="490">
        <f>K7-$D7</f>
        <v>-0.25900214168868052</v>
      </c>
      <c r="M7" s="491">
        <f>'Estado de Resultados'!M14/'Balance General'!T37</f>
        <v>0.38772162200040428</v>
      </c>
      <c r="N7" s="490">
        <f>M7-$D7</f>
        <v>-0.31227837799959568</v>
      </c>
    </row>
    <row r="8" spans="2:14" ht="15.6" thickTop="1" thickBot="1" x14ac:dyDescent="0.35">
      <c r="B8" s="465" t="s">
        <v>357</v>
      </c>
      <c r="C8" s="466"/>
      <c r="D8" s="466"/>
      <c r="E8" s="466"/>
      <c r="F8" s="466"/>
      <c r="G8" s="466"/>
      <c r="H8" s="466"/>
      <c r="I8" s="466"/>
      <c r="J8" s="466"/>
      <c r="K8" s="466"/>
      <c r="L8" s="466"/>
      <c r="M8" s="466"/>
      <c r="N8" s="467"/>
    </row>
    <row r="9" spans="2:14" ht="15" thickBot="1" x14ac:dyDescent="0.35">
      <c r="B9" s="459" t="s">
        <v>358</v>
      </c>
      <c r="C9" s="481"/>
      <c r="D9" s="484">
        <v>1000000</v>
      </c>
      <c r="E9" s="457">
        <f>'Balance General'!G7</f>
        <v>1454373.8841450019</v>
      </c>
      <c r="F9" s="458">
        <f>E9-$D9</f>
        <v>454373.88414500188</v>
      </c>
      <c r="G9" s="457">
        <f>'Balance General'!J7</f>
        <v>6387417.5813948233</v>
      </c>
      <c r="H9" s="458">
        <f>G9-$D9</f>
        <v>5387417.5813948233</v>
      </c>
      <c r="I9" s="457">
        <f>'Balance General'!M7</f>
        <v>14829657.9126439</v>
      </c>
      <c r="J9" s="458">
        <f>I9-$D9</f>
        <v>13829657.9126439</v>
      </c>
      <c r="K9" s="457">
        <f>'Balance General'!P7</f>
        <v>26782483.136052802</v>
      </c>
      <c r="L9" s="458">
        <f>K9-$D9</f>
        <v>25782483.136052802</v>
      </c>
      <c r="M9" s="457">
        <f>'Balance General'!S7</f>
        <v>43917943.518421315</v>
      </c>
      <c r="N9" s="458">
        <f>M9-$D9</f>
        <v>42917943.518421315</v>
      </c>
    </row>
    <row r="10" spans="2:14" ht="15.6" thickTop="1" thickBot="1" x14ac:dyDescent="0.35">
      <c r="B10" s="465" t="s">
        <v>359</v>
      </c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7"/>
    </row>
    <row r="11" spans="2:14" ht="16.95" customHeight="1" thickBot="1" x14ac:dyDescent="0.35">
      <c r="B11" s="456" t="s">
        <v>360</v>
      </c>
      <c r="C11" s="480"/>
      <c r="D11" s="498">
        <v>2</v>
      </c>
      <c r="E11" s="492">
        <f>'Balance General'!H25/'Balance General'!H31</f>
        <v>13.305666072570462</v>
      </c>
      <c r="F11" s="493">
        <f>E11-$D11</f>
        <v>11.305666072570462</v>
      </c>
      <c r="G11" s="492">
        <f>'Balance General'!K25/'Balance General'!K31</f>
        <v>106.10106296785993</v>
      </c>
      <c r="H11" s="493">
        <f>G11-$D11</f>
        <v>104.10106296785993</v>
      </c>
      <c r="I11" s="489"/>
      <c r="J11" s="490"/>
      <c r="K11" s="489"/>
      <c r="L11" s="490"/>
      <c r="M11" s="489"/>
      <c r="N11" s="458"/>
    </row>
    <row r="12" spans="2:14" ht="17.55" customHeight="1" thickBot="1" x14ac:dyDescent="0.35">
      <c r="B12" s="456" t="s">
        <v>361</v>
      </c>
      <c r="C12" s="480"/>
      <c r="D12" s="498">
        <v>1.5</v>
      </c>
      <c r="E12" s="492">
        <f>'Balance General'!G14/'Balance General'!G30</f>
        <v>2.1755447933576164</v>
      </c>
      <c r="F12" s="493">
        <f>E12-$D12</f>
        <v>0.67554479335761641</v>
      </c>
      <c r="G12" s="492">
        <f>'Balance General'!J14/'Balance General'!J30</f>
        <v>3.9126611448583359</v>
      </c>
      <c r="H12" s="493">
        <f>G12-$D12</f>
        <v>2.4126611448583359</v>
      </c>
      <c r="I12" s="489"/>
      <c r="J12" s="490"/>
      <c r="K12" s="489"/>
      <c r="L12" s="490"/>
      <c r="M12" s="489"/>
      <c r="N12" s="458"/>
    </row>
    <row r="13" spans="2:14" ht="18" customHeight="1" thickBot="1" x14ac:dyDescent="0.35">
      <c r="B13" s="456" t="s">
        <v>362</v>
      </c>
      <c r="C13" s="480"/>
      <c r="D13" s="496"/>
      <c r="E13" s="489">
        <f>'Balance General'!G14/'Balance General'!G34</f>
        <v>0.29217701777613586</v>
      </c>
      <c r="F13" s="490">
        <f>E13-$D13</f>
        <v>0.29217701777613586</v>
      </c>
      <c r="G13" s="489">
        <f>'Balance General'!J14/'Balance General'!J34</f>
        <v>0.241508221255199</v>
      </c>
      <c r="H13" s="490">
        <f>G13-$D13</f>
        <v>0.241508221255199</v>
      </c>
      <c r="I13" s="489">
        <f>'Balance General'!M14/'Balance General'!M34</f>
        <v>0.19083942473426213</v>
      </c>
      <c r="J13" s="490">
        <f>I13-$D13</f>
        <v>0.19083942473426213</v>
      </c>
      <c r="K13" s="489">
        <f>'Balance General'!P14/'Balance General'!P34</f>
        <v>0.14017062821332529</v>
      </c>
      <c r="L13" s="490">
        <f>K13-$D13</f>
        <v>0.14017062821332529</v>
      </c>
      <c r="M13" s="489">
        <f>'Balance General'!S14/'Balance General'!S34</f>
        <v>8.9501831692388442E-2</v>
      </c>
      <c r="N13" s="458">
        <f>M13-$D13</f>
        <v>8.9501831692388442E-2</v>
      </c>
    </row>
    <row r="14" spans="2:14" ht="18" customHeight="1" thickBot="1" x14ac:dyDescent="0.35">
      <c r="B14" s="459" t="s">
        <v>363</v>
      </c>
      <c r="C14" s="481"/>
      <c r="D14" s="497"/>
      <c r="E14" s="489">
        <f>'Balance General'!G14/'Balance General'!H37</f>
        <v>0.17679212003053971</v>
      </c>
      <c r="F14" s="490">
        <f>E14-$D14</f>
        <v>0.17679212003053971</v>
      </c>
      <c r="G14" s="489">
        <f>'Balance General'!J14/'Balance General'!K37</f>
        <v>3.7227607736515803E-2</v>
      </c>
      <c r="H14" s="490">
        <f>G14-$D14</f>
        <v>3.7227607736515803E-2</v>
      </c>
      <c r="I14" s="489">
        <f>'Balance General'!M14/'Balance General'!N37</f>
        <v>1.294175349344087E-2</v>
      </c>
      <c r="J14" s="490">
        <f>I14-$D14</f>
        <v>1.294175349344087E-2</v>
      </c>
      <c r="K14" s="489">
        <f>'Balance General'!P14/'Balance General'!Q37</f>
        <v>5.3136814604909819E-3</v>
      </c>
      <c r="L14" s="490">
        <f>K14-$D14</f>
        <v>5.3136814604909819E-3</v>
      </c>
      <c r="M14" s="489">
        <f>'Balance General'!S14/'Balance General'!T37</f>
        <v>2.0773962478994319E-3</v>
      </c>
      <c r="N14" s="458">
        <f>M14-$D14</f>
        <v>2.0773962478994319E-3</v>
      </c>
    </row>
    <row r="15" spans="2:14" ht="15.6" thickTop="1" thickBot="1" x14ac:dyDescent="0.35">
      <c r="B15" s="465" t="s">
        <v>364</v>
      </c>
      <c r="C15" s="466"/>
      <c r="D15" s="466"/>
      <c r="E15" s="466"/>
      <c r="F15" s="466"/>
      <c r="G15" s="466"/>
      <c r="H15" s="466"/>
      <c r="I15" s="466"/>
      <c r="J15" s="466"/>
      <c r="K15" s="466"/>
      <c r="L15" s="466"/>
      <c r="M15" s="466"/>
      <c r="N15" s="467"/>
    </row>
    <row r="16" spans="2:14" ht="16.95" customHeight="1" thickBot="1" x14ac:dyDescent="0.35">
      <c r="B16" s="456" t="s">
        <v>365</v>
      </c>
      <c r="C16" s="480"/>
      <c r="D16" s="496"/>
      <c r="E16" s="489">
        <f>'Balance General'!H31/'Balance General'!H25</f>
        <v>7.5155951949034183E-2</v>
      </c>
      <c r="F16" s="490">
        <f>E16-$D16</f>
        <v>7.5155951949034183E-2</v>
      </c>
      <c r="G16" s="489">
        <f>'Balance General'!K31/'Balance General'!K25</f>
        <v>9.4249762634604269E-3</v>
      </c>
      <c r="H16" s="490">
        <f>G16-$D16</f>
        <v>9.4249762634604269E-3</v>
      </c>
      <c r="I16" s="489"/>
      <c r="J16" s="490"/>
      <c r="K16" s="489"/>
      <c r="L16" s="490"/>
      <c r="M16" s="489"/>
      <c r="N16" s="490"/>
    </row>
    <row r="17" spans="2:14" ht="18" customHeight="1" thickBot="1" x14ac:dyDescent="0.35">
      <c r="B17" s="456" t="s">
        <v>366</v>
      </c>
      <c r="C17" s="480"/>
      <c r="D17" s="483">
        <v>1</v>
      </c>
      <c r="E17" s="492">
        <f>'Estado de Resultados'!E10/('Estado de Resultados'!D11+'Estado de Resultados'!D13)</f>
        <v>3.2336432192337292</v>
      </c>
      <c r="F17" s="493">
        <f>E17-$D17</f>
        <v>2.2336432192337292</v>
      </c>
      <c r="G17" s="492">
        <f>'Estado de Resultados'!G10/('Estado de Resultados'!F11+'Estado de Resultados'!F13)</f>
        <v>3.3168117970976416</v>
      </c>
      <c r="H17" s="493">
        <f>G17-$D17</f>
        <v>2.3168117970976416</v>
      </c>
      <c r="I17" s="492">
        <f>'Estado de Resultados'!I10/('Estado de Resultados'!H11+'Estado de Resultados'!H13)</f>
        <v>3.3308382036818989</v>
      </c>
      <c r="J17" s="493">
        <f>I17-$D17</f>
        <v>2.3308382036818989</v>
      </c>
      <c r="K17" s="492">
        <f>'Estado de Resultados'!K10/('Estado de Resultados'!J11+'Estado de Resultados'!J13)</f>
        <v>3.3333333333333335</v>
      </c>
      <c r="L17" s="493">
        <f>K17-$D17</f>
        <v>2.3333333333333335</v>
      </c>
      <c r="M17" s="492">
        <f>'Estado de Resultados'!M10/('Estado de Resultados'!L11+'Estado de Resultados'!L13)</f>
        <v>3.3333333333333335</v>
      </c>
      <c r="N17" s="493">
        <f>M17-$D17</f>
        <v>2.3333333333333335</v>
      </c>
    </row>
    <row r="18" spans="2:14" ht="18.45" customHeight="1" thickBot="1" x14ac:dyDescent="0.35">
      <c r="B18" s="459" t="s">
        <v>367</v>
      </c>
      <c r="C18" s="481"/>
      <c r="D18" s="484"/>
      <c r="E18" s="494">
        <f>'Balance General'!H31/'Balance General'!G34</f>
        <v>0.13430062146649985</v>
      </c>
      <c r="F18" s="493">
        <f>E18-$D18</f>
        <v>0.13430062146649985</v>
      </c>
      <c r="G18" s="494">
        <f>'Balance General'!K31/'Balance General'!J34</f>
        <v>6.1724798625244402E-2</v>
      </c>
      <c r="H18" s="493">
        <f>G18-$D18</f>
        <v>6.1724798625244402E-2</v>
      </c>
      <c r="I18" s="494"/>
      <c r="J18" s="493"/>
      <c r="K18" s="494"/>
      <c r="L18" s="493"/>
      <c r="M18" s="494"/>
      <c r="N18" s="493"/>
    </row>
    <row r="19" spans="2:14" ht="16.05" customHeight="1" thickTop="1" thickBot="1" x14ac:dyDescent="0.35">
      <c r="B19" s="468" t="s">
        <v>368</v>
      </c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70"/>
    </row>
    <row r="20" spans="2:14" ht="16.5" customHeight="1" thickBot="1" x14ac:dyDescent="0.35">
      <c r="B20" s="456" t="s">
        <v>369</v>
      </c>
      <c r="C20" s="480"/>
      <c r="D20" s="483">
        <v>5</v>
      </c>
      <c r="E20" s="457">
        <f>'Estado de Resultados'!E4/'Balance General'!D14</f>
        <v>17.118402282453637</v>
      </c>
      <c r="F20" s="458">
        <f>E20-$D20</f>
        <v>12.118402282453637</v>
      </c>
      <c r="G20" s="457">
        <f>'Estado de Resultados'!G4/'Balance General'!G14</f>
        <v>40.174087713424839</v>
      </c>
      <c r="H20" s="458">
        <f>G20-$D20</f>
        <v>35.174087713424839</v>
      </c>
      <c r="I20" s="457">
        <f>'Estado de Resultados'!I4/'Balance General'!J14</f>
        <v>72.904009720534631</v>
      </c>
      <c r="J20" s="458">
        <f>I20-$D20</f>
        <v>67.904009720534631</v>
      </c>
      <c r="K20" s="457">
        <f>'Estado de Resultados'!K4/'Balance General'!M14</f>
        <v>123.0138390568939</v>
      </c>
      <c r="L20" s="458">
        <f t="shared" ref="L20" si="0">K20-$D20</f>
        <v>118.0138390568939</v>
      </c>
      <c r="M20" s="457">
        <f>'Estado de Resultados'!M4/'Balance General'!P14</f>
        <v>230.2861130495464</v>
      </c>
      <c r="N20" s="458">
        <f>M20-$D20</f>
        <v>225.2861130495464</v>
      </c>
    </row>
    <row r="21" spans="2:14" ht="16.95" customHeight="1" thickBot="1" x14ac:dyDescent="0.35">
      <c r="B21" s="459" t="s">
        <v>370</v>
      </c>
      <c r="C21" s="481"/>
      <c r="D21" s="484">
        <v>5</v>
      </c>
      <c r="E21" s="460">
        <f>'Estado de Resultados'!E4/'Balance General'!E25</f>
        <v>10.332357499569484</v>
      </c>
      <c r="F21" s="471">
        <f>E21-$D21</f>
        <v>5.3323574995694845</v>
      </c>
      <c r="G21" s="460">
        <f>'Estado de Resultados'!G4/'Balance General'!H25</f>
        <v>6.5686698340498095</v>
      </c>
      <c r="H21" s="471">
        <f>G21-$D21</f>
        <v>1.5686698340498095</v>
      </c>
      <c r="I21" s="460">
        <f>'Estado de Resultados'!I4/'Balance General'!K25</f>
        <v>2.6884620960330774</v>
      </c>
      <c r="J21" s="471">
        <f>I21-$D21</f>
        <v>-2.3115379039669226</v>
      </c>
      <c r="K21" s="460">
        <f>'Estado de Resultados'!K4/'Balance General'!N25</f>
        <v>1.5920147815302805</v>
      </c>
      <c r="L21" s="471">
        <f>K21-$D21</f>
        <v>-3.4079852184697197</v>
      </c>
      <c r="M21" s="460">
        <f>'Estado de Resultados'!M4/'Balance General'!Q25</f>
        <v>1.2236670495947315</v>
      </c>
      <c r="N21" s="471">
        <f>M21-$D21</f>
        <v>-3.7763329504052683</v>
      </c>
    </row>
    <row r="22" spans="2:14" ht="15" thickTop="1" x14ac:dyDescent="0.3"/>
  </sheetData>
  <mergeCells count="12">
    <mergeCell ref="M2:N2"/>
    <mergeCell ref="B4:N4"/>
    <mergeCell ref="B8:N8"/>
    <mergeCell ref="B10:N10"/>
    <mergeCell ref="B15:N15"/>
    <mergeCell ref="D2:D3"/>
    <mergeCell ref="I2:J2"/>
    <mergeCell ref="K2:L2"/>
    <mergeCell ref="E2:F2"/>
    <mergeCell ref="G2:H2"/>
    <mergeCell ref="B19:N19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13"/>
  <sheetViews>
    <sheetView tabSelected="1" workbookViewId="0">
      <selection activeCell="B11" sqref="B11:C11"/>
    </sheetView>
  </sheetViews>
  <sheetFormatPr baseColWidth="10" defaultColWidth="11.44140625" defaultRowHeight="14.4" x14ac:dyDescent="0.3"/>
  <cols>
    <col min="2" max="2" width="13.6640625" customWidth="1"/>
    <col min="3" max="3" width="14.33203125" customWidth="1"/>
    <col min="4" max="4" width="13.77734375" customWidth="1"/>
    <col min="5" max="5" width="14.5546875" customWidth="1"/>
    <col min="6" max="6" width="14" customWidth="1"/>
    <col min="7" max="7" width="20.5546875" bestFit="1" customWidth="1"/>
    <col min="8" max="8" width="13.6640625" bestFit="1" customWidth="1"/>
    <col min="10" max="10" width="13.6640625" bestFit="1" customWidth="1"/>
    <col min="11" max="11" width="11.88671875" bestFit="1" customWidth="1"/>
  </cols>
  <sheetData>
    <row r="1" spans="2:8" ht="15" thickBot="1" x14ac:dyDescent="0.35"/>
    <row r="2" spans="2:8" ht="15" thickBot="1" x14ac:dyDescent="0.35">
      <c r="B2" s="448" t="s">
        <v>341</v>
      </c>
      <c r="C2" s="449" t="s">
        <v>315</v>
      </c>
      <c r="D2" s="449" t="s">
        <v>316</v>
      </c>
      <c r="E2" s="450" t="s">
        <v>317</v>
      </c>
      <c r="G2" t="s">
        <v>345</v>
      </c>
      <c r="H2" s="453">
        <v>3.5000000000000003E-2</v>
      </c>
    </row>
    <row r="3" spans="2:8" x14ac:dyDescent="0.3">
      <c r="B3" s="451" t="s">
        <v>340</v>
      </c>
      <c r="C3" s="445"/>
      <c r="D3" s="445"/>
      <c r="E3" s="190">
        <v>-1022325.45</v>
      </c>
      <c r="G3" t="s">
        <v>346</v>
      </c>
      <c r="H3" s="453">
        <v>0.2</v>
      </c>
    </row>
    <row r="4" spans="2:8" x14ac:dyDescent="0.3">
      <c r="B4" s="451">
        <v>2018</v>
      </c>
      <c r="C4" s="445">
        <f>'Flujo de Efectivo'!B8</f>
        <v>216200</v>
      </c>
      <c r="D4" s="445">
        <f>'Flujo de Efectivo'!B29</f>
        <v>1222925.4459694088</v>
      </c>
      <c r="E4" s="190">
        <f>C4-D4</f>
        <v>-1006725.4459694088</v>
      </c>
    </row>
    <row r="5" spans="2:8" x14ac:dyDescent="0.3">
      <c r="B5" s="451">
        <v>2019</v>
      </c>
      <c r="C5" s="445">
        <f>'Flujo de Efectivo'!C8</f>
        <v>6000000</v>
      </c>
      <c r="D5" s="445">
        <f>'Flujo de Efectivo'!C29</f>
        <v>4561226.1158549981</v>
      </c>
      <c r="E5" s="190">
        <f>C5-D5</f>
        <v>1438773.8841450019</v>
      </c>
    </row>
    <row r="6" spans="2:8" x14ac:dyDescent="0.3">
      <c r="B6" s="451">
        <v>2020</v>
      </c>
      <c r="C6" s="445">
        <f>'Flujo de Efectivo'!D8</f>
        <v>12000000</v>
      </c>
      <c r="D6" s="445">
        <f>'Flujo de Efectivo'!D29</f>
        <v>7066956.3027501795</v>
      </c>
      <c r="E6" s="190">
        <f>C6-D6</f>
        <v>4933043.6972498205</v>
      </c>
    </row>
    <row r="7" spans="2:8" x14ac:dyDescent="0.3">
      <c r="B7" s="451">
        <v>2021</v>
      </c>
      <c r="C7" s="445">
        <f>'Flujo de Efectivo'!E8</f>
        <v>18000000</v>
      </c>
      <c r="D7" s="445">
        <f>'Flujo de Efectivo'!E29</f>
        <v>9557759.6687509213</v>
      </c>
      <c r="E7" s="190">
        <f>C7-D7</f>
        <v>8442240.3312490787</v>
      </c>
    </row>
    <row r="8" spans="2:8" x14ac:dyDescent="0.3">
      <c r="B8" s="451">
        <v>2022</v>
      </c>
      <c r="C8" s="445">
        <f>'Flujo de Efectivo'!F8</f>
        <v>24000000</v>
      </c>
      <c r="D8" s="445">
        <f>'Flujo de Efectivo'!F29</f>
        <v>12047174.7765911</v>
      </c>
      <c r="E8" s="190">
        <f>C8-D8</f>
        <v>11952825.2234089</v>
      </c>
    </row>
    <row r="9" spans="2:8" ht="15" thickBot="1" x14ac:dyDescent="0.35">
      <c r="B9" s="452">
        <v>2023</v>
      </c>
      <c r="C9" s="446">
        <f>'Flujo de Efectivo'!G8</f>
        <v>33000000</v>
      </c>
      <c r="D9" s="446">
        <f>'Flujo de Efectivo'!G29</f>
        <v>15864539.617631486</v>
      </c>
      <c r="E9" s="447">
        <f>C9-D9</f>
        <v>17135460.382368512</v>
      </c>
    </row>
    <row r="11" spans="2:8" x14ac:dyDescent="0.3">
      <c r="B11" t="s">
        <v>343</v>
      </c>
      <c r="C11" s="312">
        <f>NPV(0.3,E4:E9)+E3</f>
        <v>11025136.406450547</v>
      </c>
      <c r="H11" s="301"/>
    </row>
    <row r="12" spans="2:8" x14ac:dyDescent="0.3">
      <c r="B12" t="s">
        <v>342</v>
      </c>
      <c r="C12" s="301">
        <f>IRR(E3:E9)</f>
        <v>1.2106549372721713</v>
      </c>
    </row>
    <row r="13" spans="2:8" x14ac:dyDescent="0.3">
      <c r="B13" t="s">
        <v>344</v>
      </c>
      <c r="C13" s="453">
        <f>SUM(H2:H3)</f>
        <v>0.23500000000000001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E6A2-F34B-4093-A6A6-52EFA80126B3}">
  <dimension ref="A1:I18"/>
  <sheetViews>
    <sheetView zoomScale="74" zoomScaleNormal="124" workbookViewId="0">
      <selection activeCell="E32" sqref="E32"/>
    </sheetView>
  </sheetViews>
  <sheetFormatPr baseColWidth="10" defaultColWidth="11.44140625" defaultRowHeight="14.4" x14ac:dyDescent="0.3"/>
  <cols>
    <col min="1" max="1" width="20.6640625" bestFit="1" customWidth="1"/>
    <col min="2" max="2" width="36.6640625" customWidth="1"/>
    <col min="3" max="3" width="24.33203125" bestFit="1" customWidth="1"/>
    <col min="4" max="4" width="27" customWidth="1"/>
    <col min="5" max="5" width="16.109375" bestFit="1" customWidth="1"/>
    <col min="6" max="6" width="24.33203125" bestFit="1" customWidth="1"/>
    <col min="7" max="7" width="21.6640625" bestFit="1" customWidth="1"/>
  </cols>
  <sheetData>
    <row r="1" spans="1:9" s="6" customFormat="1" ht="28.8" x14ac:dyDescent="0.3">
      <c r="A1" s="286" t="s">
        <v>12</v>
      </c>
      <c r="B1" s="286" t="s">
        <v>13</v>
      </c>
      <c r="C1" s="286" t="s">
        <v>14</v>
      </c>
      <c r="D1" s="286" t="s">
        <v>15</v>
      </c>
      <c r="E1" s="286" t="s">
        <v>16</v>
      </c>
      <c r="F1" s="286" t="s">
        <v>17</v>
      </c>
      <c r="G1" s="39" t="s">
        <v>18</v>
      </c>
      <c r="H1" s="149"/>
      <c r="I1" s="149"/>
    </row>
    <row r="2" spans="1:9" x14ac:dyDescent="0.3">
      <c r="A2" s="330" t="s">
        <v>19</v>
      </c>
      <c r="B2" s="7" t="s">
        <v>20</v>
      </c>
      <c r="C2" s="73">
        <f>D2/0.12</f>
        <v>150000</v>
      </c>
      <c r="D2" s="73">
        <v>18000</v>
      </c>
      <c r="E2" s="7">
        <v>1</v>
      </c>
      <c r="F2" s="73">
        <f>D2*E2</f>
        <v>18000</v>
      </c>
      <c r="G2" s="73">
        <f>F2*12</f>
        <v>216000</v>
      </c>
    </row>
    <row r="3" spans="1:9" x14ac:dyDescent="0.3">
      <c r="A3" s="331"/>
      <c r="B3" s="7" t="s">
        <v>21</v>
      </c>
      <c r="C3" s="73">
        <f>D3/0.12</f>
        <v>125000</v>
      </c>
      <c r="D3" s="73">
        <v>15000</v>
      </c>
      <c r="E3" s="7">
        <v>5</v>
      </c>
      <c r="F3" s="73">
        <f>D3*E3</f>
        <v>75000</v>
      </c>
      <c r="G3" s="73">
        <f>F3*12</f>
        <v>900000</v>
      </c>
    </row>
    <row r="4" spans="1:9" x14ac:dyDescent="0.3">
      <c r="A4" s="331"/>
      <c r="B4" s="7" t="s">
        <v>22</v>
      </c>
      <c r="C4" s="73">
        <f>D4/0.12</f>
        <v>100000</v>
      </c>
      <c r="D4" s="73">
        <v>12000</v>
      </c>
      <c r="E4" s="7">
        <v>2</v>
      </c>
      <c r="F4" s="73">
        <f>D4*E4</f>
        <v>24000</v>
      </c>
      <c r="G4" s="73">
        <f>F4*12</f>
        <v>288000</v>
      </c>
    </row>
    <row r="5" spans="1:9" x14ac:dyDescent="0.3">
      <c r="A5" s="331"/>
      <c r="B5" s="7" t="s">
        <v>23</v>
      </c>
      <c r="C5" s="73">
        <v>350</v>
      </c>
      <c r="D5" s="73">
        <v>350</v>
      </c>
      <c r="E5" s="7">
        <v>2</v>
      </c>
      <c r="F5" s="73">
        <f>D5*20*E5</f>
        <v>14000</v>
      </c>
      <c r="G5" s="73">
        <f>F5*12</f>
        <v>168000</v>
      </c>
    </row>
    <row r="6" spans="1:9" x14ac:dyDescent="0.3">
      <c r="A6" s="331"/>
      <c r="B6" s="7" t="s">
        <v>24</v>
      </c>
      <c r="C6" s="73">
        <v>6000</v>
      </c>
      <c r="D6" s="73">
        <v>6000</v>
      </c>
      <c r="E6" s="7">
        <v>4</v>
      </c>
      <c r="F6" s="73">
        <f>D6/12*E6</f>
        <v>2000</v>
      </c>
      <c r="G6" s="73">
        <f>F6*12</f>
        <v>24000</v>
      </c>
    </row>
    <row r="7" spans="1:9" x14ac:dyDescent="0.3">
      <c r="A7" s="332"/>
      <c r="B7" s="333" t="s">
        <v>25</v>
      </c>
      <c r="C7" s="334"/>
      <c r="D7" s="335"/>
      <c r="E7" s="40">
        <f>SUM(E2:E6)</f>
        <v>14</v>
      </c>
      <c r="F7" s="74">
        <f>SUM(F2:F6)</f>
        <v>133000</v>
      </c>
      <c r="G7" s="74">
        <f>SUM(G2:G6)</f>
        <v>1596000</v>
      </c>
    </row>
    <row r="8" spans="1:9" x14ac:dyDescent="0.3">
      <c r="A8" s="329" t="s">
        <v>26</v>
      </c>
      <c r="B8" s="7" t="s">
        <v>27</v>
      </c>
      <c r="C8" s="73">
        <v>8000</v>
      </c>
      <c r="D8" s="73">
        <v>8000</v>
      </c>
      <c r="E8" s="7">
        <v>1</v>
      </c>
      <c r="F8" s="73">
        <f>D8*E8/6</f>
        <v>1333.3333333333333</v>
      </c>
      <c r="G8" s="73">
        <f>F8*12</f>
        <v>16000</v>
      </c>
    </row>
    <row r="9" spans="1:9" x14ac:dyDescent="0.3">
      <c r="A9" s="329"/>
      <c r="B9" s="7" t="s">
        <v>28</v>
      </c>
      <c r="C9" s="73">
        <f>D9/0.12</f>
        <v>125000</v>
      </c>
      <c r="D9" s="73">
        <v>15000</v>
      </c>
      <c r="E9" s="7">
        <v>1</v>
      </c>
      <c r="F9" s="73">
        <f>D9*E9</f>
        <v>15000</v>
      </c>
      <c r="G9" s="73">
        <f>F9*12</f>
        <v>180000</v>
      </c>
      <c r="I9" t="s">
        <v>29</v>
      </c>
    </row>
    <row r="10" spans="1:9" x14ac:dyDescent="0.3">
      <c r="A10" s="329"/>
      <c r="B10" s="333" t="s">
        <v>30</v>
      </c>
      <c r="C10" s="334"/>
      <c r="D10" s="335"/>
      <c r="E10" s="40">
        <f>SUM(E8:E9)</f>
        <v>2</v>
      </c>
      <c r="F10" s="74">
        <f>SUM(F8:F9)</f>
        <v>16333.333333333334</v>
      </c>
      <c r="G10" s="74">
        <f>SUM(G8:G9)</f>
        <v>196000</v>
      </c>
    </row>
    <row r="11" spans="1:9" x14ac:dyDescent="0.3">
      <c r="A11" s="329" t="s">
        <v>31</v>
      </c>
      <c r="B11" s="7" t="s">
        <v>32</v>
      </c>
      <c r="C11" s="73">
        <f>D11/0.12</f>
        <v>125000</v>
      </c>
      <c r="D11" s="73">
        <v>15000</v>
      </c>
      <c r="E11" s="7">
        <v>1</v>
      </c>
      <c r="F11" s="73">
        <f>D11*E11</f>
        <v>15000</v>
      </c>
      <c r="G11" s="73">
        <f t="shared" ref="G11:G16" si="0">F11*12</f>
        <v>180000</v>
      </c>
    </row>
    <row r="12" spans="1:9" x14ac:dyDescent="0.3">
      <c r="A12" s="329"/>
      <c r="B12" s="7" t="s">
        <v>33</v>
      </c>
      <c r="C12" s="73">
        <f>D12/0.12</f>
        <v>75000</v>
      </c>
      <c r="D12" s="73">
        <v>9000</v>
      </c>
      <c r="E12" s="7">
        <v>1</v>
      </c>
      <c r="F12" s="73">
        <f>D12*E12</f>
        <v>9000</v>
      </c>
      <c r="G12" s="73">
        <f t="shared" si="0"/>
        <v>108000</v>
      </c>
    </row>
    <row r="13" spans="1:9" x14ac:dyDescent="0.3">
      <c r="A13" s="329"/>
      <c r="B13" s="7" t="s">
        <v>34</v>
      </c>
      <c r="C13" s="73">
        <f>D13/0.12</f>
        <v>166666.66666666669</v>
      </c>
      <c r="D13" s="73">
        <v>20000</v>
      </c>
      <c r="E13" s="7">
        <v>1</v>
      </c>
      <c r="F13" s="73">
        <f>D13*E13</f>
        <v>20000</v>
      </c>
      <c r="G13" s="73">
        <f t="shared" si="0"/>
        <v>240000</v>
      </c>
    </row>
    <row r="14" spans="1:9" x14ac:dyDescent="0.3">
      <c r="A14" s="329"/>
      <c r="B14" s="7" t="s">
        <v>35</v>
      </c>
      <c r="C14" s="73">
        <f>D14/0.12</f>
        <v>83333.333333333343</v>
      </c>
      <c r="D14" s="73">
        <v>10000</v>
      </c>
      <c r="E14" s="7">
        <v>1</v>
      </c>
      <c r="F14" s="73">
        <f>D14*E14</f>
        <v>10000</v>
      </c>
      <c r="G14" s="73">
        <f t="shared" si="0"/>
        <v>120000</v>
      </c>
    </row>
    <row r="15" spans="1:9" x14ac:dyDescent="0.3">
      <c r="A15" s="329"/>
      <c r="B15" s="7" t="s">
        <v>36</v>
      </c>
      <c r="C15" s="73">
        <v>6000</v>
      </c>
      <c r="D15" s="73">
        <v>6000</v>
      </c>
      <c r="E15" s="7">
        <v>1</v>
      </c>
      <c r="F15" s="73">
        <f>D15*E15</f>
        <v>6000</v>
      </c>
      <c r="G15" s="73">
        <f t="shared" si="0"/>
        <v>72000</v>
      </c>
    </row>
    <row r="16" spans="1:9" x14ac:dyDescent="0.3">
      <c r="A16" s="329"/>
      <c r="B16" s="7" t="s">
        <v>37</v>
      </c>
      <c r="C16" s="73">
        <v>7500</v>
      </c>
      <c r="D16" s="73">
        <v>7500</v>
      </c>
      <c r="E16" s="7">
        <v>1</v>
      </c>
      <c r="F16" s="73">
        <f>D16*E16/3</f>
        <v>2500</v>
      </c>
      <c r="G16" s="73">
        <f t="shared" si="0"/>
        <v>30000</v>
      </c>
    </row>
    <row r="17" spans="1:7" x14ac:dyDescent="0.3">
      <c r="A17" s="329"/>
      <c r="B17" s="333" t="s">
        <v>38</v>
      </c>
      <c r="C17" s="334"/>
      <c r="D17" s="335"/>
      <c r="E17" s="40">
        <f>SUM(E11:E16)</f>
        <v>6</v>
      </c>
      <c r="F17" s="74">
        <f>SUM(F11:F16)</f>
        <v>62500</v>
      </c>
      <c r="G17" s="74">
        <f>SUM(G11:G16)</f>
        <v>750000</v>
      </c>
    </row>
    <row r="18" spans="1:7" x14ac:dyDescent="0.3">
      <c r="A18" s="328" t="s">
        <v>39</v>
      </c>
      <c r="B18" s="328"/>
      <c r="C18" s="328"/>
      <c r="D18" s="328"/>
      <c r="E18" s="7">
        <f>SUM(E7,E10,E17)</f>
        <v>22</v>
      </c>
      <c r="F18" s="73">
        <f>SUM(F7,F10,F17)</f>
        <v>211833.33333333334</v>
      </c>
      <c r="G18" s="73">
        <f>SUM(G7,G10,G17)</f>
        <v>2542000</v>
      </c>
    </row>
  </sheetData>
  <mergeCells count="7">
    <mergeCell ref="A18:D18"/>
    <mergeCell ref="A11:A17"/>
    <mergeCell ref="A8:A10"/>
    <mergeCell ref="A2:A7"/>
    <mergeCell ref="B7:D7"/>
    <mergeCell ref="B17:D17"/>
    <mergeCell ref="B10:D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9232-3A32-4CB6-A25D-A17ED465EF03}">
  <dimension ref="A1:Z967"/>
  <sheetViews>
    <sheetView workbookViewId="0">
      <selection activeCell="B2" sqref="B2:F70"/>
    </sheetView>
  </sheetViews>
  <sheetFormatPr baseColWidth="10" defaultColWidth="14.44140625" defaultRowHeight="15" customHeight="1" x14ac:dyDescent="0.25"/>
  <cols>
    <col min="1" max="1" width="2.109375" style="77" customWidth="1"/>
    <col min="2" max="2" width="40.109375" style="77" customWidth="1"/>
    <col min="3" max="3" width="11.44140625" style="77" customWidth="1"/>
    <col min="4" max="4" width="18.88671875" style="77" customWidth="1"/>
    <col min="5" max="5" width="11.44140625" style="77" customWidth="1"/>
    <col min="6" max="6" width="21.109375" style="77" customWidth="1"/>
    <col min="7" max="26" width="11.44140625" style="77" customWidth="1"/>
    <col min="27" max="16384" width="14.44140625" style="77"/>
  </cols>
  <sheetData>
    <row r="1" spans="1:26" ht="13.5" customHeight="1" x14ac:dyDescent="0.25">
      <c r="A1" s="78"/>
      <c r="B1" s="102" t="s">
        <v>40</v>
      </c>
      <c r="C1" s="102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3.5" customHeight="1" x14ac:dyDescent="0.25">
      <c r="A2" s="78"/>
      <c r="B2" s="339" t="s">
        <v>41</v>
      </c>
      <c r="C2" s="337"/>
      <c r="D2" s="337"/>
      <c r="E2" s="337"/>
      <c r="F2" s="337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3.5" customHeight="1" x14ac:dyDescent="0.25">
      <c r="A3" s="78"/>
      <c r="B3" s="101"/>
      <c r="C3" s="101"/>
      <c r="D3" s="101"/>
      <c r="E3" s="101"/>
      <c r="F3" s="101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3.5" customHeight="1" x14ac:dyDescent="0.25">
      <c r="A4" s="78"/>
      <c r="B4" s="499" t="s">
        <v>42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3.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3.5" customHeight="1" x14ac:dyDescent="0.25">
      <c r="A6" s="78"/>
      <c r="B6" s="341" t="s">
        <v>43</v>
      </c>
      <c r="C6" s="342"/>
      <c r="D6" s="342"/>
      <c r="E6" s="342"/>
      <c r="F6" s="343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3.5" customHeight="1" x14ac:dyDescent="0.25">
      <c r="A7" s="78"/>
      <c r="B7" s="344" t="s">
        <v>44</v>
      </c>
      <c r="C7" s="345"/>
      <c r="D7" s="345"/>
      <c r="E7" s="346"/>
      <c r="F7" s="89" t="s">
        <v>45</v>
      </c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3.5" customHeight="1" x14ac:dyDescent="0.25">
      <c r="A8" s="78"/>
      <c r="B8" s="336" t="s">
        <v>46</v>
      </c>
      <c r="C8" s="337"/>
      <c r="D8" s="337"/>
      <c r="E8" s="338"/>
      <c r="F8" s="81">
        <v>5000</v>
      </c>
      <c r="G8" s="78"/>
      <c r="H8" s="87" t="s">
        <v>319</v>
      </c>
      <c r="I8" s="87"/>
      <c r="J8" s="137">
        <f>SUM(F8:F13)</f>
        <v>44000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13.5" customHeight="1" x14ac:dyDescent="0.25">
      <c r="A9" s="78"/>
      <c r="B9" s="336" t="s">
        <v>47</v>
      </c>
      <c r="C9" s="337"/>
      <c r="D9" s="337"/>
      <c r="E9" s="338"/>
      <c r="F9" s="81">
        <v>5000</v>
      </c>
      <c r="G9" s="78"/>
      <c r="H9" s="299" t="s">
        <v>320</v>
      </c>
      <c r="I9" s="87"/>
      <c r="J9" s="136">
        <f>SUM(E23:E30,E34:E36)</f>
        <v>152500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3.5" customHeight="1" x14ac:dyDescent="0.25">
      <c r="A10" s="78"/>
      <c r="B10" s="336" t="s">
        <v>48</v>
      </c>
      <c r="C10" s="337"/>
      <c r="D10" s="337"/>
      <c r="E10" s="338"/>
      <c r="F10" s="81">
        <v>5000</v>
      </c>
      <c r="G10" s="78"/>
      <c r="H10" s="87" t="s">
        <v>150</v>
      </c>
      <c r="I10" s="87"/>
      <c r="J10" s="137">
        <f>SUM(E31:E33)</f>
        <v>198000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3.5" customHeight="1" x14ac:dyDescent="0.25">
      <c r="A11" s="78"/>
      <c r="B11" s="336" t="s">
        <v>49</v>
      </c>
      <c r="C11" s="337"/>
      <c r="D11" s="337"/>
      <c r="E11" s="338"/>
      <c r="F11" s="81">
        <v>8000</v>
      </c>
      <c r="G11" s="78"/>
      <c r="H11" s="87" t="s">
        <v>321</v>
      </c>
      <c r="I11" s="87"/>
      <c r="J11" s="137">
        <f>E43</f>
        <v>20000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3.5" customHeight="1" x14ac:dyDescent="0.25">
      <c r="A12" s="78"/>
      <c r="B12" s="336" t="s">
        <v>50</v>
      </c>
      <c r="C12" s="337"/>
      <c r="D12" s="337"/>
      <c r="E12" s="338"/>
      <c r="F12" s="81">
        <v>18000</v>
      </c>
      <c r="G12" s="78"/>
      <c r="H12" s="303" t="s">
        <v>322</v>
      </c>
      <c r="I12" s="87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3.5" customHeight="1" x14ac:dyDescent="0.25">
      <c r="A13" s="78"/>
      <c r="B13" s="336" t="s">
        <v>51</v>
      </c>
      <c r="C13" s="337"/>
      <c r="D13" s="337"/>
      <c r="E13" s="338"/>
      <c r="F13" s="81">
        <v>3000</v>
      </c>
      <c r="G13" s="78"/>
      <c r="H13" s="87" t="s">
        <v>323</v>
      </c>
      <c r="I13" s="87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3.5" customHeight="1" x14ac:dyDescent="0.25">
      <c r="A14" s="78"/>
      <c r="B14" s="336" t="s">
        <v>52</v>
      </c>
      <c r="C14" s="337"/>
      <c r="D14" s="337"/>
      <c r="E14" s="338"/>
      <c r="F14" s="81">
        <v>8000</v>
      </c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3.5" customHeight="1" x14ac:dyDescent="0.25">
      <c r="A15" s="78"/>
      <c r="B15" s="336" t="s">
        <v>53</v>
      </c>
      <c r="C15" s="337"/>
      <c r="D15" s="337"/>
      <c r="E15" s="338"/>
      <c r="F15" s="81">
        <v>7000</v>
      </c>
      <c r="G15" s="78"/>
      <c r="H15" s="78" t="s">
        <v>331</v>
      </c>
      <c r="I15" s="137">
        <f>F14+F15+E57</f>
        <v>15600</v>
      </c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3.5" customHeight="1" x14ac:dyDescent="0.25">
      <c r="A16" s="78"/>
      <c r="B16" s="503" t="s">
        <v>39</v>
      </c>
      <c r="C16" s="504"/>
      <c r="D16" s="504"/>
      <c r="E16" s="505"/>
      <c r="F16" s="85">
        <f>SUM(F8:F15)</f>
        <v>59000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3.5" customHeight="1" x14ac:dyDescent="0.25">
      <c r="A17" s="78"/>
      <c r="B17" s="499"/>
      <c r="C17" s="100" t="s">
        <v>54</v>
      </c>
      <c r="D17" s="99">
        <v>305</v>
      </c>
      <c r="E17" s="219" t="s">
        <v>55</v>
      </c>
      <c r="F17" s="9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3.5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3.5" customHeight="1" x14ac:dyDescent="0.25">
      <c r="A19" s="78"/>
      <c r="B19" s="499" t="s">
        <v>56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3.5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3.5" customHeight="1" x14ac:dyDescent="0.25">
      <c r="A21" s="78"/>
      <c r="B21" s="341" t="s">
        <v>57</v>
      </c>
      <c r="C21" s="342"/>
      <c r="D21" s="342"/>
      <c r="E21" s="343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3.5" customHeight="1" x14ac:dyDescent="0.25">
      <c r="A22" s="78"/>
      <c r="B22" s="88" t="s">
        <v>58</v>
      </c>
      <c r="C22" s="88" t="s">
        <v>59</v>
      </c>
      <c r="D22" s="97" t="s">
        <v>60</v>
      </c>
      <c r="E22" s="88" t="s">
        <v>45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3.5" customHeight="1" x14ac:dyDescent="0.25">
      <c r="A23" s="78"/>
      <c r="B23" s="96" t="s">
        <v>145</v>
      </c>
      <c r="C23" s="95">
        <v>2</v>
      </c>
      <c r="D23" s="94">
        <v>6000</v>
      </c>
      <c r="E23" s="93">
        <f t="shared" ref="E23:E36" si="0">+D23*C23</f>
        <v>12000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3.5" customHeight="1" x14ac:dyDescent="0.25">
      <c r="A24" s="78"/>
      <c r="B24" s="92" t="s">
        <v>61</v>
      </c>
      <c r="C24" s="91">
        <v>4</v>
      </c>
      <c r="D24" s="90">
        <v>10100</v>
      </c>
      <c r="E24" s="81">
        <f t="shared" si="0"/>
        <v>40400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3.5" customHeight="1" x14ac:dyDescent="0.25">
      <c r="A25" s="78"/>
      <c r="B25" s="92" t="s">
        <v>62</v>
      </c>
      <c r="C25" s="91">
        <v>7</v>
      </c>
      <c r="D25" s="90">
        <v>3000</v>
      </c>
      <c r="E25" s="81">
        <f t="shared" si="0"/>
        <v>21000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s="320" customFormat="1" ht="13.5" customHeight="1" x14ac:dyDescent="0.25">
      <c r="A26" s="78"/>
      <c r="B26" s="92" t="s">
        <v>149</v>
      </c>
      <c r="C26" s="91">
        <v>2</v>
      </c>
      <c r="D26" s="90">
        <v>3800</v>
      </c>
      <c r="E26" s="81">
        <f t="shared" si="0"/>
        <v>7600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3.5" customHeight="1" x14ac:dyDescent="0.25">
      <c r="A27" s="78"/>
      <c r="B27" s="92" t="s">
        <v>157</v>
      </c>
      <c r="C27" s="91">
        <v>2</v>
      </c>
      <c r="D27" s="90">
        <v>5800</v>
      </c>
      <c r="E27" s="81">
        <f t="shared" si="0"/>
        <v>11600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3.5" customHeight="1" x14ac:dyDescent="0.25">
      <c r="A28" s="78"/>
      <c r="B28" s="92" t="s">
        <v>63</v>
      </c>
      <c r="C28" s="91">
        <v>11</v>
      </c>
      <c r="D28" s="90">
        <v>1400</v>
      </c>
      <c r="E28" s="81">
        <f t="shared" si="0"/>
        <v>15400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s="320" customFormat="1" ht="13.5" customHeight="1" x14ac:dyDescent="0.25">
      <c r="A29" s="78"/>
      <c r="B29" s="92" t="s">
        <v>161</v>
      </c>
      <c r="C29" s="91">
        <v>5</v>
      </c>
      <c r="D29" s="90">
        <v>1500</v>
      </c>
      <c r="E29" s="81">
        <f t="shared" si="0"/>
        <v>7500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3.5" customHeight="1" x14ac:dyDescent="0.25">
      <c r="A30" s="78"/>
      <c r="B30" s="92" t="s">
        <v>64</v>
      </c>
      <c r="C30" s="91">
        <v>1</v>
      </c>
      <c r="D30" s="90">
        <v>15000</v>
      </c>
      <c r="E30" s="81">
        <f t="shared" si="0"/>
        <v>15000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3.5" customHeight="1" x14ac:dyDescent="0.25">
      <c r="A31" s="78"/>
      <c r="B31" s="92" t="s">
        <v>65</v>
      </c>
      <c r="C31" s="91">
        <v>2</v>
      </c>
      <c r="D31" s="90">
        <v>11000</v>
      </c>
      <c r="E31" s="81">
        <f t="shared" si="0"/>
        <v>22000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3.5" customHeight="1" x14ac:dyDescent="0.25">
      <c r="A32" s="78"/>
      <c r="B32" s="92" t="s">
        <v>66</v>
      </c>
      <c r="C32" s="91">
        <v>4</v>
      </c>
      <c r="D32" s="90">
        <v>9000</v>
      </c>
      <c r="E32" s="81">
        <f t="shared" si="0"/>
        <v>36000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3.5" customHeight="1" x14ac:dyDescent="0.25">
      <c r="A33" s="78"/>
      <c r="B33" s="92" t="s">
        <v>67</v>
      </c>
      <c r="C33" s="91">
        <v>7</v>
      </c>
      <c r="D33" s="90">
        <v>20000</v>
      </c>
      <c r="E33" s="81">
        <f t="shared" si="0"/>
        <v>140000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3.5" customHeight="1" x14ac:dyDescent="0.25">
      <c r="A34" s="78"/>
      <c r="B34" s="92" t="s">
        <v>68</v>
      </c>
      <c r="C34" s="91">
        <v>1</v>
      </c>
      <c r="D34" s="90">
        <v>8000</v>
      </c>
      <c r="E34" s="81">
        <f t="shared" si="0"/>
        <v>8000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3.5" customHeight="1" x14ac:dyDescent="0.25">
      <c r="A35" s="78"/>
      <c r="B35" s="92" t="s">
        <v>69</v>
      </c>
      <c r="C35" s="91">
        <v>7</v>
      </c>
      <c r="D35" s="90">
        <v>1800</v>
      </c>
      <c r="E35" s="81">
        <f t="shared" si="0"/>
        <v>12600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3.5" customHeight="1" x14ac:dyDescent="0.25">
      <c r="A36" s="78"/>
      <c r="B36" s="92" t="s">
        <v>70</v>
      </c>
      <c r="C36" s="91">
        <v>1</v>
      </c>
      <c r="D36" s="90">
        <v>1400</v>
      </c>
      <c r="E36" s="81">
        <f t="shared" si="0"/>
        <v>1400</v>
      </c>
      <c r="F36" s="219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3.5" customHeight="1" x14ac:dyDescent="0.25">
      <c r="A37" s="78"/>
      <c r="B37" s="506" t="s">
        <v>39</v>
      </c>
      <c r="C37" s="507"/>
      <c r="D37" s="508"/>
      <c r="E37" s="509">
        <f>SUM(E23:E36)</f>
        <v>350500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3.5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3.5" customHeight="1" x14ac:dyDescent="0.25">
      <c r="A39" s="78"/>
      <c r="B39" s="499" t="s">
        <v>71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3.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3.5" customHeight="1" x14ac:dyDescent="0.25">
      <c r="A41" s="78"/>
      <c r="B41" s="341" t="s">
        <v>72</v>
      </c>
      <c r="C41" s="342"/>
      <c r="D41" s="342"/>
      <c r="E41" s="343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3.5" customHeight="1" x14ac:dyDescent="0.25">
      <c r="A42" s="78"/>
      <c r="B42" s="89" t="s">
        <v>58</v>
      </c>
      <c r="C42" s="89" t="s">
        <v>73</v>
      </c>
      <c r="D42" s="89" t="s">
        <v>74</v>
      </c>
      <c r="E42" s="88" t="s">
        <v>45</v>
      </c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3.5" customHeight="1" x14ac:dyDescent="0.25">
      <c r="A43" s="78"/>
      <c r="B43" s="336" t="s">
        <v>75</v>
      </c>
      <c r="C43" s="337"/>
      <c r="D43" s="337"/>
      <c r="E43" s="309">
        <v>20000</v>
      </c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3.5" customHeight="1" x14ac:dyDescent="0.25">
      <c r="A44" s="78"/>
      <c r="B44" s="336" t="s">
        <v>76</v>
      </c>
      <c r="C44" s="337"/>
      <c r="D44" s="338"/>
      <c r="E44" s="309">
        <v>99000</v>
      </c>
      <c r="F44" s="87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3.5" customHeight="1" x14ac:dyDescent="0.25">
      <c r="A45" s="78"/>
      <c r="B45" s="336" t="s">
        <v>77</v>
      </c>
      <c r="C45" s="337"/>
      <c r="D45" s="337"/>
      <c r="E45" s="309">
        <v>6000</v>
      </c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3.5" customHeight="1" x14ac:dyDescent="0.25">
      <c r="A46" s="78"/>
      <c r="B46" s="336" t="s">
        <v>78</v>
      </c>
      <c r="C46" s="337"/>
      <c r="D46" s="337"/>
      <c r="E46" s="309">
        <v>20000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3.5" customHeight="1" x14ac:dyDescent="0.25">
      <c r="A47" s="78"/>
      <c r="B47" s="287" t="s">
        <v>79</v>
      </c>
      <c r="C47" s="86"/>
      <c r="D47" s="86"/>
      <c r="E47" s="309">
        <v>10000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s="232" customFormat="1" ht="13.5" customHeight="1" x14ac:dyDescent="0.25">
      <c r="A48" s="78"/>
      <c r="B48" s="287" t="s">
        <v>80</v>
      </c>
      <c r="C48" s="86"/>
      <c r="D48" s="86"/>
      <c r="E48" s="309">
        <v>500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s="232" customFormat="1" ht="13.5" customHeight="1" x14ac:dyDescent="0.25">
      <c r="A49" s="78"/>
      <c r="B49" s="287" t="s">
        <v>81</v>
      </c>
      <c r="C49" s="86"/>
      <c r="D49" s="86"/>
      <c r="E49" s="309">
        <v>2100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3.5" customHeight="1" x14ac:dyDescent="0.25">
      <c r="A50" s="78"/>
      <c r="B50" s="336" t="s">
        <v>82</v>
      </c>
      <c r="C50" s="337"/>
      <c r="D50" s="337"/>
      <c r="E50" s="309">
        <v>1500</v>
      </c>
      <c r="F50" s="297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s="232" customFormat="1" ht="13.5" customHeight="1" x14ac:dyDescent="0.25">
      <c r="A51" s="78"/>
      <c r="B51" s="336" t="s">
        <v>83</v>
      </c>
      <c r="C51" s="337"/>
      <c r="D51" s="337"/>
      <c r="E51" s="309">
        <v>7500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s="232" customFormat="1" ht="13.5" customHeight="1" x14ac:dyDescent="0.25">
      <c r="A52" s="78"/>
      <c r="B52" s="336" t="s">
        <v>84</v>
      </c>
      <c r="C52" s="337"/>
      <c r="D52" s="337"/>
      <c r="E52" s="309">
        <v>1000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3.5" customHeight="1" x14ac:dyDescent="0.25">
      <c r="A53" s="78"/>
      <c r="B53" s="336" t="s">
        <v>85</v>
      </c>
      <c r="C53" s="337"/>
      <c r="D53" s="337"/>
      <c r="E53" s="309">
        <f>SUM(Remuneraciones!F7+Remuneraciones!F10+Remuneraciones!F17)*3</f>
        <v>635500</v>
      </c>
      <c r="F53" s="78"/>
      <c r="G53" s="137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s="148" customFormat="1" ht="13.5" customHeight="1" x14ac:dyDescent="0.25">
      <c r="A54" s="78"/>
      <c r="B54" s="336" t="s">
        <v>86</v>
      </c>
      <c r="C54" s="337"/>
      <c r="D54" s="337"/>
      <c r="E54" s="309">
        <v>3000</v>
      </c>
      <c r="F54" s="297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3.5" customHeight="1" x14ac:dyDescent="0.25">
      <c r="A55" s="78"/>
      <c r="B55" s="347" t="s">
        <v>87</v>
      </c>
      <c r="C55" s="337"/>
      <c r="D55" s="337"/>
      <c r="E55" s="309">
        <f>SUM('Tabla de Amortización'!H12:H14)</f>
        <v>14663.966796447348</v>
      </c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3.5" customHeight="1" x14ac:dyDescent="0.25">
      <c r="A56" s="78"/>
      <c r="B56" s="347" t="s">
        <v>88</v>
      </c>
      <c r="C56" s="337"/>
      <c r="D56" s="337"/>
      <c r="E56" s="309">
        <f>SUM('Tabla de Amortización'!I12:I14)</f>
        <v>7661.47917296164</v>
      </c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3.5" customHeight="1" x14ac:dyDescent="0.25">
      <c r="A57" s="78"/>
      <c r="B57" s="350" t="s">
        <v>52</v>
      </c>
      <c r="C57" s="351"/>
      <c r="D57" s="352"/>
      <c r="E57" s="81">
        <v>600</v>
      </c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3.5" customHeight="1" x14ac:dyDescent="0.25">
      <c r="A58" s="78"/>
      <c r="B58" s="500" t="s">
        <v>39</v>
      </c>
      <c r="C58" s="501"/>
      <c r="D58" s="502"/>
      <c r="E58" s="308">
        <f>SUM(E43:E57)</f>
        <v>829025.44596940896</v>
      </c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3.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3.5" customHeight="1" x14ac:dyDescent="0.25">
      <c r="A60" s="78"/>
      <c r="B60" s="499" t="s">
        <v>89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3.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3.5" customHeight="1" x14ac:dyDescent="0.25">
      <c r="A62" s="78"/>
      <c r="B62" s="341" t="s">
        <v>90</v>
      </c>
      <c r="C62" s="342"/>
      <c r="D62" s="343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3.5" customHeight="1" x14ac:dyDescent="0.25">
      <c r="A63" s="78"/>
      <c r="B63" s="82" t="s">
        <v>91</v>
      </c>
      <c r="C63" s="84"/>
      <c r="D63" s="81">
        <f>+F16</f>
        <v>59000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3.5" customHeight="1" x14ac:dyDescent="0.25">
      <c r="A64" s="78"/>
      <c r="B64" s="82" t="s">
        <v>92</v>
      </c>
      <c r="C64" s="83"/>
      <c r="D64" s="81">
        <f>+E37</f>
        <v>350500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3.5" customHeight="1" x14ac:dyDescent="0.25">
      <c r="A65" s="78"/>
      <c r="B65" s="82" t="s">
        <v>93</v>
      </c>
      <c r="C65" s="83"/>
      <c r="D65" s="81">
        <f>SUM(E43:E54,E57)</f>
        <v>806700</v>
      </c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3.5" customHeight="1" x14ac:dyDescent="0.25">
      <c r="A66" s="78"/>
      <c r="B66" s="353" t="s">
        <v>94</v>
      </c>
      <c r="C66" s="343"/>
      <c r="D66" s="80">
        <f>SUM(D63:D65)</f>
        <v>1216200</v>
      </c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3.5" customHeight="1" x14ac:dyDescent="0.25">
      <c r="A67" s="78"/>
      <c r="B67" s="348"/>
      <c r="C67" s="340"/>
      <c r="D67" s="28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3.5" customHeight="1" x14ac:dyDescent="0.25">
      <c r="A68" s="78"/>
      <c r="B68" s="349" t="s">
        <v>95</v>
      </c>
      <c r="C68" s="343"/>
      <c r="D68" s="79">
        <f>'Capital Social'!D7</f>
        <v>1000000</v>
      </c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3.5" customHeight="1" x14ac:dyDescent="0.25">
      <c r="A69" s="78"/>
      <c r="B69" s="348"/>
      <c r="C69" s="340"/>
      <c r="D69" s="12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3.5" customHeight="1" x14ac:dyDescent="0.25">
      <c r="A70" s="78"/>
      <c r="B70" s="349" t="s">
        <v>96</v>
      </c>
      <c r="C70" s="343"/>
      <c r="D70" s="79">
        <f>D66-D68</f>
        <v>216200</v>
      </c>
      <c r="E70" s="136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3.5" customHeight="1" x14ac:dyDescent="0.25">
      <c r="A71" s="78"/>
      <c r="B71" s="78"/>
      <c r="C71" s="78"/>
      <c r="D71" s="78"/>
      <c r="E71" s="78"/>
      <c r="F71" s="137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3.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3.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3.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3.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3.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3.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3.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3.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3.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3.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3.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3.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3.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3.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3.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3.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3.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3.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3.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3.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3.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3.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3.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3.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3.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3.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3.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3.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3.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3.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3.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3.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3.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3.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3.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3.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3.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3.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3.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3.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3.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3.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3.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3.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3.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3.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3.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3.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3.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3.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3.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3.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3.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3.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3.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3.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3.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3.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3.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3.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3.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3.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3.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3.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3.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3.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3.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3.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3.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3.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3.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3.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3.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3.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3.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3.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3.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3.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3.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3.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3.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3.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3.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3.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3.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3.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3.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3.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3.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3.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3.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3.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3.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3.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3.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3.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3.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3.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3.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3.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3.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3.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3.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3.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3.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3.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3.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3.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3.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3.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3.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3.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3.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3.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3.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3.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3.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3.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3.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3.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3.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3.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3.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3.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3.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3.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3.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3.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3.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3.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3.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3.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3.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3.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3.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3.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3.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3.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3.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3.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3.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3.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3.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3.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3.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3.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3.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3.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3.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3.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3.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3.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3.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3.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3.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3.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3.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3.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3.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3.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3.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3.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3.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3.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3.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3.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3.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3.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3.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3.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3.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3.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3.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3.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3.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3.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3.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3.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3.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3.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3.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3.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3.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3.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3.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3.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3.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3.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3.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3.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3.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3.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3.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3.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3.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3.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3.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3.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3.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3.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3.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3.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3.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3.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3.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3.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3.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3.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3.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3.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3.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3.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3.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3.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3.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3.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3.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3.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3.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3.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3.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3.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3.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3.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3.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3.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3.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3.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3.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3.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3.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3.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3.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3.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3.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3.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3.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3.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3.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3.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3.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3.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3.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3.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3.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3.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3.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3.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3.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3.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3.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3.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3.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3.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3.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3.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3.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3.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3.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3.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3.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3.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3.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3.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3.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3.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3.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3.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3.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3.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3.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3.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3.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3.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3.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3.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3.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3.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3.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3.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3.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3.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3.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3.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3.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3.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3.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3.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3.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3.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3.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3.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3.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3.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3.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3.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3.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3.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3.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3.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3.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3.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3.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3.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3.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3.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3.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3.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3.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3.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3.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3.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3.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3.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3.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3.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3.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3.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3.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3.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3.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3.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3.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3.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3.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3.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3.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3.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3.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3.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3.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3.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3.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3.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3.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3.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3.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3.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3.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3.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3.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3.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3.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3.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3.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3.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3.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3.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3.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3.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3.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3.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3.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3.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3.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3.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3.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3.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3.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3.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3.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3.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3.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3.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3.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3.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3.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3.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3.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3.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3.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3.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3.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3.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3.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3.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3.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3.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3.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3.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3.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3.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3.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3.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3.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3.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3.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3.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3.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3.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3.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3.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3.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3.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3.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3.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3.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3.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3.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3.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3.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3.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3.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3.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3.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3.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3.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3.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3.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3.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3.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3.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3.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3.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3.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3.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3.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3.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3.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3.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3.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3.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3.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3.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3.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3.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3.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3.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3.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3.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3.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3.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3.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3.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3.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3.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3.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3.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3.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3.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3.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3.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3.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3.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3.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3.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3.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3.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3.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3.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3.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3.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3.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3.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3.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3.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3.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3.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3.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3.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3.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3.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3.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3.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3.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3.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3.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3.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3.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3.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3.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3.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3.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3.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3.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3.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3.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3.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3.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3.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3.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3.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3.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3.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3.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3.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3.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3.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3.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3.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3.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3.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3.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3.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3.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3.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3.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3.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3.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3.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3.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3.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3.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3.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3.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3.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3.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3.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3.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3.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3.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3.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3.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3.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3.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3.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3.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3.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3.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3.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3.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3.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3.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3.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3.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3.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3.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3.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3.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3.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3.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3.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3.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3.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3.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3.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3.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3.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3.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3.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3.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3.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3.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3.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3.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3.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3.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3.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3.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3.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3.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3.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3.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3.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3.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3.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3.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3.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3.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3.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3.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3.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3.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3.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3.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3.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3.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3.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3.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3.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3.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3.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3.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3.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3.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3.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3.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3.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3.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3.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3.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3.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3.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3.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3.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3.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3.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3.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3.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3.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3.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3.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3.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3.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3.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3.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3.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3.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3.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3.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3.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3.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3.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3.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3.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3.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3.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3.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3.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3.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3.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3.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3.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3.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3.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3.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3.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3.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3.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3.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3.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3.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3.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3.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3.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3.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3.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3.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3.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3.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3.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3.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3.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3.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3.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3.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3.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3.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3.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3.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3.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3.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3.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3.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3.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3.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3.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3.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3.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3.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3.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3.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3.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3.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3.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3.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3.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3.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3.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3.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3.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3.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3.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3.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3.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3.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3.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3.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3.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3.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3.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3.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3.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3.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3.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3.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3.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3.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3.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3.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3.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3.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3.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3.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3.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3.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3.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3.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3.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3.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3.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3.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3.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3.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3.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3.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3.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3.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3.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3.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3.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3.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3.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3.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3.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3.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3.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3.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3.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3.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3.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3.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3.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3.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3.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3.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3.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3.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3.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3.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3.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3.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3.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3.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3.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3.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3.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3.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3.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3.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3.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3.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3.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3.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3.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3.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3.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3.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3.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3.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3.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3.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3.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3.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3.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3.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3.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3.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3.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3.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3.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3.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3.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3.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3.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3.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3.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3.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3.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3.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3.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3.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3.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3.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3.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3.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3.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3.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3.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3.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3.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3.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3.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3.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3.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3.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3.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3.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3.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3.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3.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3.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3.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3.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3.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3.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3.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3.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3.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3.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3.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3.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3.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3.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3.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3.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3.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3.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3.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3.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3.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3.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3.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3.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3.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3.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3.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3.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3.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3.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3.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3.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3.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3.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3.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3.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3.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3.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3.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3.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3.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3.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3.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3.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3.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3.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3.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3.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3.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3.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3.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3.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3.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3.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3.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3.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3.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3.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3.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3.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3.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3.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3.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3.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3.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3.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3.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3.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3.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3.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3.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3.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3.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3.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3.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3.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3.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3.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3.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3.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3.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3.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3.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3.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3.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3.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3.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3.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3.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3.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3.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3.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3.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3.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3.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3.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3.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3.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3.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3.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3.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3.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3.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3.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3.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3.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3.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3.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3.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3.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3.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3.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3.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3.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3.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3.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</sheetData>
  <mergeCells count="34">
    <mergeCell ref="B37:D37"/>
    <mergeCell ref="B58:D58"/>
    <mergeCell ref="B69:C69"/>
    <mergeCell ref="B70:C70"/>
    <mergeCell ref="B56:D56"/>
    <mergeCell ref="B57:D57"/>
    <mergeCell ref="B62:D62"/>
    <mergeCell ref="B66:C66"/>
    <mergeCell ref="B67:C67"/>
    <mergeCell ref="B68:C68"/>
    <mergeCell ref="B13:E13"/>
    <mergeCell ref="B14:E14"/>
    <mergeCell ref="B55:D55"/>
    <mergeCell ref="B21:E21"/>
    <mergeCell ref="B41:E41"/>
    <mergeCell ref="B43:D43"/>
    <mergeCell ref="B44:D44"/>
    <mergeCell ref="B45:D45"/>
    <mergeCell ref="B46:D46"/>
    <mergeCell ref="B50:D50"/>
    <mergeCell ref="B15:E15"/>
    <mergeCell ref="B52:D52"/>
    <mergeCell ref="B53:D53"/>
    <mergeCell ref="B54:D54"/>
    <mergeCell ref="B51:D51"/>
    <mergeCell ref="B16:E16"/>
    <mergeCell ref="B9:E9"/>
    <mergeCell ref="B10:E10"/>
    <mergeCell ref="B11:E11"/>
    <mergeCell ref="B12:E12"/>
    <mergeCell ref="B2:F2"/>
    <mergeCell ref="B6:F6"/>
    <mergeCell ref="B7:E7"/>
    <mergeCell ref="B8:E8"/>
  </mergeCells>
  <pageMargins left="0.7" right="0.7" top="0.75" bottom="0.75" header="0" footer="0"/>
  <pageSetup orientation="portrait" r:id="rId1"/>
  <headerFooter>
    <oddFooter>&amp;C© Copyright Nacional Financiera, S.N.C. MMXI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CA26-9249-4A6A-A0EC-952DCE7714C9}">
  <dimension ref="A1:B9"/>
  <sheetViews>
    <sheetView workbookViewId="0">
      <selection activeCell="H32" sqref="H32"/>
    </sheetView>
  </sheetViews>
  <sheetFormatPr baseColWidth="10" defaultColWidth="11.44140625" defaultRowHeight="14.4" x14ac:dyDescent="0.3"/>
  <cols>
    <col min="1" max="1" width="36.33203125" bestFit="1" customWidth="1"/>
    <col min="2" max="2" width="12" bestFit="1" customWidth="1"/>
  </cols>
  <sheetData>
    <row r="1" spans="1:2" x14ac:dyDescent="0.3">
      <c r="A1" s="104" t="s">
        <v>97</v>
      </c>
      <c r="B1" s="107">
        <v>43404</v>
      </c>
    </row>
    <row r="2" spans="1:2" x14ac:dyDescent="0.3">
      <c r="A2" s="104" t="s">
        <v>98</v>
      </c>
      <c r="B2" s="103">
        <f>InversionTotal!D70</f>
        <v>216200</v>
      </c>
    </row>
    <row r="3" spans="1:2" x14ac:dyDescent="0.3">
      <c r="A3" s="104" t="s">
        <v>99</v>
      </c>
      <c r="B3" s="106" t="s">
        <v>100</v>
      </c>
    </row>
    <row r="4" spans="1:2" x14ac:dyDescent="0.3">
      <c r="A4" s="104" t="s">
        <v>101</v>
      </c>
      <c r="B4" s="103">
        <v>36</v>
      </c>
    </row>
    <row r="5" spans="1:2" x14ac:dyDescent="0.3">
      <c r="A5" s="104" t="s">
        <v>102</v>
      </c>
      <c r="B5" s="105">
        <f xml:space="preserve"> 0.145/12</f>
        <v>1.2083333333333333E-2</v>
      </c>
    </row>
    <row r="6" spans="1:2" x14ac:dyDescent="0.3">
      <c r="A6" s="104" t="s">
        <v>103</v>
      </c>
      <c r="B6" s="321">
        <f>Pago_Programado</f>
        <v>7441.8153231363294</v>
      </c>
    </row>
    <row r="7" spans="1:2" ht="15" thickBot="1" x14ac:dyDescent="0.35"/>
    <row r="8" spans="1:2" ht="15.6" thickTop="1" thickBot="1" x14ac:dyDescent="0.35">
      <c r="A8" s="415" t="s">
        <v>104</v>
      </c>
      <c r="B8" s="416"/>
    </row>
    <row r="9" spans="1:2" ht="15" thickTop="1" x14ac:dyDescent="0.3"/>
  </sheetData>
  <mergeCells count="1">
    <mergeCell ref="A8:B8"/>
  </mergeCells>
  <hyperlinks>
    <hyperlink ref="A8:B8" location="'Tabla de Amortización'!Títulos_a_imprimir" display="* Tabla de Amortización *" xr:uid="{6D31F340-F7A6-4E07-BE79-F7662EA2D91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ADED-1C51-472F-B5CC-7126290CBF2D}">
  <sheetPr>
    <tabColor theme="4"/>
    <pageSetUpPr autoPageBreaks="0" fitToPage="1"/>
  </sheetPr>
  <dimension ref="A1:K371"/>
  <sheetViews>
    <sheetView showGridLines="0" zoomScaleNormal="100" workbookViewId="0">
      <pane ySplit="11" topLeftCell="A12" activePane="bottomLeft" state="frozen"/>
      <selection pane="bottomLeft" activeCell="G14" sqref="G14"/>
    </sheetView>
  </sheetViews>
  <sheetFormatPr baseColWidth="10" defaultColWidth="10" defaultRowHeight="14.4" x14ac:dyDescent="0.3"/>
  <cols>
    <col min="1" max="1" width="2.88671875" style="108" customWidth="1"/>
    <col min="2" max="2" width="9.44140625" style="108" customWidth="1"/>
    <col min="3" max="6" width="23" style="108" customWidth="1"/>
    <col min="7" max="7" width="41.88671875" style="108" customWidth="1"/>
    <col min="8" max="11" width="23" style="108" customWidth="1"/>
    <col min="12" max="12" width="10" style="108"/>
    <col min="13" max="13" width="10.33203125" style="108" bestFit="1" customWidth="1"/>
    <col min="14" max="16384" width="10" style="108"/>
  </cols>
  <sheetData>
    <row r="1" spans="1:11" ht="30" customHeight="1" thickBot="1" x14ac:dyDescent="0.35">
      <c r="A1" s="127"/>
      <c r="B1" s="126" t="s">
        <v>105</v>
      </c>
      <c r="C1" s="126"/>
      <c r="D1" s="126"/>
      <c r="E1" s="126"/>
      <c r="F1" s="126"/>
      <c r="G1" s="126"/>
      <c r="H1" s="126"/>
      <c r="I1" s="126"/>
      <c r="J1" s="126"/>
      <c r="K1" s="126"/>
    </row>
    <row r="2" spans="1:11" ht="20.100000000000001" customHeight="1" thickTop="1" thickBot="1" x14ac:dyDescent="0.35">
      <c r="C2" s="125" t="s">
        <v>106</v>
      </c>
      <c r="D2" s="125"/>
      <c r="E2" s="125"/>
      <c r="G2" s="125" t="s">
        <v>107</v>
      </c>
      <c r="H2" s="125"/>
      <c r="I2" s="125"/>
    </row>
    <row r="3" spans="1:11" ht="14.25" customHeight="1" x14ac:dyDescent="0.3">
      <c r="C3" s="419" t="s">
        <v>108</v>
      </c>
      <c r="D3" s="419"/>
      <c r="E3" s="124">
        <f>'Amortización de Préstamo'!B2</f>
        <v>216200</v>
      </c>
      <c r="G3" s="419" t="s">
        <v>109</v>
      </c>
      <c r="H3" s="419"/>
      <c r="I3" s="123">
        <f>IF(LoanIsGood,-PMT(Tasa_De_Interes_Anual/Numero_De_Pagos_Por_Año,Numero_De_Pagos_Programados,Importe_Del_Prestamo),"")</f>
        <v>7441.8153231363294</v>
      </c>
    </row>
    <row r="4" spans="1:11" x14ac:dyDescent="0.3">
      <c r="C4" s="417" t="s">
        <v>110</v>
      </c>
      <c r="D4" s="417"/>
      <c r="E4" s="122">
        <v>0.14499999999999999</v>
      </c>
      <c r="G4" s="417" t="s">
        <v>111</v>
      </c>
      <c r="H4" s="417"/>
      <c r="I4" s="120">
        <f>IF(LoanIsGood,Periodo_Del_Prestamo_En_Años*Numero_De_Pagos_Por_Año,"")</f>
        <v>36</v>
      </c>
    </row>
    <row r="5" spans="1:11" x14ac:dyDescent="0.3">
      <c r="C5" s="417" t="s">
        <v>112</v>
      </c>
      <c r="D5" s="417"/>
      <c r="E5" s="121">
        <v>3</v>
      </c>
      <c r="G5" s="417" t="s">
        <v>113</v>
      </c>
      <c r="H5" s="417"/>
      <c r="I5" s="120">
        <f>Numero_Real_De_Pagos</f>
        <v>36</v>
      </c>
    </row>
    <row r="6" spans="1:11" x14ac:dyDescent="0.3">
      <c r="C6" s="417" t="s">
        <v>114</v>
      </c>
      <c r="D6" s="417"/>
      <c r="E6" s="119">
        <v>12</v>
      </c>
      <c r="G6" s="417" t="s">
        <v>115</v>
      </c>
      <c r="H6" s="417"/>
      <c r="I6" s="117">
        <f>Importe_Total_De_Pagos_Anticipados</f>
        <v>0</v>
      </c>
    </row>
    <row r="7" spans="1:11" x14ac:dyDescent="0.3">
      <c r="C7" s="417" t="s">
        <v>116</v>
      </c>
      <c r="D7" s="417"/>
      <c r="E7" s="118">
        <f>'Amortización de Préstamo'!B1</f>
        <v>43404</v>
      </c>
      <c r="G7" s="417" t="s">
        <v>117</v>
      </c>
      <c r="H7" s="417"/>
      <c r="I7" s="117">
        <f>Importe_Total_De_Intereses</f>
        <v>51705.351632907878</v>
      </c>
    </row>
    <row r="9" spans="1:11" x14ac:dyDescent="0.3">
      <c r="C9" s="417" t="s">
        <v>118</v>
      </c>
      <c r="D9" s="417"/>
      <c r="E9" s="116">
        <v>0</v>
      </c>
      <c r="G9" s="115" t="s">
        <v>119</v>
      </c>
      <c r="H9" s="418" t="s">
        <v>120</v>
      </c>
      <c r="I9" s="418"/>
    </row>
    <row r="11" spans="1:11" ht="35.1" customHeight="1" x14ac:dyDescent="0.3">
      <c r="B11" s="114" t="s">
        <v>121</v>
      </c>
      <c r="C11" s="114" t="s">
        <v>122</v>
      </c>
      <c r="D11" s="113" t="s">
        <v>123</v>
      </c>
      <c r="E11" s="113" t="s">
        <v>124</v>
      </c>
      <c r="F11" s="113" t="s">
        <v>125</v>
      </c>
      <c r="G11" s="113" t="s">
        <v>126</v>
      </c>
      <c r="H11" s="113" t="s">
        <v>127</v>
      </c>
      <c r="I11" s="113" t="s">
        <v>128</v>
      </c>
      <c r="J11" s="113" t="s">
        <v>129</v>
      </c>
      <c r="K11" s="113" t="s">
        <v>130</v>
      </c>
    </row>
    <row r="12" spans="1:11" x14ac:dyDescent="0.3">
      <c r="B12" s="111">
        <f>IF(LoanIsGood,IF(ROW()-ROW(PaymentSchedule[[#Headers],[Nº. DE PAGO]])&gt;Numero_De_Pagos_Programados,"",ROW()-ROW(PaymentSchedule[[#Headers],[Nº. DE PAGO]])),"")</f>
        <v>1</v>
      </c>
      <c r="C12" s="110">
        <f>IF(PaymentSchedule[[#This Row],[Nº. DE PAGO]]&lt;&gt;"",EOMONTH(Fecha_De_Inicio_Del_Prestamo,ROW(PaymentSchedule[[#This Row],[Nº. DE PAGO]])-ROW(PaymentSchedule[[#Headers],[Nº. DE PAGO]])-2)+DAY(Fecha_De_Inicio_Del_Prestamo),"")</f>
        <v>43404</v>
      </c>
      <c r="D12" s="112">
        <f>IF(PaymentSchedule[[#This Row],[Nº. DE PAGO]]&lt;&gt;"",IF(ROW()-ROW(PaymentSchedule[[#Headers],[SALDO INICIAL]])=1,Importe_Del_Prestamo,INDEX(PaymentSchedule[SALDO FINAL],ROW()-ROW(PaymentSchedule[[#Headers],[SALDO INICIAL]])-1)),"")</f>
        <v>216200</v>
      </c>
      <c r="E12" s="112">
        <f>IF(PaymentSchedule[[#This Row],[Nº. DE PAGO]]&lt;&gt;"",Pago_Programado,"")</f>
        <v>7441.8153231363294</v>
      </c>
      <c r="F12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2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2" s="112">
        <f>IF(PaymentSchedule[[#This Row],[Nº. DE PAGO]]&lt;&gt;"",PaymentSchedule[[#This Row],[IMPORTE TOTAL DEL PAGO]]-PaymentSchedule[[#This Row],[INTERÉS]],"")</f>
        <v>4829.3986564696625</v>
      </c>
      <c r="I12" s="112">
        <f>IF(PaymentSchedule[[#This Row],[Nº. DE PAGO]]&lt;&gt;"",PaymentSchedule[[#This Row],[SALDO INICIAL]]*(Tasa_De_Interes_Anual/Numero_De_Pagos_Por_Año),"")</f>
        <v>2612.4166666666665</v>
      </c>
      <c r="J12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211370.60134353035</v>
      </c>
      <c r="K12" s="112">
        <f>IF(PaymentSchedule[[#This Row],[Nº. DE PAGO]]&lt;&gt;"",SUM(INDEX(PaymentSchedule[INTERÉS],1,1):PaymentSchedule[[#This Row],[INTERÉS]]),"")</f>
        <v>2612.4166666666665</v>
      </c>
    </row>
    <row r="13" spans="1:11" x14ac:dyDescent="0.3">
      <c r="B13" s="111">
        <f>IF(LoanIsGood,IF(ROW()-ROW(PaymentSchedule[[#Headers],[Nº. DE PAGO]])&gt;Numero_De_Pagos_Programados,"",ROW()-ROW(PaymentSchedule[[#Headers],[Nº. DE PAGO]])),"")</f>
        <v>2</v>
      </c>
      <c r="C13" s="110">
        <f>IF(PaymentSchedule[[#This Row],[Nº. DE PAGO]]&lt;&gt;"",EOMONTH(Fecha_De_Inicio_Del_Prestamo,ROW(PaymentSchedule[[#This Row],[Nº. DE PAGO]])-ROW(PaymentSchedule[[#Headers],[Nº. DE PAGO]])-2)+DAY(Fecha_De_Inicio_Del_Prestamo),"")</f>
        <v>43435</v>
      </c>
      <c r="D13" s="112">
        <f>IF(PaymentSchedule[[#This Row],[Nº. DE PAGO]]&lt;&gt;"",IF(ROW()-ROW(PaymentSchedule[[#Headers],[SALDO INICIAL]])=1,Importe_Del_Prestamo,INDEX(PaymentSchedule[SALDO FINAL],ROW()-ROW(PaymentSchedule[[#Headers],[SALDO INICIAL]])-1)),"")</f>
        <v>211370.60134353035</v>
      </c>
      <c r="E13" s="112">
        <f>IF(PaymentSchedule[[#This Row],[Nº. DE PAGO]]&lt;&gt;"",Pago_Programado,"")</f>
        <v>7441.8153231363294</v>
      </c>
      <c r="F13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3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3" s="112">
        <f>IF(PaymentSchedule[[#This Row],[Nº. DE PAGO]]&lt;&gt;"",PaymentSchedule[[#This Row],[IMPORTE TOTAL DEL PAGO]]-PaymentSchedule[[#This Row],[INTERÉS]],"")</f>
        <v>4887.7538902353372</v>
      </c>
      <c r="I13" s="112">
        <f>IF(PaymentSchedule[[#This Row],[Nº. DE PAGO]]&lt;&gt;"",PaymentSchedule[[#This Row],[SALDO INICIAL]]*(Tasa_De_Interes_Anual/Numero_De_Pagos_Por_Año),"")</f>
        <v>2554.0614329009918</v>
      </c>
      <c r="J13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206482.84745329502</v>
      </c>
      <c r="K13" s="112">
        <f>IF(PaymentSchedule[[#This Row],[Nº. DE PAGO]]&lt;&gt;"",SUM(INDEX(PaymentSchedule[INTERÉS],1,1):PaymentSchedule[[#This Row],[INTERÉS]]),"")</f>
        <v>5166.4780995676583</v>
      </c>
    </row>
    <row r="14" spans="1:11" x14ac:dyDescent="0.3">
      <c r="B14" s="111">
        <f>IF(LoanIsGood,IF(ROW()-ROW(PaymentSchedule[[#Headers],[Nº. DE PAGO]])&gt;Numero_De_Pagos_Programados,"",ROW()-ROW(PaymentSchedule[[#Headers],[Nº. DE PAGO]])),"")</f>
        <v>3</v>
      </c>
      <c r="C14" s="110">
        <f>IF(PaymentSchedule[[#This Row],[Nº. DE PAGO]]&lt;&gt;"",EOMONTH(Fecha_De_Inicio_Del_Prestamo,ROW(PaymentSchedule[[#This Row],[Nº. DE PAGO]])-ROW(PaymentSchedule[[#Headers],[Nº. DE PAGO]])-2)+DAY(Fecha_De_Inicio_Del_Prestamo),"")</f>
        <v>43465</v>
      </c>
      <c r="D14" s="112">
        <f>IF(PaymentSchedule[[#This Row],[Nº. DE PAGO]]&lt;&gt;"",IF(ROW()-ROW(PaymentSchedule[[#Headers],[SALDO INICIAL]])=1,Importe_Del_Prestamo,INDEX(PaymentSchedule[SALDO FINAL],ROW()-ROW(PaymentSchedule[[#Headers],[SALDO INICIAL]])-1)),"")</f>
        <v>206482.84745329502</v>
      </c>
      <c r="E14" s="112">
        <f>IF(PaymentSchedule[[#This Row],[Nº. DE PAGO]]&lt;&gt;"",Pago_Programado,"")</f>
        <v>7441.8153231363294</v>
      </c>
      <c r="F14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4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4" s="112">
        <f>IF(PaymentSchedule[[#This Row],[Nº. DE PAGO]]&lt;&gt;"",PaymentSchedule[[#This Row],[IMPORTE TOTAL DEL PAGO]]-PaymentSchedule[[#This Row],[INTERÉS]],"")</f>
        <v>4946.8142497423478</v>
      </c>
      <c r="I14" s="112">
        <f>IF(PaymentSchedule[[#This Row],[Nº. DE PAGO]]&lt;&gt;"",PaymentSchedule[[#This Row],[SALDO INICIAL]]*(Tasa_De_Interes_Anual/Numero_De_Pagos_Por_Año),"")</f>
        <v>2495.0010733939816</v>
      </c>
      <c r="J14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201536.03320355268</v>
      </c>
      <c r="K14" s="112">
        <f>IF(PaymentSchedule[[#This Row],[Nº. DE PAGO]]&lt;&gt;"",SUM(INDEX(PaymentSchedule[INTERÉS],1,1):PaymentSchedule[[#This Row],[INTERÉS]]),"")</f>
        <v>7661.47917296164</v>
      </c>
    </row>
    <row r="15" spans="1:11" x14ac:dyDescent="0.3">
      <c r="B15" s="111">
        <f>IF(LoanIsGood,IF(ROW()-ROW(PaymentSchedule[[#Headers],[Nº. DE PAGO]])&gt;Numero_De_Pagos_Programados,"",ROW()-ROW(PaymentSchedule[[#Headers],[Nº. DE PAGO]])),"")</f>
        <v>4</v>
      </c>
      <c r="C15" s="110">
        <f>IF(PaymentSchedule[[#This Row],[Nº. DE PAGO]]&lt;&gt;"",EOMONTH(Fecha_De_Inicio_Del_Prestamo,ROW(PaymentSchedule[[#This Row],[Nº. DE PAGO]])-ROW(PaymentSchedule[[#Headers],[Nº. DE PAGO]])-2)+DAY(Fecha_De_Inicio_Del_Prestamo),"")</f>
        <v>43496</v>
      </c>
      <c r="D15" s="112">
        <f>IF(PaymentSchedule[[#This Row],[Nº. DE PAGO]]&lt;&gt;"",IF(ROW()-ROW(PaymentSchedule[[#Headers],[SALDO INICIAL]])=1,Importe_Del_Prestamo,INDEX(PaymentSchedule[SALDO FINAL],ROW()-ROW(PaymentSchedule[[#Headers],[SALDO INICIAL]])-1)),"")</f>
        <v>201536.03320355268</v>
      </c>
      <c r="E15" s="112">
        <f>IF(PaymentSchedule[[#This Row],[Nº. DE PAGO]]&lt;&gt;"",Pago_Programado,"")</f>
        <v>7441.8153231363294</v>
      </c>
      <c r="F15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5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5" s="112">
        <f>IF(PaymentSchedule[[#This Row],[Nº. DE PAGO]]&lt;&gt;"",PaymentSchedule[[#This Row],[IMPORTE TOTAL DEL PAGO]]-PaymentSchedule[[#This Row],[INTERÉS]],"")</f>
        <v>5006.5882552600679</v>
      </c>
      <c r="I15" s="112">
        <f>IF(PaymentSchedule[[#This Row],[Nº. DE PAGO]]&lt;&gt;"",PaymentSchedule[[#This Row],[SALDO INICIAL]]*(Tasa_De_Interes_Anual/Numero_De_Pagos_Por_Año),"")</f>
        <v>2435.2270678762616</v>
      </c>
      <c r="J15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196529.4449482926</v>
      </c>
      <c r="K15" s="112">
        <f>IF(PaymentSchedule[[#This Row],[Nº. DE PAGO]]&lt;&gt;"",SUM(INDEX(PaymentSchedule[INTERÉS],1,1):PaymentSchedule[[#This Row],[INTERÉS]]),"")</f>
        <v>10096.706240837902</v>
      </c>
    </row>
    <row r="16" spans="1:11" x14ac:dyDescent="0.3">
      <c r="B16" s="111">
        <f>IF(LoanIsGood,IF(ROW()-ROW(PaymentSchedule[[#Headers],[Nº. DE PAGO]])&gt;Numero_De_Pagos_Programados,"",ROW()-ROW(PaymentSchedule[[#Headers],[Nº. DE PAGO]])),"")</f>
        <v>5</v>
      </c>
      <c r="C16" s="110">
        <f>IF(PaymentSchedule[[#This Row],[Nº. DE PAGO]]&lt;&gt;"",EOMONTH(Fecha_De_Inicio_Del_Prestamo,ROW(PaymentSchedule[[#This Row],[Nº. DE PAGO]])-ROW(PaymentSchedule[[#Headers],[Nº. DE PAGO]])-2)+DAY(Fecha_De_Inicio_Del_Prestamo),"")</f>
        <v>43527</v>
      </c>
      <c r="D16" s="112">
        <f>IF(PaymentSchedule[[#This Row],[Nº. DE PAGO]]&lt;&gt;"",IF(ROW()-ROW(PaymentSchedule[[#Headers],[SALDO INICIAL]])=1,Importe_Del_Prestamo,INDEX(PaymentSchedule[SALDO FINAL],ROW()-ROW(PaymentSchedule[[#Headers],[SALDO INICIAL]])-1)),"")</f>
        <v>196529.4449482926</v>
      </c>
      <c r="E16" s="112">
        <f>IF(PaymentSchedule[[#This Row],[Nº. DE PAGO]]&lt;&gt;"",Pago_Programado,"")</f>
        <v>7441.8153231363294</v>
      </c>
      <c r="F16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6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6" s="112">
        <f>IF(PaymentSchedule[[#This Row],[Nº. DE PAGO]]&lt;&gt;"",PaymentSchedule[[#This Row],[IMPORTE TOTAL DEL PAGO]]-PaymentSchedule[[#This Row],[INTERÉS]],"")</f>
        <v>5067.0845300111268</v>
      </c>
      <c r="I16" s="112">
        <f>IF(PaymentSchedule[[#This Row],[Nº. DE PAGO]]&lt;&gt;"",PaymentSchedule[[#This Row],[SALDO INICIAL]]*(Tasa_De_Interes_Anual/Numero_De_Pagos_Por_Año),"")</f>
        <v>2374.7307931252021</v>
      </c>
      <c r="J16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191462.36041828146</v>
      </c>
      <c r="K16" s="112">
        <f>IF(PaymentSchedule[[#This Row],[Nº. DE PAGO]]&lt;&gt;"",SUM(INDEX(PaymentSchedule[INTERÉS],1,1):PaymentSchedule[[#This Row],[INTERÉS]]),"")</f>
        <v>12471.437033963104</v>
      </c>
    </row>
    <row r="17" spans="2:11" x14ac:dyDescent="0.3">
      <c r="B17" s="111">
        <f>IF(LoanIsGood,IF(ROW()-ROW(PaymentSchedule[[#Headers],[Nº. DE PAGO]])&gt;Numero_De_Pagos_Programados,"",ROW()-ROW(PaymentSchedule[[#Headers],[Nº. DE PAGO]])),"")</f>
        <v>6</v>
      </c>
      <c r="C17" s="110">
        <f>IF(PaymentSchedule[[#This Row],[Nº. DE PAGO]]&lt;&gt;"",EOMONTH(Fecha_De_Inicio_Del_Prestamo,ROW(PaymentSchedule[[#This Row],[Nº. DE PAGO]])-ROW(PaymentSchedule[[#Headers],[Nº. DE PAGO]])-2)+DAY(Fecha_De_Inicio_Del_Prestamo),"")</f>
        <v>43555</v>
      </c>
      <c r="D17" s="112">
        <f>IF(PaymentSchedule[[#This Row],[Nº. DE PAGO]]&lt;&gt;"",IF(ROW()-ROW(PaymentSchedule[[#Headers],[SALDO INICIAL]])=1,Importe_Del_Prestamo,INDEX(PaymentSchedule[SALDO FINAL],ROW()-ROW(PaymentSchedule[[#Headers],[SALDO INICIAL]])-1)),"")</f>
        <v>191462.36041828146</v>
      </c>
      <c r="E17" s="112">
        <f>IF(PaymentSchedule[[#This Row],[Nº. DE PAGO]]&lt;&gt;"",Pago_Programado,"")</f>
        <v>7441.8153231363294</v>
      </c>
      <c r="F17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7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7" s="112">
        <f>IF(PaymentSchedule[[#This Row],[Nº. DE PAGO]]&lt;&gt;"",PaymentSchedule[[#This Row],[IMPORTE TOTAL DEL PAGO]]-PaymentSchedule[[#This Row],[INTERÉS]],"")</f>
        <v>5128.3118014154279</v>
      </c>
      <c r="I17" s="112">
        <f>IF(PaymentSchedule[[#This Row],[Nº. DE PAGO]]&lt;&gt;"",PaymentSchedule[[#This Row],[SALDO INICIAL]]*(Tasa_De_Interes_Anual/Numero_De_Pagos_Por_Año),"")</f>
        <v>2313.5035217209011</v>
      </c>
      <c r="J17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186334.04861686603</v>
      </c>
      <c r="K17" s="112">
        <f>IF(PaymentSchedule[[#This Row],[Nº. DE PAGO]]&lt;&gt;"",SUM(INDEX(PaymentSchedule[INTERÉS],1,1):PaymentSchedule[[#This Row],[INTERÉS]]),"")</f>
        <v>14784.940555684005</v>
      </c>
    </row>
    <row r="18" spans="2:11" x14ac:dyDescent="0.3">
      <c r="B18" s="111">
        <f>IF(LoanIsGood,IF(ROW()-ROW(PaymentSchedule[[#Headers],[Nº. DE PAGO]])&gt;Numero_De_Pagos_Programados,"",ROW()-ROW(PaymentSchedule[[#Headers],[Nº. DE PAGO]])),"")</f>
        <v>7</v>
      </c>
      <c r="C18" s="110">
        <f>IF(PaymentSchedule[[#This Row],[Nº. DE PAGO]]&lt;&gt;"",EOMONTH(Fecha_De_Inicio_Del_Prestamo,ROW(PaymentSchedule[[#This Row],[Nº. DE PAGO]])-ROW(PaymentSchedule[[#Headers],[Nº. DE PAGO]])-2)+DAY(Fecha_De_Inicio_Del_Prestamo),"")</f>
        <v>43586</v>
      </c>
      <c r="D18" s="112">
        <f>IF(PaymentSchedule[[#This Row],[Nº. DE PAGO]]&lt;&gt;"",IF(ROW()-ROW(PaymentSchedule[[#Headers],[SALDO INICIAL]])=1,Importe_Del_Prestamo,INDEX(PaymentSchedule[SALDO FINAL],ROW()-ROW(PaymentSchedule[[#Headers],[SALDO INICIAL]])-1)),"")</f>
        <v>186334.04861686603</v>
      </c>
      <c r="E18" s="112">
        <f>IF(PaymentSchedule[[#This Row],[Nº. DE PAGO]]&lt;&gt;"",Pago_Programado,"")</f>
        <v>7441.8153231363294</v>
      </c>
      <c r="F18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8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8" s="112">
        <f>IF(PaymentSchedule[[#This Row],[Nº. DE PAGO]]&lt;&gt;"",PaymentSchedule[[#This Row],[IMPORTE TOTAL DEL PAGO]]-PaymentSchedule[[#This Row],[INTERÉS]],"")</f>
        <v>5190.2789023491987</v>
      </c>
      <c r="I18" s="112">
        <f>IF(PaymentSchedule[[#This Row],[Nº. DE PAGO]]&lt;&gt;"",PaymentSchedule[[#This Row],[SALDO INICIAL]]*(Tasa_De_Interes_Anual/Numero_De_Pagos_Por_Año),"")</f>
        <v>2251.5364207871312</v>
      </c>
      <c r="J18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181143.76971451682</v>
      </c>
      <c r="K18" s="112">
        <f>IF(PaymentSchedule[[#This Row],[Nº. DE PAGO]]&lt;&gt;"",SUM(INDEX(PaymentSchedule[INTERÉS],1,1):PaymentSchedule[[#This Row],[INTERÉS]]),"")</f>
        <v>17036.476976471135</v>
      </c>
    </row>
    <row r="19" spans="2:11" x14ac:dyDescent="0.3">
      <c r="B19" s="111">
        <f>IF(LoanIsGood,IF(ROW()-ROW(PaymentSchedule[[#Headers],[Nº. DE PAGO]])&gt;Numero_De_Pagos_Programados,"",ROW()-ROW(PaymentSchedule[[#Headers],[Nº. DE PAGO]])),"")</f>
        <v>8</v>
      </c>
      <c r="C19" s="110">
        <f>IF(PaymentSchedule[[#This Row],[Nº. DE PAGO]]&lt;&gt;"",EOMONTH(Fecha_De_Inicio_Del_Prestamo,ROW(PaymentSchedule[[#This Row],[Nº. DE PAGO]])-ROW(PaymentSchedule[[#Headers],[Nº. DE PAGO]])-2)+DAY(Fecha_De_Inicio_Del_Prestamo),"")</f>
        <v>43616</v>
      </c>
      <c r="D19" s="112">
        <f>IF(PaymentSchedule[[#This Row],[Nº. DE PAGO]]&lt;&gt;"",IF(ROW()-ROW(PaymentSchedule[[#Headers],[SALDO INICIAL]])=1,Importe_Del_Prestamo,INDEX(PaymentSchedule[SALDO FINAL],ROW()-ROW(PaymentSchedule[[#Headers],[SALDO INICIAL]])-1)),"")</f>
        <v>181143.76971451682</v>
      </c>
      <c r="E19" s="112">
        <f>IF(PaymentSchedule[[#This Row],[Nº. DE PAGO]]&lt;&gt;"",Pago_Programado,"")</f>
        <v>7441.8153231363294</v>
      </c>
      <c r="F19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9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9" s="112">
        <f>IF(PaymentSchedule[[#This Row],[Nº. DE PAGO]]&lt;&gt;"",PaymentSchedule[[#This Row],[IMPORTE TOTAL DEL PAGO]]-PaymentSchedule[[#This Row],[INTERÉS]],"")</f>
        <v>5252.9947724192516</v>
      </c>
      <c r="I19" s="112">
        <f>IF(PaymentSchedule[[#This Row],[Nº. DE PAGO]]&lt;&gt;"",PaymentSchedule[[#This Row],[SALDO INICIAL]]*(Tasa_De_Interes_Anual/Numero_De_Pagos_Por_Año),"")</f>
        <v>2188.8205507170783</v>
      </c>
      <c r="J19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175890.77494209757</v>
      </c>
      <c r="K19" s="112">
        <f>IF(PaymentSchedule[[#This Row],[Nº. DE PAGO]]&lt;&gt;"",SUM(INDEX(PaymentSchedule[INTERÉS],1,1):PaymentSchedule[[#This Row],[INTERÉS]]),"")</f>
        <v>19225.297527188213</v>
      </c>
    </row>
    <row r="20" spans="2:11" x14ac:dyDescent="0.3">
      <c r="B20" s="111">
        <f>IF(LoanIsGood,IF(ROW()-ROW(PaymentSchedule[[#Headers],[Nº. DE PAGO]])&gt;Numero_De_Pagos_Programados,"",ROW()-ROW(PaymentSchedule[[#Headers],[Nº. DE PAGO]])),"")</f>
        <v>9</v>
      </c>
      <c r="C20" s="110">
        <f>IF(PaymentSchedule[[#This Row],[Nº. DE PAGO]]&lt;&gt;"",EOMONTH(Fecha_De_Inicio_Del_Prestamo,ROW(PaymentSchedule[[#This Row],[Nº. DE PAGO]])-ROW(PaymentSchedule[[#Headers],[Nº. DE PAGO]])-2)+DAY(Fecha_De_Inicio_Del_Prestamo),"")</f>
        <v>43647</v>
      </c>
      <c r="D20" s="112">
        <f>IF(PaymentSchedule[[#This Row],[Nº. DE PAGO]]&lt;&gt;"",IF(ROW()-ROW(PaymentSchedule[[#Headers],[SALDO INICIAL]])=1,Importe_Del_Prestamo,INDEX(PaymentSchedule[SALDO FINAL],ROW()-ROW(PaymentSchedule[[#Headers],[SALDO INICIAL]])-1)),"")</f>
        <v>175890.77494209757</v>
      </c>
      <c r="E20" s="112">
        <f>IF(PaymentSchedule[[#This Row],[Nº. DE PAGO]]&lt;&gt;"",Pago_Programado,"")</f>
        <v>7441.8153231363294</v>
      </c>
      <c r="F20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0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0" s="112">
        <f>IF(PaymentSchedule[[#This Row],[Nº. DE PAGO]]&lt;&gt;"",PaymentSchedule[[#This Row],[IMPORTE TOTAL DEL PAGO]]-PaymentSchedule[[#This Row],[INTERÉS]],"")</f>
        <v>5316.4684592526501</v>
      </c>
      <c r="I20" s="112">
        <f>IF(PaymentSchedule[[#This Row],[Nº. DE PAGO]]&lt;&gt;"",PaymentSchedule[[#This Row],[SALDO INICIAL]]*(Tasa_De_Interes_Anual/Numero_De_Pagos_Por_Año),"")</f>
        <v>2125.3468638836789</v>
      </c>
      <c r="J20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170574.30648284493</v>
      </c>
      <c r="K20" s="112">
        <f>IF(PaymentSchedule[[#This Row],[Nº. DE PAGO]]&lt;&gt;"",SUM(INDEX(PaymentSchedule[INTERÉS],1,1):PaymentSchedule[[#This Row],[INTERÉS]]),"")</f>
        <v>21350.644391071892</v>
      </c>
    </row>
    <row r="21" spans="2:11" x14ac:dyDescent="0.3">
      <c r="B21" s="111">
        <f>IF(LoanIsGood,IF(ROW()-ROW(PaymentSchedule[[#Headers],[Nº. DE PAGO]])&gt;Numero_De_Pagos_Programados,"",ROW()-ROW(PaymentSchedule[[#Headers],[Nº. DE PAGO]])),"")</f>
        <v>10</v>
      </c>
      <c r="C21" s="110">
        <f>IF(PaymentSchedule[[#This Row],[Nº. DE PAGO]]&lt;&gt;"",EOMONTH(Fecha_De_Inicio_Del_Prestamo,ROW(PaymentSchedule[[#This Row],[Nº. DE PAGO]])-ROW(PaymentSchedule[[#Headers],[Nº. DE PAGO]])-2)+DAY(Fecha_De_Inicio_Del_Prestamo),"")</f>
        <v>43677</v>
      </c>
      <c r="D21" s="112">
        <f>IF(PaymentSchedule[[#This Row],[Nº. DE PAGO]]&lt;&gt;"",IF(ROW()-ROW(PaymentSchedule[[#Headers],[SALDO INICIAL]])=1,Importe_Del_Prestamo,INDEX(PaymentSchedule[SALDO FINAL],ROW()-ROW(PaymentSchedule[[#Headers],[SALDO INICIAL]])-1)),"")</f>
        <v>170574.30648284493</v>
      </c>
      <c r="E21" s="112">
        <f>IF(PaymentSchedule[[#This Row],[Nº. DE PAGO]]&lt;&gt;"",Pago_Programado,"")</f>
        <v>7441.8153231363294</v>
      </c>
      <c r="F21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1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1" s="112">
        <f>IF(PaymentSchedule[[#This Row],[Nº. DE PAGO]]&lt;&gt;"",PaymentSchedule[[#This Row],[IMPORTE TOTAL DEL PAGO]]-PaymentSchedule[[#This Row],[INTERÉS]],"")</f>
        <v>5380.7091198019534</v>
      </c>
      <c r="I21" s="112">
        <f>IF(PaymentSchedule[[#This Row],[Nº. DE PAGO]]&lt;&gt;"",PaymentSchedule[[#This Row],[SALDO INICIAL]]*(Tasa_De_Interes_Anual/Numero_De_Pagos_Por_Año),"")</f>
        <v>2061.106203334376</v>
      </c>
      <c r="J21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165193.59736304297</v>
      </c>
      <c r="K21" s="112">
        <f>IF(PaymentSchedule[[#This Row],[Nº. DE PAGO]]&lt;&gt;"",SUM(INDEX(PaymentSchedule[INTERÉS],1,1):PaymentSchedule[[#This Row],[INTERÉS]]),"")</f>
        <v>23411.750594406269</v>
      </c>
    </row>
    <row r="22" spans="2:11" x14ac:dyDescent="0.3">
      <c r="B22" s="111">
        <f>IF(LoanIsGood,IF(ROW()-ROW(PaymentSchedule[[#Headers],[Nº. DE PAGO]])&gt;Numero_De_Pagos_Programados,"",ROW()-ROW(PaymentSchedule[[#Headers],[Nº. DE PAGO]])),"")</f>
        <v>11</v>
      </c>
      <c r="C22" s="110">
        <f>IF(PaymentSchedule[[#This Row],[Nº. DE PAGO]]&lt;&gt;"",EOMONTH(Fecha_De_Inicio_Del_Prestamo,ROW(PaymentSchedule[[#This Row],[Nº. DE PAGO]])-ROW(PaymentSchedule[[#Headers],[Nº. DE PAGO]])-2)+DAY(Fecha_De_Inicio_Del_Prestamo),"")</f>
        <v>43708</v>
      </c>
      <c r="D22" s="112">
        <f>IF(PaymentSchedule[[#This Row],[Nº. DE PAGO]]&lt;&gt;"",IF(ROW()-ROW(PaymentSchedule[[#Headers],[SALDO INICIAL]])=1,Importe_Del_Prestamo,INDEX(PaymentSchedule[SALDO FINAL],ROW()-ROW(PaymentSchedule[[#Headers],[SALDO INICIAL]])-1)),"")</f>
        <v>165193.59736304297</v>
      </c>
      <c r="E22" s="112">
        <f>IF(PaymentSchedule[[#This Row],[Nº. DE PAGO]]&lt;&gt;"",Pago_Programado,"")</f>
        <v>7441.8153231363294</v>
      </c>
      <c r="F22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2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2" s="112">
        <f>IF(PaymentSchedule[[#This Row],[Nº. DE PAGO]]&lt;&gt;"",PaymentSchedule[[#This Row],[IMPORTE TOTAL DEL PAGO]]-PaymentSchedule[[#This Row],[INTERÉS]],"")</f>
        <v>5445.7260216662271</v>
      </c>
      <c r="I22" s="112">
        <f>IF(PaymentSchedule[[#This Row],[Nº. DE PAGO]]&lt;&gt;"",PaymentSchedule[[#This Row],[SALDO INICIAL]]*(Tasa_De_Interes_Anual/Numero_De_Pagos_Por_Año),"")</f>
        <v>1996.0893014701026</v>
      </c>
      <c r="J22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159747.87134137674</v>
      </c>
      <c r="K22" s="112">
        <f>IF(PaymentSchedule[[#This Row],[Nº. DE PAGO]]&lt;&gt;"",SUM(INDEX(PaymentSchedule[INTERÉS],1,1):PaymentSchedule[[#This Row],[INTERÉS]]),"")</f>
        <v>25407.839895876372</v>
      </c>
    </row>
    <row r="23" spans="2:11" x14ac:dyDescent="0.3">
      <c r="B23" s="111">
        <f>IF(LoanIsGood,IF(ROW()-ROW(PaymentSchedule[[#Headers],[Nº. DE PAGO]])&gt;Numero_De_Pagos_Programados,"",ROW()-ROW(PaymentSchedule[[#Headers],[Nº. DE PAGO]])),"")</f>
        <v>12</v>
      </c>
      <c r="C23" s="110">
        <f>IF(PaymentSchedule[[#This Row],[Nº. DE PAGO]]&lt;&gt;"",EOMONTH(Fecha_De_Inicio_Del_Prestamo,ROW(PaymentSchedule[[#This Row],[Nº. DE PAGO]])-ROW(PaymentSchedule[[#Headers],[Nº. DE PAGO]])-2)+DAY(Fecha_De_Inicio_Del_Prestamo),"")</f>
        <v>43739</v>
      </c>
      <c r="D23" s="112">
        <f>IF(PaymentSchedule[[#This Row],[Nº. DE PAGO]]&lt;&gt;"",IF(ROW()-ROW(PaymentSchedule[[#Headers],[SALDO INICIAL]])=1,Importe_Del_Prestamo,INDEX(PaymentSchedule[SALDO FINAL],ROW()-ROW(PaymentSchedule[[#Headers],[SALDO INICIAL]])-1)),"")</f>
        <v>159747.87134137674</v>
      </c>
      <c r="E23" s="112">
        <f>IF(PaymentSchedule[[#This Row],[Nº. DE PAGO]]&lt;&gt;"",Pago_Programado,"")</f>
        <v>7441.8153231363294</v>
      </c>
      <c r="F23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3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3" s="112">
        <f>IF(PaymentSchedule[[#This Row],[Nº. DE PAGO]]&lt;&gt;"",PaymentSchedule[[#This Row],[IMPORTE TOTAL DEL PAGO]]-PaymentSchedule[[#This Row],[INTERÉS]],"")</f>
        <v>5511.5285444280271</v>
      </c>
      <c r="I23" s="112">
        <f>IF(PaymentSchedule[[#This Row],[Nº. DE PAGO]]&lt;&gt;"",PaymentSchedule[[#This Row],[SALDO INICIAL]]*(Tasa_De_Interes_Anual/Numero_De_Pagos_Por_Año),"")</f>
        <v>1930.2867787083023</v>
      </c>
      <c r="J23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154236.34279694871</v>
      </c>
      <c r="K23" s="112">
        <f>IF(PaymentSchedule[[#This Row],[Nº. DE PAGO]]&lt;&gt;"",SUM(INDEX(PaymentSchedule[INTERÉS],1,1):PaymentSchedule[[#This Row],[INTERÉS]]),"")</f>
        <v>27338.126674584673</v>
      </c>
    </row>
    <row r="24" spans="2:11" x14ac:dyDescent="0.3">
      <c r="B24" s="111">
        <f>IF(LoanIsGood,IF(ROW()-ROW(PaymentSchedule[[#Headers],[Nº. DE PAGO]])&gt;Numero_De_Pagos_Programados,"",ROW()-ROW(PaymentSchedule[[#Headers],[Nº. DE PAGO]])),"")</f>
        <v>13</v>
      </c>
      <c r="C24" s="110">
        <f>IF(PaymentSchedule[[#This Row],[Nº. DE PAGO]]&lt;&gt;"",EOMONTH(Fecha_De_Inicio_Del_Prestamo,ROW(PaymentSchedule[[#This Row],[Nº. DE PAGO]])-ROW(PaymentSchedule[[#Headers],[Nº. DE PAGO]])-2)+DAY(Fecha_De_Inicio_Del_Prestamo),"")</f>
        <v>43769</v>
      </c>
      <c r="D24" s="112">
        <f>IF(PaymentSchedule[[#This Row],[Nº. DE PAGO]]&lt;&gt;"",IF(ROW()-ROW(PaymentSchedule[[#Headers],[SALDO INICIAL]])=1,Importe_Del_Prestamo,INDEX(PaymentSchedule[SALDO FINAL],ROW()-ROW(PaymentSchedule[[#Headers],[SALDO INICIAL]])-1)),"")</f>
        <v>154236.34279694871</v>
      </c>
      <c r="E24" s="112">
        <f>IF(PaymentSchedule[[#This Row],[Nº. DE PAGO]]&lt;&gt;"",Pago_Programado,"")</f>
        <v>7441.8153231363294</v>
      </c>
      <c r="F24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4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4" s="112">
        <f>IF(PaymentSchedule[[#This Row],[Nº. DE PAGO]]&lt;&gt;"",PaymentSchedule[[#This Row],[IMPORTE TOTAL DEL PAGO]]-PaymentSchedule[[#This Row],[INTERÉS]],"")</f>
        <v>5578.1261810065325</v>
      </c>
      <c r="I24" s="112">
        <f>IF(PaymentSchedule[[#This Row],[Nº. DE PAGO]]&lt;&gt;"",PaymentSchedule[[#This Row],[SALDO INICIAL]]*(Tasa_De_Interes_Anual/Numero_De_Pagos_Por_Año),"")</f>
        <v>1863.6891421297969</v>
      </c>
      <c r="J24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148658.21661594219</v>
      </c>
      <c r="K24" s="112">
        <f>IF(PaymentSchedule[[#This Row],[Nº. DE PAGO]]&lt;&gt;"",SUM(INDEX(PaymentSchedule[INTERÉS],1,1):PaymentSchedule[[#This Row],[INTERÉS]]),"")</f>
        <v>29201.815816714472</v>
      </c>
    </row>
    <row r="25" spans="2:11" x14ac:dyDescent="0.3">
      <c r="B25" s="111">
        <f>IF(LoanIsGood,IF(ROW()-ROW(PaymentSchedule[[#Headers],[Nº. DE PAGO]])&gt;Numero_De_Pagos_Programados,"",ROW()-ROW(PaymentSchedule[[#Headers],[Nº. DE PAGO]])),"")</f>
        <v>14</v>
      </c>
      <c r="C25" s="110">
        <f>IF(PaymentSchedule[[#This Row],[Nº. DE PAGO]]&lt;&gt;"",EOMONTH(Fecha_De_Inicio_Del_Prestamo,ROW(PaymentSchedule[[#This Row],[Nº. DE PAGO]])-ROW(PaymentSchedule[[#Headers],[Nº. DE PAGO]])-2)+DAY(Fecha_De_Inicio_Del_Prestamo),"")</f>
        <v>43800</v>
      </c>
      <c r="D25" s="112">
        <f>IF(PaymentSchedule[[#This Row],[Nº. DE PAGO]]&lt;&gt;"",IF(ROW()-ROW(PaymentSchedule[[#Headers],[SALDO INICIAL]])=1,Importe_Del_Prestamo,INDEX(PaymentSchedule[SALDO FINAL],ROW()-ROW(PaymentSchedule[[#Headers],[SALDO INICIAL]])-1)),"")</f>
        <v>148658.21661594219</v>
      </c>
      <c r="E25" s="112">
        <f>IF(PaymentSchedule[[#This Row],[Nº. DE PAGO]]&lt;&gt;"",Pago_Programado,"")</f>
        <v>7441.8153231363294</v>
      </c>
      <c r="F25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5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5" s="112">
        <f>IF(PaymentSchedule[[#This Row],[Nº. DE PAGO]]&lt;&gt;"",PaymentSchedule[[#This Row],[IMPORTE TOTAL DEL PAGO]]-PaymentSchedule[[#This Row],[INTERÉS]],"")</f>
        <v>5645.5285390270283</v>
      </c>
      <c r="I25" s="112">
        <f>IF(PaymentSchedule[[#This Row],[Nº. DE PAGO]]&lt;&gt;"",PaymentSchedule[[#This Row],[SALDO INICIAL]]*(Tasa_De_Interes_Anual/Numero_De_Pagos_Por_Año),"")</f>
        <v>1796.2867841093014</v>
      </c>
      <c r="J25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143012.68807691516</v>
      </c>
      <c r="K25" s="112">
        <f>IF(PaymentSchedule[[#This Row],[Nº. DE PAGO]]&lt;&gt;"",SUM(INDEX(PaymentSchedule[INTERÉS],1,1):PaymentSchedule[[#This Row],[INTERÉS]]),"")</f>
        <v>30998.102600823775</v>
      </c>
    </row>
    <row r="26" spans="2:11" x14ac:dyDescent="0.3">
      <c r="B26" s="111">
        <f>IF(LoanIsGood,IF(ROW()-ROW(PaymentSchedule[[#Headers],[Nº. DE PAGO]])&gt;Numero_De_Pagos_Programados,"",ROW()-ROW(PaymentSchedule[[#Headers],[Nº. DE PAGO]])),"")</f>
        <v>15</v>
      </c>
      <c r="C26" s="110">
        <f>IF(PaymentSchedule[[#This Row],[Nº. DE PAGO]]&lt;&gt;"",EOMONTH(Fecha_De_Inicio_Del_Prestamo,ROW(PaymentSchedule[[#This Row],[Nº. DE PAGO]])-ROW(PaymentSchedule[[#Headers],[Nº. DE PAGO]])-2)+DAY(Fecha_De_Inicio_Del_Prestamo),"")</f>
        <v>43830</v>
      </c>
      <c r="D26" s="112">
        <f>IF(PaymentSchedule[[#This Row],[Nº. DE PAGO]]&lt;&gt;"",IF(ROW()-ROW(PaymentSchedule[[#Headers],[SALDO INICIAL]])=1,Importe_Del_Prestamo,INDEX(PaymentSchedule[SALDO FINAL],ROW()-ROW(PaymentSchedule[[#Headers],[SALDO INICIAL]])-1)),"")</f>
        <v>143012.68807691516</v>
      </c>
      <c r="E26" s="112">
        <f>IF(PaymentSchedule[[#This Row],[Nº. DE PAGO]]&lt;&gt;"",Pago_Programado,"")</f>
        <v>7441.8153231363294</v>
      </c>
      <c r="F26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6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6" s="112">
        <f>IF(PaymentSchedule[[#This Row],[Nº. DE PAGO]]&lt;&gt;"",PaymentSchedule[[#This Row],[IMPORTE TOTAL DEL PAGO]]-PaymentSchedule[[#This Row],[INTERÉS]],"")</f>
        <v>5713.7453422069375</v>
      </c>
      <c r="I26" s="112">
        <f>IF(PaymentSchedule[[#This Row],[Nº. DE PAGO]]&lt;&gt;"",PaymentSchedule[[#This Row],[SALDO INICIAL]]*(Tasa_De_Interes_Anual/Numero_De_Pagos_Por_Año),"")</f>
        <v>1728.0699809293915</v>
      </c>
      <c r="J26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137298.94273470822</v>
      </c>
      <c r="K26" s="112">
        <f>IF(PaymentSchedule[[#This Row],[Nº. DE PAGO]]&lt;&gt;"",SUM(INDEX(PaymentSchedule[INTERÉS],1,1):PaymentSchedule[[#This Row],[INTERÉS]]),"")</f>
        <v>32726.172581753166</v>
      </c>
    </row>
    <row r="27" spans="2:11" x14ac:dyDescent="0.3">
      <c r="B27" s="111">
        <f>IF(LoanIsGood,IF(ROW()-ROW(PaymentSchedule[[#Headers],[Nº. DE PAGO]])&gt;Numero_De_Pagos_Programados,"",ROW()-ROW(PaymentSchedule[[#Headers],[Nº. DE PAGO]])),"")</f>
        <v>16</v>
      </c>
      <c r="C27" s="110">
        <f>IF(PaymentSchedule[[#This Row],[Nº. DE PAGO]]&lt;&gt;"",EOMONTH(Fecha_De_Inicio_Del_Prestamo,ROW(PaymentSchedule[[#This Row],[Nº. DE PAGO]])-ROW(PaymentSchedule[[#Headers],[Nº. DE PAGO]])-2)+DAY(Fecha_De_Inicio_Del_Prestamo),"")</f>
        <v>43861</v>
      </c>
      <c r="D27" s="112">
        <f>IF(PaymentSchedule[[#This Row],[Nº. DE PAGO]]&lt;&gt;"",IF(ROW()-ROW(PaymentSchedule[[#Headers],[SALDO INICIAL]])=1,Importe_Del_Prestamo,INDEX(PaymentSchedule[SALDO FINAL],ROW()-ROW(PaymentSchedule[[#Headers],[SALDO INICIAL]])-1)),"")</f>
        <v>137298.94273470822</v>
      </c>
      <c r="E27" s="112">
        <f>IF(PaymentSchedule[[#This Row],[Nº. DE PAGO]]&lt;&gt;"",Pago_Programado,"")</f>
        <v>7441.8153231363294</v>
      </c>
      <c r="F27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7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7" s="112">
        <f>IF(PaymentSchedule[[#This Row],[Nº. DE PAGO]]&lt;&gt;"",PaymentSchedule[[#This Row],[IMPORTE TOTAL DEL PAGO]]-PaymentSchedule[[#This Row],[INTERÉS]],"")</f>
        <v>5782.7864317586054</v>
      </c>
      <c r="I27" s="112">
        <f>IF(PaymentSchedule[[#This Row],[Nº. DE PAGO]]&lt;&gt;"",PaymentSchedule[[#This Row],[SALDO INICIAL]]*(Tasa_De_Interes_Anual/Numero_De_Pagos_Por_Año),"")</f>
        <v>1659.0288913777242</v>
      </c>
      <c r="J27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131516.15630294962</v>
      </c>
      <c r="K27" s="112">
        <f>IF(PaymentSchedule[[#This Row],[Nº. DE PAGO]]&lt;&gt;"",SUM(INDEX(PaymentSchedule[INTERÉS],1,1):PaymentSchedule[[#This Row],[INTERÉS]]),"")</f>
        <v>34385.201473130888</v>
      </c>
    </row>
    <row r="28" spans="2:11" x14ac:dyDescent="0.3">
      <c r="B28" s="111">
        <f>IF(LoanIsGood,IF(ROW()-ROW(PaymentSchedule[[#Headers],[Nº. DE PAGO]])&gt;Numero_De_Pagos_Programados,"",ROW()-ROW(PaymentSchedule[[#Headers],[Nº. DE PAGO]])),"")</f>
        <v>17</v>
      </c>
      <c r="C28" s="110">
        <f>IF(PaymentSchedule[[#This Row],[Nº. DE PAGO]]&lt;&gt;"",EOMONTH(Fecha_De_Inicio_Del_Prestamo,ROW(PaymentSchedule[[#This Row],[Nº. DE PAGO]])-ROW(PaymentSchedule[[#Headers],[Nº. DE PAGO]])-2)+DAY(Fecha_De_Inicio_Del_Prestamo),"")</f>
        <v>43892</v>
      </c>
      <c r="D28" s="112">
        <f>IF(PaymentSchedule[[#This Row],[Nº. DE PAGO]]&lt;&gt;"",IF(ROW()-ROW(PaymentSchedule[[#Headers],[SALDO INICIAL]])=1,Importe_Del_Prestamo,INDEX(PaymentSchedule[SALDO FINAL],ROW()-ROW(PaymentSchedule[[#Headers],[SALDO INICIAL]])-1)),"")</f>
        <v>131516.15630294962</v>
      </c>
      <c r="E28" s="112">
        <f>IF(PaymentSchedule[[#This Row],[Nº. DE PAGO]]&lt;&gt;"",Pago_Programado,"")</f>
        <v>7441.8153231363294</v>
      </c>
      <c r="F28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8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8" s="112">
        <f>IF(PaymentSchedule[[#This Row],[Nº. DE PAGO]]&lt;&gt;"",PaymentSchedule[[#This Row],[IMPORTE TOTAL DEL PAGO]]-PaymentSchedule[[#This Row],[INTERÉS]],"")</f>
        <v>5852.6617678090215</v>
      </c>
      <c r="I28" s="112">
        <f>IF(PaymentSchedule[[#This Row],[Nº. DE PAGO]]&lt;&gt;"",PaymentSchedule[[#This Row],[SALDO INICIAL]]*(Tasa_De_Interes_Anual/Numero_De_Pagos_Por_Año),"")</f>
        <v>1589.1535553273079</v>
      </c>
      <c r="J28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125663.49453514059</v>
      </c>
      <c r="K28" s="112">
        <f>IF(PaymentSchedule[[#This Row],[Nº. DE PAGO]]&lt;&gt;"",SUM(INDEX(PaymentSchedule[INTERÉS],1,1):PaymentSchedule[[#This Row],[INTERÉS]]),"")</f>
        <v>35974.355028458194</v>
      </c>
    </row>
    <row r="29" spans="2:11" x14ac:dyDescent="0.3">
      <c r="B29" s="111">
        <f>IF(LoanIsGood,IF(ROW()-ROW(PaymentSchedule[[#Headers],[Nº. DE PAGO]])&gt;Numero_De_Pagos_Programados,"",ROW()-ROW(PaymentSchedule[[#Headers],[Nº. DE PAGO]])),"")</f>
        <v>18</v>
      </c>
      <c r="C29" s="110">
        <f>IF(PaymentSchedule[[#This Row],[Nº. DE PAGO]]&lt;&gt;"",EOMONTH(Fecha_De_Inicio_Del_Prestamo,ROW(PaymentSchedule[[#This Row],[Nº. DE PAGO]])-ROW(PaymentSchedule[[#Headers],[Nº. DE PAGO]])-2)+DAY(Fecha_De_Inicio_Del_Prestamo),"")</f>
        <v>43921</v>
      </c>
      <c r="D29" s="112">
        <f>IF(PaymentSchedule[[#This Row],[Nº. DE PAGO]]&lt;&gt;"",IF(ROW()-ROW(PaymentSchedule[[#Headers],[SALDO INICIAL]])=1,Importe_Del_Prestamo,INDEX(PaymentSchedule[SALDO FINAL],ROW()-ROW(PaymentSchedule[[#Headers],[SALDO INICIAL]])-1)),"")</f>
        <v>125663.49453514059</v>
      </c>
      <c r="E29" s="112">
        <f>IF(PaymentSchedule[[#This Row],[Nº. DE PAGO]]&lt;&gt;"",Pago_Programado,"")</f>
        <v>7441.8153231363294</v>
      </c>
      <c r="F29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9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9" s="112">
        <f>IF(PaymentSchedule[[#This Row],[Nº. DE PAGO]]&lt;&gt;"",PaymentSchedule[[#This Row],[IMPORTE TOTAL DEL PAGO]]-PaymentSchedule[[#This Row],[INTERÉS]],"")</f>
        <v>5923.3814308367137</v>
      </c>
      <c r="I29" s="112">
        <f>IF(PaymentSchedule[[#This Row],[Nº. DE PAGO]]&lt;&gt;"",PaymentSchedule[[#This Row],[SALDO INICIAL]]*(Tasa_De_Interes_Anual/Numero_De_Pagos_Por_Año),"")</f>
        <v>1518.4338922996155</v>
      </c>
      <c r="J29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119740.11310430388</v>
      </c>
      <c r="K29" s="112">
        <f>IF(PaymentSchedule[[#This Row],[Nº. DE PAGO]]&lt;&gt;"",SUM(INDEX(PaymentSchedule[INTERÉS],1,1):PaymentSchedule[[#This Row],[INTERÉS]]),"")</f>
        <v>37492.788920757812</v>
      </c>
    </row>
    <row r="30" spans="2:11" x14ac:dyDescent="0.3">
      <c r="B30" s="111">
        <f>IF(LoanIsGood,IF(ROW()-ROW(PaymentSchedule[[#Headers],[Nº. DE PAGO]])&gt;Numero_De_Pagos_Programados,"",ROW()-ROW(PaymentSchedule[[#Headers],[Nº. DE PAGO]])),"")</f>
        <v>19</v>
      </c>
      <c r="C30" s="110">
        <f>IF(PaymentSchedule[[#This Row],[Nº. DE PAGO]]&lt;&gt;"",EOMONTH(Fecha_De_Inicio_Del_Prestamo,ROW(PaymentSchedule[[#This Row],[Nº. DE PAGO]])-ROW(PaymentSchedule[[#Headers],[Nº. DE PAGO]])-2)+DAY(Fecha_De_Inicio_Del_Prestamo),"")</f>
        <v>43952</v>
      </c>
      <c r="D30" s="112">
        <f>IF(PaymentSchedule[[#This Row],[Nº. DE PAGO]]&lt;&gt;"",IF(ROW()-ROW(PaymentSchedule[[#Headers],[SALDO INICIAL]])=1,Importe_Del_Prestamo,INDEX(PaymentSchedule[SALDO FINAL],ROW()-ROW(PaymentSchedule[[#Headers],[SALDO INICIAL]])-1)),"")</f>
        <v>119740.11310430388</v>
      </c>
      <c r="E30" s="112">
        <f>IF(PaymentSchedule[[#This Row],[Nº. DE PAGO]]&lt;&gt;"",Pago_Programado,"")</f>
        <v>7441.8153231363294</v>
      </c>
      <c r="F30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0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0" s="112">
        <f>IF(PaymentSchedule[[#This Row],[Nº. DE PAGO]]&lt;&gt;"",PaymentSchedule[[#This Row],[IMPORTE TOTAL DEL PAGO]]-PaymentSchedule[[#This Row],[INTERÉS]],"")</f>
        <v>5994.9556231259912</v>
      </c>
      <c r="I30" s="112">
        <f>IF(PaymentSchedule[[#This Row],[Nº. DE PAGO]]&lt;&gt;"",PaymentSchedule[[#This Row],[SALDO INICIAL]]*(Tasa_De_Interes_Anual/Numero_De_Pagos_Por_Año),"")</f>
        <v>1446.8597000103384</v>
      </c>
      <c r="J30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113745.15748117788</v>
      </c>
      <c r="K30" s="112">
        <f>IF(PaymentSchedule[[#This Row],[Nº. DE PAGO]]&lt;&gt;"",SUM(INDEX(PaymentSchedule[INTERÉS],1,1):PaymentSchedule[[#This Row],[INTERÉS]]),"")</f>
        <v>38939.648620768152</v>
      </c>
    </row>
    <row r="31" spans="2:11" x14ac:dyDescent="0.3">
      <c r="B31" s="111">
        <f>IF(LoanIsGood,IF(ROW()-ROW(PaymentSchedule[[#Headers],[Nº. DE PAGO]])&gt;Numero_De_Pagos_Programados,"",ROW()-ROW(PaymentSchedule[[#Headers],[Nº. DE PAGO]])),"")</f>
        <v>20</v>
      </c>
      <c r="C31" s="110">
        <f>IF(PaymentSchedule[[#This Row],[Nº. DE PAGO]]&lt;&gt;"",EOMONTH(Fecha_De_Inicio_Del_Prestamo,ROW(PaymentSchedule[[#This Row],[Nº. DE PAGO]])-ROW(PaymentSchedule[[#Headers],[Nº. DE PAGO]])-2)+DAY(Fecha_De_Inicio_Del_Prestamo),"")</f>
        <v>43982</v>
      </c>
      <c r="D31" s="112">
        <f>IF(PaymentSchedule[[#This Row],[Nº. DE PAGO]]&lt;&gt;"",IF(ROW()-ROW(PaymentSchedule[[#Headers],[SALDO INICIAL]])=1,Importe_Del_Prestamo,INDEX(PaymentSchedule[SALDO FINAL],ROW()-ROW(PaymentSchedule[[#Headers],[SALDO INICIAL]])-1)),"")</f>
        <v>113745.15748117788</v>
      </c>
      <c r="E31" s="112">
        <f>IF(PaymentSchedule[[#This Row],[Nº. DE PAGO]]&lt;&gt;"",Pago_Programado,"")</f>
        <v>7441.8153231363294</v>
      </c>
      <c r="F31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1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1" s="112">
        <f>IF(PaymentSchedule[[#This Row],[Nº. DE PAGO]]&lt;&gt;"",PaymentSchedule[[#This Row],[IMPORTE TOTAL DEL PAGO]]-PaymentSchedule[[#This Row],[INTERÉS]],"")</f>
        <v>6067.3946702387639</v>
      </c>
      <c r="I31" s="112">
        <f>IF(PaymentSchedule[[#This Row],[Nº. DE PAGO]]&lt;&gt;"",PaymentSchedule[[#This Row],[SALDO INICIAL]]*(Tasa_De_Interes_Anual/Numero_De_Pagos_Por_Año),"")</f>
        <v>1374.420652897566</v>
      </c>
      <c r="J31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107677.76281093912</v>
      </c>
      <c r="K31" s="112">
        <f>IF(PaymentSchedule[[#This Row],[Nº. DE PAGO]]&lt;&gt;"",SUM(INDEX(PaymentSchedule[INTERÉS],1,1):PaymentSchedule[[#This Row],[INTERÉS]]),"")</f>
        <v>40314.069273665715</v>
      </c>
    </row>
    <row r="32" spans="2:11" x14ac:dyDescent="0.3">
      <c r="B32" s="111">
        <f>IF(LoanIsGood,IF(ROW()-ROW(PaymentSchedule[[#Headers],[Nº. DE PAGO]])&gt;Numero_De_Pagos_Programados,"",ROW()-ROW(PaymentSchedule[[#Headers],[Nº. DE PAGO]])),"")</f>
        <v>21</v>
      </c>
      <c r="C32" s="110">
        <f>IF(PaymentSchedule[[#This Row],[Nº. DE PAGO]]&lt;&gt;"",EOMONTH(Fecha_De_Inicio_Del_Prestamo,ROW(PaymentSchedule[[#This Row],[Nº. DE PAGO]])-ROW(PaymentSchedule[[#Headers],[Nº. DE PAGO]])-2)+DAY(Fecha_De_Inicio_Del_Prestamo),"")</f>
        <v>44013</v>
      </c>
      <c r="D32" s="112">
        <f>IF(PaymentSchedule[[#This Row],[Nº. DE PAGO]]&lt;&gt;"",IF(ROW()-ROW(PaymentSchedule[[#Headers],[SALDO INICIAL]])=1,Importe_Del_Prestamo,INDEX(PaymentSchedule[SALDO FINAL],ROW()-ROW(PaymentSchedule[[#Headers],[SALDO INICIAL]])-1)),"")</f>
        <v>107677.76281093912</v>
      </c>
      <c r="E32" s="112">
        <f>IF(PaymentSchedule[[#This Row],[Nº. DE PAGO]]&lt;&gt;"",Pago_Programado,"")</f>
        <v>7441.8153231363294</v>
      </c>
      <c r="F32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2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2" s="112">
        <f>IF(PaymentSchedule[[#This Row],[Nº. DE PAGO]]&lt;&gt;"",PaymentSchedule[[#This Row],[IMPORTE TOTAL DEL PAGO]]-PaymentSchedule[[#This Row],[INTERÉS]],"")</f>
        <v>6140.7090225041484</v>
      </c>
      <c r="I32" s="112">
        <f>IF(PaymentSchedule[[#This Row],[Nº. DE PAGO]]&lt;&gt;"",PaymentSchedule[[#This Row],[SALDO INICIAL]]*(Tasa_De_Interes_Anual/Numero_De_Pagos_Por_Año),"")</f>
        <v>1301.106300632181</v>
      </c>
      <c r="J32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101537.05378843498</v>
      </c>
      <c r="K32" s="112">
        <f>IF(PaymentSchedule[[#This Row],[Nº. DE PAGO]]&lt;&gt;"",SUM(INDEX(PaymentSchedule[INTERÉS],1,1):PaymentSchedule[[#This Row],[INTERÉS]]),"")</f>
        <v>41615.175574297893</v>
      </c>
    </row>
    <row r="33" spans="2:11" x14ac:dyDescent="0.3">
      <c r="B33" s="111">
        <f>IF(LoanIsGood,IF(ROW()-ROW(PaymentSchedule[[#Headers],[Nº. DE PAGO]])&gt;Numero_De_Pagos_Programados,"",ROW()-ROW(PaymentSchedule[[#Headers],[Nº. DE PAGO]])),"")</f>
        <v>22</v>
      </c>
      <c r="C33" s="110">
        <f>IF(PaymentSchedule[[#This Row],[Nº. DE PAGO]]&lt;&gt;"",EOMONTH(Fecha_De_Inicio_Del_Prestamo,ROW(PaymentSchedule[[#This Row],[Nº. DE PAGO]])-ROW(PaymentSchedule[[#Headers],[Nº. DE PAGO]])-2)+DAY(Fecha_De_Inicio_Del_Prestamo),"")</f>
        <v>44043</v>
      </c>
      <c r="D33" s="112">
        <f>IF(PaymentSchedule[[#This Row],[Nº. DE PAGO]]&lt;&gt;"",IF(ROW()-ROW(PaymentSchedule[[#Headers],[SALDO INICIAL]])=1,Importe_Del_Prestamo,INDEX(PaymentSchedule[SALDO FINAL],ROW()-ROW(PaymentSchedule[[#Headers],[SALDO INICIAL]])-1)),"")</f>
        <v>101537.05378843498</v>
      </c>
      <c r="E33" s="112">
        <f>IF(PaymentSchedule[[#This Row],[Nº. DE PAGO]]&lt;&gt;"",Pago_Programado,"")</f>
        <v>7441.8153231363294</v>
      </c>
      <c r="F33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3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3" s="112">
        <f>IF(PaymentSchedule[[#This Row],[Nº. DE PAGO]]&lt;&gt;"",PaymentSchedule[[#This Row],[IMPORTE TOTAL DEL PAGO]]-PaymentSchedule[[#This Row],[INTERÉS]],"")</f>
        <v>6214.9092565260735</v>
      </c>
      <c r="I33" s="112">
        <f>IF(PaymentSchedule[[#This Row],[Nº. DE PAGO]]&lt;&gt;"",PaymentSchedule[[#This Row],[SALDO INICIAL]]*(Tasa_De_Interes_Anual/Numero_De_Pagos_Por_Año),"")</f>
        <v>1226.9060666102559</v>
      </c>
      <c r="J33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95322.144531908896</v>
      </c>
      <c r="K33" s="112">
        <f>IF(PaymentSchedule[[#This Row],[Nº. DE PAGO]]&lt;&gt;"",SUM(INDEX(PaymentSchedule[INTERÉS],1,1):PaymentSchedule[[#This Row],[INTERÉS]]),"")</f>
        <v>42842.081640908145</v>
      </c>
    </row>
    <row r="34" spans="2:11" x14ac:dyDescent="0.3">
      <c r="B34" s="111">
        <f>IF(LoanIsGood,IF(ROW()-ROW(PaymentSchedule[[#Headers],[Nº. DE PAGO]])&gt;Numero_De_Pagos_Programados,"",ROW()-ROW(PaymentSchedule[[#Headers],[Nº. DE PAGO]])),"")</f>
        <v>23</v>
      </c>
      <c r="C34" s="110">
        <f>IF(PaymentSchedule[[#This Row],[Nº. DE PAGO]]&lt;&gt;"",EOMONTH(Fecha_De_Inicio_Del_Prestamo,ROW(PaymentSchedule[[#This Row],[Nº. DE PAGO]])-ROW(PaymentSchedule[[#Headers],[Nº. DE PAGO]])-2)+DAY(Fecha_De_Inicio_Del_Prestamo),"")</f>
        <v>44074</v>
      </c>
      <c r="D34" s="112">
        <f>IF(PaymentSchedule[[#This Row],[Nº. DE PAGO]]&lt;&gt;"",IF(ROW()-ROW(PaymentSchedule[[#Headers],[SALDO INICIAL]])=1,Importe_Del_Prestamo,INDEX(PaymentSchedule[SALDO FINAL],ROW()-ROW(PaymentSchedule[[#Headers],[SALDO INICIAL]])-1)),"")</f>
        <v>95322.144531908896</v>
      </c>
      <c r="E34" s="112">
        <f>IF(PaymentSchedule[[#This Row],[Nº. DE PAGO]]&lt;&gt;"",Pago_Programado,"")</f>
        <v>7441.8153231363294</v>
      </c>
      <c r="F34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4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4" s="112">
        <f>IF(PaymentSchedule[[#This Row],[Nº. DE PAGO]]&lt;&gt;"",PaymentSchedule[[#This Row],[IMPORTE TOTAL DEL PAGO]]-PaymentSchedule[[#This Row],[INTERÉS]],"")</f>
        <v>6290.0060767090972</v>
      </c>
      <c r="I34" s="112">
        <f>IF(PaymentSchedule[[#This Row],[Nº. DE PAGO]]&lt;&gt;"",PaymentSchedule[[#This Row],[SALDO INICIAL]]*(Tasa_De_Interes_Anual/Numero_De_Pagos_Por_Año),"")</f>
        <v>1151.8092464272324</v>
      </c>
      <c r="J34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89032.138455199805</v>
      </c>
      <c r="K34" s="112">
        <f>IF(PaymentSchedule[[#This Row],[Nº. DE PAGO]]&lt;&gt;"",SUM(INDEX(PaymentSchedule[INTERÉS],1,1):PaymentSchedule[[#This Row],[INTERÉS]]),"")</f>
        <v>43993.890887335379</v>
      </c>
    </row>
    <row r="35" spans="2:11" x14ac:dyDescent="0.3">
      <c r="B35" s="111">
        <f>IF(LoanIsGood,IF(ROW()-ROW(PaymentSchedule[[#Headers],[Nº. DE PAGO]])&gt;Numero_De_Pagos_Programados,"",ROW()-ROW(PaymentSchedule[[#Headers],[Nº. DE PAGO]])),"")</f>
        <v>24</v>
      </c>
      <c r="C35" s="110">
        <f>IF(PaymentSchedule[[#This Row],[Nº. DE PAGO]]&lt;&gt;"",EOMONTH(Fecha_De_Inicio_Del_Prestamo,ROW(PaymentSchedule[[#This Row],[Nº. DE PAGO]])-ROW(PaymentSchedule[[#Headers],[Nº. DE PAGO]])-2)+DAY(Fecha_De_Inicio_Del_Prestamo),"")</f>
        <v>44105</v>
      </c>
      <c r="D35" s="112">
        <f>IF(PaymentSchedule[[#This Row],[Nº. DE PAGO]]&lt;&gt;"",IF(ROW()-ROW(PaymentSchedule[[#Headers],[SALDO INICIAL]])=1,Importe_Del_Prestamo,INDEX(PaymentSchedule[SALDO FINAL],ROW()-ROW(PaymentSchedule[[#Headers],[SALDO INICIAL]])-1)),"")</f>
        <v>89032.138455199805</v>
      </c>
      <c r="E35" s="112">
        <f>IF(PaymentSchedule[[#This Row],[Nº. DE PAGO]]&lt;&gt;"",Pago_Programado,"")</f>
        <v>7441.8153231363294</v>
      </c>
      <c r="F35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5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5" s="112">
        <f>IF(PaymentSchedule[[#This Row],[Nº. DE PAGO]]&lt;&gt;"",PaymentSchedule[[#This Row],[IMPORTE TOTAL DEL PAGO]]-PaymentSchedule[[#This Row],[INTERÉS]],"")</f>
        <v>6366.0103168026653</v>
      </c>
      <c r="I35" s="112">
        <f>IF(PaymentSchedule[[#This Row],[Nº. DE PAGO]]&lt;&gt;"",PaymentSchedule[[#This Row],[SALDO INICIAL]]*(Tasa_De_Interes_Anual/Numero_De_Pagos_Por_Año),"")</f>
        <v>1075.8050063336643</v>
      </c>
      <c r="J35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82666.128138397136</v>
      </c>
      <c r="K35" s="112">
        <f>IF(PaymentSchedule[[#This Row],[Nº. DE PAGO]]&lt;&gt;"",SUM(INDEX(PaymentSchedule[INTERÉS],1,1):PaymentSchedule[[#This Row],[INTERÉS]]),"")</f>
        <v>45069.695893669043</v>
      </c>
    </row>
    <row r="36" spans="2:11" x14ac:dyDescent="0.3">
      <c r="B36" s="111">
        <f>IF(LoanIsGood,IF(ROW()-ROW(PaymentSchedule[[#Headers],[Nº. DE PAGO]])&gt;Numero_De_Pagos_Programados,"",ROW()-ROW(PaymentSchedule[[#Headers],[Nº. DE PAGO]])),"")</f>
        <v>25</v>
      </c>
      <c r="C36" s="110">
        <f>IF(PaymentSchedule[[#This Row],[Nº. DE PAGO]]&lt;&gt;"",EOMONTH(Fecha_De_Inicio_Del_Prestamo,ROW(PaymentSchedule[[#This Row],[Nº. DE PAGO]])-ROW(PaymentSchedule[[#Headers],[Nº. DE PAGO]])-2)+DAY(Fecha_De_Inicio_Del_Prestamo),"")</f>
        <v>44135</v>
      </c>
      <c r="D36" s="112">
        <f>IF(PaymentSchedule[[#This Row],[Nº. DE PAGO]]&lt;&gt;"",IF(ROW()-ROW(PaymentSchedule[[#Headers],[SALDO INICIAL]])=1,Importe_Del_Prestamo,INDEX(PaymentSchedule[SALDO FINAL],ROW()-ROW(PaymentSchedule[[#Headers],[SALDO INICIAL]])-1)),"")</f>
        <v>82666.128138397136</v>
      </c>
      <c r="E36" s="112">
        <f>IF(PaymentSchedule[[#This Row],[Nº. DE PAGO]]&lt;&gt;"",Pago_Programado,"")</f>
        <v>7441.8153231363294</v>
      </c>
      <c r="F36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6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6" s="112">
        <f>IF(PaymentSchedule[[#This Row],[Nº. DE PAGO]]&lt;&gt;"",PaymentSchedule[[#This Row],[IMPORTE TOTAL DEL PAGO]]-PaymentSchedule[[#This Row],[INTERÉS]],"")</f>
        <v>6442.9329414640306</v>
      </c>
      <c r="I36" s="112">
        <f>IF(PaymentSchedule[[#This Row],[Nº. DE PAGO]]&lt;&gt;"",PaymentSchedule[[#This Row],[SALDO INICIAL]]*(Tasa_De_Interes_Anual/Numero_De_Pagos_Por_Año),"")</f>
        <v>998.88238167229872</v>
      </c>
      <c r="J36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76223.195196933113</v>
      </c>
      <c r="K36" s="112">
        <f>IF(PaymentSchedule[[#This Row],[Nº. DE PAGO]]&lt;&gt;"",SUM(INDEX(PaymentSchedule[INTERÉS],1,1):PaymentSchedule[[#This Row],[INTERÉS]]),"")</f>
        <v>46068.578275341344</v>
      </c>
    </row>
    <row r="37" spans="2:11" x14ac:dyDescent="0.3">
      <c r="B37" s="111">
        <f>IF(LoanIsGood,IF(ROW()-ROW(PaymentSchedule[[#Headers],[Nº. DE PAGO]])&gt;Numero_De_Pagos_Programados,"",ROW()-ROW(PaymentSchedule[[#Headers],[Nº. DE PAGO]])),"")</f>
        <v>26</v>
      </c>
      <c r="C37" s="110">
        <f>IF(PaymentSchedule[[#This Row],[Nº. DE PAGO]]&lt;&gt;"",EOMONTH(Fecha_De_Inicio_Del_Prestamo,ROW(PaymentSchedule[[#This Row],[Nº. DE PAGO]])-ROW(PaymentSchedule[[#Headers],[Nº. DE PAGO]])-2)+DAY(Fecha_De_Inicio_Del_Prestamo),"")</f>
        <v>44166</v>
      </c>
      <c r="D37" s="112">
        <f>IF(PaymentSchedule[[#This Row],[Nº. DE PAGO]]&lt;&gt;"",IF(ROW()-ROW(PaymentSchedule[[#Headers],[SALDO INICIAL]])=1,Importe_Del_Prestamo,INDEX(PaymentSchedule[SALDO FINAL],ROW()-ROW(PaymentSchedule[[#Headers],[SALDO INICIAL]])-1)),"")</f>
        <v>76223.195196933113</v>
      </c>
      <c r="E37" s="112">
        <f>IF(PaymentSchedule[[#This Row],[Nº. DE PAGO]]&lt;&gt;"",Pago_Programado,"")</f>
        <v>7441.8153231363294</v>
      </c>
      <c r="F37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7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7" s="112">
        <f>IF(PaymentSchedule[[#This Row],[Nº. DE PAGO]]&lt;&gt;"",PaymentSchedule[[#This Row],[IMPORTE TOTAL DEL PAGO]]-PaymentSchedule[[#This Row],[INTERÉS]],"")</f>
        <v>6520.7850478400542</v>
      </c>
      <c r="I37" s="112">
        <f>IF(PaymentSchedule[[#This Row],[Nº. DE PAGO]]&lt;&gt;"",PaymentSchedule[[#This Row],[SALDO INICIAL]]*(Tasa_De_Interes_Anual/Numero_De_Pagos_Por_Año),"")</f>
        <v>921.03027529627514</v>
      </c>
      <c r="J37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69702.410149093063</v>
      </c>
      <c r="K37" s="112">
        <f>IF(PaymentSchedule[[#This Row],[Nº. DE PAGO]]&lt;&gt;"",SUM(INDEX(PaymentSchedule[INTERÉS],1,1):PaymentSchedule[[#This Row],[INTERÉS]]),"")</f>
        <v>46989.608550637618</v>
      </c>
    </row>
    <row r="38" spans="2:11" x14ac:dyDescent="0.3">
      <c r="B38" s="111">
        <f>IF(LoanIsGood,IF(ROW()-ROW(PaymentSchedule[[#Headers],[Nº. DE PAGO]])&gt;Numero_De_Pagos_Programados,"",ROW()-ROW(PaymentSchedule[[#Headers],[Nº. DE PAGO]])),"")</f>
        <v>27</v>
      </c>
      <c r="C38" s="110">
        <f>IF(PaymentSchedule[[#This Row],[Nº. DE PAGO]]&lt;&gt;"",EOMONTH(Fecha_De_Inicio_Del_Prestamo,ROW(PaymentSchedule[[#This Row],[Nº. DE PAGO]])-ROW(PaymentSchedule[[#Headers],[Nº. DE PAGO]])-2)+DAY(Fecha_De_Inicio_Del_Prestamo),"")</f>
        <v>44196</v>
      </c>
      <c r="D38" s="112">
        <f>IF(PaymentSchedule[[#This Row],[Nº. DE PAGO]]&lt;&gt;"",IF(ROW()-ROW(PaymentSchedule[[#Headers],[SALDO INICIAL]])=1,Importe_Del_Prestamo,INDEX(PaymentSchedule[SALDO FINAL],ROW()-ROW(PaymentSchedule[[#Headers],[SALDO INICIAL]])-1)),"")</f>
        <v>69702.410149093063</v>
      </c>
      <c r="E38" s="112">
        <f>IF(PaymentSchedule[[#This Row],[Nº. DE PAGO]]&lt;&gt;"",Pago_Programado,"")</f>
        <v>7441.8153231363294</v>
      </c>
      <c r="F38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8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8" s="112">
        <f>IF(PaymentSchedule[[#This Row],[Nº. DE PAGO]]&lt;&gt;"",PaymentSchedule[[#This Row],[IMPORTE TOTAL DEL PAGO]]-PaymentSchedule[[#This Row],[INTERÉS]],"")</f>
        <v>6599.5778671681219</v>
      </c>
      <c r="I38" s="112">
        <f>IF(PaymentSchedule[[#This Row],[Nº. DE PAGO]]&lt;&gt;"",PaymentSchedule[[#This Row],[SALDO INICIAL]]*(Tasa_De_Interes_Anual/Numero_De_Pagos_Por_Año),"")</f>
        <v>842.23745596820777</v>
      </c>
      <c r="J38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63102.832281924944</v>
      </c>
      <c r="K38" s="112">
        <f>IF(PaymentSchedule[[#This Row],[Nº. DE PAGO]]&lt;&gt;"",SUM(INDEX(PaymentSchedule[INTERÉS],1,1):PaymentSchedule[[#This Row],[INTERÉS]]),"")</f>
        <v>47831.846006605825</v>
      </c>
    </row>
    <row r="39" spans="2:11" x14ac:dyDescent="0.3">
      <c r="B39" s="111">
        <f>IF(LoanIsGood,IF(ROW()-ROW(PaymentSchedule[[#Headers],[Nº. DE PAGO]])&gt;Numero_De_Pagos_Programados,"",ROW()-ROW(PaymentSchedule[[#Headers],[Nº. DE PAGO]])),"")</f>
        <v>28</v>
      </c>
      <c r="C39" s="110">
        <f>IF(PaymentSchedule[[#This Row],[Nº. DE PAGO]]&lt;&gt;"",EOMONTH(Fecha_De_Inicio_Del_Prestamo,ROW(PaymentSchedule[[#This Row],[Nº. DE PAGO]])-ROW(PaymentSchedule[[#Headers],[Nº. DE PAGO]])-2)+DAY(Fecha_De_Inicio_Del_Prestamo),"")</f>
        <v>44227</v>
      </c>
      <c r="D39" s="112">
        <f>IF(PaymentSchedule[[#This Row],[Nº. DE PAGO]]&lt;&gt;"",IF(ROW()-ROW(PaymentSchedule[[#Headers],[SALDO INICIAL]])=1,Importe_Del_Prestamo,INDEX(PaymentSchedule[SALDO FINAL],ROW()-ROW(PaymentSchedule[[#Headers],[SALDO INICIAL]])-1)),"")</f>
        <v>63102.832281924944</v>
      </c>
      <c r="E39" s="112">
        <f>IF(PaymentSchedule[[#This Row],[Nº. DE PAGO]]&lt;&gt;"",Pago_Programado,"")</f>
        <v>7441.8153231363294</v>
      </c>
      <c r="F39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9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9" s="112">
        <f>IF(PaymentSchedule[[#This Row],[Nº. DE PAGO]]&lt;&gt;"",PaymentSchedule[[#This Row],[IMPORTE TOTAL DEL PAGO]]-PaymentSchedule[[#This Row],[INTERÉS]],"")</f>
        <v>6679.3227663964026</v>
      </c>
      <c r="I39" s="112">
        <f>IF(PaymentSchedule[[#This Row],[Nº. DE PAGO]]&lt;&gt;"",PaymentSchedule[[#This Row],[SALDO INICIAL]]*(Tasa_De_Interes_Anual/Numero_De_Pagos_Por_Año),"")</f>
        <v>762.49255673992639</v>
      </c>
      <c r="J39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56423.509515528538</v>
      </c>
      <c r="K39" s="112">
        <f>IF(PaymentSchedule[[#This Row],[Nº. DE PAGO]]&lt;&gt;"",SUM(INDEX(PaymentSchedule[INTERÉS],1,1):PaymentSchedule[[#This Row],[INTERÉS]]),"")</f>
        <v>48594.338563345751</v>
      </c>
    </row>
    <row r="40" spans="2:11" x14ac:dyDescent="0.3">
      <c r="B40" s="111">
        <f>IF(LoanIsGood,IF(ROW()-ROW(PaymentSchedule[[#Headers],[Nº. DE PAGO]])&gt;Numero_De_Pagos_Programados,"",ROW()-ROW(PaymentSchedule[[#Headers],[Nº. DE PAGO]])),"")</f>
        <v>29</v>
      </c>
      <c r="C40" s="110">
        <f>IF(PaymentSchedule[[#This Row],[Nº. DE PAGO]]&lt;&gt;"",EOMONTH(Fecha_De_Inicio_Del_Prestamo,ROW(PaymentSchedule[[#This Row],[Nº. DE PAGO]])-ROW(PaymentSchedule[[#Headers],[Nº. DE PAGO]])-2)+DAY(Fecha_De_Inicio_Del_Prestamo),"")</f>
        <v>44258</v>
      </c>
      <c r="D40" s="112">
        <f>IF(PaymentSchedule[[#This Row],[Nº. DE PAGO]]&lt;&gt;"",IF(ROW()-ROW(PaymentSchedule[[#Headers],[SALDO INICIAL]])=1,Importe_Del_Prestamo,INDEX(PaymentSchedule[SALDO FINAL],ROW()-ROW(PaymentSchedule[[#Headers],[SALDO INICIAL]])-1)),"")</f>
        <v>56423.509515528538</v>
      </c>
      <c r="E40" s="112">
        <f>IF(PaymentSchedule[[#This Row],[Nº. DE PAGO]]&lt;&gt;"",Pago_Programado,"")</f>
        <v>7441.8153231363294</v>
      </c>
      <c r="F40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0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0" s="112">
        <f>IF(PaymentSchedule[[#This Row],[Nº. DE PAGO]]&lt;&gt;"",PaymentSchedule[[#This Row],[IMPORTE TOTAL DEL PAGO]]-PaymentSchedule[[#This Row],[INTERÉS]],"")</f>
        <v>6760.0312498236926</v>
      </c>
      <c r="I40" s="112">
        <f>IF(PaymentSchedule[[#This Row],[Nº. DE PAGO]]&lt;&gt;"",PaymentSchedule[[#This Row],[SALDO INICIAL]]*(Tasa_De_Interes_Anual/Numero_De_Pagos_Por_Año),"")</f>
        <v>681.78407331263645</v>
      </c>
      <c r="J40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49663.478265704849</v>
      </c>
      <c r="K40" s="112">
        <f>IF(PaymentSchedule[[#This Row],[Nº. DE PAGO]]&lt;&gt;"",SUM(INDEX(PaymentSchedule[INTERÉS],1,1):PaymentSchedule[[#This Row],[INTERÉS]]),"")</f>
        <v>49276.122636658387</v>
      </c>
    </row>
    <row r="41" spans="2:11" x14ac:dyDescent="0.3">
      <c r="B41" s="111">
        <f>IF(LoanIsGood,IF(ROW()-ROW(PaymentSchedule[[#Headers],[Nº. DE PAGO]])&gt;Numero_De_Pagos_Programados,"",ROW()-ROW(PaymentSchedule[[#Headers],[Nº. DE PAGO]])),"")</f>
        <v>30</v>
      </c>
      <c r="C41" s="110">
        <f>IF(PaymentSchedule[[#This Row],[Nº. DE PAGO]]&lt;&gt;"",EOMONTH(Fecha_De_Inicio_Del_Prestamo,ROW(PaymentSchedule[[#This Row],[Nº. DE PAGO]])-ROW(PaymentSchedule[[#Headers],[Nº. DE PAGO]])-2)+DAY(Fecha_De_Inicio_Del_Prestamo),"")</f>
        <v>44286</v>
      </c>
      <c r="D41" s="112">
        <f>IF(PaymentSchedule[[#This Row],[Nº. DE PAGO]]&lt;&gt;"",IF(ROW()-ROW(PaymentSchedule[[#Headers],[SALDO INICIAL]])=1,Importe_Del_Prestamo,INDEX(PaymentSchedule[SALDO FINAL],ROW()-ROW(PaymentSchedule[[#Headers],[SALDO INICIAL]])-1)),"")</f>
        <v>49663.478265704849</v>
      </c>
      <c r="E41" s="112">
        <f>IF(PaymentSchedule[[#This Row],[Nº. DE PAGO]]&lt;&gt;"",Pago_Programado,"")</f>
        <v>7441.8153231363294</v>
      </c>
      <c r="F41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1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1" s="112">
        <f>IF(PaymentSchedule[[#This Row],[Nº. DE PAGO]]&lt;&gt;"",PaymentSchedule[[#This Row],[IMPORTE TOTAL DEL PAGO]]-PaymentSchedule[[#This Row],[INTERÉS]],"")</f>
        <v>6841.7149607590627</v>
      </c>
      <c r="I41" s="112">
        <f>IF(PaymentSchedule[[#This Row],[Nº. DE PAGO]]&lt;&gt;"",PaymentSchedule[[#This Row],[SALDO INICIAL]]*(Tasa_De_Interes_Anual/Numero_De_Pagos_Por_Año),"")</f>
        <v>600.10036237726695</v>
      </c>
      <c r="J41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42821.763304945787</v>
      </c>
      <c r="K41" s="112">
        <f>IF(PaymentSchedule[[#This Row],[Nº. DE PAGO]]&lt;&gt;"",SUM(INDEX(PaymentSchedule[INTERÉS],1,1):PaymentSchedule[[#This Row],[INTERÉS]]),"")</f>
        <v>49876.222999035657</v>
      </c>
    </row>
    <row r="42" spans="2:11" x14ac:dyDescent="0.3">
      <c r="B42" s="111">
        <f>IF(LoanIsGood,IF(ROW()-ROW(PaymentSchedule[[#Headers],[Nº. DE PAGO]])&gt;Numero_De_Pagos_Programados,"",ROW()-ROW(PaymentSchedule[[#Headers],[Nº. DE PAGO]])),"")</f>
        <v>31</v>
      </c>
      <c r="C42" s="110">
        <f>IF(PaymentSchedule[[#This Row],[Nº. DE PAGO]]&lt;&gt;"",EOMONTH(Fecha_De_Inicio_Del_Prestamo,ROW(PaymentSchedule[[#This Row],[Nº. DE PAGO]])-ROW(PaymentSchedule[[#Headers],[Nº. DE PAGO]])-2)+DAY(Fecha_De_Inicio_Del_Prestamo),"")</f>
        <v>44317</v>
      </c>
      <c r="D42" s="112">
        <f>IF(PaymentSchedule[[#This Row],[Nº. DE PAGO]]&lt;&gt;"",IF(ROW()-ROW(PaymentSchedule[[#Headers],[SALDO INICIAL]])=1,Importe_Del_Prestamo,INDEX(PaymentSchedule[SALDO FINAL],ROW()-ROW(PaymentSchedule[[#Headers],[SALDO INICIAL]])-1)),"")</f>
        <v>42821.763304945787</v>
      </c>
      <c r="E42" s="112">
        <f>IF(PaymentSchedule[[#This Row],[Nº. DE PAGO]]&lt;&gt;"",Pago_Programado,"")</f>
        <v>7441.8153231363294</v>
      </c>
      <c r="F42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2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2" s="112">
        <f>IF(PaymentSchedule[[#This Row],[Nº. DE PAGO]]&lt;&gt;"",PaymentSchedule[[#This Row],[IMPORTE TOTAL DEL PAGO]]-PaymentSchedule[[#This Row],[INTERÉS]],"")</f>
        <v>6924.3856832015681</v>
      </c>
      <c r="I42" s="112">
        <f>IF(PaymentSchedule[[#This Row],[Nº. DE PAGO]]&lt;&gt;"",PaymentSchedule[[#This Row],[SALDO INICIAL]]*(Tasa_De_Interes_Anual/Numero_De_Pagos_Por_Año),"")</f>
        <v>517.42963993476155</v>
      </c>
      <c r="J42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35897.377621744221</v>
      </c>
      <c r="K42" s="112">
        <f>IF(PaymentSchedule[[#This Row],[Nº. DE PAGO]]&lt;&gt;"",SUM(INDEX(PaymentSchedule[INTERÉS],1,1):PaymentSchedule[[#This Row],[INTERÉS]]),"")</f>
        <v>50393.652638970416</v>
      </c>
    </row>
    <row r="43" spans="2:11" x14ac:dyDescent="0.3">
      <c r="B43" s="111">
        <f>IF(LoanIsGood,IF(ROW()-ROW(PaymentSchedule[[#Headers],[Nº. DE PAGO]])&gt;Numero_De_Pagos_Programados,"",ROW()-ROW(PaymentSchedule[[#Headers],[Nº. DE PAGO]])),"")</f>
        <v>32</v>
      </c>
      <c r="C43" s="110">
        <f>IF(PaymentSchedule[[#This Row],[Nº. DE PAGO]]&lt;&gt;"",EOMONTH(Fecha_De_Inicio_Del_Prestamo,ROW(PaymentSchedule[[#This Row],[Nº. DE PAGO]])-ROW(PaymentSchedule[[#Headers],[Nº. DE PAGO]])-2)+DAY(Fecha_De_Inicio_Del_Prestamo),"")</f>
        <v>44347</v>
      </c>
      <c r="D43" s="112">
        <f>IF(PaymentSchedule[[#This Row],[Nº. DE PAGO]]&lt;&gt;"",IF(ROW()-ROW(PaymentSchedule[[#Headers],[SALDO INICIAL]])=1,Importe_Del_Prestamo,INDEX(PaymentSchedule[SALDO FINAL],ROW()-ROW(PaymentSchedule[[#Headers],[SALDO INICIAL]])-1)),"")</f>
        <v>35897.377621744221</v>
      </c>
      <c r="E43" s="112">
        <f>IF(PaymentSchedule[[#This Row],[Nº. DE PAGO]]&lt;&gt;"",Pago_Programado,"")</f>
        <v>7441.8153231363294</v>
      </c>
      <c r="F43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3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3" s="112">
        <f>IF(PaymentSchedule[[#This Row],[Nº. DE PAGO]]&lt;&gt;"",PaymentSchedule[[#This Row],[IMPORTE TOTAL DEL PAGO]]-PaymentSchedule[[#This Row],[INTERÉS]],"")</f>
        <v>7008.0553435402535</v>
      </c>
      <c r="I43" s="112">
        <f>IF(PaymentSchedule[[#This Row],[Nº. DE PAGO]]&lt;&gt;"",PaymentSchedule[[#This Row],[SALDO INICIAL]]*(Tasa_De_Interes_Anual/Numero_De_Pagos_Por_Año),"")</f>
        <v>433.75997959607599</v>
      </c>
      <c r="J43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28889.322278203967</v>
      </c>
      <c r="K43" s="112">
        <f>IF(PaymentSchedule[[#This Row],[Nº. DE PAGO]]&lt;&gt;"",SUM(INDEX(PaymentSchedule[INTERÉS],1,1):PaymentSchedule[[#This Row],[INTERÉS]]),"")</f>
        <v>50827.412618566494</v>
      </c>
    </row>
    <row r="44" spans="2:11" x14ac:dyDescent="0.3">
      <c r="B44" s="111">
        <f>IF(LoanIsGood,IF(ROW()-ROW(PaymentSchedule[[#Headers],[Nº. DE PAGO]])&gt;Numero_De_Pagos_Programados,"",ROW()-ROW(PaymentSchedule[[#Headers],[Nº. DE PAGO]])),"")</f>
        <v>33</v>
      </c>
      <c r="C44" s="110">
        <f>IF(PaymentSchedule[[#This Row],[Nº. DE PAGO]]&lt;&gt;"",EOMONTH(Fecha_De_Inicio_Del_Prestamo,ROW(PaymentSchedule[[#This Row],[Nº. DE PAGO]])-ROW(PaymentSchedule[[#Headers],[Nº. DE PAGO]])-2)+DAY(Fecha_De_Inicio_Del_Prestamo),"")</f>
        <v>44378</v>
      </c>
      <c r="D44" s="112">
        <f>IF(PaymentSchedule[[#This Row],[Nº. DE PAGO]]&lt;&gt;"",IF(ROW()-ROW(PaymentSchedule[[#Headers],[SALDO INICIAL]])=1,Importe_Del_Prestamo,INDEX(PaymentSchedule[SALDO FINAL],ROW()-ROW(PaymentSchedule[[#Headers],[SALDO INICIAL]])-1)),"")</f>
        <v>28889.322278203967</v>
      </c>
      <c r="E44" s="112">
        <f>IF(PaymentSchedule[[#This Row],[Nº. DE PAGO]]&lt;&gt;"",Pago_Programado,"")</f>
        <v>7441.8153231363294</v>
      </c>
      <c r="F44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4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4" s="112">
        <f>IF(PaymentSchedule[[#This Row],[Nº. DE PAGO]]&lt;&gt;"",PaymentSchedule[[#This Row],[IMPORTE TOTAL DEL PAGO]]-PaymentSchedule[[#This Row],[INTERÉS]],"")</f>
        <v>7092.7360122746977</v>
      </c>
      <c r="I44" s="112">
        <f>IF(PaymentSchedule[[#This Row],[Nº. DE PAGO]]&lt;&gt;"",PaymentSchedule[[#This Row],[SALDO INICIAL]]*(Tasa_De_Interes_Anual/Numero_De_Pagos_Por_Año),"")</f>
        <v>349.07931086163126</v>
      </c>
      <c r="J44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21796.586265929269</v>
      </c>
      <c r="K44" s="112">
        <f>IF(PaymentSchedule[[#This Row],[Nº. DE PAGO]]&lt;&gt;"",SUM(INDEX(PaymentSchedule[INTERÉS],1,1):PaymentSchedule[[#This Row],[INTERÉS]]),"")</f>
        <v>51176.491929428128</v>
      </c>
    </row>
    <row r="45" spans="2:11" x14ac:dyDescent="0.3">
      <c r="B45" s="111">
        <f>IF(LoanIsGood,IF(ROW()-ROW(PaymentSchedule[[#Headers],[Nº. DE PAGO]])&gt;Numero_De_Pagos_Programados,"",ROW()-ROW(PaymentSchedule[[#Headers],[Nº. DE PAGO]])),"")</f>
        <v>34</v>
      </c>
      <c r="C45" s="110">
        <f>IF(PaymentSchedule[[#This Row],[Nº. DE PAGO]]&lt;&gt;"",EOMONTH(Fecha_De_Inicio_Del_Prestamo,ROW(PaymentSchedule[[#This Row],[Nº. DE PAGO]])-ROW(PaymentSchedule[[#Headers],[Nº. DE PAGO]])-2)+DAY(Fecha_De_Inicio_Del_Prestamo),"")</f>
        <v>44408</v>
      </c>
      <c r="D45" s="112">
        <f>IF(PaymentSchedule[[#This Row],[Nº. DE PAGO]]&lt;&gt;"",IF(ROW()-ROW(PaymentSchedule[[#Headers],[SALDO INICIAL]])=1,Importe_Del_Prestamo,INDEX(PaymentSchedule[SALDO FINAL],ROW()-ROW(PaymentSchedule[[#Headers],[SALDO INICIAL]])-1)),"")</f>
        <v>21796.586265929269</v>
      </c>
      <c r="E45" s="112">
        <f>IF(PaymentSchedule[[#This Row],[Nº. DE PAGO]]&lt;&gt;"",Pago_Programado,"")</f>
        <v>7441.8153231363294</v>
      </c>
      <c r="F45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5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5" s="112">
        <f>IF(PaymentSchedule[[#This Row],[Nº. DE PAGO]]&lt;&gt;"",PaymentSchedule[[#This Row],[IMPORTE TOTAL DEL PAGO]]-PaymentSchedule[[#This Row],[INTERÉS]],"")</f>
        <v>7178.4399057563505</v>
      </c>
      <c r="I45" s="112">
        <f>IF(PaymentSchedule[[#This Row],[Nº. DE PAGO]]&lt;&gt;"",PaymentSchedule[[#This Row],[SALDO INICIAL]]*(Tasa_De_Interes_Anual/Numero_De_Pagos_Por_Año),"")</f>
        <v>263.37541737997867</v>
      </c>
      <c r="J45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14618.146360172919</v>
      </c>
      <c r="K45" s="112">
        <f>IF(PaymentSchedule[[#This Row],[Nº. DE PAGO]]&lt;&gt;"",SUM(INDEX(PaymentSchedule[INTERÉS],1,1):PaymentSchedule[[#This Row],[INTERÉS]]),"")</f>
        <v>51439.867346808103</v>
      </c>
    </row>
    <row r="46" spans="2:11" x14ac:dyDescent="0.3">
      <c r="B46" s="111">
        <f>IF(LoanIsGood,IF(ROW()-ROW(PaymentSchedule[[#Headers],[Nº. DE PAGO]])&gt;Numero_De_Pagos_Programados,"",ROW()-ROW(PaymentSchedule[[#Headers],[Nº. DE PAGO]])),"")</f>
        <v>35</v>
      </c>
      <c r="C46" s="110">
        <f>IF(PaymentSchedule[[#This Row],[Nº. DE PAGO]]&lt;&gt;"",EOMONTH(Fecha_De_Inicio_Del_Prestamo,ROW(PaymentSchedule[[#This Row],[Nº. DE PAGO]])-ROW(PaymentSchedule[[#Headers],[Nº. DE PAGO]])-2)+DAY(Fecha_De_Inicio_Del_Prestamo),"")</f>
        <v>44439</v>
      </c>
      <c r="D46" s="112">
        <f>IF(PaymentSchedule[[#This Row],[Nº. DE PAGO]]&lt;&gt;"",IF(ROW()-ROW(PaymentSchedule[[#Headers],[SALDO INICIAL]])=1,Importe_Del_Prestamo,INDEX(PaymentSchedule[SALDO FINAL],ROW()-ROW(PaymentSchedule[[#Headers],[SALDO INICIAL]])-1)),"")</f>
        <v>14618.146360172919</v>
      </c>
      <c r="E46" s="112">
        <f>IF(PaymentSchedule[[#This Row],[Nº. DE PAGO]]&lt;&gt;"",Pago_Programado,"")</f>
        <v>7441.8153231363294</v>
      </c>
      <c r="F46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6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6" s="112">
        <f>IF(PaymentSchedule[[#This Row],[Nº. DE PAGO]]&lt;&gt;"",PaymentSchedule[[#This Row],[IMPORTE TOTAL DEL PAGO]]-PaymentSchedule[[#This Row],[INTERÉS]],"")</f>
        <v>7265.1793879509069</v>
      </c>
      <c r="I46" s="112">
        <f>IF(PaymentSchedule[[#This Row],[Nº. DE PAGO]]&lt;&gt;"",PaymentSchedule[[#This Row],[SALDO INICIAL]]*(Tasa_De_Interes_Anual/Numero_De_Pagos_Por_Año),"")</f>
        <v>176.63593518542277</v>
      </c>
      <c r="J46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7352.9669722220124</v>
      </c>
      <c r="K46" s="112">
        <f>IF(PaymentSchedule[[#This Row],[Nº. DE PAGO]]&lt;&gt;"",SUM(INDEX(PaymentSchedule[INTERÉS],1,1):PaymentSchedule[[#This Row],[INTERÉS]]),"")</f>
        <v>51616.50328199353</v>
      </c>
    </row>
    <row r="47" spans="2:11" x14ac:dyDescent="0.3">
      <c r="B47" s="111">
        <f>IF(LoanIsGood,IF(ROW()-ROW(PaymentSchedule[[#Headers],[Nº. DE PAGO]])&gt;Numero_De_Pagos_Programados,"",ROW()-ROW(PaymentSchedule[[#Headers],[Nº. DE PAGO]])),"")</f>
        <v>36</v>
      </c>
      <c r="C47" s="110">
        <f>IF(PaymentSchedule[[#This Row],[Nº. DE PAGO]]&lt;&gt;"",EOMONTH(Fecha_De_Inicio_Del_Prestamo,ROW(PaymentSchedule[[#This Row],[Nº. DE PAGO]])-ROW(PaymentSchedule[[#Headers],[Nº. DE PAGO]])-2)+DAY(Fecha_De_Inicio_Del_Prestamo),"")</f>
        <v>44470</v>
      </c>
      <c r="D47" s="112">
        <f>IF(PaymentSchedule[[#This Row],[Nº. DE PAGO]]&lt;&gt;"",IF(ROW()-ROW(PaymentSchedule[[#Headers],[SALDO INICIAL]])=1,Importe_Del_Prestamo,INDEX(PaymentSchedule[SALDO FINAL],ROW()-ROW(PaymentSchedule[[#Headers],[SALDO INICIAL]])-1)),"")</f>
        <v>7352.9669722220124</v>
      </c>
      <c r="E47" s="112">
        <f>IF(PaymentSchedule[[#This Row],[Nº. DE PAGO]]&lt;&gt;"",Pago_Programado,"")</f>
        <v>7441.8153231363294</v>
      </c>
      <c r="F47" s="11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7" s="11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7352.9669722220124</v>
      </c>
      <c r="H47" s="112">
        <f>IF(PaymentSchedule[[#This Row],[Nº. DE PAGO]]&lt;&gt;"",PaymentSchedule[[#This Row],[IMPORTE TOTAL DEL PAGO]]-PaymentSchedule[[#This Row],[INTERÉS]],"")</f>
        <v>7264.1186213076635</v>
      </c>
      <c r="I47" s="112">
        <f>IF(PaymentSchedule[[#This Row],[Nº. DE PAGO]]&lt;&gt;"",PaymentSchedule[[#This Row],[SALDO INICIAL]]*(Tasa_De_Interes_Anual/Numero_De_Pagos_Por_Año),"")</f>
        <v>88.848350914349311</v>
      </c>
      <c r="J47" s="11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0</v>
      </c>
      <c r="K47" s="112">
        <f>IF(PaymentSchedule[[#This Row],[Nº. DE PAGO]]&lt;&gt;"",SUM(INDEX(PaymentSchedule[INTERÉS],1,1):PaymentSchedule[[#This Row],[INTERÉS]]),"")</f>
        <v>51705.351632907878</v>
      </c>
    </row>
    <row r="48" spans="2:11" x14ac:dyDescent="0.3">
      <c r="B48" s="111" t="str">
        <f>IF(LoanIsGood,IF(ROW()-ROW(PaymentSchedule[[#Headers],[Nº. DE PAGO]])&gt;Numero_De_Pagos_Programados,"",ROW()-ROW(PaymentSchedule[[#Headers],[Nº. DE PAGO]])),"")</f>
        <v/>
      </c>
      <c r="C4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8" s="109" t="str">
        <f>IF(PaymentSchedule[[#This Row],[Nº. DE PAGO]]&lt;&gt;"",Pago_Programado,"")</f>
        <v/>
      </c>
      <c r="F4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8" s="109" t="str">
        <f>IF(PaymentSchedule[[#This Row],[Nº. DE PAGO]]&lt;&gt;"",PaymentSchedule[[#This Row],[IMPORTE TOTAL DEL PAGO]]-PaymentSchedule[[#This Row],[INTERÉS]],"")</f>
        <v/>
      </c>
      <c r="I48" s="109" t="str">
        <f>IF(PaymentSchedule[[#This Row],[Nº. DE PAGO]]&lt;&gt;"",PaymentSchedule[[#This Row],[SALDO INICIAL]]*(Tasa_De_Interes_Anual/Numero_De_Pagos_Por_Año),"")</f>
        <v/>
      </c>
      <c r="J4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8" s="109" t="str">
        <f>IF(PaymentSchedule[[#This Row],[Nº. DE PAGO]]&lt;&gt;"",SUM(INDEX(PaymentSchedule[INTERÉS],1,1):PaymentSchedule[[#This Row],[INTERÉS]]),"")</f>
        <v/>
      </c>
    </row>
    <row r="49" spans="2:11" x14ac:dyDescent="0.3">
      <c r="B49" s="111" t="str">
        <f>IF(LoanIsGood,IF(ROW()-ROW(PaymentSchedule[[#Headers],[Nº. DE PAGO]])&gt;Numero_De_Pagos_Programados,"",ROW()-ROW(PaymentSchedule[[#Headers],[Nº. DE PAGO]])),"")</f>
        <v/>
      </c>
      <c r="C4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9" s="109" t="str">
        <f>IF(PaymentSchedule[[#This Row],[Nº. DE PAGO]]&lt;&gt;"",Pago_Programado,"")</f>
        <v/>
      </c>
      <c r="F4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9" s="109" t="str">
        <f>IF(PaymentSchedule[[#This Row],[Nº. DE PAGO]]&lt;&gt;"",PaymentSchedule[[#This Row],[IMPORTE TOTAL DEL PAGO]]-PaymentSchedule[[#This Row],[INTERÉS]],"")</f>
        <v/>
      </c>
      <c r="I49" s="109" t="str">
        <f>IF(PaymentSchedule[[#This Row],[Nº. DE PAGO]]&lt;&gt;"",PaymentSchedule[[#This Row],[SALDO INICIAL]]*(Tasa_De_Interes_Anual/Numero_De_Pagos_Por_Año),"")</f>
        <v/>
      </c>
      <c r="J4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9" s="109" t="str">
        <f>IF(PaymentSchedule[[#This Row],[Nº. DE PAGO]]&lt;&gt;"",SUM(INDEX(PaymentSchedule[INTERÉS],1,1):PaymentSchedule[[#This Row],[INTERÉS]]),"")</f>
        <v/>
      </c>
    </row>
    <row r="50" spans="2:11" x14ac:dyDescent="0.3">
      <c r="B50" s="111" t="str">
        <f>IF(LoanIsGood,IF(ROW()-ROW(PaymentSchedule[[#Headers],[Nº. DE PAGO]])&gt;Numero_De_Pagos_Programados,"",ROW()-ROW(PaymentSchedule[[#Headers],[Nº. DE PAGO]])),"")</f>
        <v/>
      </c>
      <c r="C5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0" s="109" t="str">
        <f>IF(PaymentSchedule[[#This Row],[Nº. DE PAGO]]&lt;&gt;"",Pago_Programado,"")</f>
        <v/>
      </c>
      <c r="F5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0" s="109" t="str">
        <f>IF(PaymentSchedule[[#This Row],[Nº. DE PAGO]]&lt;&gt;"",PaymentSchedule[[#This Row],[IMPORTE TOTAL DEL PAGO]]-PaymentSchedule[[#This Row],[INTERÉS]],"")</f>
        <v/>
      </c>
      <c r="I50" s="109" t="str">
        <f>IF(PaymentSchedule[[#This Row],[Nº. DE PAGO]]&lt;&gt;"",PaymentSchedule[[#This Row],[SALDO INICIAL]]*(Tasa_De_Interes_Anual/Numero_De_Pagos_Por_Año),"")</f>
        <v/>
      </c>
      <c r="J5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0" s="109" t="str">
        <f>IF(PaymentSchedule[[#This Row],[Nº. DE PAGO]]&lt;&gt;"",SUM(INDEX(PaymentSchedule[INTERÉS],1,1):PaymentSchedule[[#This Row],[INTERÉS]]),"")</f>
        <v/>
      </c>
    </row>
    <row r="51" spans="2:11" x14ac:dyDescent="0.3">
      <c r="B51" s="111" t="str">
        <f>IF(LoanIsGood,IF(ROW()-ROW(PaymentSchedule[[#Headers],[Nº. DE PAGO]])&gt;Numero_De_Pagos_Programados,"",ROW()-ROW(PaymentSchedule[[#Headers],[Nº. DE PAGO]])),"")</f>
        <v/>
      </c>
      <c r="C5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1" s="109" t="str">
        <f>IF(PaymentSchedule[[#This Row],[Nº. DE PAGO]]&lt;&gt;"",Pago_Programado,"")</f>
        <v/>
      </c>
      <c r="F5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1" s="109" t="str">
        <f>IF(PaymentSchedule[[#This Row],[Nº. DE PAGO]]&lt;&gt;"",PaymentSchedule[[#This Row],[IMPORTE TOTAL DEL PAGO]]-PaymentSchedule[[#This Row],[INTERÉS]],"")</f>
        <v/>
      </c>
      <c r="I51" s="109" t="str">
        <f>IF(PaymentSchedule[[#This Row],[Nº. DE PAGO]]&lt;&gt;"",PaymentSchedule[[#This Row],[SALDO INICIAL]]*(Tasa_De_Interes_Anual/Numero_De_Pagos_Por_Año),"")</f>
        <v/>
      </c>
      <c r="J5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1" s="109" t="str">
        <f>IF(PaymentSchedule[[#This Row],[Nº. DE PAGO]]&lt;&gt;"",SUM(INDEX(PaymentSchedule[INTERÉS],1,1):PaymentSchedule[[#This Row],[INTERÉS]]),"")</f>
        <v/>
      </c>
    </row>
    <row r="52" spans="2:11" x14ac:dyDescent="0.3">
      <c r="B52" s="111" t="str">
        <f>IF(LoanIsGood,IF(ROW()-ROW(PaymentSchedule[[#Headers],[Nº. DE PAGO]])&gt;Numero_De_Pagos_Programados,"",ROW()-ROW(PaymentSchedule[[#Headers],[Nº. DE PAGO]])),"")</f>
        <v/>
      </c>
      <c r="C5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2" s="109" t="str">
        <f>IF(PaymentSchedule[[#This Row],[Nº. DE PAGO]]&lt;&gt;"",Pago_Programado,"")</f>
        <v/>
      </c>
      <c r="F5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2" s="109" t="str">
        <f>IF(PaymentSchedule[[#This Row],[Nº. DE PAGO]]&lt;&gt;"",PaymentSchedule[[#This Row],[IMPORTE TOTAL DEL PAGO]]-PaymentSchedule[[#This Row],[INTERÉS]],"")</f>
        <v/>
      </c>
      <c r="I52" s="109" t="str">
        <f>IF(PaymentSchedule[[#This Row],[Nº. DE PAGO]]&lt;&gt;"",PaymentSchedule[[#This Row],[SALDO INICIAL]]*(Tasa_De_Interes_Anual/Numero_De_Pagos_Por_Año),"")</f>
        <v/>
      </c>
      <c r="J5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2" s="109" t="str">
        <f>IF(PaymentSchedule[[#This Row],[Nº. DE PAGO]]&lt;&gt;"",SUM(INDEX(PaymentSchedule[INTERÉS],1,1):PaymentSchedule[[#This Row],[INTERÉS]]),"")</f>
        <v/>
      </c>
    </row>
    <row r="53" spans="2:11" x14ac:dyDescent="0.3">
      <c r="B53" s="111" t="str">
        <f>IF(LoanIsGood,IF(ROW()-ROW(PaymentSchedule[[#Headers],[Nº. DE PAGO]])&gt;Numero_De_Pagos_Programados,"",ROW()-ROW(PaymentSchedule[[#Headers],[Nº. DE PAGO]])),"")</f>
        <v/>
      </c>
      <c r="C5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3" s="109" t="str">
        <f>IF(PaymentSchedule[[#This Row],[Nº. DE PAGO]]&lt;&gt;"",Pago_Programado,"")</f>
        <v/>
      </c>
      <c r="F5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3" s="109" t="str">
        <f>IF(PaymentSchedule[[#This Row],[Nº. DE PAGO]]&lt;&gt;"",PaymentSchedule[[#This Row],[IMPORTE TOTAL DEL PAGO]]-PaymentSchedule[[#This Row],[INTERÉS]],"")</f>
        <v/>
      </c>
      <c r="I53" s="109" t="str">
        <f>IF(PaymentSchedule[[#This Row],[Nº. DE PAGO]]&lt;&gt;"",PaymentSchedule[[#This Row],[SALDO INICIAL]]*(Tasa_De_Interes_Anual/Numero_De_Pagos_Por_Año),"")</f>
        <v/>
      </c>
      <c r="J5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3" s="109" t="str">
        <f>IF(PaymentSchedule[[#This Row],[Nº. DE PAGO]]&lt;&gt;"",SUM(INDEX(PaymentSchedule[INTERÉS],1,1):PaymentSchedule[[#This Row],[INTERÉS]]),"")</f>
        <v/>
      </c>
    </row>
    <row r="54" spans="2:11" x14ac:dyDescent="0.3">
      <c r="B54" s="111" t="str">
        <f>IF(LoanIsGood,IF(ROW()-ROW(PaymentSchedule[[#Headers],[Nº. DE PAGO]])&gt;Numero_De_Pagos_Programados,"",ROW()-ROW(PaymentSchedule[[#Headers],[Nº. DE PAGO]])),"")</f>
        <v/>
      </c>
      <c r="C5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4" s="109" t="str">
        <f>IF(PaymentSchedule[[#This Row],[Nº. DE PAGO]]&lt;&gt;"",Pago_Programado,"")</f>
        <v/>
      </c>
      <c r="F5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4" s="109" t="str">
        <f>IF(PaymentSchedule[[#This Row],[Nº. DE PAGO]]&lt;&gt;"",PaymentSchedule[[#This Row],[IMPORTE TOTAL DEL PAGO]]-PaymentSchedule[[#This Row],[INTERÉS]],"")</f>
        <v/>
      </c>
      <c r="I54" s="109" t="str">
        <f>IF(PaymentSchedule[[#This Row],[Nº. DE PAGO]]&lt;&gt;"",PaymentSchedule[[#This Row],[SALDO INICIAL]]*(Tasa_De_Interes_Anual/Numero_De_Pagos_Por_Año),"")</f>
        <v/>
      </c>
      <c r="J5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4" s="109" t="str">
        <f>IF(PaymentSchedule[[#This Row],[Nº. DE PAGO]]&lt;&gt;"",SUM(INDEX(PaymentSchedule[INTERÉS],1,1):PaymentSchedule[[#This Row],[INTERÉS]]),"")</f>
        <v/>
      </c>
    </row>
    <row r="55" spans="2:11" x14ac:dyDescent="0.3">
      <c r="B55" s="111" t="str">
        <f>IF(LoanIsGood,IF(ROW()-ROW(PaymentSchedule[[#Headers],[Nº. DE PAGO]])&gt;Numero_De_Pagos_Programados,"",ROW()-ROW(PaymentSchedule[[#Headers],[Nº. DE PAGO]])),"")</f>
        <v/>
      </c>
      <c r="C5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5" s="109" t="str">
        <f>IF(PaymentSchedule[[#This Row],[Nº. DE PAGO]]&lt;&gt;"",Pago_Programado,"")</f>
        <v/>
      </c>
      <c r="F5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5" s="109" t="str">
        <f>IF(PaymentSchedule[[#This Row],[Nº. DE PAGO]]&lt;&gt;"",PaymentSchedule[[#This Row],[IMPORTE TOTAL DEL PAGO]]-PaymentSchedule[[#This Row],[INTERÉS]],"")</f>
        <v/>
      </c>
      <c r="I55" s="109" t="str">
        <f>IF(PaymentSchedule[[#This Row],[Nº. DE PAGO]]&lt;&gt;"",PaymentSchedule[[#This Row],[SALDO INICIAL]]*(Tasa_De_Interes_Anual/Numero_De_Pagos_Por_Año),"")</f>
        <v/>
      </c>
      <c r="J5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5" s="109" t="str">
        <f>IF(PaymentSchedule[[#This Row],[Nº. DE PAGO]]&lt;&gt;"",SUM(INDEX(PaymentSchedule[INTERÉS],1,1):PaymentSchedule[[#This Row],[INTERÉS]]),"")</f>
        <v/>
      </c>
    </row>
    <row r="56" spans="2:11" x14ac:dyDescent="0.3">
      <c r="B56" s="111" t="str">
        <f>IF(LoanIsGood,IF(ROW()-ROW(PaymentSchedule[[#Headers],[Nº. DE PAGO]])&gt;Numero_De_Pagos_Programados,"",ROW()-ROW(PaymentSchedule[[#Headers],[Nº. DE PAGO]])),"")</f>
        <v/>
      </c>
      <c r="C5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6" s="109" t="str">
        <f>IF(PaymentSchedule[[#This Row],[Nº. DE PAGO]]&lt;&gt;"",Pago_Programado,"")</f>
        <v/>
      </c>
      <c r="F5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6" s="109" t="str">
        <f>IF(PaymentSchedule[[#This Row],[Nº. DE PAGO]]&lt;&gt;"",PaymentSchedule[[#This Row],[IMPORTE TOTAL DEL PAGO]]-PaymentSchedule[[#This Row],[INTERÉS]],"")</f>
        <v/>
      </c>
      <c r="I56" s="109" t="str">
        <f>IF(PaymentSchedule[[#This Row],[Nº. DE PAGO]]&lt;&gt;"",PaymentSchedule[[#This Row],[SALDO INICIAL]]*(Tasa_De_Interes_Anual/Numero_De_Pagos_Por_Año),"")</f>
        <v/>
      </c>
      <c r="J5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6" s="109" t="str">
        <f>IF(PaymentSchedule[[#This Row],[Nº. DE PAGO]]&lt;&gt;"",SUM(INDEX(PaymentSchedule[INTERÉS],1,1):PaymentSchedule[[#This Row],[INTERÉS]]),"")</f>
        <v/>
      </c>
    </row>
    <row r="57" spans="2:11" x14ac:dyDescent="0.3">
      <c r="B57" s="111" t="str">
        <f>IF(LoanIsGood,IF(ROW()-ROW(PaymentSchedule[[#Headers],[Nº. DE PAGO]])&gt;Numero_De_Pagos_Programados,"",ROW()-ROW(PaymentSchedule[[#Headers],[Nº. DE PAGO]])),"")</f>
        <v/>
      </c>
      <c r="C5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7" s="109" t="str">
        <f>IF(PaymentSchedule[[#This Row],[Nº. DE PAGO]]&lt;&gt;"",Pago_Programado,"")</f>
        <v/>
      </c>
      <c r="F5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7" s="109" t="str">
        <f>IF(PaymentSchedule[[#This Row],[Nº. DE PAGO]]&lt;&gt;"",PaymentSchedule[[#This Row],[IMPORTE TOTAL DEL PAGO]]-PaymentSchedule[[#This Row],[INTERÉS]],"")</f>
        <v/>
      </c>
      <c r="I57" s="109" t="str">
        <f>IF(PaymentSchedule[[#This Row],[Nº. DE PAGO]]&lt;&gt;"",PaymentSchedule[[#This Row],[SALDO INICIAL]]*(Tasa_De_Interes_Anual/Numero_De_Pagos_Por_Año),"")</f>
        <v/>
      </c>
      <c r="J5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7" s="109" t="str">
        <f>IF(PaymentSchedule[[#This Row],[Nº. DE PAGO]]&lt;&gt;"",SUM(INDEX(PaymentSchedule[INTERÉS],1,1):PaymentSchedule[[#This Row],[INTERÉS]]),"")</f>
        <v/>
      </c>
    </row>
    <row r="58" spans="2:11" x14ac:dyDescent="0.3">
      <c r="B58" s="111" t="str">
        <f>IF(LoanIsGood,IF(ROW()-ROW(PaymentSchedule[[#Headers],[Nº. DE PAGO]])&gt;Numero_De_Pagos_Programados,"",ROW()-ROW(PaymentSchedule[[#Headers],[Nº. DE PAGO]])),"")</f>
        <v/>
      </c>
      <c r="C5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8" s="109" t="str">
        <f>IF(PaymentSchedule[[#This Row],[Nº. DE PAGO]]&lt;&gt;"",Pago_Programado,"")</f>
        <v/>
      </c>
      <c r="F5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8" s="109" t="str">
        <f>IF(PaymentSchedule[[#This Row],[Nº. DE PAGO]]&lt;&gt;"",PaymentSchedule[[#This Row],[IMPORTE TOTAL DEL PAGO]]-PaymentSchedule[[#This Row],[INTERÉS]],"")</f>
        <v/>
      </c>
      <c r="I58" s="109" t="str">
        <f>IF(PaymentSchedule[[#This Row],[Nº. DE PAGO]]&lt;&gt;"",PaymentSchedule[[#This Row],[SALDO INICIAL]]*(Tasa_De_Interes_Anual/Numero_De_Pagos_Por_Año),"")</f>
        <v/>
      </c>
      <c r="J5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8" s="109" t="str">
        <f>IF(PaymentSchedule[[#This Row],[Nº. DE PAGO]]&lt;&gt;"",SUM(INDEX(PaymentSchedule[INTERÉS],1,1):PaymentSchedule[[#This Row],[INTERÉS]]),"")</f>
        <v/>
      </c>
    </row>
    <row r="59" spans="2:11" x14ac:dyDescent="0.3">
      <c r="B59" s="111" t="str">
        <f>IF(LoanIsGood,IF(ROW()-ROW(PaymentSchedule[[#Headers],[Nº. DE PAGO]])&gt;Numero_De_Pagos_Programados,"",ROW()-ROW(PaymentSchedule[[#Headers],[Nº. DE PAGO]])),"")</f>
        <v/>
      </c>
      <c r="C5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9" s="109" t="str">
        <f>IF(PaymentSchedule[[#This Row],[Nº. DE PAGO]]&lt;&gt;"",Pago_Programado,"")</f>
        <v/>
      </c>
      <c r="F5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9" s="109" t="str">
        <f>IF(PaymentSchedule[[#This Row],[Nº. DE PAGO]]&lt;&gt;"",PaymentSchedule[[#This Row],[IMPORTE TOTAL DEL PAGO]]-PaymentSchedule[[#This Row],[INTERÉS]],"")</f>
        <v/>
      </c>
      <c r="I59" s="109" t="str">
        <f>IF(PaymentSchedule[[#This Row],[Nº. DE PAGO]]&lt;&gt;"",PaymentSchedule[[#This Row],[SALDO INICIAL]]*(Tasa_De_Interes_Anual/Numero_De_Pagos_Por_Año),"")</f>
        <v/>
      </c>
      <c r="J5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9" s="109" t="str">
        <f>IF(PaymentSchedule[[#This Row],[Nº. DE PAGO]]&lt;&gt;"",SUM(INDEX(PaymentSchedule[INTERÉS],1,1):PaymentSchedule[[#This Row],[INTERÉS]]),"")</f>
        <v/>
      </c>
    </row>
    <row r="60" spans="2:11" x14ac:dyDescent="0.3">
      <c r="B60" s="111" t="str">
        <f>IF(LoanIsGood,IF(ROW()-ROW(PaymentSchedule[[#Headers],[Nº. DE PAGO]])&gt;Numero_De_Pagos_Programados,"",ROW()-ROW(PaymentSchedule[[#Headers],[Nº. DE PAGO]])),"")</f>
        <v/>
      </c>
      <c r="C6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0" s="109" t="str">
        <f>IF(PaymentSchedule[[#This Row],[Nº. DE PAGO]]&lt;&gt;"",Pago_Programado,"")</f>
        <v/>
      </c>
      <c r="F6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0" s="109" t="str">
        <f>IF(PaymentSchedule[[#This Row],[Nº. DE PAGO]]&lt;&gt;"",PaymentSchedule[[#This Row],[IMPORTE TOTAL DEL PAGO]]-PaymentSchedule[[#This Row],[INTERÉS]],"")</f>
        <v/>
      </c>
      <c r="I60" s="109" t="str">
        <f>IF(PaymentSchedule[[#This Row],[Nº. DE PAGO]]&lt;&gt;"",PaymentSchedule[[#This Row],[SALDO INICIAL]]*(Tasa_De_Interes_Anual/Numero_De_Pagos_Por_Año),"")</f>
        <v/>
      </c>
      <c r="J6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0" s="109" t="str">
        <f>IF(PaymentSchedule[[#This Row],[Nº. DE PAGO]]&lt;&gt;"",SUM(INDEX(PaymentSchedule[INTERÉS],1,1):PaymentSchedule[[#This Row],[INTERÉS]]),"")</f>
        <v/>
      </c>
    </row>
    <row r="61" spans="2:11" x14ac:dyDescent="0.3">
      <c r="B61" s="111" t="str">
        <f>IF(LoanIsGood,IF(ROW()-ROW(PaymentSchedule[[#Headers],[Nº. DE PAGO]])&gt;Numero_De_Pagos_Programados,"",ROW()-ROW(PaymentSchedule[[#Headers],[Nº. DE PAGO]])),"")</f>
        <v/>
      </c>
      <c r="C6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1" s="109" t="str">
        <f>IF(PaymentSchedule[[#This Row],[Nº. DE PAGO]]&lt;&gt;"",Pago_Programado,"")</f>
        <v/>
      </c>
      <c r="F6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1" s="109" t="str">
        <f>IF(PaymentSchedule[[#This Row],[Nº. DE PAGO]]&lt;&gt;"",PaymentSchedule[[#This Row],[IMPORTE TOTAL DEL PAGO]]-PaymentSchedule[[#This Row],[INTERÉS]],"")</f>
        <v/>
      </c>
      <c r="I61" s="109" t="str">
        <f>IF(PaymentSchedule[[#This Row],[Nº. DE PAGO]]&lt;&gt;"",PaymentSchedule[[#This Row],[SALDO INICIAL]]*(Tasa_De_Interes_Anual/Numero_De_Pagos_Por_Año),"")</f>
        <v/>
      </c>
      <c r="J6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1" s="109" t="str">
        <f>IF(PaymentSchedule[[#This Row],[Nº. DE PAGO]]&lt;&gt;"",SUM(INDEX(PaymentSchedule[INTERÉS],1,1):PaymentSchedule[[#This Row],[INTERÉS]]),"")</f>
        <v/>
      </c>
    </row>
    <row r="62" spans="2:11" x14ac:dyDescent="0.3">
      <c r="B62" s="111" t="str">
        <f>IF(LoanIsGood,IF(ROW()-ROW(PaymentSchedule[[#Headers],[Nº. DE PAGO]])&gt;Numero_De_Pagos_Programados,"",ROW()-ROW(PaymentSchedule[[#Headers],[Nº. DE PAGO]])),"")</f>
        <v/>
      </c>
      <c r="C6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2" s="109" t="str">
        <f>IF(PaymentSchedule[[#This Row],[Nº. DE PAGO]]&lt;&gt;"",Pago_Programado,"")</f>
        <v/>
      </c>
      <c r="F6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2" s="109" t="str">
        <f>IF(PaymentSchedule[[#This Row],[Nº. DE PAGO]]&lt;&gt;"",PaymentSchedule[[#This Row],[IMPORTE TOTAL DEL PAGO]]-PaymentSchedule[[#This Row],[INTERÉS]],"")</f>
        <v/>
      </c>
      <c r="I62" s="109" t="str">
        <f>IF(PaymentSchedule[[#This Row],[Nº. DE PAGO]]&lt;&gt;"",PaymentSchedule[[#This Row],[SALDO INICIAL]]*(Tasa_De_Interes_Anual/Numero_De_Pagos_Por_Año),"")</f>
        <v/>
      </c>
      <c r="J6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2" s="109" t="str">
        <f>IF(PaymentSchedule[[#This Row],[Nº. DE PAGO]]&lt;&gt;"",SUM(INDEX(PaymentSchedule[INTERÉS],1,1):PaymentSchedule[[#This Row],[INTERÉS]]),"")</f>
        <v/>
      </c>
    </row>
    <row r="63" spans="2:11" x14ac:dyDescent="0.3">
      <c r="B63" s="111" t="str">
        <f>IF(LoanIsGood,IF(ROW()-ROW(PaymentSchedule[[#Headers],[Nº. DE PAGO]])&gt;Numero_De_Pagos_Programados,"",ROW()-ROW(PaymentSchedule[[#Headers],[Nº. DE PAGO]])),"")</f>
        <v/>
      </c>
      <c r="C6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3" s="109" t="str">
        <f>IF(PaymentSchedule[[#This Row],[Nº. DE PAGO]]&lt;&gt;"",Pago_Programado,"")</f>
        <v/>
      </c>
      <c r="F6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3" s="109" t="str">
        <f>IF(PaymentSchedule[[#This Row],[Nº. DE PAGO]]&lt;&gt;"",PaymentSchedule[[#This Row],[IMPORTE TOTAL DEL PAGO]]-PaymentSchedule[[#This Row],[INTERÉS]],"")</f>
        <v/>
      </c>
      <c r="I63" s="109" t="str">
        <f>IF(PaymentSchedule[[#This Row],[Nº. DE PAGO]]&lt;&gt;"",PaymentSchedule[[#This Row],[SALDO INICIAL]]*(Tasa_De_Interes_Anual/Numero_De_Pagos_Por_Año),"")</f>
        <v/>
      </c>
      <c r="J6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3" s="109" t="str">
        <f>IF(PaymentSchedule[[#This Row],[Nº. DE PAGO]]&lt;&gt;"",SUM(INDEX(PaymentSchedule[INTERÉS],1,1):PaymentSchedule[[#This Row],[INTERÉS]]),"")</f>
        <v/>
      </c>
    </row>
    <row r="64" spans="2:11" x14ac:dyDescent="0.3">
      <c r="B64" s="111" t="str">
        <f>IF(LoanIsGood,IF(ROW()-ROW(PaymentSchedule[[#Headers],[Nº. DE PAGO]])&gt;Numero_De_Pagos_Programados,"",ROW()-ROW(PaymentSchedule[[#Headers],[Nº. DE PAGO]])),"")</f>
        <v/>
      </c>
      <c r="C6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4" s="109" t="str">
        <f>IF(PaymentSchedule[[#This Row],[Nº. DE PAGO]]&lt;&gt;"",Pago_Programado,"")</f>
        <v/>
      </c>
      <c r="F6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4" s="109" t="str">
        <f>IF(PaymentSchedule[[#This Row],[Nº. DE PAGO]]&lt;&gt;"",PaymentSchedule[[#This Row],[IMPORTE TOTAL DEL PAGO]]-PaymentSchedule[[#This Row],[INTERÉS]],"")</f>
        <v/>
      </c>
      <c r="I64" s="109" t="str">
        <f>IF(PaymentSchedule[[#This Row],[Nº. DE PAGO]]&lt;&gt;"",PaymentSchedule[[#This Row],[SALDO INICIAL]]*(Tasa_De_Interes_Anual/Numero_De_Pagos_Por_Año),"")</f>
        <v/>
      </c>
      <c r="J6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4" s="109" t="str">
        <f>IF(PaymentSchedule[[#This Row],[Nº. DE PAGO]]&lt;&gt;"",SUM(INDEX(PaymentSchedule[INTERÉS],1,1):PaymentSchedule[[#This Row],[INTERÉS]]),"")</f>
        <v/>
      </c>
    </row>
    <row r="65" spans="2:11" x14ac:dyDescent="0.3">
      <c r="B65" s="111" t="str">
        <f>IF(LoanIsGood,IF(ROW()-ROW(PaymentSchedule[[#Headers],[Nº. DE PAGO]])&gt;Numero_De_Pagos_Programados,"",ROW()-ROW(PaymentSchedule[[#Headers],[Nº. DE PAGO]])),"")</f>
        <v/>
      </c>
      <c r="C6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5" s="109" t="str">
        <f>IF(PaymentSchedule[[#This Row],[Nº. DE PAGO]]&lt;&gt;"",Pago_Programado,"")</f>
        <v/>
      </c>
      <c r="F6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5" s="109" t="str">
        <f>IF(PaymentSchedule[[#This Row],[Nº. DE PAGO]]&lt;&gt;"",PaymentSchedule[[#This Row],[IMPORTE TOTAL DEL PAGO]]-PaymentSchedule[[#This Row],[INTERÉS]],"")</f>
        <v/>
      </c>
      <c r="I65" s="109" t="str">
        <f>IF(PaymentSchedule[[#This Row],[Nº. DE PAGO]]&lt;&gt;"",PaymentSchedule[[#This Row],[SALDO INICIAL]]*(Tasa_De_Interes_Anual/Numero_De_Pagos_Por_Año),"")</f>
        <v/>
      </c>
      <c r="J6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5" s="109" t="str">
        <f>IF(PaymentSchedule[[#This Row],[Nº. DE PAGO]]&lt;&gt;"",SUM(INDEX(PaymentSchedule[INTERÉS],1,1):PaymentSchedule[[#This Row],[INTERÉS]]),"")</f>
        <v/>
      </c>
    </row>
    <row r="66" spans="2:11" x14ac:dyDescent="0.3">
      <c r="B66" s="111" t="str">
        <f>IF(LoanIsGood,IF(ROW()-ROW(PaymentSchedule[[#Headers],[Nº. DE PAGO]])&gt;Numero_De_Pagos_Programados,"",ROW()-ROW(PaymentSchedule[[#Headers],[Nº. DE PAGO]])),"")</f>
        <v/>
      </c>
      <c r="C6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6" s="109" t="str">
        <f>IF(PaymentSchedule[[#This Row],[Nº. DE PAGO]]&lt;&gt;"",Pago_Programado,"")</f>
        <v/>
      </c>
      <c r="F6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6" s="109" t="str">
        <f>IF(PaymentSchedule[[#This Row],[Nº. DE PAGO]]&lt;&gt;"",PaymentSchedule[[#This Row],[IMPORTE TOTAL DEL PAGO]]-PaymentSchedule[[#This Row],[INTERÉS]],"")</f>
        <v/>
      </c>
      <c r="I66" s="109" t="str">
        <f>IF(PaymentSchedule[[#This Row],[Nº. DE PAGO]]&lt;&gt;"",PaymentSchedule[[#This Row],[SALDO INICIAL]]*(Tasa_De_Interes_Anual/Numero_De_Pagos_Por_Año),"")</f>
        <v/>
      </c>
      <c r="J6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6" s="109" t="str">
        <f>IF(PaymentSchedule[[#This Row],[Nº. DE PAGO]]&lt;&gt;"",SUM(INDEX(PaymentSchedule[INTERÉS],1,1):PaymentSchedule[[#This Row],[INTERÉS]]),"")</f>
        <v/>
      </c>
    </row>
    <row r="67" spans="2:11" x14ac:dyDescent="0.3">
      <c r="B67" s="111" t="str">
        <f>IF(LoanIsGood,IF(ROW()-ROW(PaymentSchedule[[#Headers],[Nº. DE PAGO]])&gt;Numero_De_Pagos_Programados,"",ROW()-ROW(PaymentSchedule[[#Headers],[Nº. DE PAGO]])),"")</f>
        <v/>
      </c>
      <c r="C6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7" s="109" t="str">
        <f>IF(PaymentSchedule[[#This Row],[Nº. DE PAGO]]&lt;&gt;"",Pago_Programado,"")</f>
        <v/>
      </c>
      <c r="F6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7" s="109" t="str">
        <f>IF(PaymentSchedule[[#This Row],[Nº. DE PAGO]]&lt;&gt;"",PaymentSchedule[[#This Row],[IMPORTE TOTAL DEL PAGO]]-PaymentSchedule[[#This Row],[INTERÉS]],"")</f>
        <v/>
      </c>
      <c r="I67" s="109" t="str">
        <f>IF(PaymentSchedule[[#This Row],[Nº. DE PAGO]]&lt;&gt;"",PaymentSchedule[[#This Row],[SALDO INICIAL]]*(Tasa_De_Interes_Anual/Numero_De_Pagos_Por_Año),"")</f>
        <v/>
      </c>
      <c r="J6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7" s="109" t="str">
        <f>IF(PaymentSchedule[[#This Row],[Nº. DE PAGO]]&lt;&gt;"",SUM(INDEX(PaymentSchedule[INTERÉS],1,1):PaymentSchedule[[#This Row],[INTERÉS]]),"")</f>
        <v/>
      </c>
    </row>
    <row r="68" spans="2:11" x14ac:dyDescent="0.3">
      <c r="B68" s="111" t="str">
        <f>IF(LoanIsGood,IF(ROW()-ROW(PaymentSchedule[[#Headers],[Nº. DE PAGO]])&gt;Numero_De_Pagos_Programados,"",ROW()-ROW(PaymentSchedule[[#Headers],[Nº. DE PAGO]])),"")</f>
        <v/>
      </c>
      <c r="C6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8" s="109" t="str">
        <f>IF(PaymentSchedule[[#This Row],[Nº. DE PAGO]]&lt;&gt;"",Pago_Programado,"")</f>
        <v/>
      </c>
      <c r="F6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8" s="109" t="str">
        <f>IF(PaymentSchedule[[#This Row],[Nº. DE PAGO]]&lt;&gt;"",PaymentSchedule[[#This Row],[IMPORTE TOTAL DEL PAGO]]-PaymentSchedule[[#This Row],[INTERÉS]],"")</f>
        <v/>
      </c>
      <c r="I68" s="109" t="str">
        <f>IF(PaymentSchedule[[#This Row],[Nº. DE PAGO]]&lt;&gt;"",PaymentSchedule[[#This Row],[SALDO INICIAL]]*(Tasa_De_Interes_Anual/Numero_De_Pagos_Por_Año),"")</f>
        <v/>
      </c>
      <c r="J6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8" s="109" t="str">
        <f>IF(PaymentSchedule[[#This Row],[Nº. DE PAGO]]&lt;&gt;"",SUM(INDEX(PaymentSchedule[INTERÉS],1,1):PaymentSchedule[[#This Row],[INTERÉS]]),"")</f>
        <v/>
      </c>
    </row>
    <row r="69" spans="2:11" x14ac:dyDescent="0.3">
      <c r="B69" s="111" t="str">
        <f>IF(LoanIsGood,IF(ROW()-ROW(PaymentSchedule[[#Headers],[Nº. DE PAGO]])&gt;Numero_De_Pagos_Programados,"",ROW()-ROW(PaymentSchedule[[#Headers],[Nº. DE PAGO]])),"")</f>
        <v/>
      </c>
      <c r="C6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9" s="109" t="str">
        <f>IF(PaymentSchedule[[#This Row],[Nº. DE PAGO]]&lt;&gt;"",Pago_Programado,"")</f>
        <v/>
      </c>
      <c r="F6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9" s="109" t="str">
        <f>IF(PaymentSchedule[[#This Row],[Nº. DE PAGO]]&lt;&gt;"",PaymentSchedule[[#This Row],[IMPORTE TOTAL DEL PAGO]]-PaymentSchedule[[#This Row],[INTERÉS]],"")</f>
        <v/>
      </c>
      <c r="I69" s="109" t="str">
        <f>IF(PaymentSchedule[[#This Row],[Nº. DE PAGO]]&lt;&gt;"",PaymentSchedule[[#This Row],[SALDO INICIAL]]*(Tasa_De_Interes_Anual/Numero_De_Pagos_Por_Año),"")</f>
        <v/>
      </c>
      <c r="J6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9" s="109" t="str">
        <f>IF(PaymentSchedule[[#This Row],[Nº. DE PAGO]]&lt;&gt;"",SUM(INDEX(PaymentSchedule[INTERÉS],1,1):PaymentSchedule[[#This Row],[INTERÉS]]),"")</f>
        <v/>
      </c>
    </row>
    <row r="70" spans="2:11" x14ac:dyDescent="0.3">
      <c r="B70" s="111" t="str">
        <f>IF(LoanIsGood,IF(ROW()-ROW(PaymentSchedule[[#Headers],[Nº. DE PAGO]])&gt;Numero_De_Pagos_Programados,"",ROW()-ROW(PaymentSchedule[[#Headers],[Nº. DE PAGO]])),"")</f>
        <v/>
      </c>
      <c r="C7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0" s="109" t="str">
        <f>IF(PaymentSchedule[[#This Row],[Nº. DE PAGO]]&lt;&gt;"",Pago_Programado,"")</f>
        <v/>
      </c>
      <c r="F7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0" s="109" t="str">
        <f>IF(PaymentSchedule[[#This Row],[Nº. DE PAGO]]&lt;&gt;"",PaymentSchedule[[#This Row],[IMPORTE TOTAL DEL PAGO]]-PaymentSchedule[[#This Row],[INTERÉS]],"")</f>
        <v/>
      </c>
      <c r="I70" s="109" t="str">
        <f>IF(PaymentSchedule[[#This Row],[Nº. DE PAGO]]&lt;&gt;"",PaymentSchedule[[#This Row],[SALDO INICIAL]]*(Tasa_De_Interes_Anual/Numero_De_Pagos_Por_Año),"")</f>
        <v/>
      </c>
      <c r="J7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0" s="109" t="str">
        <f>IF(PaymentSchedule[[#This Row],[Nº. DE PAGO]]&lt;&gt;"",SUM(INDEX(PaymentSchedule[INTERÉS],1,1):PaymentSchedule[[#This Row],[INTERÉS]]),"")</f>
        <v/>
      </c>
    </row>
    <row r="71" spans="2:11" x14ac:dyDescent="0.3">
      <c r="B71" s="111" t="str">
        <f>IF(LoanIsGood,IF(ROW()-ROW(PaymentSchedule[[#Headers],[Nº. DE PAGO]])&gt;Numero_De_Pagos_Programados,"",ROW()-ROW(PaymentSchedule[[#Headers],[Nº. DE PAGO]])),"")</f>
        <v/>
      </c>
      <c r="C7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1" s="109" t="str">
        <f>IF(PaymentSchedule[[#This Row],[Nº. DE PAGO]]&lt;&gt;"",Pago_Programado,"")</f>
        <v/>
      </c>
      <c r="F7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1" s="109" t="str">
        <f>IF(PaymentSchedule[[#This Row],[Nº. DE PAGO]]&lt;&gt;"",PaymentSchedule[[#This Row],[IMPORTE TOTAL DEL PAGO]]-PaymentSchedule[[#This Row],[INTERÉS]],"")</f>
        <v/>
      </c>
      <c r="I71" s="109" t="str">
        <f>IF(PaymentSchedule[[#This Row],[Nº. DE PAGO]]&lt;&gt;"",PaymentSchedule[[#This Row],[SALDO INICIAL]]*(Tasa_De_Interes_Anual/Numero_De_Pagos_Por_Año),"")</f>
        <v/>
      </c>
      <c r="J7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1" s="109" t="str">
        <f>IF(PaymentSchedule[[#This Row],[Nº. DE PAGO]]&lt;&gt;"",SUM(INDEX(PaymentSchedule[INTERÉS],1,1):PaymentSchedule[[#This Row],[INTERÉS]]),"")</f>
        <v/>
      </c>
    </row>
    <row r="72" spans="2:11" x14ac:dyDescent="0.3">
      <c r="B72" s="111" t="str">
        <f>IF(LoanIsGood,IF(ROW()-ROW(PaymentSchedule[[#Headers],[Nº. DE PAGO]])&gt;Numero_De_Pagos_Programados,"",ROW()-ROW(PaymentSchedule[[#Headers],[Nº. DE PAGO]])),"")</f>
        <v/>
      </c>
      <c r="C7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2" s="109" t="str">
        <f>IF(PaymentSchedule[[#This Row],[Nº. DE PAGO]]&lt;&gt;"",Pago_Programado,"")</f>
        <v/>
      </c>
      <c r="F7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2" s="109" t="str">
        <f>IF(PaymentSchedule[[#This Row],[Nº. DE PAGO]]&lt;&gt;"",PaymentSchedule[[#This Row],[IMPORTE TOTAL DEL PAGO]]-PaymentSchedule[[#This Row],[INTERÉS]],"")</f>
        <v/>
      </c>
      <c r="I72" s="109" t="str">
        <f>IF(PaymentSchedule[[#This Row],[Nº. DE PAGO]]&lt;&gt;"",PaymentSchedule[[#This Row],[SALDO INICIAL]]*(Tasa_De_Interes_Anual/Numero_De_Pagos_Por_Año),"")</f>
        <v/>
      </c>
      <c r="J7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2" s="109" t="str">
        <f>IF(PaymentSchedule[[#This Row],[Nº. DE PAGO]]&lt;&gt;"",SUM(INDEX(PaymentSchedule[INTERÉS],1,1):PaymentSchedule[[#This Row],[INTERÉS]]),"")</f>
        <v/>
      </c>
    </row>
    <row r="73" spans="2:11" x14ac:dyDescent="0.3">
      <c r="B73" s="111" t="str">
        <f>IF(LoanIsGood,IF(ROW()-ROW(PaymentSchedule[[#Headers],[Nº. DE PAGO]])&gt;Numero_De_Pagos_Programados,"",ROW()-ROW(PaymentSchedule[[#Headers],[Nº. DE PAGO]])),"")</f>
        <v/>
      </c>
      <c r="C7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3" s="109" t="str">
        <f>IF(PaymentSchedule[[#This Row],[Nº. DE PAGO]]&lt;&gt;"",Pago_Programado,"")</f>
        <v/>
      </c>
      <c r="F7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3" s="109" t="str">
        <f>IF(PaymentSchedule[[#This Row],[Nº. DE PAGO]]&lt;&gt;"",PaymentSchedule[[#This Row],[IMPORTE TOTAL DEL PAGO]]-PaymentSchedule[[#This Row],[INTERÉS]],"")</f>
        <v/>
      </c>
      <c r="I73" s="109" t="str">
        <f>IF(PaymentSchedule[[#This Row],[Nº. DE PAGO]]&lt;&gt;"",PaymentSchedule[[#This Row],[SALDO INICIAL]]*(Tasa_De_Interes_Anual/Numero_De_Pagos_Por_Año),"")</f>
        <v/>
      </c>
      <c r="J7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3" s="109" t="str">
        <f>IF(PaymentSchedule[[#This Row],[Nº. DE PAGO]]&lt;&gt;"",SUM(INDEX(PaymentSchedule[INTERÉS],1,1):PaymentSchedule[[#This Row],[INTERÉS]]),"")</f>
        <v/>
      </c>
    </row>
    <row r="74" spans="2:11" x14ac:dyDescent="0.3">
      <c r="B74" s="111" t="str">
        <f>IF(LoanIsGood,IF(ROW()-ROW(PaymentSchedule[[#Headers],[Nº. DE PAGO]])&gt;Numero_De_Pagos_Programados,"",ROW()-ROW(PaymentSchedule[[#Headers],[Nº. DE PAGO]])),"")</f>
        <v/>
      </c>
      <c r="C7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4" s="109" t="str">
        <f>IF(PaymentSchedule[[#This Row],[Nº. DE PAGO]]&lt;&gt;"",Pago_Programado,"")</f>
        <v/>
      </c>
      <c r="F7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4" s="109" t="str">
        <f>IF(PaymentSchedule[[#This Row],[Nº. DE PAGO]]&lt;&gt;"",PaymentSchedule[[#This Row],[IMPORTE TOTAL DEL PAGO]]-PaymentSchedule[[#This Row],[INTERÉS]],"")</f>
        <v/>
      </c>
      <c r="I74" s="109" t="str">
        <f>IF(PaymentSchedule[[#This Row],[Nº. DE PAGO]]&lt;&gt;"",PaymentSchedule[[#This Row],[SALDO INICIAL]]*(Tasa_De_Interes_Anual/Numero_De_Pagos_Por_Año),"")</f>
        <v/>
      </c>
      <c r="J7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4" s="109" t="str">
        <f>IF(PaymentSchedule[[#This Row],[Nº. DE PAGO]]&lt;&gt;"",SUM(INDEX(PaymentSchedule[INTERÉS],1,1):PaymentSchedule[[#This Row],[INTERÉS]]),"")</f>
        <v/>
      </c>
    </row>
    <row r="75" spans="2:11" x14ac:dyDescent="0.3">
      <c r="B75" s="111" t="str">
        <f>IF(LoanIsGood,IF(ROW()-ROW(PaymentSchedule[[#Headers],[Nº. DE PAGO]])&gt;Numero_De_Pagos_Programados,"",ROW()-ROW(PaymentSchedule[[#Headers],[Nº. DE PAGO]])),"")</f>
        <v/>
      </c>
      <c r="C7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5" s="109" t="str">
        <f>IF(PaymentSchedule[[#This Row],[Nº. DE PAGO]]&lt;&gt;"",Pago_Programado,"")</f>
        <v/>
      </c>
      <c r="F7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5" s="109" t="str">
        <f>IF(PaymentSchedule[[#This Row],[Nº. DE PAGO]]&lt;&gt;"",PaymentSchedule[[#This Row],[IMPORTE TOTAL DEL PAGO]]-PaymentSchedule[[#This Row],[INTERÉS]],"")</f>
        <v/>
      </c>
      <c r="I75" s="109" t="str">
        <f>IF(PaymentSchedule[[#This Row],[Nº. DE PAGO]]&lt;&gt;"",PaymentSchedule[[#This Row],[SALDO INICIAL]]*(Tasa_De_Interes_Anual/Numero_De_Pagos_Por_Año),"")</f>
        <v/>
      </c>
      <c r="J7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5" s="109" t="str">
        <f>IF(PaymentSchedule[[#This Row],[Nº. DE PAGO]]&lt;&gt;"",SUM(INDEX(PaymentSchedule[INTERÉS],1,1):PaymentSchedule[[#This Row],[INTERÉS]]),"")</f>
        <v/>
      </c>
    </row>
    <row r="76" spans="2:11" x14ac:dyDescent="0.3">
      <c r="B76" s="111" t="str">
        <f>IF(LoanIsGood,IF(ROW()-ROW(PaymentSchedule[[#Headers],[Nº. DE PAGO]])&gt;Numero_De_Pagos_Programados,"",ROW()-ROW(PaymentSchedule[[#Headers],[Nº. DE PAGO]])),"")</f>
        <v/>
      </c>
      <c r="C7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6" s="109" t="str">
        <f>IF(PaymentSchedule[[#This Row],[Nº. DE PAGO]]&lt;&gt;"",Pago_Programado,"")</f>
        <v/>
      </c>
      <c r="F7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6" s="109" t="str">
        <f>IF(PaymentSchedule[[#This Row],[Nº. DE PAGO]]&lt;&gt;"",PaymentSchedule[[#This Row],[IMPORTE TOTAL DEL PAGO]]-PaymentSchedule[[#This Row],[INTERÉS]],"")</f>
        <v/>
      </c>
      <c r="I76" s="109" t="str">
        <f>IF(PaymentSchedule[[#This Row],[Nº. DE PAGO]]&lt;&gt;"",PaymentSchedule[[#This Row],[SALDO INICIAL]]*(Tasa_De_Interes_Anual/Numero_De_Pagos_Por_Año),"")</f>
        <v/>
      </c>
      <c r="J7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6" s="109" t="str">
        <f>IF(PaymentSchedule[[#This Row],[Nº. DE PAGO]]&lt;&gt;"",SUM(INDEX(PaymentSchedule[INTERÉS],1,1):PaymentSchedule[[#This Row],[INTERÉS]]),"")</f>
        <v/>
      </c>
    </row>
    <row r="77" spans="2:11" x14ac:dyDescent="0.3">
      <c r="B77" s="111" t="str">
        <f>IF(LoanIsGood,IF(ROW()-ROW(PaymentSchedule[[#Headers],[Nº. DE PAGO]])&gt;Numero_De_Pagos_Programados,"",ROW()-ROW(PaymentSchedule[[#Headers],[Nº. DE PAGO]])),"")</f>
        <v/>
      </c>
      <c r="C7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7" s="109" t="str">
        <f>IF(PaymentSchedule[[#This Row],[Nº. DE PAGO]]&lt;&gt;"",Pago_Programado,"")</f>
        <v/>
      </c>
      <c r="F7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7" s="109" t="str">
        <f>IF(PaymentSchedule[[#This Row],[Nº. DE PAGO]]&lt;&gt;"",PaymentSchedule[[#This Row],[IMPORTE TOTAL DEL PAGO]]-PaymentSchedule[[#This Row],[INTERÉS]],"")</f>
        <v/>
      </c>
      <c r="I77" s="109" t="str">
        <f>IF(PaymentSchedule[[#This Row],[Nº. DE PAGO]]&lt;&gt;"",PaymentSchedule[[#This Row],[SALDO INICIAL]]*(Tasa_De_Interes_Anual/Numero_De_Pagos_Por_Año),"")</f>
        <v/>
      </c>
      <c r="J7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7" s="109" t="str">
        <f>IF(PaymentSchedule[[#This Row],[Nº. DE PAGO]]&lt;&gt;"",SUM(INDEX(PaymentSchedule[INTERÉS],1,1):PaymentSchedule[[#This Row],[INTERÉS]]),"")</f>
        <v/>
      </c>
    </row>
    <row r="78" spans="2:11" x14ac:dyDescent="0.3">
      <c r="B78" s="111" t="str">
        <f>IF(LoanIsGood,IF(ROW()-ROW(PaymentSchedule[[#Headers],[Nº. DE PAGO]])&gt;Numero_De_Pagos_Programados,"",ROW()-ROW(PaymentSchedule[[#Headers],[Nº. DE PAGO]])),"")</f>
        <v/>
      </c>
      <c r="C7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8" s="109" t="str">
        <f>IF(PaymentSchedule[[#This Row],[Nº. DE PAGO]]&lt;&gt;"",Pago_Programado,"")</f>
        <v/>
      </c>
      <c r="F7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8" s="109" t="str">
        <f>IF(PaymentSchedule[[#This Row],[Nº. DE PAGO]]&lt;&gt;"",PaymentSchedule[[#This Row],[IMPORTE TOTAL DEL PAGO]]-PaymentSchedule[[#This Row],[INTERÉS]],"")</f>
        <v/>
      </c>
      <c r="I78" s="109" t="str">
        <f>IF(PaymentSchedule[[#This Row],[Nº. DE PAGO]]&lt;&gt;"",PaymentSchedule[[#This Row],[SALDO INICIAL]]*(Tasa_De_Interes_Anual/Numero_De_Pagos_Por_Año),"")</f>
        <v/>
      </c>
      <c r="J7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8" s="109" t="str">
        <f>IF(PaymentSchedule[[#This Row],[Nº. DE PAGO]]&lt;&gt;"",SUM(INDEX(PaymentSchedule[INTERÉS],1,1):PaymentSchedule[[#This Row],[INTERÉS]]),"")</f>
        <v/>
      </c>
    </row>
    <row r="79" spans="2:11" x14ac:dyDescent="0.3">
      <c r="B79" s="111" t="str">
        <f>IF(LoanIsGood,IF(ROW()-ROW(PaymentSchedule[[#Headers],[Nº. DE PAGO]])&gt;Numero_De_Pagos_Programados,"",ROW()-ROW(PaymentSchedule[[#Headers],[Nº. DE PAGO]])),"")</f>
        <v/>
      </c>
      <c r="C7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9" s="109" t="str">
        <f>IF(PaymentSchedule[[#This Row],[Nº. DE PAGO]]&lt;&gt;"",Pago_Programado,"")</f>
        <v/>
      </c>
      <c r="F7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9" s="109" t="str">
        <f>IF(PaymentSchedule[[#This Row],[Nº. DE PAGO]]&lt;&gt;"",PaymentSchedule[[#This Row],[IMPORTE TOTAL DEL PAGO]]-PaymentSchedule[[#This Row],[INTERÉS]],"")</f>
        <v/>
      </c>
      <c r="I79" s="109" t="str">
        <f>IF(PaymentSchedule[[#This Row],[Nº. DE PAGO]]&lt;&gt;"",PaymentSchedule[[#This Row],[SALDO INICIAL]]*(Tasa_De_Interes_Anual/Numero_De_Pagos_Por_Año),"")</f>
        <v/>
      </c>
      <c r="J7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9" s="109" t="str">
        <f>IF(PaymentSchedule[[#This Row],[Nº. DE PAGO]]&lt;&gt;"",SUM(INDEX(PaymentSchedule[INTERÉS],1,1):PaymentSchedule[[#This Row],[INTERÉS]]),"")</f>
        <v/>
      </c>
    </row>
    <row r="80" spans="2:11" x14ac:dyDescent="0.3">
      <c r="B80" s="111" t="str">
        <f>IF(LoanIsGood,IF(ROW()-ROW(PaymentSchedule[[#Headers],[Nº. DE PAGO]])&gt;Numero_De_Pagos_Programados,"",ROW()-ROW(PaymentSchedule[[#Headers],[Nº. DE PAGO]])),"")</f>
        <v/>
      </c>
      <c r="C8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0" s="109" t="str">
        <f>IF(PaymentSchedule[[#This Row],[Nº. DE PAGO]]&lt;&gt;"",Pago_Programado,"")</f>
        <v/>
      </c>
      <c r="F8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0" s="109" t="str">
        <f>IF(PaymentSchedule[[#This Row],[Nº. DE PAGO]]&lt;&gt;"",PaymentSchedule[[#This Row],[IMPORTE TOTAL DEL PAGO]]-PaymentSchedule[[#This Row],[INTERÉS]],"")</f>
        <v/>
      </c>
      <c r="I80" s="109" t="str">
        <f>IF(PaymentSchedule[[#This Row],[Nº. DE PAGO]]&lt;&gt;"",PaymentSchedule[[#This Row],[SALDO INICIAL]]*(Tasa_De_Interes_Anual/Numero_De_Pagos_Por_Año),"")</f>
        <v/>
      </c>
      <c r="J8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0" s="109" t="str">
        <f>IF(PaymentSchedule[[#This Row],[Nº. DE PAGO]]&lt;&gt;"",SUM(INDEX(PaymentSchedule[INTERÉS],1,1):PaymentSchedule[[#This Row],[INTERÉS]]),"")</f>
        <v/>
      </c>
    </row>
    <row r="81" spans="2:11" x14ac:dyDescent="0.3">
      <c r="B81" s="111" t="str">
        <f>IF(LoanIsGood,IF(ROW()-ROW(PaymentSchedule[[#Headers],[Nº. DE PAGO]])&gt;Numero_De_Pagos_Programados,"",ROW()-ROW(PaymentSchedule[[#Headers],[Nº. DE PAGO]])),"")</f>
        <v/>
      </c>
      <c r="C8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1" s="109" t="str">
        <f>IF(PaymentSchedule[[#This Row],[Nº. DE PAGO]]&lt;&gt;"",Pago_Programado,"")</f>
        <v/>
      </c>
      <c r="F8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1" s="109" t="str">
        <f>IF(PaymentSchedule[[#This Row],[Nº. DE PAGO]]&lt;&gt;"",PaymentSchedule[[#This Row],[IMPORTE TOTAL DEL PAGO]]-PaymentSchedule[[#This Row],[INTERÉS]],"")</f>
        <v/>
      </c>
      <c r="I81" s="109" t="str">
        <f>IF(PaymentSchedule[[#This Row],[Nº. DE PAGO]]&lt;&gt;"",PaymentSchedule[[#This Row],[SALDO INICIAL]]*(Tasa_De_Interes_Anual/Numero_De_Pagos_Por_Año),"")</f>
        <v/>
      </c>
      <c r="J8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1" s="109" t="str">
        <f>IF(PaymentSchedule[[#This Row],[Nº. DE PAGO]]&lt;&gt;"",SUM(INDEX(PaymentSchedule[INTERÉS],1,1):PaymentSchedule[[#This Row],[INTERÉS]]),"")</f>
        <v/>
      </c>
    </row>
    <row r="82" spans="2:11" x14ac:dyDescent="0.3">
      <c r="B82" s="111" t="str">
        <f>IF(LoanIsGood,IF(ROW()-ROW(PaymentSchedule[[#Headers],[Nº. DE PAGO]])&gt;Numero_De_Pagos_Programados,"",ROW()-ROW(PaymentSchedule[[#Headers],[Nº. DE PAGO]])),"")</f>
        <v/>
      </c>
      <c r="C8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2" s="109" t="str">
        <f>IF(PaymentSchedule[[#This Row],[Nº. DE PAGO]]&lt;&gt;"",Pago_Programado,"")</f>
        <v/>
      </c>
      <c r="F8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2" s="109" t="str">
        <f>IF(PaymentSchedule[[#This Row],[Nº. DE PAGO]]&lt;&gt;"",PaymentSchedule[[#This Row],[IMPORTE TOTAL DEL PAGO]]-PaymentSchedule[[#This Row],[INTERÉS]],"")</f>
        <v/>
      </c>
      <c r="I82" s="109" t="str">
        <f>IF(PaymentSchedule[[#This Row],[Nº. DE PAGO]]&lt;&gt;"",PaymentSchedule[[#This Row],[SALDO INICIAL]]*(Tasa_De_Interes_Anual/Numero_De_Pagos_Por_Año),"")</f>
        <v/>
      </c>
      <c r="J8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2" s="109" t="str">
        <f>IF(PaymentSchedule[[#This Row],[Nº. DE PAGO]]&lt;&gt;"",SUM(INDEX(PaymentSchedule[INTERÉS],1,1):PaymentSchedule[[#This Row],[INTERÉS]]),"")</f>
        <v/>
      </c>
    </row>
    <row r="83" spans="2:11" x14ac:dyDescent="0.3">
      <c r="B83" s="111" t="str">
        <f>IF(LoanIsGood,IF(ROW()-ROW(PaymentSchedule[[#Headers],[Nº. DE PAGO]])&gt;Numero_De_Pagos_Programados,"",ROW()-ROW(PaymentSchedule[[#Headers],[Nº. DE PAGO]])),"")</f>
        <v/>
      </c>
      <c r="C8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3" s="109" t="str">
        <f>IF(PaymentSchedule[[#This Row],[Nº. DE PAGO]]&lt;&gt;"",Pago_Programado,"")</f>
        <v/>
      </c>
      <c r="F8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3" s="109" t="str">
        <f>IF(PaymentSchedule[[#This Row],[Nº. DE PAGO]]&lt;&gt;"",PaymentSchedule[[#This Row],[IMPORTE TOTAL DEL PAGO]]-PaymentSchedule[[#This Row],[INTERÉS]],"")</f>
        <v/>
      </c>
      <c r="I83" s="109" t="str">
        <f>IF(PaymentSchedule[[#This Row],[Nº. DE PAGO]]&lt;&gt;"",PaymentSchedule[[#This Row],[SALDO INICIAL]]*(Tasa_De_Interes_Anual/Numero_De_Pagos_Por_Año),"")</f>
        <v/>
      </c>
      <c r="J8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3" s="109" t="str">
        <f>IF(PaymentSchedule[[#This Row],[Nº. DE PAGO]]&lt;&gt;"",SUM(INDEX(PaymentSchedule[INTERÉS],1,1):PaymentSchedule[[#This Row],[INTERÉS]]),"")</f>
        <v/>
      </c>
    </row>
    <row r="84" spans="2:11" x14ac:dyDescent="0.3">
      <c r="B84" s="111" t="str">
        <f>IF(LoanIsGood,IF(ROW()-ROW(PaymentSchedule[[#Headers],[Nº. DE PAGO]])&gt;Numero_De_Pagos_Programados,"",ROW()-ROW(PaymentSchedule[[#Headers],[Nº. DE PAGO]])),"")</f>
        <v/>
      </c>
      <c r="C8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4" s="109" t="str">
        <f>IF(PaymentSchedule[[#This Row],[Nº. DE PAGO]]&lt;&gt;"",Pago_Programado,"")</f>
        <v/>
      </c>
      <c r="F8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4" s="109" t="str">
        <f>IF(PaymentSchedule[[#This Row],[Nº. DE PAGO]]&lt;&gt;"",PaymentSchedule[[#This Row],[IMPORTE TOTAL DEL PAGO]]-PaymentSchedule[[#This Row],[INTERÉS]],"")</f>
        <v/>
      </c>
      <c r="I84" s="109" t="str">
        <f>IF(PaymentSchedule[[#This Row],[Nº. DE PAGO]]&lt;&gt;"",PaymentSchedule[[#This Row],[SALDO INICIAL]]*(Tasa_De_Interes_Anual/Numero_De_Pagos_Por_Año),"")</f>
        <v/>
      </c>
      <c r="J8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4" s="109" t="str">
        <f>IF(PaymentSchedule[[#This Row],[Nº. DE PAGO]]&lt;&gt;"",SUM(INDEX(PaymentSchedule[INTERÉS],1,1):PaymentSchedule[[#This Row],[INTERÉS]]),"")</f>
        <v/>
      </c>
    </row>
    <row r="85" spans="2:11" x14ac:dyDescent="0.3">
      <c r="B85" s="111" t="str">
        <f>IF(LoanIsGood,IF(ROW()-ROW(PaymentSchedule[[#Headers],[Nº. DE PAGO]])&gt;Numero_De_Pagos_Programados,"",ROW()-ROW(PaymentSchedule[[#Headers],[Nº. DE PAGO]])),"")</f>
        <v/>
      </c>
      <c r="C8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5" s="109" t="str">
        <f>IF(PaymentSchedule[[#This Row],[Nº. DE PAGO]]&lt;&gt;"",Pago_Programado,"")</f>
        <v/>
      </c>
      <c r="F8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5" s="109" t="str">
        <f>IF(PaymentSchedule[[#This Row],[Nº. DE PAGO]]&lt;&gt;"",PaymentSchedule[[#This Row],[IMPORTE TOTAL DEL PAGO]]-PaymentSchedule[[#This Row],[INTERÉS]],"")</f>
        <v/>
      </c>
      <c r="I85" s="109" t="str">
        <f>IF(PaymentSchedule[[#This Row],[Nº. DE PAGO]]&lt;&gt;"",PaymentSchedule[[#This Row],[SALDO INICIAL]]*(Tasa_De_Interes_Anual/Numero_De_Pagos_Por_Año),"")</f>
        <v/>
      </c>
      <c r="J8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5" s="109" t="str">
        <f>IF(PaymentSchedule[[#This Row],[Nº. DE PAGO]]&lt;&gt;"",SUM(INDEX(PaymentSchedule[INTERÉS],1,1):PaymentSchedule[[#This Row],[INTERÉS]]),"")</f>
        <v/>
      </c>
    </row>
    <row r="86" spans="2:11" x14ac:dyDescent="0.3">
      <c r="B86" s="111" t="str">
        <f>IF(LoanIsGood,IF(ROW()-ROW(PaymentSchedule[[#Headers],[Nº. DE PAGO]])&gt;Numero_De_Pagos_Programados,"",ROW()-ROW(PaymentSchedule[[#Headers],[Nº. DE PAGO]])),"")</f>
        <v/>
      </c>
      <c r="C8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6" s="109" t="str">
        <f>IF(PaymentSchedule[[#This Row],[Nº. DE PAGO]]&lt;&gt;"",Pago_Programado,"")</f>
        <v/>
      </c>
      <c r="F8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6" s="109" t="str">
        <f>IF(PaymentSchedule[[#This Row],[Nº. DE PAGO]]&lt;&gt;"",PaymentSchedule[[#This Row],[IMPORTE TOTAL DEL PAGO]]-PaymentSchedule[[#This Row],[INTERÉS]],"")</f>
        <v/>
      </c>
      <c r="I86" s="109" t="str">
        <f>IF(PaymentSchedule[[#This Row],[Nº. DE PAGO]]&lt;&gt;"",PaymentSchedule[[#This Row],[SALDO INICIAL]]*(Tasa_De_Interes_Anual/Numero_De_Pagos_Por_Año),"")</f>
        <v/>
      </c>
      <c r="J8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6" s="109" t="str">
        <f>IF(PaymentSchedule[[#This Row],[Nº. DE PAGO]]&lt;&gt;"",SUM(INDEX(PaymentSchedule[INTERÉS],1,1):PaymentSchedule[[#This Row],[INTERÉS]]),"")</f>
        <v/>
      </c>
    </row>
    <row r="87" spans="2:11" x14ac:dyDescent="0.3">
      <c r="B87" s="111" t="str">
        <f>IF(LoanIsGood,IF(ROW()-ROW(PaymentSchedule[[#Headers],[Nº. DE PAGO]])&gt;Numero_De_Pagos_Programados,"",ROW()-ROW(PaymentSchedule[[#Headers],[Nº. DE PAGO]])),"")</f>
        <v/>
      </c>
      <c r="C8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7" s="109" t="str">
        <f>IF(PaymentSchedule[[#This Row],[Nº. DE PAGO]]&lt;&gt;"",Pago_Programado,"")</f>
        <v/>
      </c>
      <c r="F8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7" s="109" t="str">
        <f>IF(PaymentSchedule[[#This Row],[Nº. DE PAGO]]&lt;&gt;"",PaymentSchedule[[#This Row],[IMPORTE TOTAL DEL PAGO]]-PaymentSchedule[[#This Row],[INTERÉS]],"")</f>
        <v/>
      </c>
      <c r="I87" s="109" t="str">
        <f>IF(PaymentSchedule[[#This Row],[Nº. DE PAGO]]&lt;&gt;"",PaymentSchedule[[#This Row],[SALDO INICIAL]]*(Tasa_De_Interes_Anual/Numero_De_Pagos_Por_Año),"")</f>
        <v/>
      </c>
      <c r="J8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7" s="109" t="str">
        <f>IF(PaymentSchedule[[#This Row],[Nº. DE PAGO]]&lt;&gt;"",SUM(INDEX(PaymentSchedule[INTERÉS],1,1):PaymentSchedule[[#This Row],[INTERÉS]]),"")</f>
        <v/>
      </c>
    </row>
    <row r="88" spans="2:11" x14ac:dyDescent="0.3">
      <c r="B88" s="111" t="str">
        <f>IF(LoanIsGood,IF(ROW()-ROW(PaymentSchedule[[#Headers],[Nº. DE PAGO]])&gt;Numero_De_Pagos_Programados,"",ROW()-ROW(PaymentSchedule[[#Headers],[Nº. DE PAGO]])),"")</f>
        <v/>
      </c>
      <c r="C8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8" s="109" t="str">
        <f>IF(PaymentSchedule[[#This Row],[Nº. DE PAGO]]&lt;&gt;"",Pago_Programado,"")</f>
        <v/>
      </c>
      <c r="F8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8" s="109" t="str">
        <f>IF(PaymentSchedule[[#This Row],[Nº. DE PAGO]]&lt;&gt;"",PaymentSchedule[[#This Row],[IMPORTE TOTAL DEL PAGO]]-PaymentSchedule[[#This Row],[INTERÉS]],"")</f>
        <v/>
      </c>
      <c r="I88" s="109" t="str">
        <f>IF(PaymentSchedule[[#This Row],[Nº. DE PAGO]]&lt;&gt;"",PaymentSchedule[[#This Row],[SALDO INICIAL]]*(Tasa_De_Interes_Anual/Numero_De_Pagos_Por_Año),"")</f>
        <v/>
      </c>
      <c r="J8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8" s="109" t="str">
        <f>IF(PaymentSchedule[[#This Row],[Nº. DE PAGO]]&lt;&gt;"",SUM(INDEX(PaymentSchedule[INTERÉS],1,1):PaymentSchedule[[#This Row],[INTERÉS]]),"")</f>
        <v/>
      </c>
    </row>
    <row r="89" spans="2:11" x14ac:dyDescent="0.3">
      <c r="B89" s="111" t="str">
        <f>IF(LoanIsGood,IF(ROW()-ROW(PaymentSchedule[[#Headers],[Nº. DE PAGO]])&gt;Numero_De_Pagos_Programados,"",ROW()-ROW(PaymentSchedule[[#Headers],[Nº. DE PAGO]])),"")</f>
        <v/>
      </c>
      <c r="C8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9" s="109" t="str">
        <f>IF(PaymentSchedule[[#This Row],[Nº. DE PAGO]]&lt;&gt;"",Pago_Programado,"")</f>
        <v/>
      </c>
      <c r="F8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9" s="109" t="str">
        <f>IF(PaymentSchedule[[#This Row],[Nº. DE PAGO]]&lt;&gt;"",PaymentSchedule[[#This Row],[IMPORTE TOTAL DEL PAGO]]-PaymentSchedule[[#This Row],[INTERÉS]],"")</f>
        <v/>
      </c>
      <c r="I89" s="109" t="str">
        <f>IF(PaymentSchedule[[#This Row],[Nº. DE PAGO]]&lt;&gt;"",PaymentSchedule[[#This Row],[SALDO INICIAL]]*(Tasa_De_Interes_Anual/Numero_De_Pagos_Por_Año),"")</f>
        <v/>
      </c>
      <c r="J8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9" s="109" t="str">
        <f>IF(PaymentSchedule[[#This Row],[Nº. DE PAGO]]&lt;&gt;"",SUM(INDEX(PaymentSchedule[INTERÉS],1,1):PaymentSchedule[[#This Row],[INTERÉS]]),"")</f>
        <v/>
      </c>
    </row>
    <row r="90" spans="2:11" x14ac:dyDescent="0.3">
      <c r="B90" s="111" t="str">
        <f>IF(LoanIsGood,IF(ROW()-ROW(PaymentSchedule[[#Headers],[Nº. DE PAGO]])&gt;Numero_De_Pagos_Programados,"",ROW()-ROW(PaymentSchedule[[#Headers],[Nº. DE PAGO]])),"")</f>
        <v/>
      </c>
      <c r="C9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0" s="109" t="str">
        <f>IF(PaymentSchedule[[#This Row],[Nº. DE PAGO]]&lt;&gt;"",Pago_Programado,"")</f>
        <v/>
      </c>
      <c r="F9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0" s="109" t="str">
        <f>IF(PaymentSchedule[[#This Row],[Nº. DE PAGO]]&lt;&gt;"",PaymentSchedule[[#This Row],[IMPORTE TOTAL DEL PAGO]]-PaymentSchedule[[#This Row],[INTERÉS]],"")</f>
        <v/>
      </c>
      <c r="I90" s="109" t="str">
        <f>IF(PaymentSchedule[[#This Row],[Nº. DE PAGO]]&lt;&gt;"",PaymentSchedule[[#This Row],[SALDO INICIAL]]*(Tasa_De_Interes_Anual/Numero_De_Pagos_Por_Año),"")</f>
        <v/>
      </c>
      <c r="J9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0" s="109" t="str">
        <f>IF(PaymentSchedule[[#This Row],[Nº. DE PAGO]]&lt;&gt;"",SUM(INDEX(PaymentSchedule[INTERÉS],1,1):PaymentSchedule[[#This Row],[INTERÉS]]),"")</f>
        <v/>
      </c>
    </row>
    <row r="91" spans="2:11" x14ac:dyDescent="0.3">
      <c r="B91" s="111" t="str">
        <f>IF(LoanIsGood,IF(ROW()-ROW(PaymentSchedule[[#Headers],[Nº. DE PAGO]])&gt;Numero_De_Pagos_Programados,"",ROW()-ROW(PaymentSchedule[[#Headers],[Nº. DE PAGO]])),"")</f>
        <v/>
      </c>
      <c r="C9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1" s="109" t="str">
        <f>IF(PaymentSchedule[[#This Row],[Nº. DE PAGO]]&lt;&gt;"",Pago_Programado,"")</f>
        <v/>
      </c>
      <c r="F9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1" s="109" t="str">
        <f>IF(PaymentSchedule[[#This Row],[Nº. DE PAGO]]&lt;&gt;"",PaymentSchedule[[#This Row],[IMPORTE TOTAL DEL PAGO]]-PaymentSchedule[[#This Row],[INTERÉS]],"")</f>
        <v/>
      </c>
      <c r="I91" s="109" t="str">
        <f>IF(PaymentSchedule[[#This Row],[Nº. DE PAGO]]&lt;&gt;"",PaymentSchedule[[#This Row],[SALDO INICIAL]]*(Tasa_De_Interes_Anual/Numero_De_Pagos_Por_Año),"")</f>
        <v/>
      </c>
      <c r="J9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1" s="109" t="str">
        <f>IF(PaymentSchedule[[#This Row],[Nº. DE PAGO]]&lt;&gt;"",SUM(INDEX(PaymentSchedule[INTERÉS],1,1):PaymentSchedule[[#This Row],[INTERÉS]]),"")</f>
        <v/>
      </c>
    </row>
    <row r="92" spans="2:11" x14ac:dyDescent="0.3">
      <c r="B92" s="111" t="str">
        <f>IF(LoanIsGood,IF(ROW()-ROW(PaymentSchedule[[#Headers],[Nº. DE PAGO]])&gt;Numero_De_Pagos_Programados,"",ROW()-ROW(PaymentSchedule[[#Headers],[Nº. DE PAGO]])),"")</f>
        <v/>
      </c>
      <c r="C9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2" s="109" t="str">
        <f>IF(PaymentSchedule[[#This Row],[Nº. DE PAGO]]&lt;&gt;"",Pago_Programado,"")</f>
        <v/>
      </c>
      <c r="F9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2" s="109" t="str">
        <f>IF(PaymentSchedule[[#This Row],[Nº. DE PAGO]]&lt;&gt;"",PaymentSchedule[[#This Row],[IMPORTE TOTAL DEL PAGO]]-PaymentSchedule[[#This Row],[INTERÉS]],"")</f>
        <v/>
      </c>
      <c r="I92" s="109" t="str">
        <f>IF(PaymentSchedule[[#This Row],[Nº. DE PAGO]]&lt;&gt;"",PaymentSchedule[[#This Row],[SALDO INICIAL]]*(Tasa_De_Interes_Anual/Numero_De_Pagos_Por_Año),"")</f>
        <v/>
      </c>
      <c r="J9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2" s="109" t="str">
        <f>IF(PaymentSchedule[[#This Row],[Nº. DE PAGO]]&lt;&gt;"",SUM(INDEX(PaymentSchedule[INTERÉS],1,1):PaymentSchedule[[#This Row],[INTERÉS]]),"")</f>
        <v/>
      </c>
    </row>
    <row r="93" spans="2:11" x14ac:dyDescent="0.3">
      <c r="B93" s="111" t="str">
        <f>IF(LoanIsGood,IF(ROW()-ROW(PaymentSchedule[[#Headers],[Nº. DE PAGO]])&gt;Numero_De_Pagos_Programados,"",ROW()-ROW(PaymentSchedule[[#Headers],[Nº. DE PAGO]])),"")</f>
        <v/>
      </c>
      <c r="C9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3" s="109" t="str">
        <f>IF(PaymentSchedule[[#This Row],[Nº. DE PAGO]]&lt;&gt;"",Pago_Programado,"")</f>
        <v/>
      </c>
      <c r="F9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3" s="109" t="str">
        <f>IF(PaymentSchedule[[#This Row],[Nº. DE PAGO]]&lt;&gt;"",PaymentSchedule[[#This Row],[IMPORTE TOTAL DEL PAGO]]-PaymentSchedule[[#This Row],[INTERÉS]],"")</f>
        <v/>
      </c>
      <c r="I93" s="109" t="str">
        <f>IF(PaymentSchedule[[#This Row],[Nº. DE PAGO]]&lt;&gt;"",PaymentSchedule[[#This Row],[SALDO INICIAL]]*(Tasa_De_Interes_Anual/Numero_De_Pagos_Por_Año),"")</f>
        <v/>
      </c>
      <c r="J9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3" s="109" t="str">
        <f>IF(PaymentSchedule[[#This Row],[Nº. DE PAGO]]&lt;&gt;"",SUM(INDEX(PaymentSchedule[INTERÉS],1,1):PaymentSchedule[[#This Row],[INTERÉS]]),"")</f>
        <v/>
      </c>
    </row>
    <row r="94" spans="2:11" x14ac:dyDescent="0.3">
      <c r="B94" s="111" t="str">
        <f>IF(LoanIsGood,IF(ROW()-ROW(PaymentSchedule[[#Headers],[Nº. DE PAGO]])&gt;Numero_De_Pagos_Programados,"",ROW()-ROW(PaymentSchedule[[#Headers],[Nº. DE PAGO]])),"")</f>
        <v/>
      </c>
      <c r="C9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4" s="109" t="str">
        <f>IF(PaymentSchedule[[#This Row],[Nº. DE PAGO]]&lt;&gt;"",Pago_Programado,"")</f>
        <v/>
      </c>
      <c r="F9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4" s="109" t="str">
        <f>IF(PaymentSchedule[[#This Row],[Nº. DE PAGO]]&lt;&gt;"",PaymentSchedule[[#This Row],[IMPORTE TOTAL DEL PAGO]]-PaymentSchedule[[#This Row],[INTERÉS]],"")</f>
        <v/>
      </c>
      <c r="I94" s="109" t="str">
        <f>IF(PaymentSchedule[[#This Row],[Nº. DE PAGO]]&lt;&gt;"",PaymentSchedule[[#This Row],[SALDO INICIAL]]*(Tasa_De_Interes_Anual/Numero_De_Pagos_Por_Año),"")</f>
        <v/>
      </c>
      <c r="J9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4" s="109" t="str">
        <f>IF(PaymentSchedule[[#This Row],[Nº. DE PAGO]]&lt;&gt;"",SUM(INDEX(PaymentSchedule[INTERÉS],1,1):PaymentSchedule[[#This Row],[INTERÉS]]),"")</f>
        <v/>
      </c>
    </row>
    <row r="95" spans="2:11" x14ac:dyDescent="0.3">
      <c r="B95" s="111" t="str">
        <f>IF(LoanIsGood,IF(ROW()-ROW(PaymentSchedule[[#Headers],[Nº. DE PAGO]])&gt;Numero_De_Pagos_Programados,"",ROW()-ROW(PaymentSchedule[[#Headers],[Nº. DE PAGO]])),"")</f>
        <v/>
      </c>
      <c r="C9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5" s="109" t="str">
        <f>IF(PaymentSchedule[[#This Row],[Nº. DE PAGO]]&lt;&gt;"",Pago_Programado,"")</f>
        <v/>
      </c>
      <c r="F9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5" s="109" t="str">
        <f>IF(PaymentSchedule[[#This Row],[Nº. DE PAGO]]&lt;&gt;"",PaymentSchedule[[#This Row],[IMPORTE TOTAL DEL PAGO]]-PaymentSchedule[[#This Row],[INTERÉS]],"")</f>
        <v/>
      </c>
      <c r="I95" s="109" t="str">
        <f>IF(PaymentSchedule[[#This Row],[Nº. DE PAGO]]&lt;&gt;"",PaymentSchedule[[#This Row],[SALDO INICIAL]]*(Tasa_De_Interes_Anual/Numero_De_Pagos_Por_Año),"")</f>
        <v/>
      </c>
      <c r="J9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5" s="109" t="str">
        <f>IF(PaymentSchedule[[#This Row],[Nº. DE PAGO]]&lt;&gt;"",SUM(INDEX(PaymentSchedule[INTERÉS],1,1):PaymentSchedule[[#This Row],[INTERÉS]]),"")</f>
        <v/>
      </c>
    </row>
    <row r="96" spans="2:11" x14ac:dyDescent="0.3">
      <c r="B96" s="111" t="str">
        <f>IF(LoanIsGood,IF(ROW()-ROW(PaymentSchedule[[#Headers],[Nº. DE PAGO]])&gt;Numero_De_Pagos_Programados,"",ROW()-ROW(PaymentSchedule[[#Headers],[Nº. DE PAGO]])),"")</f>
        <v/>
      </c>
      <c r="C9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6" s="109" t="str">
        <f>IF(PaymentSchedule[[#This Row],[Nº. DE PAGO]]&lt;&gt;"",Pago_Programado,"")</f>
        <v/>
      </c>
      <c r="F9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6" s="109" t="str">
        <f>IF(PaymentSchedule[[#This Row],[Nº. DE PAGO]]&lt;&gt;"",PaymentSchedule[[#This Row],[IMPORTE TOTAL DEL PAGO]]-PaymentSchedule[[#This Row],[INTERÉS]],"")</f>
        <v/>
      </c>
      <c r="I96" s="109" t="str">
        <f>IF(PaymentSchedule[[#This Row],[Nº. DE PAGO]]&lt;&gt;"",PaymentSchedule[[#This Row],[SALDO INICIAL]]*(Tasa_De_Interes_Anual/Numero_De_Pagos_Por_Año),"")</f>
        <v/>
      </c>
      <c r="J9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6" s="109" t="str">
        <f>IF(PaymentSchedule[[#This Row],[Nº. DE PAGO]]&lt;&gt;"",SUM(INDEX(PaymentSchedule[INTERÉS],1,1):PaymentSchedule[[#This Row],[INTERÉS]]),"")</f>
        <v/>
      </c>
    </row>
    <row r="97" spans="2:11" x14ac:dyDescent="0.3">
      <c r="B97" s="111" t="str">
        <f>IF(LoanIsGood,IF(ROW()-ROW(PaymentSchedule[[#Headers],[Nº. DE PAGO]])&gt;Numero_De_Pagos_Programados,"",ROW()-ROW(PaymentSchedule[[#Headers],[Nº. DE PAGO]])),"")</f>
        <v/>
      </c>
      <c r="C9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7" s="109" t="str">
        <f>IF(PaymentSchedule[[#This Row],[Nº. DE PAGO]]&lt;&gt;"",Pago_Programado,"")</f>
        <v/>
      </c>
      <c r="F9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7" s="109" t="str">
        <f>IF(PaymentSchedule[[#This Row],[Nº. DE PAGO]]&lt;&gt;"",PaymentSchedule[[#This Row],[IMPORTE TOTAL DEL PAGO]]-PaymentSchedule[[#This Row],[INTERÉS]],"")</f>
        <v/>
      </c>
      <c r="I97" s="109" t="str">
        <f>IF(PaymentSchedule[[#This Row],[Nº. DE PAGO]]&lt;&gt;"",PaymentSchedule[[#This Row],[SALDO INICIAL]]*(Tasa_De_Interes_Anual/Numero_De_Pagos_Por_Año),"")</f>
        <v/>
      </c>
      <c r="J9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7" s="109" t="str">
        <f>IF(PaymentSchedule[[#This Row],[Nº. DE PAGO]]&lt;&gt;"",SUM(INDEX(PaymentSchedule[INTERÉS],1,1):PaymentSchedule[[#This Row],[INTERÉS]]),"")</f>
        <v/>
      </c>
    </row>
    <row r="98" spans="2:11" x14ac:dyDescent="0.3">
      <c r="B98" s="111" t="str">
        <f>IF(LoanIsGood,IF(ROW()-ROW(PaymentSchedule[[#Headers],[Nº. DE PAGO]])&gt;Numero_De_Pagos_Programados,"",ROW()-ROW(PaymentSchedule[[#Headers],[Nº. DE PAGO]])),"")</f>
        <v/>
      </c>
      <c r="C9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8" s="109" t="str">
        <f>IF(PaymentSchedule[[#This Row],[Nº. DE PAGO]]&lt;&gt;"",Pago_Programado,"")</f>
        <v/>
      </c>
      <c r="F9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8" s="109" t="str">
        <f>IF(PaymentSchedule[[#This Row],[Nº. DE PAGO]]&lt;&gt;"",PaymentSchedule[[#This Row],[IMPORTE TOTAL DEL PAGO]]-PaymentSchedule[[#This Row],[INTERÉS]],"")</f>
        <v/>
      </c>
      <c r="I98" s="109" t="str">
        <f>IF(PaymentSchedule[[#This Row],[Nº. DE PAGO]]&lt;&gt;"",PaymentSchedule[[#This Row],[SALDO INICIAL]]*(Tasa_De_Interes_Anual/Numero_De_Pagos_Por_Año),"")</f>
        <v/>
      </c>
      <c r="J9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8" s="109" t="str">
        <f>IF(PaymentSchedule[[#This Row],[Nº. DE PAGO]]&lt;&gt;"",SUM(INDEX(PaymentSchedule[INTERÉS],1,1):PaymentSchedule[[#This Row],[INTERÉS]]),"")</f>
        <v/>
      </c>
    </row>
    <row r="99" spans="2:11" x14ac:dyDescent="0.3">
      <c r="B99" s="111" t="str">
        <f>IF(LoanIsGood,IF(ROW()-ROW(PaymentSchedule[[#Headers],[Nº. DE PAGO]])&gt;Numero_De_Pagos_Programados,"",ROW()-ROW(PaymentSchedule[[#Headers],[Nº. DE PAGO]])),"")</f>
        <v/>
      </c>
      <c r="C9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9" s="109" t="str">
        <f>IF(PaymentSchedule[[#This Row],[Nº. DE PAGO]]&lt;&gt;"",Pago_Programado,"")</f>
        <v/>
      </c>
      <c r="F9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9" s="109" t="str">
        <f>IF(PaymentSchedule[[#This Row],[Nº. DE PAGO]]&lt;&gt;"",PaymentSchedule[[#This Row],[IMPORTE TOTAL DEL PAGO]]-PaymentSchedule[[#This Row],[INTERÉS]],"")</f>
        <v/>
      </c>
      <c r="I99" s="109" t="str">
        <f>IF(PaymentSchedule[[#This Row],[Nº. DE PAGO]]&lt;&gt;"",PaymentSchedule[[#This Row],[SALDO INICIAL]]*(Tasa_De_Interes_Anual/Numero_De_Pagos_Por_Año),"")</f>
        <v/>
      </c>
      <c r="J9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9" s="109" t="str">
        <f>IF(PaymentSchedule[[#This Row],[Nº. DE PAGO]]&lt;&gt;"",SUM(INDEX(PaymentSchedule[INTERÉS],1,1):PaymentSchedule[[#This Row],[INTERÉS]]),"")</f>
        <v/>
      </c>
    </row>
    <row r="100" spans="2:11" x14ac:dyDescent="0.3">
      <c r="B100" s="111" t="str">
        <f>IF(LoanIsGood,IF(ROW()-ROW(PaymentSchedule[[#Headers],[Nº. DE PAGO]])&gt;Numero_De_Pagos_Programados,"",ROW()-ROW(PaymentSchedule[[#Headers],[Nº. DE PAGO]])),"")</f>
        <v/>
      </c>
      <c r="C10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0" s="109" t="str">
        <f>IF(PaymentSchedule[[#This Row],[Nº. DE PAGO]]&lt;&gt;"",Pago_Programado,"")</f>
        <v/>
      </c>
      <c r="F10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0" s="109" t="str">
        <f>IF(PaymentSchedule[[#This Row],[Nº. DE PAGO]]&lt;&gt;"",PaymentSchedule[[#This Row],[IMPORTE TOTAL DEL PAGO]]-PaymentSchedule[[#This Row],[INTERÉS]],"")</f>
        <v/>
      </c>
      <c r="I100" s="109" t="str">
        <f>IF(PaymentSchedule[[#This Row],[Nº. DE PAGO]]&lt;&gt;"",PaymentSchedule[[#This Row],[SALDO INICIAL]]*(Tasa_De_Interes_Anual/Numero_De_Pagos_Por_Año),"")</f>
        <v/>
      </c>
      <c r="J10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0" s="109" t="str">
        <f>IF(PaymentSchedule[[#This Row],[Nº. DE PAGO]]&lt;&gt;"",SUM(INDEX(PaymentSchedule[INTERÉS],1,1):PaymentSchedule[[#This Row],[INTERÉS]]),"")</f>
        <v/>
      </c>
    </row>
    <row r="101" spans="2:11" x14ac:dyDescent="0.3">
      <c r="B101" s="111" t="str">
        <f>IF(LoanIsGood,IF(ROW()-ROW(PaymentSchedule[[#Headers],[Nº. DE PAGO]])&gt;Numero_De_Pagos_Programados,"",ROW()-ROW(PaymentSchedule[[#Headers],[Nº. DE PAGO]])),"")</f>
        <v/>
      </c>
      <c r="C10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1" s="109" t="str">
        <f>IF(PaymentSchedule[[#This Row],[Nº. DE PAGO]]&lt;&gt;"",Pago_Programado,"")</f>
        <v/>
      </c>
      <c r="F10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1" s="109" t="str">
        <f>IF(PaymentSchedule[[#This Row],[Nº. DE PAGO]]&lt;&gt;"",PaymentSchedule[[#This Row],[IMPORTE TOTAL DEL PAGO]]-PaymentSchedule[[#This Row],[INTERÉS]],"")</f>
        <v/>
      </c>
      <c r="I101" s="109" t="str">
        <f>IF(PaymentSchedule[[#This Row],[Nº. DE PAGO]]&lt;&gt;"",PaymentSchedule[[#This Row],[SALDO INICIAL]]*(Tasa_De_Interes_Anual/Numero_De_Pagos_Por_Año),"")</f>
        <v/>
      </c>
      <c r="J10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1" s="109" t="str">
        <f>IF(PaymentSchedule[[#This Row],[Nº. DE PAGO]]&lt;&gt;"",SUM(INDEX(PaymentSchedule[INTERÉS],1,1):PaymentSchedule[[#This Row],[INTERÉS]]),"")</f>
        <v/>
      </c>
    </row>
    <row r="102" spans="2:11" x14ac:dyDescent="0.3">
      <c r="B102" s="111" t="str">
        <f>IF(LoanIsGood,IF(ROW()-ROW(PaymentSchedule[[#Headers],[Nº. DE PAGO]])&gt;Numero_De_Pagos_Programados,"",ROW()-ROW(PaymentSchedule[[#Headers],[Nº. DE PAGO]])),"")</f>
        <v/>
      </c>
      <c r="C10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2" s="109" t="str">
        <f>IF(PaymentSchedule[[#This Row],[Nº. DE PAGO]]&lt;&gt;"",Pago_Programado,"")</f>
        <v/>
      </c>
      <c r="F10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2" s="109" t="str">
        <f>IF(PaymentSchedule[[#This Row],[Nº. DE PAGO]]&lt;&gt;"",PaymentSchedule[[#This Row],[IMPORTE TOTAL DEL PAGO]]-PaymentSchedule[[#This Row],[INTERÉS]],"")</f>
        <v/>
      </c>
      <c r="I102" s="109" t="str">
        <f>IF(PaymentSchedule[[#This Row],[Nº. DE PAGO]]&lt;&gt;"",PaymentSchedule[[#This Row],[SALDO INICIAL]]*(Tasa_De_Interes_Anual/Numero_De_Pagos_Por_Año),"")</f>
        <v/>
      </c>
      <c r="J10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2" s="109" t="str">
        <f>IF(PaymentSchedule[[#This Row],[Nº. DE PAGO]]&lt;&gt;"",SUM(INDEX(PaymentSchedule[INTERÉS],1,1):PaymentSchedule[[#This Row],[INTERÉS]]),"")</f>
        <v/>
      </c>
    </row>
    <row r="103" spans="2:11" x14ac:dyDescent="0.3">
      <c r="B103" s="111" t="str">
        <f>IF(LoanIsGood,IF(ROW()-ROW(PaymentSchedule[[#Headers],[Nº. DE PAGO]])&gt;Numero_De_Pagos_Programados,"",ROW()-ROW(PaymentSchedule[[#Headers],[Nº. DE PAGO]])),"")</f>
        <v/>
      </c>
      <c r="C10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3" s="109" t="str">
        <f>IF(PaymentSchedule[[#This Row],[Nº. DE PAGO]]&lt;&gt;"",Pago_Programado,"")</f>
        <v/>
      </c>
      <c r="F10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3" s="109" t="str">
        <f>IF(PaymentSchedule[[#This Row],[Nº. DE PAGO]]&lt;&gt;"",PaymentSchedule[[#This Row],[IMPORTE TOTAL DEL PAGO]]-PaymentSchedule[[#This Row],[INTERÉS]],"")</f>
        <v/>
      </c>
      <c r="I103" s="109" t="str">
        <f>IF(PaymentSchedule[[#This Row],[Nº. DE PAGO]]&lt;&gt;"",PaymentSchedule[[#This Row],[SALDO INICIAL]]*(Tasa_De_Interes_Anual/Numero_De_Pagos_Por_Año),"")</f>
        <v/>
      </c>
      <c r="J10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3" s="109" t="str">
        <f>IF(PaymentSchedule[[#This Row],[Nº. DE PAGO]]&lt;&gt;"",SUM(INDEX(PaymentSchedule[INTERÉS],1,1):PaymentSchedule[[#This Row],[INTERÉS]]),"")</f>
        <v/>
      </c>
    </row>
    <row r="104" spans="2:11" x14ac:dyDescent="0.3">
      <c r="B104" s="111" t="str">
        <f>IF(LoanIsGood,IF(ROW()-ROW(PaymentSchedule[[#Headers],[Nº. DE PAGO]])&gt;Numero_De_Pagos_Programados,"",ROW()-ROW(PaymentSchedule[[#Headers],[Nº. DE PAGO]])),"")</f>
        <v/>
      </c>
      <c r="C10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4" s="109" t="str">
        <f>IF(PaymentSchedule[[#This Row],[Nº. DE PAGO]]&lt;&gt;"",Pago_Programado,"")</f>
        <v/>
      </c>
      <c r="F10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4" s="109" t="str">
        <f>IF(PaymentSchedule[[#This Row],[Nº. DE PAGO]]&lt;&gt;"",PaymentSchedule[[#This Row],[IMPORTE TOTAL DEL PAGO]]-PaymentSchedule[[#This Row],[INTERÉS]],"")</f>
        <v/>
      </c>
      <c r="I104" s="109" t="str">
        <f>IF(PaymentSchedule[[#This Row],[Nº. DE PAGO]]&lt;&gt;"",PaymentSchedule[[#This Row],[SALDO INICIAL]]*(Tasa_De_Interes_Anual/Numero_De_Pagos_Por_Año),"")</f>
        <v/>
      </c>
      <c r="J10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4" s="109" t="str">
        <f>IF(PaymentSchedule[[#This Row],[Nº. DE PAGO]]&lt;&gt;"",SUM(INDEX(PaymentSchedule[INTERÉS],1,1):PaymentSchedule[[#This Row],[INTERÉS]]),"")</f>
        <v/>
      </c>
    </row>
    <row r="105" spans="2:11" x14ac:dyDescent="0.3">
      <c r="B105" s="111" t="str">
        <f>IF(LoanIsGood,IF(ROW()-ROW(PaymentSchedule[[#Headers],[Nº. DE PAGO]])&gt;Numero_De_Pagos_Programados,"",ROW()-ROW(PaymentSchedule[[#Headers],[Nº. DE PAGO]])),"")</f>
        <v/>
      </c>
      <c r="C10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5" s="109" t="str">
        <f>IF(PaymentSchedule[[#This Row],[Nº. DE PAGO]]&lt;&gt;"",Pago_Programado,"")</f>
        <v/>
      </c>
      <c r="F10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5" s="109" t="str">
        <f>IF(PaymentSchedule[[#This Row],[Nº. DE PAGO]]&lt;&gt;"",PaymentSchedule[[#This Row],[IMPORTE TOTAL DEL PAGO]]-PaymentSchedule[[#This Row],[INTERÉS]],"")</f>
        <v/>
      </c>
      <c r="I105" s="109" t="str">
        <f>IF(PaymentSchedule[[#This Row],[Nº. DE PAGO]]&lt;&gt;"",PaymentSchedule[[#This Row],[SALDO INICIAL]]*(Tasa_De_Interes_Anual/Numero_De_Pagos_Por_Año),"")</f>
        <v/>
      </c>
      <c r="J10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5" s="109" t="str">
        <f>IF(PaymentSchedule[[#This Row],[Nº. DE PAGO]]&lt;&gt;"",SUM(INDEX(PaymentSchedule[INTERÉS],1,1):PaymentSchedule[[#This Row],[INTERÉS]]),"")</f>
        <v/>
      </c>
    </row>
    <row r="106" spans="2:11" x14ac:dyDescent="0.3">
      <c r="B106" s="111" t="str">
        <f>IF(LoanIsGood,IF(ROW()-ROW(PaymentSchedule[[#Headers],[Nº. DE PAGO]])&gt;Numero_De_Pagos_Programados,"",ROW()-ROW(PaymentSchedule[[#Headers],[Nº. DE PAGO]])),"")</f>
        <v/>
      </c>
      <c r="C10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6" s="109" t="str">
        <f>IF(PaymentSchedule[[#This Row],[Nº. DE PAGO]]&lt;&gt;"",Pago_Programado,"")</f>
        <v/>
      </c>
      <c r="F10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6" s="109" t="str">
        <f>IF(PaymentSchedule[[#This Row],[Nº. DE PAGO]]&lt;&gt;"",PaymentSchedule[[#This Row],[IMPORTE TOTAL DEL PAGO]]-PaymentSchedule[[#This Row],[INTERÉS]],"")</f>
        <v/>
      </c>
      <c r="I106" s="109" t="str">
        <f>IF(PaymentSchedule[[#This Row],[Nº. DE PAGO]]&lt;&gt;"",PaymentSchedule[[#This Row],[SALDO INICIAL]]*(Tasa_De_Interes_Anual/Numero_De_Pagos_Por_Año),"")</f>
        <v/>
      </c>
      <c r="J10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6" s="109" t="str">
        <f>IF(PaymentSchedule[[#This Row],[Nº. DE PAGO]]&lt;&gt;"",SUM(INDEX(PaymentSchedule[INTERÉS],1,1):PaymentSchedule[[#This Row],[INTERÉS]]),"")</f>
        <v/>
      </c>
    </row>
    <row r="107" spans="2:11" x14ac:dyDescent="0.3">
      <c r="B107" s="111" t="str">
        <f>IF(LoanIsGood,IF(ROW()-ROW(PaymentSchedule[[#Headers],[Nº. DE PAGO]])&gt;Numero_De_Pagos_Programados,"",ROW()-ROW(PaymentSchedule[[#Headers],[Nº. DE PAGO]])),"")</f>
        <v/>
      </c>
      <c r="C10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7" s="109" t="str">
        <f>IF(PaymentSchedule[[#This Row],[Nº. DE PAGO]]&lt;&gt;"",Pago_Programado,"")</f>
        <v/>
      </c>
      <c r="F10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7" s="109" t="str">
        <f>IF(PaymentSchedule[[#This Row],[Nº. DE PAGO]]&lt;&gt;"",PaymentSchedule[[#This Row],[IMPORTE TOTAL DEL PAGO]]-PaymentSchedule[[#This Row],[INTERÉS]],"")</f>
        <v/>
      </c>
      <c r="I107" s="109" t="str">
        <f>IF(PaymentSchedule[[#This Row],[Nº. DE PAGO]]&lt;&gt;"",PaymentSchedule[[#This Row],[SALDO INICIAL]]*(Tasa_De_Interes_Anual/Numero_De_Pagos_Por_Año),"")</f>
        <v/>
      </c>
      <c r="J10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7" s="109" t="str">
        <f>IF(PaymentSchedule[[#This Row],[Nº. DE PAGO]]&lt;&gt;"",SUM(INDEX(PaymentSchedule[INTERÉS],1,1):PaymentSchedule[[#This Row],[INTERÉS]]),"")</f>
        <v/>
      </c>
    </row>
    <row r="108" spans="2:11" x14ac:dyDescent="0.3">
      <c r="B108" s="111" t="str">
        <f>IF(LoanIsGood,IF(ROW()-ROW(PaymentSchedule[[#Headers],[Nº. DE PAGO]])&gt;Numero_De_Pagos_Programados,"",ROW()-ROW(PaymentSchedule[[#Headers],[Nº. DE PAGO]])),"")</f>
        <v/>
      </c>
      <c r="C10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8" s="109" t="str">
        <f>IF(PaymentSchedule[[#This Row],[Nº. DE PAGO]]&lt;&gt;"",Pago_Programado,"")</f>
        <v/>
      </c>
      <c r="F10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8" s="109" t="str">
        <f>IF(PaymentSchedule[[#This Row],[Nº. DE PAGO]]&lt;&gt;"",PaymentSchedule[[#This Row],[IMPORTE TOTAL DEL PAGO]]-PaymentSchedule[[#This Row],[INTERÉS]],"")</f>
        <v/>
      </c>
      <c r="I108" s="109" t="str">
        <f>IF(PaymentSchedule[[#This Row],[Nº. DE PAGO]]&lt;&gt;"",PaymentSchedule[[#This Row],[SALDO INICIAL]]*(Tasa_De_Interes_Anual/Numero_De_Pagos_Por_Año),"")</f>
        <v/>
      </c>
      <c r="J10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8" s="109" t="str">
        <f>IF(PaymentSchedule[[#This Row],[Nº. DE PAGO]]&lt;&gt;"",SUM(INDEX(PaymentSchedule[INTERÉS],1,1):PaymentSchedule[[#This Row],[INTERÉS]]),"")</f>
        <v/>
      </c>
    </row>
    <row r="109" spans="2:11" x14ac:dyDescent="0.3">
      <c r="B109" s="111" t="str">
        <f>IF(LoanIsGood,IF(ROW()-ROW(PaymentSchedule[[#Headers],[Nº. DE PAGO]])&gt;Numero_De_Pagos_Programados,"",ROW()-ROW(PaymentSchedule[[#Headers],[Nº. DE PAGO]])),"")</f>
        <v/>
      </c>
      <c r="C10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9" s="109" t="str">
        <f>IF(PaymentSchedule[[#This Row],[Nº. DE PAGO]]&lt;&gt;"",Pago_Programado,"")</f>
        <v/>
      </c>
      <c r="F10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9" s="109" t="str">
        <f>IF(PaymentSchedule[[#This Row],[Nº. DE PAGO]]&lt;&gt;"",PaymentSchedule[[#This Row],[IMPORTE TOTAL DEL PAGO]]-PaymentSchedule[[#This Row],[INTERÉS]],"")</f>
        <v/>
      </c>
      <c r="I109" s="109" t="str">
        <f>IF(PaymentSchedule[[#This Row],[Nº. DE PAGO]]&lt;&gt;"",PaymentSchedule[[#This Row],[SALDO INICIAL]]*(Tasa_De_Interes_Anual/Numero_De_Pagos_Por_Año),"")</f>
        <v/>
      </c>
      <c r="J10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9" s="109" t="str">
        <f>IF(PaymentSchedule[[#This Row],[Nº. DE PAGO]]&lt;&gt;"",SUM(INDEX(PaymentSchedule[INTERÉS],1,1):PaymentSchedule[[#This Row],[INTERÉS]]),"")</f>
        <v/>
      </c>
    </row>
    <row r="110" spans="2:11" x14ac:dyDescent="0.3">
      <c r="B110" s="111" t="str">
        <f>IF(LoanIsGood,IF(ROW()-ROW(PaymentSchedule[[#Headers],[Nº. DE PAGO]])&gt;Numero_De_Pagos_Programados,"",ROW()-ROW(PaymentSchedule[[#Headers],[Nº. DE PAGO]])),"")</f>
        <v/>
      </c>
      <c r="C11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0" s="109" t="str">
        <f>IF(PaymentSchedule[[#This Row],[Nº. DE PAGO]]&lt;&gt;"",Pago_Programado,"")</f>
        <v/>
      </c>
      <c r="F11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0" s="109" t="str">
        <f>IF(PaymentSchedule[[#This Row],[Nº. DE PAGO]]&lt;&gt;"",PaymentSchedule[[#This Row],[IMPORTE TOTAL DEL PAGO]]-PaymentSchedule[[#This Row],[INTERÉS]],"")</f>
        <v/>
      </c>
      <c r="I110" s="109" t="str">
        <f>IF(PaymentSchedule[[#This Row],[Nº. DE PAGO]]&lt;&gt;"",PaymentSchedule[[#This Row],[SALDO INICIAL]]*(Tasa_De_Interes_Anual/Numero_De_Pagos_Por_Año),"")</f>
        <v/>
      </c>
      <c r="J11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0" s="109" t="str">
        <f>IF(PaymentSchedule[[#This Row],[Nº. DE PAGO]]&lt;&gt;"",SUM(INDEX(PaymentSchedule[INTERÉS],1,1):PaymentSchedule[[#This Row],[INTERÉS]]),"")</f>
        <v/>
      </c>
    </row>
    <row r="111" spans="2:11" x14ac:dyDescent="0.3">
      <c r="B111" s="111" t="str">
        <f>IF(LoanIsGood,IF(ROW()-ROW(PaymentSchedule[[#Headers],[Nº. DE PAGO]])&gt;Numero_De_Pagos_Programados,"",ROW()-ROW(PaymentSchedule[[#Headers],[Nº. DE PAGO]])),"")</f>
        <v/>
      </c>
      <c r="C11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1" s="109" t="str">
        <f>IF(PaymentSchedule[[#This Row],[Nº. DE PAGO]]&lt;&gt;"",Pago_Programado,"")</f>
        <v/>
      </c>
      <c r="F11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1" s="109" t="str">
        <f>IF(PaymentSchedule[[#This Row],[Nº. DE PAGO]]&lt;&gt;"",PaymentSchedule[[#This Row],[IMPORTE TOTAL DEL PAGO]]-PaymentSchedule[[#This Row],[INTERÉS]],"")</f>
        <v/>
      </c>
      <c r="I111" s="109" t="str">
        <f>IF(PaymentSchedule[[#This Row],[Nº. DE PAGO]]&lt;&gt;"",PaymentSchedule[[#This Row],[SALDO INICIAL]]*(Tasa_De_Interes_Anual/Numero_De_Pagos_Por_Año),"")</f>
        <v/>
      </c>
      <c r="J11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1" s="109" t="str">
        <f>IF(PaymentSchedule[[#This Row],[Nº. DE PAGO]]&lt;&gt;"",SUM(INDEX(PaymentSchedule[INTERÉS],1,1):PaymentSchedule[[#This Row],[INTERÉS]]),"")</f>
        <v/>
      </c>
    </row>
    <row r="112" spans="2:11" x14ac:dyDescent="0.3">
      <c r="B112" s="111" t="str">
        <f>IF(LoanIsGood,IF(ROW()-ROW(PaymentSchedule[[#Headers],[Nº. DE PAGO]])&gt;Numero_De_Pagos_Programados,"",ROW()-ROW(PaymentSchedule[[#Headers],[Nº. DE PAGO]])),"")</f>
        <v/>
      </c>
      <c r="C11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2" s="109" t="str">
        <f>IF(PaymentSchedule[[#This Row],[Nº. DE PAGO]]&lt;&gt;"",Pago_Programado,"")</f>
        <v/>
      </c>
      <c r="F11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2" s="109" t="str">
        <f>IF(PaymentSchedule[[#This Row],[Nº. DE PAGO]]&lt;&gt;"",PaymentSchedule[[#This Row],[IMPORTE TOTAL DEL PAGO]]-PaymentSchedule[[#This Row],[INTERÉS]],"")</f>
        <v/>
      </c>
      <c r="I112" s="109" t="str">
        <f>IF(PaymentSchedule[[#This Row],[Nº. DE PAGO]]&lt;&gt;"",PaymentSchedule[[#This Row],[SALDO INICIAL]]*(Tasa_De_Interes_Anual/Numero_De_Pagos_Por_Año),"")</f>
        <v/>
      </c>
      <c r="J11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2" s="109" t="str">
        <f>IF(PaymentSchedule[[#This Row],[Nº. DE PAGO]]&lt;&gt;"",SUM(INDEX(PaymentSchedule[INTERÉS],1,1):PaymentSchedule[[#This Row],[INTERÉS]]),"")</f>
        <v/>
      </c>
    </row>
    <row r="113" spans="2:11" x14ac:dyDescent="0.3">
      <c r="B113" s="111" t="str">
        <f>IF(LoanIsGood,IF(ROW()-ROW(PaymentSchedule[[#Headers],[Nº. DE PAGO]])&gt;Numero_De_Pagos_Programados,"",ROW()-ROW(PaymentSchedule[[#Headers],[Nº. DE PAGO]])),"")</f>
        <v/>
      </c>
      <c r="C11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3" s="109" t="str">
        <f>IF(PaymentSchedule[[#This Row],[Nº. DE PAGO]]&lt;&gt;"",Pago_Programado,"")</f>
        <v/>
      </c>
      <c r="F11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3" s="109" t="str">
        <f>IF(PaymentSchedule[[#This Row],[Nº. DE PAGO]]&lt;&gt;"",PaymentSchedule[[#This Row],[IMPORTE TOTAL DEL PAGO]]-PaymentSchedule[[#This Row],[INTERÉS]],"")</f>
        <v/>
      </c>
      <c r="I113" s="109" t="str">
        <f>IF(PaymentSchedule[[#This Row],[Nº. DE PAGO]]&lt;&gt;"",PaymentSchedule[[#This Row],[SALDO INICIAL]]*(Tasa_De_Interes_Anual/Numero_De_Pagos_Por_Año),"")</f>
        <v/>
      </c>
      <c r="J11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3" s="109" t="str">
        <f>IF(PaymentSchedule[[#This Row],[Nº. DE PAGO]]&lt;&gt;"",SUM(INDEX(PaymentSchedule[INTERÉS],1,1):PaymentSchedule[[#This Row],[INTERÉS]]),"")</f>
        <v/>
      </c>
    </row>
    <row r="114" spans="2:11" x14ac:dyDescent="0.3">
      <c r="B114" s="111" t="str">
        <f>IF(LoanIsGood,IF(ROW()-ROW(PaymentSchedule[[#Headers],[Nº. DE PAGO]])&gt;Numero_De_Pagos_Programados,"",ROW()-ROW(PaymentSchedule[[#Headers],[Nº. DE PAGO]])),"")</f>
        <v/>
      </c>
      <c r="C11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4" s="109" t="str">
        <f>IF(PaymentSchedule[[#This Row],[Nº. DE PAGO]]&lt;&gt;"",Pago_Programado,"")</f>
        <v/>
      </c>
      <c r="F11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4" s="109" t="str">
        <f>IF(PaymentSchedule[[#This Row],[Nº. DE PAGO]]&lt;&gt;"",PaymentSchedule[[#This Row],[IMPORTE TOTAL DEL PAGO]]-PaymentSchedule[[#This Row],[INTERÉS]],"")</f>
        <v/>
      </c>
      <c r="I114" s="109" t="str">
        <f>IF(PaymentSchedule[[#This Row],[Nº. DE PAGO]]&lt;&gt;"",PaymentSchedule[[#This Row],[SALDO INICIAL]]*(Tasa_De_Interes_Anual/Numero_De_Pagos_Por_Año),"")</f>
        <v/>
      </c>
      <c r="J11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4" s="109" t="str">
        <f>IF(PaymentSchedule[[#This Row],[Nº. DE PAGO]]&lt;&gt;"",SUM(INDEX(PaymentSchedule[INTERÉS],1,1):PaymentSchedule[[#This Row],[INTERÉS]]),"")</f>
        <v/>
      </c>
    </row>
    <row r="115" spans="2:11" x14ac:dyDescent="0.3">
      <c r="B115" s="111" t="str">
        <f>IF(LoanIsGood,IF(ROW()-ROW(PaymentSchedule[[#Headers],[Nº. DE PAGO]])&gt;Numero_De_Pagos_Programados,"",ROW()-ROW(PaymentSchedule[[#Headers],[Nº. DE PAGO]])),"")</f>
        <v/>
      </c>
      <c r="C11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5" s="109" t="str">
        <f>IF(PaymentSchedule[[#This Row],[Nº. DE PAGO]]&lt;&gt;"",Pago_Programado,"")</f>
        <v/>
      </c>
      <c r="F11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5" s="109" t="str">
        <f>IF(PaymentSchedule[[#This Row],[Nº. DE PAGO]]&lt;&gt;"",PaymentSchedule[[#This Row],[IMPORTE TOTAL DEL PAGO]]-PaymentSchedule[[#This Row],[INTERÉS]],"")</f>
        <v/>
      </c>
      <c r="I115" s="109" t="str">
        <f>IF(PaymentSchedule[[#This Row],[Nº. DE PAGO]]&lt;&gt;"",PaymentSchedule[[#This Row],[SALDO INICIAL]]*(Tasa_De_Interes_Anual/Numero_De_Pagos_Por_Año),"")</f>
        <v/>
      </c>
      <c r="J11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5" s="109" t="str">
        <f>IF(PaymentSchedule[[#This Row],[Nº. DE PAGO]]&lt;&gt;"",SUM(INDEX(PaymentSchedule[INTERÉS],1,1):PaymentSchedule[[#This Row],[INTERÉS]]),"")</f>
        <v/>
      </c>
    </row>
    <row r="116" spans="2:11" x14ac:dyDescent="0.3">
      <c r="B116" s="111" t="str">
        <f>IF(LoanIsGood,IF(ROW()-ROW(PaymentSchedule[[#Headers],[Nº. DE PAGO]])&gt;Numero_De_Pagos_Programados,"",ROW()-ROW(PaymentSchedule[[#Headers],[Nº. DE PAGO]])),"")</f>
        <v/>
      </c>
      <c r="C11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6" s="109" t="str">
        <f>IF(PaymentSchedule[[#This Row],[Nº. DE PAGO]]&lt;&gt;"",Pago_Programado,"")</f>
        <v/>
      </c>
      <c r="F11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6" s="109" t="str">
        <f>IF(PaymentSchedule[[#This Row],[Nº. DE PAGO]]&lt;&gt;"",PaymentSchedule[[#This Row],[IMPORTE TOTAL DEL PAGO]]-PaymentSchedule[[#This Row],[INTERÉS]],"")</f>
        <v/>
      </c>
      <c r="I116" s="109" t="str">
        <f>IF(PaymentSchedule[[#This Row],[Nº. DE PAGO]]&lt;&gt;"",PaymentSchedule[[#This Row],[SALDO INICIAL]]*(Tasa_De_Interes_Anual/Numero_De_Pagos_Por_Año),"")</f>
        <v/>
      </c>
      <c r="J11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6" s="109" t="str">
        <f>IF(PaymentSchedule[[#This Row],[Nº. DE PAGO]]&lt;&gt;"",SUM(INDEX(PaymentSchedule[INTERÉS],1,1):PaymentSchedule[[#This Row],[INTERÉS]]),"")</f>
        <v/>
      </c>
    </row>
    <row r="117" spans="2:11" x14ac:dyDescent="0.3">
      <c r="B117" s="111" t="str">
        <f>IF(LoanIsGood,IF(ROW()-ROW(PaymentSchedule[[#Headers],[Nº. DE PAGO]])&gt;Numero_De_Pagos_Programados,"",ROW()-ROW(PaymentSchedule[[#Headers],[Nº. DE PAGO]])),"")</f>
        <v/>
      </c>
      <c r="C11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7" s="109" t="str">
        <f>IF(PaymentSchedule[[#This Row],[Nº. DE PAGO]]&lt;&gt;"",Pago_Programado,"")</f>
        <v/>
      </c>
      <c r="F11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7" s="109" t="str">
        <f>IF(PaymentSchedule[[#This Row],[Nº. DE PAGO]]&lt;&gt;"",PaymentSchedule[[#This Row],[IMPORTE TOTAL DEL PAGO]]-PaymentSchedule[[#This Row],[INTERÉS]],"")</f>
        <v/>
      </c>
      <c r="I117" s="109" t="str">
        <f>IF(PaymentSchedule[[#This Row],[Nº. DE PAGO]]&lt;&gt;"",PaymentSchedule[[#This Row],[SALDO INICIAL]]*(Tasa_De_Interes_Anual/Numero_De_Pagos_Por_Año),"")</f>
        <v/>
      </c>
      <c r="J11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7" s="109" t="str">
        <f>IF(PaymentSchedule[[#This Row],[Nº. DE PAGO]]&lt;&gt;"",SUM(INDEX(PaymentSchedule[INTERÉS],1,1):PaymentSchedule[[#This Row],[INTERÉS]]),"")</f>
        <v/>
      </c>
    </row>
    <row r="118" spans="2:11" x14ac:dyDescent="0.3">
      <c r="B118" s="111" t="str">
        <f>IF(LoanIsGood,IF(ROW()-ROW(PaymentSchedule[[#Headers],[Nº. DE PAGO]])&gt;Numero_De_Pagos_Programados,"",ROW()-ROW(PaymentSchedule[[#Headers],[Nº. DE PAGO]])),"")</f>
        <v/>
      </c>
      <c r="C11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8" s="109" t="str">
        <f>IF(PaymentSchedule[[#This Row],[Nº. DE PAGO]]&lt;&gt;"",Pago_Programado,"")</f>
        <v/>
      </c>
      <c r="F11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8" s="109" t="str">
        <f>IF(PaymentSchedule[[#This Row],[Nº. DE PAGO]]&lt;&gt;"",PaymentSchedule[[#This Row],[IMPORTE TOTAL DEL PAGO]]-PaymentSchedule[[#This Row],[INTERÉS]],"")</f>
        <v/>
      </c>
      <c r="I118" s="109" t="str">
        <f>IF(PaymentSchedule[[#This Row],[Nº. DE PAGO]]&lt;&gt;"",PaymentSchedule[[#This Row],[SALDO INICIAL]]*(Tasa_De_Interes_Anual/Numero_De_Pagos_Por_Año),"")</f>
        <v/>
      </c>
      <c r="J11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8" s="109" t="str">
        <f>IF(PaymentSchedule[[#This Row],[Nº. DE PAGO]]&lt;&gt;"",SUM(INDEX(PaymentSchedule[INTERÉS],1,1):PaymentSchedule[[#This Row],[INTERÉS]]),"")</f>
        <v/>
      </c>
    </row>
    <row r="119" spans="2:11" x14ac:dyDescent="0.3">
      <c r="B119" s="111" t="str">
        <f>IF(LoanIsGood,IF(ROW()-ROW(PaymentSchedule[[#Headers],[Nº. DE PAGO]])&gt;Numero_De_Pagos_Programados,"",ROW()-ROW(PaymentSchedule[[#Headers],[Nº. DE PAGO]])),"")</f>
        <v/>
      </c>
      <c r="C11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9" s="109" t="str">
        <f>IF(PaymentSchedule[[#This Row],[Nº. DE PAGO]]&lt;&gt;"",Pago_Programado,"")</f>
        <v/>
      </c>
      <c r="F11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9" s="109" t="str">
        <f>IF(PaymentSchedule[[#This Row],[Nº. DE PAGO]]&lt;&gt;"",PaymentSchedule[[#This Row],[IMPORTE TOTAL DEL PAGO]]-PaymentSchedule[[#This Row],[INTERÉS]],"")</f>
        <v/>
      </c>
      <c r="I119" s="109" t="str">
        <f>IF(PaymentSchedule[[#This Row],[Nº. DE PAGO]]&lt;&gt;"",PaymentSchedule[[#This Row],[SALDO INICIAL]]*(Tasa_De_Interes_Anual/Numero_De_Pagos_Por_Año),"")</f>
        <v/>
      </c>
      <c r="J11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9" s="109" t="str">
        <f>IF(PaymentSchedule[[#This Row],[Nº. DE PAGO]]&lt;&gt;"",SUM(INDEX(PaymentSchedule[INTERÉS],1,1):PaymentSchedule[[#This Row],[INTERÉS]]),"")</f>
        <v/>
      </c>
    </row>
    <row r="120" spans="2:11" x14ac:dyDescent="0.3">
      <c r="B120" s="111" t="str">
        <f>IF(LoanIsGood,IF(ROW()-ROW(PaymentSchedule[[#Headers],[Nº. DE PAGO]])&gt;Numero_De_Pagos_Programados,"",ROW()-ROW(PaymentSchedule[[#Headers],[Nº. DE PAGO]])),"")</f>
        <v/>
      </c>
      <c r="C12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0" s="109" t="str">
        <f>IF(PaymentSchedule[[#This Row],[Nº. DE PAGO]]&lt;&gt;"",Pago_Programado,"")</f>
        <v/>
      </c>
      <c r="F12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0" s="109" t="str">
        <f>IF(PaymentSchedule[[#This Row],[Nº. DE PAGO]]&lt;&gt;"",PaymentSchedule[[#This Row],[IMPORTE TOTAL DEL PAGO]]-PaymentSchedule[[#This Row],[INTERÉS]],"")</f>
        <v/>
      </c>
      <c r="I120" s="109" t="str">
        <f>IF(PaymentSchedule[[#This Row],[Nº. DE PAGO]]&lt;&gt;"",PaymentSchedule[[#This Row],[SALDO INICIAL]]*(Tasa_De_Interes_Anual/Numero_De_Pagos_Por_Año),"")</f>
        <v/>
      </c>
      <c r="J12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0" s="109" t="str">
        <f>IF(PaymentSchedule[[#This Row],[Nº. DE PAGO]]&lt;&gt;"",SUM(INDEX(PaymentSchedule[INTERÉS],1,1):PaymentSchedule[[#This Row],[INTERÉS]]),"")</f>
        <v/>
      </c>
    </row>
    <row r="121" spans="2:11" x14ac:dyDescent="0.3">
      <c r="B121" s="111" t="str">
        <f>IF(LoanIsGood,IF(ROW()-ROW(PaymentSchedule[[#Headers],[Nº. DE PAGO]])&gt;Numero_De_Pagos_Programados,"",ROW()-ROW(PaymentSchedule[[#Headers],[Nº. DE PAGO]])),"")</f>
        <v/>
      </c>
      <c r="C12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1" s="109" t="str">
        <f>IF(PaymentSchedule[[#This Row],[Nº. DE PAGO]]&lt;&gt;"",Pago_Programado,"")</f>
        <v/>
      </c>
      <c r="F12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1" s="109" t="str">
        <f>IF(PaymentSchedule[[#This Row],[Nº. DE PAGO]]&lt;&gt;"",PaymentSchedule[[#This Row],[IMPORTE TOTAL DEL PAGO]]-PaymentSchedule[[#This Row],[INTERÉS]],"")</f>
        <v/>
      </c>
      <c r="I121" s="109" t="str">
        <f>IF(PaymentSchedule[[#This Row],[Nº. DE PAGO]]&lt;&gt;"",PaymentSchedule[[#This Row],[SALDO INICIAL]]*(Tasa_De_Interes_Anual/Numero_De_Pagos_Por_Año),"")</f>
        <v/>
      </c>
      <c r="J12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1" s="109" t="str">
        <f>IF(PaymentSchedule[[#This Row],[Nº. DE PAGO]]&lt;&gt;"",SUM(INDEX(PaymentSchedule[INTERÉS],1,1):PaymentSchedule[[#This Row],[INTERÉS]]),"")</f>
        <v/>
      </c>
    </row>
    <row r="122" spans="2:11" x14ac:dyDescent="0.3">
      <c r="B122" s="111" t="str">
        <f>IF(LoanIsGood,IF(ROW()-ROW(PaymentSchedule[[#Headers],[Nº. DE PAGO]])&gt;Numero_De_Pagos_Programados,"",ROW()-ROW(PaymentSchedule[[#Headers],[Nº. DE PAGO]])),"")</f>
        <v/>
      </c>
      <c r="C12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2" s="109" t="str">
        <f>IF(PaymentSchedule[[#This Row],[Nº. DE PAGO]]&lt;&gt;"",Pago_Programado,"")</f>
        <v/>
      </c>
      <c r="F12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2" s="109" t="str">
        <f>IF(PaymentSchedule[[#This Row],[Nº. DE PAGO]]&lt;&gt;"",PaymentSchedule[[#This Row],[IMPORTE TOTAL DEL PAGO]]-PaymentSchedule[[#This Row],[INTERÉS]],"")</f>
        <v/>
      </c>
      <c r="I122" s="109" t="str">
        <f>IF(PaymentSchedule[[#This Row],[Nº. DE PAGO]]&lt;&gt;"",PaymentSchedule[[#This Row],[SALDO INICIAL]]*(Tasa_De_Interes_Anual/Numero_De_Pagos_Por_Año),"")</f>
        <v/>
      </c>
      <c r="J12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2" s="109" t="str">
        <f>IF(PaymentSchedule[[#This Row],[Nº. DE PAGO]]&lt;&gt;"",SUM(INDEX(PaymentSchedule[INTERÉS],1,1):PaymentSchedule[[#This Row],[INTERÉS]]),"")</f>
        <v/>
      </c>
    </row>
    <row r="123" spans="2:11" x14ac:dyDescent="0.3">
      <c r="B123" s="111" t="str">
        <f>IF(LoanIsGood,IF(ROW()-ROW(PaymentSchedule[[#Headers],[Nº. DE PAGO]])&gt;Numero_De_Pagos_Programados,"",ROW()-ROW(PaymentSchedule[[#Headers],[Nº. DE PAGO]])),"")</f>
        <v/>
      </c>
      <c r="C12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3" s="109" t="str">
        <f>IF(PaymentSchedule[[#This Row],[Nº. DE PAGO]]&lt;&gt;"",Pago_Programado,"")</f>
        <v/>
      </c>
      <c r="F12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3" s="109" t="str">
        <f>IF(PaymentSchedule[[#This Row],[Nº. DE PAGO]]&lt;&gt;"",PaymentSchedule[[#This Row],[IMPORTE TOTAL DEL PAGO]]-PaymentSchedule[[#This Row],[INTERÉS]],"")</f>
        <v/>
      </c>
      <c r="I123" s="109" t="str">
        <f>IF(PaymentSchedule[[#This Row],[Nº. DE PAGO]]&lt;&gt;"",PaymentSchedule[[#This Row],[SALDO INICIAL]]*(Tasa_De_Interes_Anual/Numero_De_Pagos_Por_Año),"")</f>
        <v/>
      </c>
      <c r="J12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3" s="109" t="str">
        <f>IF(PaymentSchedule[[#This Row],[Nº. DE PAGO]]&lt;&gt;"",SUM(INDEX(PaymentSchedule[INTERÉS],1,1):PaymentSchedule[[#This Row],[INTERÉS]]),"")</f>
        <v/>
      </c>
    </row>
    <row r="124" spans="2:11" x14ac:dyDescent="0.3">
      <c r="B124" s="111" t="str">
        <f>IF(LoanIsGood,IF(ROW()-ROW(PaymentSchedule[[#Headers],[Nº. DE PAGO]])&gt;Numero_De_Pagos_Programados,"",ROW()-ROW(PaymentSchedule[[#Headers],[Nº. DE PAGO]])),"")</f>
        <v/>
      </c>
      <c r="C12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4" s="109" t="str">
        <f>IF(PaymentSchedule[[#This Row],[Nº. DE PAGO]]&lt;&gt;"",Pago_Programado,"")</f>
        <v/>
      </c>
      <c r="F12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4" s="109" t="str">
        <f>IF(PaymentSchedule[[#This Row],[Nº. DE PAGO]]&lt;&gt;"",PaymentSchedule[[#This Row],[IMPORTE TOTAL DEL PAGO]]-PaymentSchedule[[#This Row],[INTERÉS]],"")</f>
        <v/>
      </c>
      <c r="I124" s="109" t="str">
        <f>IF(PaymentSchedule[[#This Row],[Nº. DE PAGO]]&lt;&gt;"",PaymentSchedule[[#This Row],[SALDO INICIAL]]*(Tasa_De_Interes_Anual/Numero_De_Pagos_Por_Año),"")</f>
        <v/>
      </c>
      <c r="J12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4" s="109" t="str">
        <f>IF(PaymentSchedule[[#This Row],[Nº. DE PAGO]]&lt;&gt;"",SUM(INDEX(PaymentSchedule[INTERÉS],1,1):PaymentSchedule[[#This Row],[INTERÉS]]),"")</f>
        <v/>
      </c>
    </row>
    <row r="125" spans="2:11" x14ac:dyDescent="0.3">
      <c r="B125" s="111" t="str">
        <f>IF(LoanIsGood,IF(ROW()-ROW(PaymentSchedule[[#Headers],[Nº. DE PAGO]])&gt;Numero_De_Pagos_Programados,"",ROW()-ROW(PaymentSchedule[[#Headers],[Nº. DE PAGO]])),"")</f>
        <v/>
      </c>
      <c r="C12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5" s="109" t="str">
        <f>IF(PaymentSchedule[[#This Row],[Nº. DE PAGO]]&lt;&gt;"",Pago_Programado,"")</f>
        <v/>
      </c>
      <c r="F12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5" s="109" t="str">
        <f>IF(PaymentSchedule[[#This Row],[Nº. DE PAGO]]&lt;&gt;"",PaymentSchedule[[#This Row],[IMPORTE TOTAL DEL PAGO]]-PaymentSchedule[[#This Row],[INTERÉS]],"")</f>
        <v/>
      </c>
      <c r="I125" s="109" t="str">
        <f>IF(PaymentSchedule[[#This Row],[Nº. DE PAGO]]&lt;&gt;"",PaymentSchedule[[#This Row],[SALDO INICIAL]]*(Tasa_De_Interes_Anual/Numero_De_Pagos_Por_Año),"")</f>
        <v/>
      </c>
      <c r="J12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5" s="109" t="str">
        <f>IF(PaymentSchedule[[#This Row],[Nº. DE PAGO]]&lt;&gt;"",SUM(INDEX(PaymentSchedule[INTERÉS],1,1):PaymentSchedule[[#This Row],[INTERÉS]]),"")</f>
        <v/>
      </c>
    </row>
    <row r="126" spans="2:11" x14ac:dyDescent="0.3">
      <c r="B126" s="111" t="str">
        <f>IF(LoanIsGood,IF(ROW()-ROW(PaymentSchedule[[#Headers],[Nº. DE PAGO]])&gt;Numero_De_Pagos_Programados,"",ROW()-ROW(PaymentSchedule[[#Headers],[Nº. DE PAGO]])),"")</f>
        <v/>
      </c>
      <c r="C12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6" s="109" t="str">
        <f>IF(PaymentSchedule[[#This Row],[Nº. DE PAGO]]&lt;&gt;"",Pago_Programado,"")</f>
        <v/>
      </c>
      <c r="F12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6" s="109" t="str">
        <f>IF(PaymentSchedule[[#This Row],[Nº. DE PAGO]]&lt;&gt;"",PaymentSchedule[[#This Row],[IMPORTE TOTAL DEL PAGO]]-PaymentSchedule[[#This Row],[INTERÉS]],"")</f>
        <v/>
      </c>
      <c r="I126" s="109" t="str">
        <f>IF(PaymentSchedule[[#This Row],[Nº. DE PAGO]]&lt;&gt;"",PaymentSchedule[[#This Row],[SALDO INICIAL]]*(Tasa_De_Interes_Anual/Numero_De_Pagos_Por_Año),"")</f>
        <v/>
      </c>
      <c r="J12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6" s="109" t="str">
        <f>IF(PaymentSchedule[[#This Row],[Nº. DE PAGO]]&lt;&gt;"",SUM(INDEX(PaymentSchedule[INTERÉS],1,1):PaymentSchedule[[#This Row],[INTERÉS]]),"")</f>
        <v/>
      </c>
    </row>
    <row r="127" spans="2:11" x14ac:dyDescent="0.3">
      <c r="B127" s="111" t="str">
        <f>IF(LoanIsGood,IF(ROW()-ROW(PaymentSchedule[[#Headers],[Nº. DE PAGO]])&gt;Numero_De_Pagos_Programados,"",ROW()-ROW(PaymentSchedule[[#Headers],[Nº. DE PAGO]])),"")</f>
        <v/>
      </c>
      <c r="C12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7" s="109" t="str">
        <f>IF(PaymentSchedule[[#This Row],[Nº. DE PAGO]]&lt;&gt;"",Pago_Programado,"")</f>
        <v/>
      </c>
      <c r="F12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7" s="109" t="str">
        <f>IF(PaymentSchedule[[#This Row],[Nº. DE PAGO]]&lt;&gt;"",PaymentSchedule[[#This Row],[IMPORTE TOTAL DEL PAGO]]-PaymentSchedule[[#This Row],[INTERÉS]],"")</f>
        <v/>
      </c>
      <c r="I127" s="109" t="str">
        <f>IF(PaymentSchedule[[#This Row],[Nº. DE PAGO]]&lt;&gt;"",PaymentSchedule[[#This Row],[SALDO INICIAL]]*(Tasa_De_Interes_Anual/Numero_De_Pagos_Por_Año),"")</f>
        <v/>
      </c>
      <c r="J12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7" s="109" t="str">
        <f>IF(PaymentSchedule[[#This Row],[Nº. DE PAGO]]&lt;&gt;"",SUM(INDEX(PaymentSchedule[INTERÉS],1,1):PaymentSchedule[[#This Row],[INTERÉS]]),"")</f>
        <v/>
      </c>
    </row>
    <row r="128" spans="2:11" x14ac:dyDescent="0.3">
      <c r="B128" s="111" t="str">
        <f>IF(LoanIsGood,IF(ROW()-ROW(PaymentSchedule[[#Headers],[Nº. DE PAGO]])&gt;Numero_De_Pagos_Programados,"",ROW()-ROW(PaymentSchedule[[#Headers],[Nº. DE PAGO]])),"")</f>
        <v/>
      </c>
      <c r="C12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8" s="109" t="str">
        <f>IF(PaymentSchedule[[#This Row],[Nº. DE PAGO]]&lt;&gt;"",Pago_Programado,"")</f>
        <v/>
      </c>
      <c r="F12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8" s="109" t="str">
        <f>IF(PaymentSchedule[[#This Row],[Nº. DE PAGO]]&lt;&gt;"",PaymentSchedule[[#This Row],[IMPORTE TOTAL DEL PAGO]]-PaymentSchedule[[#This Row],[INTERÉS]],"")</f>
        <v/>
      </c>
      <c r="I128" s="109" t="str">
        <f>IF(PaymentSchedule[[#This Row],[Nº. DE PAGO]]&lt;&gt;"",PaymentSchedule[[#This Row],[SALDO INICIAL]]*(Tasa_De_Interes_Anual/Numero_De_Pagos_Por_Año),"")</f>
        <v/>
      </c>
      <c r="J12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8" s="109" t="str">
        <f>IF(PaymentSchedule[[#This Row],[Nº. DE PAGO]]&lt;&gt;"",SUM(INDEX(PaymentSchedule[INTERÉS],1,1):PaymentSchedule[[#This Row],[INTERÉS]]),"")</f>
        <v/>
      </c>
    </row>
    <row r="129" spans="2:11" x14ac:dyDescent="0.3">
      <c r="B129" s="111" t="str">
        <f>IF(LoanIsGood,IF(ROW()-ROW(PaymentSchedule[[#Headers],[Nº. DE PAGO]])&gt;Numero_De_Pagos_Programados,"",ROW()-ROW(PaymentSchedule[[#Headers],[Nº. DE PAGO]])),"")</f>
        <v/>
      </c>
      <c r="C12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9" s="109" t="str">
        <f>IF(PaymentSchedule[[#This Row],[Nº. DE PAGO]]&lt;&gt;"",Pago_Programado,"")</f>
        <v/>
      </c>
      <c r="F12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9" s="109" t="str">
        <f>IF(PaymentSchedule[[#This Row],[Nº. DE PAGO]]&lt;&gt;"",PaymentSchedule[[#This Row],[IMPORTE TOTAL DEL PAGO]]-PaymentSchedule[[#This Row],[INTERÉS]],"")</f>
        <v/>
      </c>
      <c r="I129" s="109" t="str">
        <f>IF(PaymentSchedule[[#This Row],[Nº. DE PAGO]]&lt;&gt;"",PaymentSchedule[[#This Row],[SALDO INICIAL]]*(Tasa_De_Interes_Anual/Numero_De_Pagos_Por_Año),"")</f>
        <v/>
      </c>
      <c r="J12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9" s="109" t="str">
        <f>IF(PaymentSchedule[[#This Row],[Nº. DE PAGO]]&lt;&gt;"",SUM(INDEX(PaymentSchedule[INTERÉS],1,1):PaymentSchedule[[#This Row],[INTERÉS]]),"")</f>
        <v/>
      </c>
    </row>
    <row r="130" spans="2:11" x14ac:dyDescent="0.3">
      <c r="B130" s="111" t="str">
        <f>IF(LoanIsGood,IF(ROW()-ROW(PaymentSchedule[[#Headers],[Nº. DE PAGO]])&gt;Numero_De_Pagos_Programados,"",ROW()-ROW(PaymentSchedule[[#Headers],[Nº. DE PAGO]])),"")</f>
        <v/>
      </c>
      <c r="C13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0" s="109" t="str">
        <f>IF(PaymentSchedule[[#This Row],[Nº. DE PAGO]]&lt;&gt;"",Pago_Programado,"")</f>
        <v/>
      </c>
      <c r="F13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0" s="109" t="str">
        <f>IF(PaymentSchedule[[#This Row],[Nº. DE PAGO]]&lt;&gt;"",PaymentSchedule[[#This Row],[IMPORTE TOTAL DEL PAGO]]-PaymentSchedule[[#This Row],[INTERÉS]],"")</f>
        <v/>
      </c>
      <c r="I130" s="109" t="str">
        <f>IF(PaymentSchedule[[#This Row],[Nº. DE PAGO]]&lt;&gt;"",PaymentSchedule[[#This Row],[SALDO INICIAL]]*(Tasa_De_Interes_Anual/Numero_De_Pagos_Por_Año),"")</f>
        <v/>
      </c>
      <c r="J13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0" s="109" t="str">
        <f>IF(PaymentSchedule[[#This Row],[Nº. DE PAGO]]&lt;&gt;"",SUM(INDEX(PaymentSchedule[INTERÉS],1,1):PaymentSchedule[[#This Row],[INTERÉS]]),"")</f>
        <v/>
      </c>
    </row>
    <row r="131" spans="2:11" x14ac:dyDescent="0.3">
      <c r="B131" s="111" t="str">
        <f>IF(LoanIsGood,IF(ROW()-ROW(PaymentSchedule[[#Headers],[Nº. DE PAGO]])&gt;Numero_De_Pagos_Programados,"",ROW()-ROW(PaymentSchedule[[#Headers],[Nº. DE PAGO]])),"")</f>
        <v/>
      </c>
      <c r="C13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1" s="109" t="str">
        <f>IF(PaymentSchedule[[#This Row],[Nº. DE PAGO]]&lt;&gt;"",Pago_Programado,"")</f>
        <v/>
      </c>
      <c r="F13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1" s="109" t="str">
        <f>IF(PaymentSchedule[[#This Row],[Nº. DE PAGO]]&lt;&gt;"",PaymentSchedule[[#This Row],[IMPORTE TOTAL DEL PAGO]]-PaymentSchedule[[#This Row],[INTERÉS]],"")</f>
        <v/>
      </c>
      <c r="I131" s="109" t="str">
        <f>IF(PaymentSchedule[[#This Row],[Nº. DE PAGO]]&lt;&gt;"",PaymentSchedule[[#This Row],[SALDO INICIAL]]*(Tasa_De_Interes_Anual/Numero_De_Pagos_Por_Año),"")</f>
        <v/>
      </c>
      <c r="J13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1" s="109" t="str">
        <f>IF(PaymentSchedule[[#This Row],[Nº. DE PAGO]]&lt;&gt;"",SUM(INDEX(PaymentSchedule[INTERÉS],1,1):PaymentSchedule[[#This Row],[INTERÉS]]),"")</f>
        <v/>
      </c>
    </row>
    <row r="132" spans="2:11" x14ac:dyDescent="0.3">
      <c r="B132" s="111" t="str">
        <f>IF(LoanIsGood,IF(ROW()-ROW(PaymentSchedule[[#Headers],[Nº. DE PAGO]])&gt;Numero_De_Pagos_Programados,"",ROW()-ROW(PaymentSchedule[[#Headers],[Nº. DE PAGO]])),"")</f>
        <v/>
      </c>
      <c r="C13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2" s="109" t="str">
        <f>IF(PaymentSchedule[[#This Row],[Nº. DE PAGO]]&lt;&gt;"",Pago_Programado,"")</f>
        <v/>
      </c>
      <c r="F13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2" s="109" t="str">
        <f>IF(PaymentSchedule[[#This Row],[Nº. DE PAGO]]&lt;&gt;"",PaymentSchedule[[#This Row],[IMPORTE TOTAL DEL PAGO]]-PaymentSchedule[[#This Row],[INTERÉS]],"")</f>
        <v/>
      </c>
      <c r="I132" s="109" t="str">
        <f>IF(PaymentSchedule[[#This Row],[Nº. DE PAGO]]&lt;&gt;"",PaymentSchedule[[#This Row],[SALDO INICIAL]]*(Tasa_De_Interes_Anual/Numero_De_Pagos_Por_Año),"")</f>
        <v/>
      </c>
      <c r="J13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2" s="109" t="str">
        <f>IF(PaymentSchedule[[#This Row],[Nº. DE PAGO]]&lt;&gt;"",SUM(INDEX(PaymentSchedule[INTERÉS],1,1):PaymentSchedule[[#This Row],[INTERÉS]]),"")</f>
        <v/>
      </c>
    </row>
    <row r="133" spans="2:11" x14ac:dyDescent="0.3">
      <c r="B133" s="111" t="str">
        <f>IF(LoanIsGood,IF(ROW()-ROW(PaymentSchedule[[#Headers],[Nº. DE PAGO]])&gt;Numero_De_Pagos_Programados,"",ROW()-ROW(PaymentSchedule[[#Headers],[Nº. DE PAGO]])),"")</f>
        <v/>
      </c>
      <c r="C13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3" s="109" t="str">
        <f>IF(PaymentSchedule[[#This Row],[Nº. DE PAGO]]&lt;&gt;"",Pago_Programado,"")</f>
        <v/>
      </c>
      <c r="F13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3" s="109" t="str">
        <f>IF(PaymentSchedule[[#This Row],[Nº. DE PAGO]]&lt;&gt;"",PaymentSchedule[[#This Row],[IMPORTE TOTAL DEL PAGO]]-PaymentSchedule[[#This Row],[INTERÉS]],"")</f>
        <v/>
      </c>
      <c r="I133" s="109" t="str">
        <f>IF(PaymentSchedule[[#This Row],[Nº. DE PAGO]]&lt;&gt;"",PaymentSchedule[[#This Row],[SALDO INICIAL]]*(Tasa_De_Interes_Anual/Numero_De_Pagos_Por_Año),"")</f>
        <v/>
      </c>
      <c r="J13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3" s="109" t="str">
        <f>IF(PaymentSchedule[[#This Row],[Nº. DE PAGO]]&lt;&gt;"",SUM(INDEX(PaymentSchedule[INTERÉS],1,1):PaymentSchedule[[#This Row],[INTERÉS]]),"")</f>
        <v/>
      </c>
    </row>
    <row r="134" spans="2:11" x14ac:dyDescent="0.3">
      <c r="B134" s="111" t="str">
        <f>IF(LoanIsGood,IF(ROW()-ROW(PaymentSchedule[[#Headers],[Nº. DE PAGO]])&gt;Numero_De_Pagos_Programados,"",ROW()-ROW(PaymentSchedule[[#Headers],[Nº. DE PAGO]])),"")</f>
        <v/>
      </c>
      <c r="C13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4" s="109" t="str">
        <f>IF(PaymentSchedule[[#This Row],[Nº. DE PAGO]]&lt;&gt;"",Pago_Programado,"")</f>
        <v/>
      </c>
      <c r="F13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4" s="109" t="str">
        <f>IF(PaymentSchedule[[#This Row],[Nº. DE PAGO]]&lt;&gt;"",PaymentSchedule[[#This Row],[IMPORTE TOTAL DEL PAGO]]-PaymentSchedule[[#This Row],[INTERÉS]],"")</f>
        <v/>
      </c>
      <c r="I134" s="109" t="str">
        <f>IF(PaymentSchedule[[#This Row],[Nº. DE PAGO]]&lt;&gt;"",PaymentSchedule[[#This Row],[SALDO INICIAL]]*(Tasa_De_Interes_Anual/Numero_De_Pagos_Por_Año),"")</f>
        <v/>
      </c>
      <c r="J13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4" s="109" t="str">
        <f>IF(PaymentSchedule[[#This Row],[Nº. DE PAGO]]&lt;&gt;"",SUM(INDEX(PaymentSchedule[INTERÉS],1,1):PaymentSchedule[[#This Row],[INTERÉS]]),"")</f>
        <v/>
      </c>
    </row>
    <row r="135" spans="2:11" x14ac:dyDescent="0.3">
      <c r="B135" s="111" t="str">
        <f>IF(LoanIsGood,IF(ROW()-ROW(PaymentSchedule[[#Headers],[Nº. DE PAGO]])&gt;Numero_De_Pagos_Programados,"",ROW()-ROW(PaymentSchedule[[#Headers],[Nº. DE PAGO]])),"")</f>
        <v/>
      </c>
      <c r="C13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5" s="109" t="str">
        <f>IF(PaymentSchedule[[#This Row],[Nº. DE PAGO]]&lt;&gt;"",Pago_Programado,"")</f>
        <v/>
      </c>
      <c r="F13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5" s="109" t="str">
        <f>IF(PaymentSchedule[[#This Row],[Nº. DE PAGO]]&lt;&gt;"",PaymentSchedule[[#This Row],[IMPORTE TOTAL DEL PAGO]]-PaymentSchedule[[#This Row],[INTERÉS]],"")</f>
        <v/>
      </c>
      <c r="I135" s="109" t="str">
        <f>IF(PaymentSchedule[[#This Row],[Nº. DE PAGO]]&lt;&gt;"",PaymentSchedule[[#This Row],[SALDO INICIAL]]*(Tasa_De_Interes_Anual/Numero_De_Pagos_Por_Año),"")</f>
        <v/>
      </c>
      <c r="J13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5" s="109" t="str">
        <f>IF(PaymentSchedule[[#This Row],[Nº. DE PAGO]]&lt;&gt;"",SUM(INDEX(PaymentSchedule[INTERÉS],1,1):PaymentSchedule[[#This Row],[INTERÉS]]),"")</f>
        <v/>
      </c>
    </row>
    <row r="136" spans="2:11" x14ac:dyDescent="0.3">
      <c r="B136" s="111" t="str">
        <f>IF(LoanIsGood,IF(ROW()-ROW(PaymentSchedule[[#Headers],[Nº. DE PAGO]])&gt;Numero_De_Pagos_Programados,"",ROW()-ROW(PaymentSchedule[[#Headers],[Nº. DE PAGO]])),"")</f>
        <v/>
      </c>
      <c r="C13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6" s="109" t="str">
        <f>IF(PaymentSchedule[[#This Row],[Nº. DE PAGO]]&lt;&gt;"",Pago_Programado,"")</f>
        <v/>
      </c>
      <c r="F13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6" s="109" t="str">
        <f>IF(PaymentSchedule[[#This Row],[Nº. DE PAGO]]&lt;&gt;"",PaymentSchedule[[#This Row],[IMPORTE TOTAL DEL PAGO]]-PaymentSchedule[[#This Row],[INTERÉS]],"")</f>
        <v/>
      </c>
      <c r="I136" s="109" t="str">
        <f>IF(PaymentSchedule[[#This Row],[Nº. DE PAGO]]&lt;&gt;"",PaymentSchedule[[#This Row],[SALDO INICIAL]]*(Tasa_De_Interes_Anual/Numero_De_Pagos_Por_Año),"")</f>
        <v/>
      </c>
      <c r="J13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6" s="109" t="str">
        <f>IF(PaymentSchedule[[#This Row],[Nº. DE PAGO]]&lt;&gt;"",SUM(INDEX(PaymentSchedule[INTERÉS],1,1):PaymentSchedule[[#This Row],[INTERÉS]]),"")</f>
        <v/>
      </c>
    </row>
    <row r="137" spans="2:11" x14ac:dyDescent="0.3">
      <c r="B137" s="111" t="str">
        <f>IF(LoanIsGood,IF(ROW()-ROW(PaymentSchedule[[#Headers],[Nº. DE PAGO]])&gt;Numero_De_Pagos_Programados,"",ROW()-ROW(PaymentSchedule[[#Headers],[Nº. DE PAGO]])),"")</f>
        <v/>
      </c>
      <c r="C13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7" s="109" t="str">
        <f>IF(PaymentSchedule[[#This Row],[Nº. DE PAGO]]&lt;&gt;"",Pago_Programado,"")</f>
        <v/>
      </c>
      <c r="F13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7" s="109" t="str">
        <f>IF(PaymentSchedule[[#This Row],[Nº. DE PAGO]]&lt;&gt;"",PaymentSchedule[[#This Row],[IMPORTE TOTAL DEL PAGO]]-PaymentSchedule[[#This Row],[INTERÉS]],"")</f>
        <v/>
      </c>
      <c r="I137" s="109" t="str">
        <f>IF(PaymentSchedule[[#This Row],[Nº. DE PAGO]]&lt;&gt;"",PaymentSchedule[[#This Row],[SALDO INICIAL]]*(Tasa_De_Interes_Anual/Numero_De_Pagos_Por_Año),"")</f>
        <v/>
      </c>
      <c r="J13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7" s="109" t="str">
        <f>IF(PaymentSchedule[[#This Row],[Nº. DE PAGO]]&lt;&gt;"",SUM(INDEX(PaymentSchedule[INTERÉS],1,1):PaymentSchedule[[#This Row],[INTERÉS]]),"")</f>
        <v/>
      </c>
    </row>
    <row r="138" spans="2:11" x14ac:dyDescent="0.3">
      <c r="B138" s="111" t="str">
        <f>IF(LoanIsGood,IF(ROW()-ROW(PaymentSchedule[[#Headers],[Nº. DE PAGO]])&gt;Numero_De_Pagos_Programados,"",ROW()-ROW(PaymentSchedule[[#Headers],[Nº. DE PAGO]])),"")</f>
        <v/>
      </c>
      <c r="C13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8" s="109" t="str">
        <f>IF(PaymentSchedule[[#This Row],[Nº. DE PAGO]]&lt;&gt;"",Pago_Programado,"")</f>
        <v/>
      </c>
      <c r="F13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8" s="109" t="str">
        <f>IF(PaymentSchedule[[#This Row],[Nº. DE PAGO]]&lt;&gt;"",PaymentSchedule[[#This Row],[IMPORTE TOTAL DEL PAGO]]-PaymentSchedule[[#This Row],[INTERÉS]],"")</f>
        <v/>
      </c>
      <c r="I138" s="109" t="str">
        <f>IF(PaymentSchedule[[#This Row],[Nº. DE PAGO]]&lt;&gt;"",PaymentSchedule[[#This Row],[SALDO INICIAL]]*(Tasa_De_Interes_Anual/Numero_De_Pagos_Por_Año),"")</f>
        <v/>
      </c>
      <c r="J13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8" s="109" t="str">
        <f>IF(PaymentSchedule[[#This Row],[Nº. DE PAGO]]&lt;&gt;"",SUM(INDEX(PaymentSchedule[INTERÉS],1,1):PaymentSchedule[[#This Row],[INTERÉS]]),"")</f>
        <v/>
      </c>
    </row>
    <row r="139" spans="2:11" x14ac:dyDescent="0.3">
      <c r="B139" s="111" t="str">
        <f>IF(LoanIsGood,IF(ROW()-ROW(PaymentSchedule[[#Headers],[Nº. DE PAGO]])&gt;Numero_De_Pagos_Programados,"",ROW()-ROW(PaymentSchedule[[#Headers],[Nº. DE PAGO]])),"")</f>
        <v/>
      </c>
      <c r="C13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9" s="109" t="str">
        <f>IF(PaymentSchedule[[#This Row],[Nº. DE PAGO]]&lt;&gt;"",Pago_Programado,"")</f>
        <v/>
      </c>
      <c r="F13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9" s="109" t="str">
        <f>IF(PaymentSchedule[[#This Row],[Nº. DE PAGO]]&lt;&gt;"",PaymentSchedule[[#This Row],[IMPORTE TOTAL DEL PAGO]]-PaymentSchedule[[#This Row],[INTERÉS]],"")</f>
        <v/>
      </c>
      <c r="I139" s="109" t="str">
        <f>IF(PaymentSchedule[[#This Row],[Nº. DE PAGO]]&lt;&gt;"",PaymentSchedule[[#This Row],[SALDO INICIAL]]*(Tasa_De_Interes_Anual/Numero_De_Pagos_Por_Año),"")</f>
        <v/>
      </c>
      <c r="J13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9" s="109" t="str">
        <f>IF(PaymentSchedule[[#This Row],[Nº. DE PAGO]]&lt;&gt;"",SUM(INDEX(PaymentSchedule[INTERÉS],1,1):PaymentSchedule[[#This Row],[INTERÉS]]),"")</f>
        <v/>
      </c>
    </row>
    <row r="140" spans="2:11" x14ac:dyDescent="0.3">
      <c r="B140" s="111" t="str">
        <f>IF(LoanIsGood,IF(ROW()-ROW(PaymentSchedule[[#Headers],[Nº. DE PAGO]])&gt;Numero_De_Pagos_Programados,"",ROW()-ROW(PaymentSchedule[[#Headers],[Nº. DE PAGO]])),"")</f>
        <v/>
      </c>
      <c r="C14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0" s="109" t="str">
        <f>IF(PaymentSchedule[[#This Row],[Nº. DE PAGO]]&lt;&gt;"",Pago_Programado,"")</f>
        <v/>
      </c>
      <c r="F14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0" s="109" t="str">
        <f>IF(PaymentSchedule[[#This Row],[Nº. DE PAGO]]&lt;&gt;"",PaymentSchedule[[#This Row],[IMPORTE TOTAL DEL PAGO]]-PaymentSchedule[[#This Row],[INTERÉS]],"")</f>
        <v/>
      </c>
      <c r="I140" s="109" t="str">
        <f>IF(PaymentSchedule[[#This Row],[Nº. DE PAGO]]&lt;&gt;"",PaymentSchedule[[#This Row],[SALDO INICIAL]]*(Tasa_De_Interes_Anual/Numero_De_Pagos_Por_Año),"")</f>
        <v/>
      </c>
      <c r="J14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0" s="109" t="str">
        <f>IF(PaymentSchedule[[#This Row],[Nº. DE PAGO]]&lt;&gt;"",SUM(INDEX(PaymentSchedule[INTERÉS],1,1):PaymentSchedule[[#This Row],[INTERÉS]]),"")</f>
        <v/>
      </c>
    </row>
    <row r="141" spans="2:11" x14ac:dyDescent="0.3">
      <c r="B141" s="111" t="str">
        <f>IF(LoanIsGood,IF(ROW()-ROW(PaymentSchedule[[#Headers],[Nº. DE PAGO]])&gt;Numero_De_Pagos_Programados,"",ROW()-ROW(PaymentSchedule[[#Headers],[Nº. DE PAGO]])),"")</f>
        <v/>
      </c>
      <c r="C14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1" s="109" t="str">
        <f>IF(PaymentSchedule[[#This Row],[Nº. DE PAGO]]&lt;&gt;"",Pago_Programado,"")</f>
        <v/>
      </c>
      <c r="F14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1" s="109" t="str">
        <f>IF(PaymentSchedule[[#This Row],[Nº. DE PAGO]]&lt;&gt;"",PaymentSchedule[[#This Row],[IMPORTE TOTAL DEL PAGO]]-PaymentSchedule[[#This Row],[INTERÉS]],"")</f>
        <v/>
      </c>
      <c r="I141" s="109" t="str">
        <f>IF(PaymentSchedule[[#This Row],[Nº. DE PAGO]]&lt;&gt;"",PaymentSchedule[[#This Row],[SALDO INICIAL]]*(Tasa_De_Interes_Anual/Numero_De_Pagos_Por_Año),"")</f>
        <v/>
      </c>
      <c r="J14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1" s="109" t="str">
        <f>IF(PaymentSchedule[[#This Row],[Nº. DE PAGO]]&lt;&gt;"",SUM(INDEX(PaymentSchedule[INTERÉS],1,1):PaymentSchedule[[#This Row],[INTERÉS]]),"")</f>
        <v/>
      </c>
    </row>
    <row r="142" spans="2:11" x14ac:dyDescent="0.3">
      <c r="B142" s="111" t="str">
        <f>IF(LoanIsGood,IF(ROW()-ROW(PaymentSchedule[[#Headers],[Nº. DE PAGO]])&gt;Numero_De_Pagos_Programados,"",ROW()-ROW(PaymentSchedule[[#Headers],[Nº. DE PAGO]])),"")</f>
        <v/>
      </c>
      <c r="C14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2" s="109" t="str">
        <f>IF(PaymentSchedule[[#This Row],[Nº. DE PAGO]]&lt;&gt;"",Pago_Programado,"")</f>
        <v/>
      </c>
      <c r="F14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2" s="109" t="str">
        <f>IF(PaymentSchedule[[#This Row],[Nº. DE PAGO]]&lt;&gt;"",PaymentSchedule[[#This Row],[IMPORTE TOTAL DEL PAGO]]-PaymentSchedule[[#This Row],[INTERÉS]],"")</f>
        <v/>
      </c>
      <c r="I142" s="109" t="str">
        <f>IF(PaymentSchedule[[#This Row],[Nº. DE PAGO]]&lt;&gt;"",PaymentSchedule[[#This Row],[SALDO INICIAL]]*(Tasa_De_Interes_Anual/Numero_De_Pagos_Por_Año),"")</f>
        <v/>
      </c>
      <c r="J14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2" s="109" t="str">
        <f>IF(PaymentSchedule[[#This Row],[Nº. DE PAGO]]&lt;&gt;"",SUM(INDEX(PaymentSchedule[INTERÉS],1,1):PaymentSchedule[[#This Row],[INTERÉS]]),"")</f>
        <v/>
      </c>
    </row>
    <row r="143" spans="2:11" x14ac:dyDescent="0.3">
      <c r="B143" s="111" t="str">
        <f>IF(LoanIsGood,IF(ROW()-ROW(PaymentSchedule[[#Headers],[Nº. DE PAGO]])&gt;Numero_De_Pagos_Programados,"",ROW()-ROW(PaymentSchedule[[#Headers],[Nº. DE PAGO]])),"")</f>
        <v/>
      </c>
      <c r="C14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3" s="109" t="str">
        <f>IF(PaymentSchedule[[#This Row],[Nº. DE PAGO]]&lt;&gt;"",Pago_Programado,"")</f>
        <v/>
      </c>
      <c r="F14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3" s="109" t="str">
        <f>IF(PaymentSchedule[[#This Row],[Nº. DE PAGO]]&lt;&gt;"",PaymentSchedule[[#This Row],[IMPORTE TOTAL DEL PAGO]]-PaymentSchedule[[#This Row],[INTERÉS]],"")</f>
        <v/>
      </c>
      <c r="I143" s="109" t="str">
        <f>IF(PaymentSchedule[[#This Row],[Nº. DE PAGO]]&lt;&gt;"",PaymentSchedule[[#This Row],[SALDO INICIAL]]*(Tasa_De_Interes_Anual/Numero_De_Pagos_Por_Año),"")</f>
        <v/>
      </c>
      <c r="J14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3" s="109" t="str">
        <f>IF(PaymentSchedule[[#This Row],[Nº. DE PAGO]]&lt;&gt;"",SUM(INDEX(PaymentSchedule[INTERÉS],1,1):PaymentSchedule[[#This Row],[INTERÉS]]),"")</f>
        <v/>
      </c>
    </row>
    <row r="144" spans="2:11" x14ac:dyDescent="0.3">
      <c r="B144" s="111" t="str">
        <f>IF(LoanIsGood,IF(ROW()-ROW(PaymentSchedule[[#Headers],[Nº. DE PAGO]])&gt;Numero_De_Pagos_Programados,"",ROW()-ROW(PaymentSchedule[[#Headers],[Nº. DE PAGO]])),"")</f>
        <v/>
      </c>
      <c r="C14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4" s="109" t="str">
        <f>IF(PaymentSchedule[[#This Row],[Nº. DE PAGO]]&lt;&gt;"",Pago_Programado,"")</f>
        <v/>
      </c>
      <c r="F14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4" s="109" t="str">
        <f>IF(PaymentSchedule[[#This Row],[Nº. DE PAGO]]&lt;&gt;"",PaymentSchedule[[#This Row],[IMPORTE TOTAL DEL PAGO]]-PaymentSchedule[[#This Row],[INTERÉS]],"")</f>
        <v/>
      </c>
      <c r="I144" s="109" t="str">
        <f>IF(PaymentSchedule[[#This Row],[Nº. DE PAGO]]&lt;&gt;"",PaymentSchedule[[#This Row],[SALDO INICIAL]]*(Tasa_De_Interes_Anual/Numero_De_Pagos_Por_Año),"")</f>
        <v/>
      </c>
      <c r="J14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4" s="109" t="str">
        <f>IF(PaymentSchedule[[#This Row],[Nº. DE PAGO]]&lt;&gt;"",SUM(INDEX(PaymentSchedule[INTERÉS],1,1):PaymentSchedule[[#This Row],[INTERÉS]]),"")</f>
        <v/>
      </c>
    </row>
    <row r="145" spans="2:11" x14ac:dyDescent="0.3">
      <c r="B145" s="111" t="str">
        <f>IF(LoanIsGood,IF(ROW()-ROW(PaymentSchedule[[#Headers],[Nº. DE PAGO]])&gt;Numero_De_Pagos_Programados,"",ROW()-ROW(PaymentSchedule[[#Headers],[Nº. DE PAGO]])),"")</f>
        <v/>
      </c>
      <c r="C14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5" s="109" t="str">
        <f>IF(PaymentSchedule[[#This Row],[Nº. DE PAGO]]&lt;&gt;"",Pago_Programado,"")</f>
        <v/>
      </c>
      <c r="F14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5" s="109" t="str">
        <f>IF(PaymentSchedule[[#This Row],[Nº. DE PAGO]]&lt;&gt;"",PaymentSchedule[[#This Row],[IMPORTE TOTAL DEL PAGO]]-PaymentSchedule[[#This Row],[INTERÉS]],"")</f>
        <v/>
      </c>
      <c r="I145" s="109" t="str">
        <f>IF(PaymentSchedule[[#This Row],[Nº. DE PAGO]]&lt;&gt;"",PaymentSchedule[[#This Row],[SALDO INICIAL]]*(Tasa_De_Interes_Anual/Numero_De_Pagos_Por_Año),"")</f>
        <v/>
      </c>
      <c r="J14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5" s="109" t="str">
        <f>IF(PaymentSchedule[[#This Row],[Nº. DE PAGO]]&lt;&gt;"",SUM(INDEX(PaymentSchedule[INTERÉS],1,1):PaymentSchedule[[#This Row],[INTERÉS]]),"")</f>
        <v/>
      </c>
    </row>
    <row r="146" spans="2:11" x14ac:dyDescent="0.3">
      <c r="B146" s="111" t="str">
        <f>IF(LoanIsGood,IF(ROW()-ROW(PaymentSchedule[[#Headers],[Nº. DE PAGO]])&gt;Numero_De_Pagos_Programados,"",ROW()-ROW(PaymentSchedule[[#Headers],[Nº. DE PAGO]])),"")</f>
        <v/>
      </c>
      <c r="C14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6" s="109" t="str">
        <f>IF(PaymentSchedule[[#This Row],[Nº. DE PAGO]]&lt;&gt;"",Pago_Programado,"")</f>
        <v/>
      </c>
      <c r="F14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6" s="109" t="str">
        <f>IF(PaymentSchedule[[#This Row],[Nº. DE PAGO]]&lt;&gt;"",PaymentSchedule[[#This Row],[IMPORTE TOTAL DEL PAGO]]-PaymentSchedule[[#This Row],[INTERÉS]],"")</f>
        <v/>
      </c>
      <c r="I146" s="109" t="str">
        <f>IF(PaymentSchedule[[#This Row],[Nº. DE PAGO]]&lt;&gt;"",PaymentSchedule[[#This Row],[SALDO INICIAL]]*(Tasa_De_Interes_Anual/Numero_De_Pagos_Por_Año),"")</f>
        <v/>
      </c>
      <c r="J14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6" s="109" t="str">
        <f>IF(PaymentSchedule[[#This Row],[Nº. DE PAGO]]&lt;&gt;"",SUM(INDEX(PaymentSchedule[INTERÉS],1,1):PaymentSchedule[[#This Row],[INTERÉS]]),"")</f>
        <v/>
      </c>
    </row>
    <row r="147" spans="2:11" x14ac:dyDescent="0.3">
      <c r="B147" s="111" t="str">
        <f>IF(LoanIsGood,IF(ROW()-ROW(PaymentSchedule[[#Headers],[Nº. DE PAGO]])&gt;Numero_De_Pagos_Programados,"",ROW()-ROW(PaymentSchedule[[#Headers],[Nº. DE PAGO]])),"")</f>
        <v/>
      </c>
      <c r="C14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7" s="109" t="str">
        <f>IF(PaymentSchedule[[#This Row],[Nº. DE PAGO]]&lt;&gt;"",Pago_Programado,"")</f>
        <v/>
      </c>
      <c r="F14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7" s="109" t="str">
        <f>IF(PaymentSchedule[[#This Row],[Nº. DE PAGO]]&lt;&gt;"",PaymentSchedule[[#This Row],[IMPORTE TOTAL DEL PAGO]]-PaymentSchedule[[#This Row],[INTERÉS]],"")</f>
        <v/>
      </c>
      <c r="I147" s="109" t="str">
        <f>IF(PaymentSchedule[[#This Row],[Nº. DE PAGO]]&lt;&gt;"",PaymentSchedule[[#This Row],[SALDO INICIAL]]*(Tasa_De_Interes_Anual/Numero_De_Pagos_Por_Año),"")</f>
        <v/>
      </c>
      <c r="J14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7" s="109" t="str">
        <f>IF(PaymentSchedule[[#This Row],[Nº. DE PAGO]]&lt;&gt;"",SUM(INDEX(PaymentSchedule[INTERÉS],1,1):PaymentSchedule[[#This Row],[INTERÉS]]),"")</f>
        <v/>
      </c>
    </row>
    <row r="148" spans="2:11" x14ac:dyDescent="0.3">
      <c r="B148" s="111" t="str">
        <f>IF(LoanIsGood,IF(ROW()-ROW(PaymentSchedule[[#Headers],[Nº. DE PAGO]])&gt;Numero_De_Pagos_Programados,"",ROW()-ROW(PaymentSchedule[[#Headers],[Nº. DE PAGO]])),"")</f>
        <v/>
      </c>
      <c r="C14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8" s="109" t="str">
        <f>IF(PaymentSchedule[[#This Row],[Nº. DE PAGO]]&lt;&gt;"",Pago_Programado,"")</f>
        <v/>
      </c>
      <c r="F14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8" s="109" t="str">
        <f>IF(PaymentSchedule[[#This Row],[Nº. DE PAGO]]&lt;&gt;"",PaymentSchedule[[#This Row],[IMPORTE TOTAL DEL PAGO]]-PaymentSchedule[[#This Row],[INTERÉS]],"")</f>
        <v/>
      </c>
      <c r="I148" s="109" t="str">
        <f>IF(PaymentSchedule[[#This Row],[Nº. DE PAGO]]&lt;&gt;"",PaymentSchedule[[#This Row],[SALDO INICIAL]]*(Tasa_De_Interes_Anual/Numero_De_Pagos_Por_Año),"")</f>
        <v/>
      </c>
      <c r="J14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8" s="109" t="str">
        <f>IF(PaymentSchedule[[#This Row],[Nº. DE PAGO]]&lt;&gt;"",SUM(INDEX(PaymentSchedule[INTERÉS],1,1):PaymentSchedule[[#This Row],[INTERÉS]]),"")</f>
        <v/>
      </c>
    </row>
    <row r="149" spans="2:11" x14ac:dyDescent="0.3">
      <c r="B149" s="111" t="str">
        <f>IF(LoanIsGood,IF(ROW()-ROW(PaymentSchedule[[#Headers],[Nº. DE PAGO]])&gt;Numero_De_Pagos_Programados,"",ROW()-ROW(PaymentSchedule[[#Headers],[Nº. DE PAGO]])),"")</f>
        <v/>
      </c>
      <c r="C14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9" s="109" t="str">
        <f>IF(PaymentSchedule[[#This Row],[Nº. DE PAGO]]&lt;&gt;"",Pago_Programado,"")</f>
        <v/>
      </c>
      <c r="F14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9" s="109" t="str">
        <f>IF(PaymentSchedule[[#This Row],[Nº. DE PAGO]]&lt;&gt;"",PaymentSchedule[[#This Row],[IMPORTE TOTAL DEL PAGO]]-PaymentSchedule[[#This Row],[INTERÉS]],"")</f>
        <v/>
      </c>
      <c r="I149" s="109" t="str">
        <f>IF(PaymentSchedule[[#This Row],[Nº. DE PAGO]]&lt;&gt;"",PaymentSchedule[[#This Row],[SALDO INICIAL]]*(Tasa_De_Interes_Anual/Numero_De_Pagos_Por_Año),"")</f>
        <v/>
      </c>
      <c r="J14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9" s="109" t="str">
        <f>IF(PaymentSchedule[[#This Row],[Nº. DE PAGO]]&lt;&gt;"",SUM(INDEX(PaymentSchedule[INTERÉS],1,1):PaymentSchedule[[#This Row],[INTERÉS]]),"")</f>
        <v/>
      </c>
    </row>
    <row r="150" spans="2:11" x14ac:dyDescent="0.3">
      <c r="B150" s="111" t="str">
        <f>IF(LoanIsGood,IF(ROW()-ROW(PaymentSchedule[[#Headers],[Nº. DE PAGO]])&gt;Numero_De_Pagos_Programados,"",ROW()-ROW(PaymentSchedule[[#Headers],[Nº. DE PAGO]])),"")</f>
        <v/>
      </c>
      <c r="C15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0" s="109" t="str">
        <f>IF(PaymentSchedule[[#This Row],[Nº. DE PAGO]]&lt;&gt;"",Pago_Programado,"")</f>
        <v/>
      </c>
      <c r="F15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0" s="109" t="str">
        <f>IF(PaymentSchedule[[#This Row],[Nº. DE PAGO]]&lt;&gt;"",PaymentSchedule[[#This Row],[IMPORTE TOTAL DEL PAGO]]-PaymentSchedule[[#This Row],[INTERÉS]],"")</f>
        <v/>
      </c>
      <c r="I150" s="109" t="str">
        <f>IF(PaymentSchedule[[#This Row],[Nº. DE PAGO]]&lt;&gt;"",PaymentSchedule[[#This Row],[SALDO INICIAL]]*(Tasa_De_Interes_Anual/Numero_De_Pagos_Por_Año),"")</f>
        <v/>
      </c>
      <c r="J15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0" s="109" t="str">
        <f>IF(PaymentSchedule[[#This Row],[Nº. DE PAGO]]&lt;&gt;"",SUM(INDEX(PaymentSchedule[INTERÉS],1,1):PaymentSchedule[[#This Row],[INTERÉS]]),"")</f>
        <v/>
      </c>
    </row>
    <row r="151" spans="2:11" x14ac:dyDescent="0.3">
      <c r="B151" s="111" t="str">
        <f>IF(LoanIsGood,IF(ROW()-ROW(PaymentSchedule[[#Headers],[Nº. DE PAGO]])&gt;Numero_De_Pagos_Programados,"",ROW()-ROW(PaymentSchedule[[#Headers],[Nº. DE PAGO]])),"")</f>
        <v/>
      </c>
      <c r="C15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1" s="109" t="str">
        <f>IF(PaymentSchedule[[#This Row],[Nº. DE PAGO]]&lt;&gt;"",Pago_Programado,"")</f>
        <v/>
      </c>
      <c r="F15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1" s="109" t="str">
        <f>IF(PaymentSchedule[[#This Row],[Nº. DE PAGO]]&lt;&gt;"",PaymentSchedule[[#This Row],[IMPORTE TOTAL DEL PAGO]]-PaymentSchedule[[#This Row],[INTERÉS]],"")</f>
        <v/>
      </c>
      <c r="I151" s="109" t="str">
        <f>IF(PaymentSchedule[[#This Row],[Nº. DE PAGO]]&lt;&gt;"",PaymentSchedule[[#This Row],[SALDO INICIAL]]*(Tasa_De_Interes_Anual/Numero_De_Pagos_Por_Año),"")</f>
        <v/>
      </c>
      <c r="J15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1" s="109" t="str">
        <f>IF(PaymentSchedule[[#This Row],[Nº. DE PAGO]]&lt;&gt;"",SUM(INDEX(PaymentSchedule[INTERÉS],1,1):PaymentSchedule[[#This Row],[INTERÉS]]),"")</f>
        <v/>
      </c>
    </row>
    <row r="152" spans="2:11" x14ac:dyDescent="0.3">
      <c r="B152" s="111" t="str">
        <f>IF(LoanIsGood,IF(ROW()-ROW(PaymentSchedule[[#Headers],[Nº. DE PAGO]])&gt;Numero_De_Pagos_Programados,"",ROW()-ROW(PaymentSchedule[[#Headers],[Nº. DE PAGO]])),"")</f>
        <v/>
      </c>
      <c r="C15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2" s="109" t="str">
        <f>IF(PaymentSchedule[[#This Row],[Nº. DE PAGO]]&lt;&gt;"",Pago_Programado,"")</f>
        <v/>
      </c>
      <c r="F15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2" s="109" t="str">
        <f>IF(PaymentSchedule[[#This Row],[Nº. DE PAGO]]&lt;&gt;"",PaymentSchedule[[#This Row],[IMPORTE TOTAL DEL PAGO]]-PaymentSchedule[[#This Row],[INTERÉS]],"")</f>
        <v/>
      </c>
      <c r="I152" s="109" t="str">
        <f>IF(PaymentSchedule[[#This Row],[Nº. DE PAGO]]&lt;&gt;"",PaymentSchedule[[#This Row],[SALDO INICIAL]]*(Tasa_De_Interes_Anual/Numero_De_Pagos_Por_Año),"")</f>
        <v/>
      </c>
      <c r="J15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2" s="109" t="str">
        <f>IF(PaymentSchedule[[#This Row],[Nº. DE PAGO]]&lt;&gt;"",SUM(INDEX(PaymentSchedule[INTERÉS],1,1):PaymentSchedule[[#This Row],[INTERÉS]]),"")</f>
        <v/>
      </c>
    </row>
    <row r="153" spans="2:11" x14ac:dyDescent="0.3">
      <c r="B153" s="111" t="str">
        <f>IF(LoanIsGood,IF(ROW()-ROW(PaymentSchedule[[#Headers],[Nº. DE PAGO]])&gt;Numero_De_Pagos_Programados,"",ROW()-ROW(PaymentSchedule[[#Headers],[Nº. DE PAGO]])),"")</f>
        <v/>
      </c>
      <c r="C15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3" s="109" t="str">
        <f>IF(PaymentSchedule[[#This Row],[Nº. DE PAGO]]&lt;&gt;"",Pago_Programado,"")</f>
        <v/>
      </c>
      <c r="F15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3" s="109" t="str">
        <f>IF(PaymentSchedule[[#This Row],[Nº. DE PAGO]]&lt;&gt;"",PaymentSchedule[[#This Row],[IMPORTE TOTAL DEL PAGO]]-PaymentSchedule[[#This Row],[INTERÉS]],"")</f>
        <v/>
      </c>
      <c r="I153" s="109" t="str">
        <f>IF(PaymentSchedule[[#This Row],[Nº. DE PAGO]]&lt;&gt;"",PaymentSchedule[[#This Row],[SALDO INICIAL]]*(Tasa_De_Interes_Anual/Numero_De_Pagos_Por_Año),"")</f>
        <v/>
      </c>
      <c r="J15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3" s="109" t="str">
        <f>IF(PaymentSchedule[[#This Row],[Nº. DE PAGO]]&lt;&gt;"",SUM(INDEX(PaymentSchedule[INTERÉS],1,1):PaymentSchedule[[#This Row],[INTERÉS]]),"")</f>
        <v/>
      </c>
    </row>
    <row r="154" spans="2:11" x14ac:dyDescent="0.3">
      <c r="B154" s="111" t="str">
        <f>IF(LoanIsGood,IF(ROW()-ROW(PaymentSchedule[[#Headers],[Nº. DE PAGO]])&gt;Numero_De_Pagos_Programados,"",ROW()-ROW(PaymentSchedule[[#Headers],[Nº. DE PAGO]])),"")</f>
        <v/>
      </c>
      <c r="C15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4" s="109" t="str">
        <f>IF(PaymentSchedule[[#This Row],[Nº. DE PAGO]]&lt;&gt;"",Pago_Programado,"")</f>
        <v/>
      </c>
      <c r="F15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4" s="109" t="str">
        <f>IF(PaymentSchedule[[#This Row],[Nº. DE PAGO]]&lt;&gt;"",PaymentSchedule[[#This Row],[IMPORTE TOTAL DEL PAGO]]-PaymentSchedule[[#This Row],[INTERÉS]],"")</f>
        <v/>
      </c>
      <c r="I154" s="109" t="str">
        <f>IF(PaymentSchedule[[#This Row],[Nº. DE PAGO]]&lt;&gt;"",PaymentSchedule[[#This Row],[SALDO INICIAL]]*(Tasa_De_Interes_Anual/Numero_De_Pagos_Por_Año),"")</f>
        <v/>
      </c>
      <c r="J15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4" s="109" t="str">
        <f>IF(PaymentSchedule[[#This Row],[Nº. DE PAGO]]&lt;&gt;"",SUM(INDEX(PaymentSchedule[INTERÉS],1,1):PaymentSchedule[[#This Row],[INTERÉS]]),"")</f>
        <v/>
      </c>
    </row>
    <row r="155" spans="2:11" x14ac:dyDescent="0.3">
      <c r="B155" s="111" t="str">
        <f>IF(LoanIsGood,IF(ROW()-ROW(PaymentSchedule[[#Headers],[Nº. DE PAGO]])&gt;Numero_De_Pagos_Programados,"",ROW()-ROW(PaymentSchedule[[#Headers],[Nº. DE PAGO]])),"")</f>
        <v/>
      </c>
      <c r="C15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5" s="109" t="str">
        <f>IF(PaymentSchedule[[#This Row],[Nº. DE PAGO]]&lt;&gt;"",Pago_Programado,"")</f>
        <v/>
      </c>
      <c r="F15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5" s="109" t="str">
        <f>IF(PaymentSchedule[[#This Row],[Nº. DE PAGO]]&lt;&gt;"",PaymentSchedule[[#This Row],[IMPORTE TOTAL DEL PAGO]]-PaymentSchedule[[#This Row],[INTERÉS]],"")</f>
        <v/>
      </c>
      <c r="I155" s="109" t="str">
        <f>IF(PaymentSchedule[[#This Row],[Nº. DE PAGO]]&lt;&gt;"",PaymentSchedule[[#This Row],[SALDO INICIAL]]*(Tasa_De_Interes_Anual/Numero_De_Pagos_Por_Año),"")</f>
        <v/>
      </c>
      <c r="J15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5" s="109" t="str">
        <f>IF(PaymentSchedule[[#This Row],[Nº. DE PAGO]]&lt;&gt;"",SUM(INDEX(PaymentSchedule[INTERÉS],1,1):PaymentSchedule[[#This Row],[INTERÉS]]),"")</f>
        <v/>
      </c>
    </row>
    <row r="156" spans="2:11" x14ac:dyDescent="0.3">
      <c r="B156" s="111" t="str">
        <f>IF(LoanIsGood,IF(ROW()-ROW(PaymentSchedule[[#Headers],[Nº. DE PAGO]])&gt;Numero_De_Pagos_Programados,"",ROW()-ROW(PaymentSchedule[[#Headers],[Nº. DE PAGO]])),"")</f>
        <v/>
      </c>
      <c r="C15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6" s="109" t="str">
        <f>IF(PaymentSchedule[[#This Row],[Nº. DE PAGO]]&lt;&gt;"",Pago_Programado,"")</f>
        <v/>
      </c>
      <c r="F15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6" s="109" t="str">
        <f>IF(PaymentSchedule[[#This Row],[Nº. DE PAGO]]&lt;&gt;"",PaymentSchedule[[#This Row],[IMPORTE TOTAL DEL PAGO]]-PaymentSchedule[[#This Row],[INTERÉS]],"")</f>
        <v/>
      </c>
      <c r="I156" s="109" t="str">
        <f>IF(PaymentSchedule[[#This Row],[Nº. DE PAGO]]&lt;&gt;"",PaymentSchedule[[#This Row],[SALDO INICIAL]]*(Tasa_De_Interes_Anual/Numero_De_Pagos_Por_Año),"")</f>
        <v/>
      </c>
      <c r="J15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6" s="109" t="str">
        <f>IF(PaymentSchedule[[#This Row],[Nº. DE PAGO]]&lt;&gt;"",SUM(INDEX(PaymentSchedule[INTERÉS],1,1):PaymentSchedule[[#This Row],[INTERÉS]]),"")</f>
        <v/>
      </c>
    </row>
    <row r="157" spans="2:11" x14ac:dyDescent="0.3">
      <c r="B157" s="111" t="str">
        <f>IF(LoanIsGood,IF(ROW()-ROW(PaymentSchedule[[#Headers],[Nº. DE PAGO]])&gt;Numero_De_Pagos_Programados,"",ROW()-ROW(PaymentSchedule[[#Headers],[Nº. DE PAGO]])),"")</f>
        <v/>
      </c>
      <c r="C15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7" s="109" t="str">
        <f>IF(PaymentSchedule[[#This Row],[Nº. DE PAGO]]&lt;&gt;"",Pago_Programado,"")</f>
        <v/>
      </c>
      <c r="F15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7" s="109" t="str">
        <f>IF(PaymentSchedule[[#This Row],[Nº. DE PAGO]]&lt;&gt;"",PaymentSchedule[[#This Row],[IMPORTE TOTAL DEL PAGO]]-PaymentSchedule[[#This Row],[INTERÉS]],"")</f>
        <v/>
      </c>
      <c r="I157" s="109" t="str">
        <f>IF(PaymentSchedule[[#This Row],[Nº. DE PAGO]]&lt;&gt;"",PaymentSchedule[[#This Row],[SALDO INICIAL]]*(Tasa_De_Interes_Anual/Numero_De_Pagos_Por_Año),"")</f>
        <v/>
      </c>
      <c r="J15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7" s="109" t="str">
        <f>IF(PaymentSchedule[[#This Row],[Nº. DE PAGO]]&lt;&gt;"",SUM(INDEX(PaymentSchedule[INTERÉS],1,1):PaymentSchedule[[#This Row],[INTERÉS]]),"")</f>
        <v/>
      </c>
    </row>
    <row r="158" spans="2:11" x14ac:dyDescent="0.3">
      <c r="B158" s="111" t="str">
        <f>IF(LoanIsGood,IF(ROW()-ROW(PaymentSchedule[[#Headers],[Nº. DE PAGO]])&gt;Numero_De_Pagos_Programados,"",ROW()-ROW(PaymentSchedule[[#Headers],[Nº. DE PAGO]])),"")</f>
        <v/>
      </c>
      <c r="C15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8" s="109" t="str">
        <f>IF(PaymentSchedule[[#This Row],[Nº. DE PAGO]]&lt;&gt;"",Pago_Programado,"")</f>
        <v/>
      </c>
      <c r="F15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8" s="109" t="str">
        <f>IF(PaymentSchedule[[#This Row],[Nº. DE PAGO]]&lt;&gt;"",PaymentSchedule[[#This Row],[IMPORTE TOTAL DEL PAGO]]-PaymentSchedule[[#This Row],[INTERÉS]],"")</f>
        <v/>
      </c>
      <c r="I158" s="109" t="str">
        <f>IF(PaymentSchedule[[#This Row],[Nº. DE PAGO]]&lt;&gt;"",PaymentSchedule[[#This Row],[SALDO INICIAL]]*(Tasa_De_Interes_Anual/Numero_De_Pagos_Por_Año),"")</f>
        <v/>
      </c>
      <c r="J15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8" s="109" t="str">
        <f>IF(PaymentSchedule[[#This Row],[Nº. DE PAGO]]&lt;&gt;"",SUM(INDEX(PaymentSchedule[INTERÉS],1,1):PaymentSchedule[[#This Row],[INTERÉS]]),"")</f>
        <v/>
      </c>
    </row>
    <row r="159" spans="2:11" x14ac:dyDescent="0.3">
      <c r="B159" s="111" t="str">
        <f>IF(LoanIsGood,IF(ROW()-ROW(PaymentSchedule[[#Headers],[Nº. DE PAGO]])&gt;Numero_De_Pagos_Programados,"",ROW()-ROW(PaymentSchedule[[#Headers],[Nº. DE PAGO]])),"")</f>
        <v/>
      </c>
      <c r="C15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9" s="109" t="str">
        <f>IF(PaymentSchedule[[#This Row],[Nº. DE PAGO]]&lt;&gt;"",Pago_Programado,"")</f>
        <v/>
      </c>
      <c r="F15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9" s="109" t="str">
        <f>IF(PaymentSchedule[[#This Row],[Nº. DE PAGO]]&lt;&gt;"",PaymentSchedule[[#This Row],[IMPORTE TOTAL DEL PAGO]]-PaymentSchedule[[#This Row],[INTERÉS]],"")</f>
        <v/>
      </c>
      <c r="I159" s="109" t="str">
        <f>IF(PaymentSchedule[[#This Row],[Nº. DE PAGO]]&lt;&gt;"",PaymentSchedule[[#This Row],[SALDO INICIAL]]*(Tasa_De_Interes_Anual/Numero_De_Pagos_Por_Año),"")</f>
        <v/>
      </c>
      <c r="J15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9" s="109" t="str">
        <f>IF(PaymentSchedule[[#This Row],[Nº. DE PAGO]]&lt;&gt;"",SUM(INDEX(PaymentSchedule[INTERÉS],1,1):PaymentSchedule[[#This Row],[INTERÉS]]),"")</f>
        <v/>
      </c>
    </row>
    <row r="160" spans="2:11" x14ac:dyDescent="0.3">
      <c r="B160" s="111" t="str">
        <f>IF(LoanIsGood,IF(ROW()-ROW(PaymentSchedule[[#Headers],[Nº. DE PAGO]])&gt;Numero_De_Pagos_Programados,"",ROW()-ROW(PaymentSchedule[[#Headers],[Nº. DE PAGO]])),"")</f>
        <v/>
      </c>
      <c r="C16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0" s="109" t="str">
        <f>IF(PaymentSchedule[[#This Row],[Nº. DE PAGO]]&lt;&gt;"",Pago_Programado,"")</f>
        <v/>
      </c>
      <c r="F16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0" s="109" t="str">
        <f>IF(PaymentSchedule[[#This Row],[Nº. DE PAGO]]&lt;&gt;"",PaymentSchedule[[#This Row],[IMPORTE TOTAL DEL PAGO]]-PaymentSchedule[[#This Row],[INTERÉS]],"")</f>
        <v/>
      </c>
      <c r="I160" s="109" t="str">
        <f>IF(PaymentSchedule[[#This Row],[Nº. DE PAGO]]&lt;&gt;"",PaymentSchedule[[#This Row],[SALDO INICIAL]]*(Tasa_De_Interes_Anual/Numero_De_Pagos_Por_Año),"")</f>
        <v/>
      </c>
      <c r="J16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0" s="109" t="str">
        <f>IF(PaymentSchedule[[#This Row],[Nº. DE PAGO]]&lt;&gt;"",SUM(INDEX(PaymentSchedule[INTERÉS],1,1):PaymentSchedule[[#This Row],[INTERÉS]]),"")</f>
        <v/>
      </c>
    </row>
    <row r="161" spans="2:11" x14ac:dyDescent="0.3">
      <c r="B161" s="111" t="str">
        <f>IF(LoanIsGood,IF(ROW()-ROW(PaymentSchedule[[#Headers],[Nº. DE PAGO]])&gt;Numero_De_Pagos_Programados,"",ROW()-ROW(PaymentSchedule[[#Headers],[Nº. DE PAGO]])),"")</f>
        <v/>
      </c>
      <c r="C16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1" s="109" t="str">
        <f>IF(PaymentSchedule[[#This Row],[Nº. DE PAGO]]&lt;&gt;"",Pago_Programado,"")</f>
        <v/>
      </c>
      <c r="F16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1" s="109" t="str">
        <f>IF(PaymentSchedule[[#This Row],[Nº. DE PAGO]]&lt;&gt;"",PaymentSchedule[[#This Row],[IMPORTE TOTAL DEL PAGO]]-PaymentSchedule[[#This Row],[INTERÉS]],"")</f>
        <v/>
      </c>
      <c r="I161" s="109" t="str">
        <f>IF(PaymentSchedule[[#This Row],[Nº. DE PAGO]]&lt;&gt;"",PaymentSchedule[[#This Row],[SALDO INICIAL]]*(Tasa_De_Interes_Anual/Numero_De_Pagos_Por_Año),"")</f>
        <v/>
      </c>
      <c r="J16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1" s="109" t="str">
        <f>IF(PaymentSchedule[[#This Row],[Nº. DE PAGO]]&lt;&gt;"",SUM(INDEX(PaymentSchedule[INTERÉS],1,1):PaymentSchedule[[#This Row],[INTERÉS]]),"")</f>
        <v/>
      </c>
    </row>
    <row r="162" spans="2:11" x14ac:dyDescent="0.3">
      <c r="B162" s="111" t="str">
        <f>IF(LoanIsGood,IF(ROW()-ROW(PaymentSchedule[[#Headers],[Nº. DE PAGO]])&gt;Numero_De_Pagos_Programados,"",ROW()-ROW(PaymentSchedule[[#Headers],[Nº. DE PAGO]])),"")</f>
        <v/>
      </c>
      <c r="C16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2" s="109" t="str">
        <f>IF(PaymentSchedule[[#This Row],[Nº. DE PAGO]]&lt;&gt;"",Pago_Programado,"")</f>
        <v/>
      </c>
      <c r="F16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2" s="109" t="str">
        <f>IF(PaymentSchedule[[#This Row],[Nº. DE PAGO]]&lt;&gt;"",PaymentSchedule[[#This Row],[IMPORTE TOTAL DEL PAGO]]-PaymentSchedule[[#This Row],[INTERÉS]],"")</f>
        <v/>
      </c>
      <c r="I162" s="109" t="str">
        <f>IF(PaymentSchedule[[#This Row],[Nº. DE PAGO]]&lt;&gt;"",PaymentSchedule[[#This Row],[SALDO INICIAL]]*(Tasa_De_Interes_Anual/Numero_De_Pagos_Por_Año),"")</f>
        <v/>
      </c>
      <c r="J16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2" s="109" t="str">
        <f>IF(PaymentSchedule[[#This Row],[Nº. DE PAGO]]&lt;&gt;"",SUM(INDEX(PaymentSchedule[INTERÉS],1,1):PaymentSchedule[[#This Row],[INTERÉS]]),"")</f>
        <v/>
      </c>
    </row>
    <row r="163" spans="2:11" x14ac:dyDescent="0.3">
      <c r="B163" s="111" t="str">
        <f>IF(LoanIsGood,IF(ROW()-ROW(PaymentSchedule[[#Headers],[Nº. DE PAGO]])&gt;Numero_De_Pagos_Programados,"",ROW()-ROW(PaymentSchedule[[#Headers],[Nº. DE PAGO]])),"")</f>
        <v/>
      </c>
      <c r="C16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3" s="109" t="str">
        <f>IF(PaymentSchedule[[#This Row],[Nº. DE PAGO]]&lt;&gt;"",Pago_Programado,"")</f>
        <v/>
      </c>
      <c r="F16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3" s="109" t="str">
        <f>IF(PaymentSchedule[[#This Row],[Nº. DE PAGO]]&lt;&gt;"",PaymentSchedule[[#This Row],[IMPORTE TOTAL DEL PAGO]]-PaymentSchedule[[#This Row],[INTERÉS]],"")</f>
        <v/>
      </c>
      <c r="I163" s="109" t="str">
        <f>IF(PaymentSchedule[[#This Row],[Nº. DE PAGO]]&lt;&gt;"",PaymentSchedule[[#This Row],[SALDO INICIAL]]*(Tasa_De_Interes_Anual/Numero_De_Pagos_Por_Año),"")</f>
        <v/>
      </c>
      <c r="J16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3" s="109" t="str">
        <f>IF(PaymentSchedule[[#This Row],[Nº. DE PAGO]]&lt;&gt;"",SUM(INDEX(PaymentSchedule[INTERÉS],1,1):PaymentSchedule[[#This Row],[INTERÉS]]),"")</f>
        <v/>
      </c>
    </row>
    <row r="164" spans="2:11" x14ac:dyDescent="0.3">
      <c r="B164" s="111" t="str">
        <f>IF(LoanIsGood,IF(ROW()-ROW(PaymentSchedule[[#Headers],[Nº. DE PAGO]])&gt;Numero_De_Pagos_Programados,"",ROW()-ROW(PaymentSchedule[[#Headers],[Nº. DE PAGO]])),"")</f>
        <v/>
      </c>
      <c r="C16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4" s="109" t="str">
        <f>IF(PaymentSchedule[[#This Row],[Nº. DE PAGO]]&lt;&gt;"",Pago_Programado,"")</f>
        <v/>
      </c>
      <c r="F16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4" s="109" t="str">
        <f>IF(PaymentSchedule[[#This Row],[Nº. DE PAGO]]&lt;&gt;"",PaymentSchedule[[#This Row],[IMPORTE TOTAL DEL PAGO]]-PaymentSchedule[[#This Row],[INTERÉS]],"")</f>
        <v/>
      </c>
      <c r="I164" s="109" t="str">
        <f>IF(PaymentSchedule[[#This Row],[Nº. DE PAGO]]&lt;&gt;"",PaymentSchedule[[#This Row],[SALDO INICIAL]]*(Tasa_De_Interes_Anual/Numero_De_Pagos_Por_Año),"")</f>
        <v/>
      </c>
      <c r="J16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4" s="109" t="str">
        <f>IF(PaymentSchedule[[#This Row],[Nº. DE PAGO]]&lt;&gt;"",SUM(INDEX(PaymentSchedule[INTERÉS],1,1):PaymentSchedule[[#This Row],[INTERÉS]]),"")</f>
        <v/>
      </c>
    </row>
    <row r="165" spans="2:11" x14ac:dyDescent="0.3">
      <c r="B165" s="111" t="str">
        <f>IF(LoanIsGood,IF(ROW()-ROW(PaymentSchedule[[#Headers],[Nº. DE PAGO]])&gt;Numero_De_Pagos_Programados,"",ROW()-ROW(PaymentSchedule[[#Headers],[Nº. DE PAGO]])),"")</f>
        <v/>
      </c>
      <c r="C16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5" s="109" t="str">
        <f>IF(PaymentSchedule[[#This Row],[Nº. DE PAGO]]&lt;&gt;"",Pago_Programado,"")</f>
        <v/>
      </c>
      <c r="F16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5" s="109" t="str">
        <f>IF(PaymentSchedule[[#This Row],[Nº. DE PAGO]]&lt;&gt;"",PaymentSchedule[[#This Row],[IMPORTE TOTAL DEL PAGO]]-PaymentSchedule[[#This Row],[INTERÉS]],"")</f>
        <v/>
      </c>
      <c r="I165" s="109" t="str">
        <f>IF(PaymentSchedule[[#This Row],[Nº. DE PAGO]]&lt;&gt;"",PaymentSchedule[[#This Row],[SALDO INICIAL]]*(Tasa_De_Interes_Anual/Numero_De_Pagos_Por_Año),"")</f>
        <v/>
      </c>
      <c r="J16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5" s="109" t="str">
        <f>IF(PaymentSchedule[[#This Row],[Nº. DE PAGO]]&lt;&gt;"",SUM(INDEX(PaymentSchedule[INTERÉS],1,1):PaymentSchedule[[#This Row],[INTERÉS]]),"")</f>
        <v/>
      </c>
    </row>
    <row r="166" spans="2:11" x14ac:dyDescent="0.3">
      <c r="B166" s="111" t="str">
        <f>IF(LoanIsGood,IF(ROW()-ROW(PaymentSchedule[[#Headers],[Nº. DE PAGO]])&gt;Numero_De_Pagos_Programados,"",ROW()-ROW(PaymentSchedule[[#Headers],[Nº. DE PAGO]])),"")</f>
        <v/>
      </c>
      <c r="C16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6" s="109" t="str">
        <f>IF(PaymentSchedule[[#This Row],[Nº. DE PAGO]]&lt;&gt;"",Pago_Programado,"")</f>
        <v/>
      </c>
      <c r="F16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6" s="109" t="str">
        <f>IF(PaymentSchedule[[#This Row],[Nº. DE PAGO]]&lt;&gt;"",PaymentSchedule[[#This Row],[IMPORTE TOTAL DEL PAGO]]-PaymentSchedule[[#This Row],[INTERÉS]],"")</f>
        <v/>
      </c>
      <c r="I166" s="109" t="str">
        <f>IF(PaymentSchedule[[#This Row],[Nº. DE PAGO]]&lt;&gt;"",PaymentSchedule[[#This Row],[SALDO INICIAL]]*(Tasa_De_Interes_Anual/Numero_De_Pagos_Por_Año),"")</f>
        <v/>
      </c>
      <c r="J16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6" s="109" t="str">
        <f>IF(PaymentSchedule[[#This Row],[Nº. DE PAGO]]&lt;&gt;"",SUM(INDEX(PaymentSchedule[INTERÉS],1,1):PaymentSchedule[[#This Row],[INTERÉS]]),"")</f>
        <v/>
      </c>
    </row>
    <row r="167" spans="2:11" x14ac:dyDescent="0.3">
      <c r="B167" s="111" t="str">
        <f>IF(LoanIsGood,IF(ROW()-ROW(PaymentSchedule[[#Headers],[Nº. DE PAGO]])&gt;Numero_De_Pagos_Programados,"",ROW()-ROW(PaymentSchedule[[#Headers],[Nº. DE PAGO]])),"")</f>
        <v/>
      </c>
      <c r="C16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7" s="109" t="str">
        <f>IF(PaymentSchedule[[#This Row],[Nº. DE PAGO]]&lt;&gt;"",Pago_Programado,"")</f>
        <v/>
      </c>
      <c r="F16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7" s="109" t="str">
        <f>IF(PaymentSchedule[[#This Row],[Nº. DE PAGO]]&lt;&gt;"",PaymentSchedule[[#This Row],[IMPORTE TOTAL DEL PAGO]]-PaymentSchedule[[#This Row],[INTERÉS]],"")</f>
        <v/>
      </c>
      <c r="I167" s="109" t="str">
        <f>IF(PaymentSchedule[[#This Row],[Nº. DE PAGO]]&lt;&gt;"",PaymentSchedule[[#This Row],[SALDO INICIAL]]*(Tasa_De_Interes_Anual/Numero_De_Pagos_Por_Año),"")</f>
        <v/>
      </c>
      <c r="J16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7" s="109" t="str">
        <f>IF(PaymentSchedule[[#This Row],[Nº. DE PAGO]]&lt;&gt;"",SUM(INDEX(PaymentSchedule[INTERÉS],1,1):PaymentSchedule[[#This Row],[INTERÉS]]),"")</f>
        <v/>
      </c>
    </row>
    <row r="168" spans="2:11" x14ac:dyDescent="0.3">
      <c r="B168" s="111" t="str">
        <f>IF(LoanIsGood,IF(ROW()-ROW(PaymentSchedule[[#Headers],[Nº. DE PAGO]])&gt;Numero_De_Pagos_Programados,"",ROW()-ROW(PaymentSchedule[[#Headers],[Nº. DE PAGO]])),"")</f>
        <v/>
      </c>
      <c r="C16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8" s="109" t="str">
        <f>IF(PaymentSchedule[[#This Row],[Nº. DE PAGO]]&lt;&gt;"",Pago_Programado,"")</f>
        <v/>
      </c>
      <c r="F16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8" s="109" t="str">
        <f>IF(PaymentSchedule[[#This Row],[Nº. DE PAGO]]&lt;&gt;"",PaymentSchedule[[#This Row],[IMPORTE TOTAL DEL PAGO]]-PaymentSchedule[[#This Row],[INTERÉS]],"")</f>
        <v/>
      </c>
      <c r="I168" s="109" t="str">
        <f>IF(PaymentSchedule[[#This Row],[Nº. DE PAGO]]&lt;&gt;"",PaymentSchedule[[#This Row],[SALDO INICIAL]]*(Tasa_De_Interes_Anual/Numero_De_Pagos_Por_Año),"")</f>
        <v/>
      </c>
      <c r="J16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8" s="109" t="str">
        <f>IF(PaymentSchedule[[#This Row],[Nº. DE PAGO]]&lt;&gt;"",SUM(INDEX(PaymentSchedule[INTERÉS],1,1):PaymentSchedule[[#This Row],[INTERÉS]]),"")</f>
        <v/>
      </c>
    </row>
    <row r="169" spans="2:11" x14ac:dyDescent="0.3">
      <c r="B169" s="111" t="str">
        <f>IF(LoanIsGood,IF(ROW()-ROW(PaymentSchedule[[#Headers],[Nº. DE PAGO]])&gt;Numero_De_Pagos_Programados,"",ROW()-ROW(PaymentSchedule[[#Headers],[Nº. DE PAGO]])),"")</f>
        <v/>
      </c>
      <c r="C16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9" s="109" t="str">
        <f>IF(PaymentSchedule[[#This Row],[Nº. DE PAGO]]&lt;&gt;"",Pago_Programado,"")</f>
        <v/>
      </c>
      <c r="F16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9" s="109" t="str">
        <f>IF(PaymentSchedule[[#This Row],[Nº. DE PAGO]]&lt;&gt;"",PaymentSchedule[[#This Row],[IMPORTE TOTAL DEL PAGO]]-PaymentSchedule[[#This Row],[INTERÉS]],"")</f>
        <v/>
      </c>
      <c r="I169" s="109" t="str">
        <f>IF(PaymentSchedule[[#This Row],[Nº. DE PAGO]]&lt;&gt;"",PaymentSchedule[[#This Row],[SALDO INICIAL]]*(Tasa_De_Interes_Anual/Numero_De_Pagos_Por_Año),"")</f>
        <v/>
      </c>
      <c r="J16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9" s="109" t="str">
        <f>IF(PaymentSchedule[[#This Row],[Nº. DE PAGO]]&lt;&gt;"",SUM(INDEX(PaymentSchedule[INTERÉS],1,1):PaymentSchedule[[#This Row],[INTERÉS]]),"")</f>
        <v/>
      </c>
    </row>
    <row r="170" spans="2:11" x14ac:dyDescent="0.3">
      <c r="B170" s="111" t="str">
        <f>IF(LoanIsGood,IF(ROW()-ROW(PaymentSchedule[[#Headers],[Nº. DE PAGO]])&gt;Numero_De_Pagos_Programados,"",ROW()-ROW(PaymentSchedule[[#Headers],[Nº. DE PAGO]])),"")</f>
        <v/>
      </c>
      <c r="C17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0" s="109" t="str">
        <f>IF(PaymentSchedule[[#This Row],[Nº. DE PAGO]]&lt;&gt;"",Pago_Programado,"")</f>
        <v/>
      </c>
      <c r="F17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0" s="109" t="str">
        <f>IF(PaymentSchedule[[#This Row],[Nº. DE PAGO]]&lt;&gt;"",PaymentSchedule[[#This Row],[IMPORTE TOTAL DEL PAGO]]-PaymentSchedule[[#This Row],[INTERÉS]],"")</f>
        <v/>
      </c>
      <c r="I170" s="109" t="str">
        <f>IF(PaymentSchedule[[#This Row],[Nº. DE PAGO]]&lt;&gt;"",PaymentSchedule[[#This Row],[SALDO INICIAL]]*(Tasa_De_Interes_Anual/Numero_De_Pagos_Por_Año),"")</f>
        <v/>
      </c>
      <c r="J17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0" s="109" t="str">
        <f>IF(PaymentSchedule[[#This Row],[Nº. DE PAGO]]&lt;&gt;"",SUM(INDEX(PaymentSchedule[INTERÉS],1,1):PaymentSchedule[[#This Row],[INTERÉS]]),"")</f>
        <v/>
      </c>
    </row>
    <row r="171" spans="2:11" x14ac:dyDescent="0.3">
      <c r="B171" s="111" t="str">
        <f>IF(LoanIsGood,IF(ROW()-ROW(PaymentSchedule[[#Headers],[Nº. DE PAGO]])&gt;Numero_De_Pagos_Programados,"",ROW()-ROW(PaymentSchedule[[#Headers],[Nº. DE PAGO]])),"")</f>
        <v/>
      </c>
      <c r="C17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1" s="109" t="str">
        <f>IF(PaymentSchedule[[#This Row],[Nº. DE PAGO]]&lt;&gt;"",Pago_Programado,"")</f>
        <v/>
      </c>
      <c r="F17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1" s="109" t="str">
        <f>IF(PaymentSchedule[[#This Row],[Nº. DE PAGO]]&lt;&gt;"",PaymentSchedule[[#This Row],[IMPORTE TOTAL DEL PAGO]]-PaymentSchedule[[#This Row],[INTERÉS]],"")</f>
        <v/>
      </c>
      <c r="I171" s="109" t="str">
        <f>IF(PaymentSchedule[[#This Row],[Nº. DE PAGO]]&lt;&gt;"",PaymentSchedule[[#This Row],[SALDO INICIAL]]*(Tasa_De_Interes_Anual/Numero_De_Pagos_Por_Año),"")</f>
        <v/>
      </c>
      <c r="J17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1" s="109" t="str">
        <f>IF(PaymentSchedule[[#This Row],[Nº. DE PAGO]]&lt;&gt;"",SUM(INDEX(PaymentSchedule[INTERÉS],1,1):PaymentSchedule[[#This Row],[INTERÉS]]),"")</f>
        <v/>
      </c>
    </row>
    <row r="172" spans="2:11" x14ac:dyDescent="0.3">
      <c r="B172" s="111" t="str">
        <f>IF(LoanIsGood,IF(ROW()-ROW(PaymentSchedule[[#Headers],[Nº. DE PAGO]])&gt;Numero_De_Pagos_Programados,"",ROW()-ROW(PaymentSchedule[[#Headers],[Nº. DE PAGO]])),"")</f>
        <v/>
      </c>
      <c r="C17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2" s="109" t="str">
        <f>IF(PaymentSchedule[[#This Row],[Nº. DE PAGO]]&lt;&gt;"",Pago_Programado,"")</f>
        <v/>
      </c>
      <c r="F17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2" s="109" t="str">
        <f>IF(PaymentSchedule[[#This Row],[Nº. DE PAGO]]&lt;&gt;"",PaymentSchedule[[#This Row],[IMPORTE TOTAL DEL PAGO]]-PaymentSchedule[[#This Row],[INTERÉS]],"")</f>
        <v/>
      </c>
      <c r="I172" s="109" t="str">
        <f>IF(PaymentSchedule[[#This Row],[Nº. DE PAGO]]&lt;&gt;"",PaymentSchedule[[#This Row],[SALDO INICIAL]]*(Tasa_De_Interes_Anual/Numero_De_Pagos_Por_Año),"")</f>
        <v/>
      </c>
      <c r="J17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2" s="109" t="str">
        <f>IF(PaymentSchedule[[#This Row],[Nº. DE PAGO]]&lt;&gt;"",SUM(INDEX(PaymentSchedule[INTERÉS],1,1):PaymentSchedule[[#This Row],[INTERÉS]]),"")</f>
        <v/>
      </c>
    </row>
    <row r="173" spans="2:11" x14ac:dyDescent="0.3">
      <c r="B173" s="111" t="str">
        <f>IF(LoanIsGood,IF(ROW()-ROW(PaymentSchedule[[#Headers],[Nº. DE PAGO]])&gt;Numero_De_Pagos_Programados,"",ROW()-ROW(PaymentSchedule[[#Headers],[Nº. DE PAGO]])),"")</f>
        <v/>
      </c>
      <c r="C17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3" s="109" t="str">
        <f>IF(PaymentSchedule[[#This Row],[Nº. DE PAGO]]&lt;&gt;"",Pago_Programado,"")</f>
        <v/>
      </c>
      <c r="F17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3" s="109" t="str">
        <f>IF(PaymentSchedule[[#This Row],[Nº. DE PAGO]]&lt;&gt;"",PaymentSchedule[[#This Row],[IMPORTE TOTAL DEL PAGO]]-PaymentSchedule[[#This Row],[INTERÉS]],"")</f>
        <v/>
      </c>
      <c r="I173" s="109" t="str">
        <f>IF(PaymentSchedule[[#This Row],[Nº. DE PAGO]]&lt;&gt;"",PaymentSchedule[[#This Row],[SALDO INICIAL]]*(Tasa_De_Interes_Anual/Numero_De_Pagos_Por_Año),"")</f>
        <v/>
      </c>
      <c r="J17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3" s="109" t="str">
        <f>IF(PaymentSchedule[[#This Row],[Nº. DE PAGO]]&lt;&gt;"",SUM(INDEX(PaymentSchedule[INTERÉS],1,1):PaymentSchedule[[#This Row],[INTERÉS]]),"")</f>
        <v/>
      </c>
    </row>
    <row r="174" spans="2:11" x14ac:dyDescent="0.3">
      <c r="B174" s="111" t="str">
        <f>IF(LoanIsGood,IF(ROW()-ROW(PaymentSchedule[[#Headers],[Nº. DE PAGO]])&gt;Numero_De_Pagos_Programados,"",ROW()-ROW(PaymentSchedule[[#Headers],[Nº. DE PAGO]])),"")</f>
        <v/>
      </c>
      <c r="C17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4" s="109" t="str">
        <f>IF(PaymentSchedule[[#This Row],[Nº. DE PAGO]]&lt;&gt;"",Pago_Programado,"")</f>
        <v/>
      </c>
      <c r="F17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4" s="109" t="str">
        <f>IF(PaymentSchedule[[#This Row],[Nº. DE PAGO]]&lt;&gt;"",PaymentSchedule[[#This Row],[IMPORTE TOTAL DEL PAGO]]-PaymentSchedule[[#This Row],[INTERÉS]],"")</f>
        <v/>
      </c>
      <c r="I174" s="109" t="str">
        <f>IF(PaymentSchedule[[#This Row],[Nº. DE PAGO]]&lt;&gt;"",PaymentSchedule[[#This Row],[SALDO INICIAL]]*(Tasa_De_Interes_Anual/Numero_De_Pagos_Por_Año),"")</f>
        <v/>
      </c>
      <c r="J17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4" s="109" t="str">
        <f>IF(PaymentSchedule[[#This Row],[Nº. DE PAGO]]&lt;&gt;"",SUM(INDEX(PaymentSchedule[INTERÉS],1,1):PaymentSchedule[[#This Row],[INTERÉS]]),"")</f>
        <v/>
      </c>
    </row>
    <row r="175" spans="2:11" x14ac:dyDescent="0.3">
      <c r="B175" s="111" t="str">
        <f>IF(LoanIsGood,IF(ROW()-ROW(PaymentSchedule[[#Headers],[Nº. DE PAGO]])&gt;Numero_De_Pagos_Programados,"",ROW()-ROW(PaymentSchedule[[#Headers],[Nº. DE PAGO]])),"")</f>
        <v/>
      </c>
      <c r="C17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5" s="109" t="str">
        <f>IF(PaymentSchedule[[#This Row],[Nº. DE PAGO]]&lt;&gt;"",Pago_Programado,"")</f>
        <v/>
      </c>
      <c r="F17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5" s="109" t="str">
        <f>IF(PaymentSchedule[[#This Row],[Nº. DE PAGO]]&lt;&gt;"",PaymentSchedule[[#This Row],[IMPORTE TOTAL DEL PAGO]]-PaymentSchedule[[#This Row],[INTERÉS]],"")</f>
        <v/>
      </c>
      <c r="I175" s="109" t="str">
        <f>IF(PaymentSchedule[[#This Row],[Nº. DE PAGO]]&lt;&gt;"",PaymentSchedule[[#This Row],[SALDO INICIAL]]*(Tasa_De_Interes_Anual/Numero_De_Pagos_Por_Año),"")</f>
        <v/>
      </c>
      <c r="J17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5" s="109" t="str">
        <f>IF(PaymentSchedule[[#This Row],[Nº. DE PAGO]]&lt;&gt;"",SUM(INDEX(PaymentSchedule[INTERÉS],1,1):PaymentSchedule[[#This Row],[INTERÉS]]),"")</f>
        <v/>
      </c>
    </row>
    <row r="176" spans="2:11" x14ac:dyDescent="0.3">
      <c r="B176" s="111" t="str">
        <f>IF(LoanIsGood,IF(ROW()-ROW(PaymentSchedule[[#Headers],[Nº. DE PAGO]])&gt;Numero_De_Pagos_Programados,"",ROW()-ROW(PaymentSchedule[[#Headers],[Nº. DE PAGO]])),"")</f>
        <v/>
      </c>
      <c r="C17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6" s="109" t="str">
        <f>IF(PaymentSchedule[[#This Row],[Nº. DE PAGO]]&lt;&gt;"",Pago_Programado,"")</f>
        <v/>
      </c>
      <c r="F17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6" s="109" t="str">
        <f>IF(PaymentSchedule[[#This Row],[Nº. DE PAGO]]&lt;&gt;"",PaymentSchedule[[#This Row],[IMPORTE TOTAL DEL PAGO]]-PaymentSchedule[[#This Row],[INTERÉS]],"")</f>
        <v/>
      </c>
      <c r="I176" s="109" t="str">
        <f>IF(PaymentSchedule[[#This Row],[Nº. DE PAGO]]&lt;&gt;"",PaymentSchedule[[#This Row],[SALDO INICIAL]]*(Tasa_De_Interes_Anual/Numero_De_Pagos_Por_Año),"")</f>
        <v/>
      </c>
      <c r="J17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6" s="109" t="str">
        <f>IF(PaymentSchedule[[#This Row],[Nº. DE PAGO]]&lt;&gt;"",SUM(INDEX(PaymentSchedule[INTERÉS],1,1):PaymentSchedule[[#This Row],[INTERÉS]]),"")</f>
        <v/>
      </c>
    </row>
    <row r="177" spans="2:11" x14ac:dyDescent="0.3">
      <c r="B177" s="111" t="str">
        <f>IF(LoanIsGood,IF(ROW()-ROW(PaymentSchedule[[#Headers],[Nº. DE PAGO]])&gt;Numero_De_Pagos_Programados,"",ROW()-ROW(PaymentSchedule[[#Headers],[Nº. DE PAGO]])),"")</f>
        <v/>
      </c>
      <c r="C17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7" s="109" t="str">
        <f>IF(PaymentSchedule[[#This Row],[Nº. DE PAGO]]&lt;&gt;"",Pago_Programado,"")</f>
        <v/>
      </c>
      <c r="F17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7" s="109" t="str">
        <f>IF(PaymentSchedule[[#This Row],[Nº. DE PAGO]]&lt;&gt;"",PaymentSchedule[[#This Row],[IMPORTE TOTAL DEL PAGO]]-PaymentSchedule[[#This Row],[INTERÉS]],"")</f>
        <v/>
      </c>
      <c r="I177" s="109" t="str">
        <f>IF(PaymentSchedule[[#This Row],[Nº. DE PAGO]]&lt;&gt;"",PaymentSchedule[[#This Row],[SALDO INICIAL]]*(Tasa_De_Interes_Anual/Numero_De_Pagos_Por_Año),"")</f>
        <v/>
      </c>
      <c r="J17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7" s="109" t="str">
        <f>IF(PaymentSchedule[[#This Row],[Nº. DE PAGO]]&lt;&gt;"",SUM(INDEX(PaymentSchedule[INTERÉS],1,1):PaymentSchedule[[#This Row],[INTERÉS]]),"")</f>
        <v/>
      </c>
    </row>
    <row r="178" spans="2:11" x14ac:dyDescent="0.3">
      <c r="B178" s="111" t="str">
        <f>IF(LoanIsGood,IF(ROW()-ROW(PaymentSchedule[[#Headers],[Nº. DE PAGO]])&gt;Numero_De_Pagos_Programados,"",ROW()-ROW(PaymentSchedule[[#Headers],[Nº. DE PAGO]])),"")</f>
        <v/>
      </c>
      <c r="C17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8" s="109" t="str">
        <f>IF(PaymentSchedule[[#This Row],[Nº. DE PAGO]]&lt;&gt;"",Pago_Programado,"")</f>
        <v/>
      </c>
      <c r="F17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8" s="109" t="str">
        <f>IF(PaymentSchedule[[#This Row],[Nº. DE PAGO]]&lt;&gt;"",PaymentSchedule[[#This Row],[IMPORTE TOTAL DEL PAGO]]-PaymentSchedule[[#This Row],[INTERÉS]],"")</f>
        <v/>
      </c>
      <c r="I178" s="109" t="str">
        <f>IF(PaymentSchedule[[#This Row],[Nº. DE PAGO]]&lt;&gt;"",PaymentSchedule[[#This Row],[SALDO INICIAL]]*(Tasa_De_Interes_Anual/Numero_De_Pagos_Por_Año),"")</f>
        <v/>
      </c>
      <c r="J17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8" s="109" t="str">
        <f>IF(PaymentSchedule[[#This Row],[Nº. DE PAGO]]&lt;&gt;"",SUM(INDEX(PaymentSchedule[INTERÉS],1,1):PaymentSchedule[[#This Row],[INTERÉS]]),"")</f>
        <v/>
      </c>
    </row>
    <row r="179" spans="2:11" x14ac:dyDescent="0.3">
      <c r="B179" s="111" t="str">
        <f>IF(LoanIsGood,IF(ROW()-ROW(PaymentSchedule[[#Headers],[Nº. DE PAGO]])&gt;Numero_De_Pagos_Programados,"",ROW()-ROW(PaymentSchedule[[#Headers],[Nº. DE PAGO]])),"")</f>
        <v/>
      </c>
      <c r="C17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9" s="109" t="str">
        <f>IF(PaymentSchedule[[#This Row],[Nº. DE PAGO]]&lt;&gt;"",Pago_Programado,"")</f>
        <v/>
      </c>
      <c r="F17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9" s="109" t="str">
        <f>IF(PaymentSchedule[[#This Row],[Nº. DE PAGO]]&lt;&gt;"",PaymentSchedule[[#This Row],[IMPORTE TOTAL DEL PAGO]]-PaymentSchedule[[#This Row],[INTERÉS]],"")</f>
        <v/>
      </c>
      <c r="I179" s="109" t="str">
        <f>IF(PaymentSchedule[[#This Row],[Nº. DE PAGO]]&lt;&gt;"",PaymentSchedule[[#This Row],[SALDO INICIAL]]*(Tasa_De_Interes_Anual/Numero_De_Pagos_Por_Año),"")</f>
        <v/>
      </c>
      <c r="J17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9" s="109" t="str">
        <f>IF(PaymentSchedule[[#This Row],[Nº. DE PAGO]]&lt;&gt;"",SUM(INDEX(PaymentSchedule[INTERÉS],1,1):PaymentSchedule[[#This Row],[INTERÉS]]),"")</f>
        <v/>
      </c>
    </row>
    <row r="180" spans="2:11" x14ac:dyDescent="0.3">
      <c r="B180" s="111" t="str">
        <f>IF(LoanIsGood,IF(ROW()-ROW(PaymentSchedule[[#Headers],[Nº. DE PAGO]])&gt;Numero_De_Pagos_Programados,"",ROW()-ROW(PaymentSchedule[[#Headers],[Nº. DE PAGO]])),"")</f>
        <v/>
      </c>
      <c r="C18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0" s="109" t="str">
        <f>IF(PaymentSchedule[[#This Row],[Nº. DE PAGO]]&lt;&gt;"",Pago_Programado,"")</f>
        <v/>
      </c>
      <c r="F18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0" s="109" t="str">
        <f>IF(PaymentSchedule[[#This Row],[Nº. DE PAGO]]&lt;&gt;"",PaymentSchedule[[#This Row],[IMPORTE TOTAL DEL PAGO]]-PaymentSchedule[[#This Row],[INTERÉS]],"")</f>
        <v/>
      </c>
      <c r="I180" s="109" t="str">
        <f>IF(PaymentSchedule[[#This Row],[Nº. DE PAGO]]&lt;&gt;"",PaymentSchedule[[#This Row],[SALDO INICIAL]]*(Tasa_De_Interes_Anual/Numero_De_Pagos_Por_Año),"")</f>
        <v/>
      </c>
      <c r="J18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0" s="109" t="str">
        <f>IF(PaymentSchedule[[#This Row],[Nº. DE PAGO]]&lt;&gt;"",SUM(INDEX(PaymentSchedule[INTERÉS],1,1):PaymentSchedule[[#This Row],[INTERÉS]]),"")</f>
        <v/>
      </c>
    </row>
    <row r="181" spans="2:11" x14ac:dyDescent="0.3">
      <c r="B181" s="111" t="str">
        <f>IF(LoanIsGood,IF(ROW()-ROW(PaymentSchedule[[#Headers],[Nº. DE PAGO]])&gt;Numero_De_Pagos_Programados,"",ROW()-ROW(PaymentSchedule[[#Headers],[Nº. DE PAGO]])),"")</f>
        <v/>
      </c>
      <c r="C18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1" s="109" t="str">
        <f>IF(PaymentSchedule[[#This Row],[Nº. DE PAGO]]&lt;&gt;"",Pago_Programado,"")</f>
        <v/>
      </c>
      <c r="F18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1" s="109" t="str">
        <f>IF(PaymentSchedule[[#This Row],[Nº. DE PAGO]]&lt;&gt;"",PaymentSchedule[[#This Row],[IMPORTE TOTAL DEL PAGO]]-PaymentSchedule[[#This Row],[INTERÉS]],"")</f>
        <v/>
      </c>
      <c r="I181" s="109" t="str">
        <f>IF(PaymentSchedule[[#This Row],[Nº. DE PAGO]]&lt;&gt;"",PaymentSchedule[[#This Row],[SALDO INICIAL]]*(Tasa_De_Interes_Anual/Numero_De_Pagos_Por_Año),"")</f>
        <v/>
      </c>
      <c r="J18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1" s="109" t="str">
        <f>IF(PaymentSchedule[[#This Row],[Nº. DE PAGO]]&lt;&gt;"",SUM(INDEX(PaymentSchedule[INTERÉS],1,1):PaymentSchedule[[#This Row],[INTERÉS]]),"")</f>
        <v/>
      </c>
    </row>
    <row r="182" spans="2:11" x14ac:dyDescent="0.3">
      <c r="B182" s="111" t="str">
        <f>IF(LoanIsGood,IF(ROW()-ROW(PaymentSchedule[[#Headers],[Nº. DE PAGO]])&gt;Numero_De_Pagos_Programados,"",ROW()-ROW(PaymentSchedule[[#Headers],[Nº. DE PAGO]])),"")</f>
        <v/>
      </c>
      <c r="C18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2" s="109" t="str">
        <f>IF(PaymentSchedule[[#This Row],[Nº. DE PAGO]]&lt;&gt;"",Pago_Programado,"")</f>
        <v/>
      </c>
      <c r="F18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2" s="109" t="str">
        <f>IF(PaymentSchedule[[#This Row],[Nº. DE PAGO]]&lt;&gt;"",PaymentSchedule[[#This Row],[IMPORTE TOTAL DEL PAGO]]-PaymentSchedule[[#This Row],[INTERÉS]],"")</f>
        <v/>
      </c>
      <c r="I182" s="109" t="str">
        <f>IF(PaymentSchedule[[#This Row],[Nº. DE PAGO]]&lt;&gt;"",PaymentSchedule[[#This Row],[SALDO INICIAL]]*(Tasa_De_Interes_Anual/Numero_De_Pagos_Por_Año),"")</f>
        <v/>
      </c>
      <c r="J18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2" s="109" t="str">
        <f>IF(PaymentSchedule[[#This Row],[Nº. DE PAGO]]&lt;&gt;"",SUM(INDEX(PaymentSchedule[INTERÉS],1,1):PaymentSchedule[[#This Row],[INTERÉS]]),"")</f>
        <v/>
      </c>
    </row>
    <row r="183" spans="2:11" x14ac:dyDescent="0.3">
      <c r="B183" s="111" t="str">
        <f>IF(LoanIsGood,IF(ROW()-ROW(PaymentSchedule[[#Headers],[Nº. DE PAGO]])&gt;Numero_De_Pagos_Programados,"",ROW()-ROW(PaymentSchedule[[#Headers],[Nº. DE PAGO]])),"")</f>
        <v/>
      </c>
      <c r="C18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3" s="109" t="str">
        <f>IF(PaymentSchedule[[#This Row],[Nº. DE PAGO]]&lt;&gt;"",Pago_Programado,"")</f>
        <v/>
      </c>
      <c r="F18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3" s="109" t="str">
        <f>IF(PaymentSchedule[[#This Row],[Nº. DE PAGO]]&lt;&gt;"",PaymentSchedule[[#This Row],[IMPORTE TOTAL DEL PAGO]]-PaymentSchedule[[#This Row],[INTERÉS]],"")</f>
        <v/>
      </c>
      <c r="I183" s="109" t="str">
        <f>IF(PaymentSchedule[[#This Row],[Nº. DE PAGO]]&lt;&gt;"",PaymentSchedule[[#This Row],[SALDO INICIAL]]*(Tasa_De_Interes_Anual/Numero_De_Pagos_Por_Año),"")</f>
        <v/>
      </c>
      <c r="J18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3" s="109" t="str">
        <f>IF(PaymentSchedule[[#This Row],[Nº. DE PAGO]]&lt;&gt;"",SUM(INDEX(PaymentSchedule[INTERÉS],1,1):PaymentSchedule[[#This Row],[INTERÉS]]),"")</f>
        <v/>
      </c>
    </row>
    <row r="184" spans="2:11" x14ac:dyDescent="0.3">
      <c r="B184" s="111" t="str">
        <f>IF(LoanIsGood,IF(ROW()-ROW(PaymentSchedule[[#Headers],[Nº. DE PAGO]])&gt;Numero_De_Pagos_Programados,"",ROW()-ROW(PaymentSchedule[[#Headers],[Nº. DE PAGO]])),"")</f>
        <v/>
      </c>
      <c r="C18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4" s="109" t="str">
        <f>IF(PaymentSchedule[[#This Row],[Nº. DE PAGO]]&lt;&gt;"",Pago_Programado,"")</f>
        <v/>
      </c>
      <c r="F18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4" s="109" t="str">
        <f>IF(PaymentSchedule[[#This Row],[Nº. DE PAGO]]&lt;&gt;"",PaymentSchedule[[#This Row],[IMPORTE TOTAL DEL PAGO]]-PaymentSchedule[[#This Row],[INTERÉS]],"")</f>
        <v/>
      </c>
      <c r="I184" s="109" t="str">
        <f>IF(PaymentSchedule[[#This Row],[Nº. DE PAGO]]&lt;&gt;"",PaymentSchedule[[#This Row],[SALDO INICIAL]]*(Tasa_De_Interes_Anual/Numero_De_Pagos_Por_Año),"")</f>
        <v/>
      </c>
      <c r="J18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4" s="109" t="str">
        <f>IF(PaymentSchedule[[#This Row],[Nº. DE PAGO]]&lt;&gt;"",SUM(INDEX(PaymentSchedule[INTERÉS],1,1):PaymentSchedule[[#This Row],[INTERÉS]]),"")</f>
        <v/>
      </c>
    </row>
    <row r="185" spans="2:11" x14ac:dyDescent="0.3">
      <c r="B185" s="111" t="str">
        <f>IF(LoanIsGood,IF(ROW()-ROW(PaymentSchedule[[#Headers],[Nº. DE PAGO]])&gt;Numero_De_Pagos_Programados,"",ROW()-ROW(PaymentSchedule[[#Headers],[Nº. DE PAGO]])),"")</f>
        <v/>
      </c>
      <c r="C18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5" s="109" t="str">
        <f>IF(PaymentSchedule[[#This Row],[Nº. DE PAGO]]&lt;&gt;"",Pago_Programado,"")</f>
        <v/>
      </c>
      <c r="F18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5" s="109" t="str">
        <f>IF(PaymentSchedule[[#This Row],[Nº. DE PAGO]]&lt;&gt;"",PaymentSchedule[[#This Row],[IMPORTE TOTAL DEL PAGO]]-PaymentSchedule[[#This Row],[INTERÉS]],"")</f>
        <v/>
      </c>
      <c r="I185" s="109" t="str">
        <f>IF(PaymentSchedule[[#This Row],[Nº. DE PAGO]]&lt;&gt;"",PaymentSchedule[[#This Row],[SALDO INICIAL]]*(Tasa_De_Interes_Anual/Numero_De_Pagos_Por_Año),"")</f>
        <v/>
      </c>
      <c r="J18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5" s="109" t="str">
        <f>IF(PaymentSchedule[[#This Row],[Nº. DE PAGO]]&lt;&gt;"",SUM(INDEX(PaymentSchedule[INTERÉS],1,1):PaymentSchedule[[#This Row],[INTERÉS]]),"")</f>
        <v/>
      </c>
    </row>
    <row r="186" spans="2:11" x14ac:dyDescent="0.3">
      <c r="B186" s="111" t="str">
        <f>IF(LoanIsGood,IF(ROW()-ROW(PaymentSchedule[[#Headers],[Nº. DE PAGO]])&gt;Numero_De_Pagos_Programados,"",ROW()-ROW(PaymentSchedule[[#Headers],[Nº. DE PAGO]])),"")</f>
        <v/>
      </c>
      <c r="C18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6" s="109" t="str">
        <f>IF(PaymentSchedule[[#This Row],[Nº. DE PAGO]]&lt;&gt;"",Pago_Programado,"")</f>
        <v/>
      </c>
      <c r="F18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6" s="109" t="str">
        <f>IF(PaymentSchedule[[#This Row],[Nº. DE PAGO]]&lt;&gt;"",PaymentSchedule[[#This Row],[IMPORTE TOTAL DEL PAGO]]-PaymentSchedule[[#This Row],[INTERÉS]],"")</f>
        <v/>
      </c>
      <c r="I186" s="109" t="str">
        <f>IF(PaymentSchedule[[#This Row],[Nº. DE PAGO]]&lt;&gt;"",PaymentSchedule[[#This Row],[SALDO INICIAL]]*(Tasa_De_Interes_Anual/Numero_De_Pagos_Por_Año),"")</f>
        <v/>
      </c>
      <c r="J18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6" s="109" t="str">
        <f>IF(PaymentSchedule[[#This Row],[Nº. DE PAGO]]&lt;&gt;"",SUM(INDEX(PaymentSchedule[INTERÉS],1,1):PaymentSchedule[[#This Row],[INTERÉS]]),"")</f>
        <v/>
      </c>
    </row>
    <row r="187" spans="2:11" x14ac:dyDescent="0.3">
      <c r="B187" s="111" t="str">
        <f>IF(LoanIsGood,IF(ROW()-ROW(PaymentSchedule[[#Headers],[Nº. DE PAGO]])&gt;Numero_De_Pagos_Programados,"",ROW()-ROW(PaymentSchedule[[#Headers],[Nº. DE PAGO]])),"")</f>
        <v/>
      </c>
      <c r="C18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7" s="109" t="str">
        <f>IF(PaymentSchedule[[#This Row],[Nº. DE PAGO]]&lt;&gt;"",Pago_Programado,"")</f>
        <v/>
      </c>
      <c r="F18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7" s="109" t="str">
        <f>IF(PaymentSchedule[[#This Row],[Nº. DE PAGO]]&lt;&gt;"",PaymentSchedule[[#This Row],[IMPORTE TOTAL DEL PAGO]]-PaymentSchedule[[#This Row],[INTERÉS]],"")</f>
        <v/>
      </c>
      <c r="I187" s="109" t="str">
        <f>IF(PaymentSchedule[[#This Row],[Nº. DE PAGO]]&lt;&gt;"",PaymentSchedule[[#This Row],[SALDO INICIAL]]*(Tasa_De_Interes_Anual/Numero_De_Pagos_Por_Año),"")</f>
        <v/>
      </c>
      <c r="J18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7" s="109" t="str">
        <f>IF(PaymentSchedule[[#This Row],[Nº. DE PAGO]]&lt;&gt;"",SUM(INDEX(PaymentSchedule[INTERÉS],1,1):PaymentSchedule[[#This Row],[INTERÉS]]),"")</f>
        <v/>
      </c>
    </row>
    <row r="188" spans="2:11" x14ac:dyDescent="0.3">
      <c r="B188" s="111" t="str">
        <f>IF(LoanIsGood,IF(ROW()-ROW(PaymentSchedule[[#Headers],[Nº. DE PAGO]])&gt;Numero_De_Pagos_Programados,"",ROW()-ROW(PaymentSchedule[[#Headers],[Nº. DE PAGO]])),"")</f>
        <v/>
      </c>
      <c r="C18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8" s="109" t="str">
        <f>IF(PaymentSchedule[[#This Row],[Nº. DE PAGO]]&lt;&gt;"",Pago_Programado,"")</f>
        <v/>
      </c>
      <c r="F18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8" s="109" t="str">
        <f>IF(PaymentSchedule[[#This Row],[Nº. DE PAGO]]&lt;&gt;"",PaymentSchedule[[#This Row],[IMPORTE TOTAL DEL PAGO]]-PaymentSchedule[[#This Row],[INTERÉS]],"")</f>
        <v/>
      </c>
      <c r="I188" s="109" t="str">
        <f>IF(PaymentSchedule[[#This Row],[Nº. DE PAGO]]&lt;&gt;"",PaymentSchedule[[#This Row],[SALDO INICIAL]]*(Tasa_De_Interes_Anual/Numero_De_Pagos_Por_Año),"")</f>
        <v/>
      </c>
      <c r="J18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8" s="109" t="str">
        <f>IF(PaymentSchedule[[#This Row],[Nº. DE PAGO]]&lt;&gt;"",SUM(INDEX(PaymentSchedule[INTERÉS],1,1):PaymentSchedule[[#This Row],[INTERÉS]]),"")</f>
        <v/>
      </c>
    </row>
    <row r="189" spans="2:11" x14ac:dyDescent="0.3">
      <c r="B189" s="111" t="str">
        <f>IF(LoanIsGood,IF(ROW()-ROW(PaymentSchedule[[#Headers],[Nº. DE PAGO]])&gt;Numero_De_Pagos_Programados,"",ROW()-ROW(PaymentSchedule[[#Headers],[Nº. DE PAGO]])),"")</f>
        <v/>
      </c>
      <c r="C18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9" s="109" t="str">
        <f>IF(PaymentSchedule[[#This Row],[Nº. DE PAGO]]&lt;&gt;"",Pago_Programado,"")</f>
        <v/>
      </c>
      <c r="F18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9" s="109" t="str">
        <f>IF(PaymentSchedule[[#This Row],[Nº. DE PAGO]]&lt;&gt;"",PaymentSchedule[[#This Row],[IMPORTE TOTAL DEL PAGO]]-PaymentSchedule[[#This Row],[INTERÉS]],"")</f>
        <v/>
      </c>
      <c r="I189" s="109" t="str">
        <f>IF(PaymentSchedule[[#This Row],[Nº. DE PAGO]]&lt;&gt;"",PaymentSchedule[[#This Row],[SALDO INICIAL]]*(Tasa_De_Interes_Anual/Numero_De_Pagos_Por_Año),"")</f>
        <v/>
      </c>
      <c r="J18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9" s="109" t="str">
        <f>IF(PaymentSchedule[[#This Row],[Nº. DE PAGO]]&lt;&gt;"",SUM(INDEX(PaymentSchedule[INTERÉS],1,1):PaymentSchedule[[#This Row],[INTERÉS]]),"")</f>
        <v/>
      </c>
    </row>
    <row r="190" spans="2:11" x14ac:dyDescent="0.3">
      <c r="B190" s="111" t="str">
        <f>IF(LoanIsGood,IF(ROW()-ROW(PaymentSchedule[[#Headers],[Nº. DE PAGO]])&gt;Numero_De_Pagos_Programados,"",ROW()-ROW(PaymentSchedule[[#Headers],[Nº. DE PAGO]])),"")</f>
        <v/>
      </c>
      <c r="C19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0" s="109" t="str">
        <f>IF(PaymentSchedule[[#This Row],[Nº. DE PAGO]]&lt;&gt;"",Pago_Programado,"")</f>
        <v/>
      </c>
      <c r="F19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0" s="109" t="str">
        <f>IF(PaymentSchedule[[#This Row],[Nº. DE PAGO]]&lt;&gt;"",PaymentSchedule[[#This Row],[IMPORTE TOTAL DEL PAGO]]-PaymentSchedule[[#This Row],[INTERÉS]],"")</f>
        <v/>
      </c>
      <c r="I190" s="109" t="str">
        <f>IF(PaymentSchedule[[#This Row],[Nº. DE PAGO]]&lt;&gt;"",PaymentSchedule[[#This Row],[SALDO INICIAL]]*(Tasa_De_Interes_Anual/Numero_De_Pagos_Por_Año),"")</f>
        <v/>
      </c>
      <c r="J19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0" s="109" t="str">
        <f>IF(PaymentSchedule[[#This Row],[Nº. DE PAGO]]&lt;&gt;"",SUM(INDEX(PaymentSchedule[INTERÉS],1,1):PaymentSchedule[[#This Row],[INTERÉS]]),"")</f>
        <v/>
      </c>
    </row>
    <row r="191" spans="2:11" x14ac:dyDescent="0.3">
      <c r="B191" s="111" t="str">
        <f>IF(LoanIsGood,IF(ROW()-ROW(PaymentSchedule[[#Headers],[Nº. DE PAGO]])&gt;Numero_De_Pagos_Programados,"",ROW()-ROW(PaymentSchedule[[#Headers],[Nº. DE PAGO]])),"")</f>
        <v/>
      </c>
      <c r="C19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1" s="109" t="str">
        <f>IF(PaymentSchedule[[#This Row],[Nº. DE PAGO]]&lt;&gt;"",Pago_Programado,"")</f>
        <v/>
      </c>
      <c r="F19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1" s="109" t="str">
        <f>IF(PaymentSchedule[[#This Row],[Nº. DE PAGO]]&lt;&gt;"",PaymentSchedule[[#This Row],[IMPORTE TOTAL DEL PAGO]]-PaymentSchedule[[#This Row],[INTERÉS]],"")</f>
        <v/>
      </c>
      <c r="I191" s="109" t="str">
        <f>IF(PaymentSchedule[[#This Row],[Nº. DE PAGO]]&lt;&gt;"",PaymentSchedule[[#This Row],[SALDO INICIAL]]*(Tasa_De_Interes_Anual/Numero_De_Pagos_Por_Año),"")</f>
        <v/>
      </c>
      <c r="J19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1" s="109" t="str">
        <f>IF(PaymentSchedule[[#This Row],[Nº. DE PAGO]]&lt;&gt;"",SUM(INDEX(PaymentSchedule[INTERÉS],1,1):PaymentSchedule[[#This Row],[INTERÉS]]),"")</f>
        <v/>
      </c>
    </row>
    <row r="192" spans="2:11" x14ac:dyDescent="0.3">
      <c r="B192" s="111" t="str">
        <f>IF(LoanIsGood,IF(ROW()-ROW(PaymentSchedule[[#Headers],[Nº. DE PAGO]])&gt;Numero_De_Pagos_Programados,"",ROW()-ROW(PaymentSchedule[[#Headers],[Nº. DE PAGO]])),"")</f>
        <v/>
      </c>
      <c r="C19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2" s="109" t="str">
        <f>IF(PaymentSchedule[[#This Row],[Nº. DE PAGO]]&lt;&gt;"",Pago_Programado,"")</f>
        <v/>
      </c>
      <c r="F19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2" s="109" t="str">
        <f>IF(PaymentSchedule[[#This Row],[Nº. DE PAGO]]&lt;&gt;"",PaymentSchedule[[#This Row],[IMPORTE TOTAL DEL PAGO]]-PaymentSchedule[[#This Row],[INTERÉS]],"")</f>
        <v/>
      </c>
      <c r="I192" s="109" t="str">
        <f>IF(PaymentSchedule[[#This Row],[Nº. DE PAGO]]&lt;&gt;"",PaymentSchedule[[#This Row],[SALDO INICIAL]]*(Tasa_De_Interes_Anual/Numero_De_Pagos_Por_Año),"")</f>
        <v/>
      </c>
      <c r="J19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2" s="109" t="str">
        <f>IF(PaymentSchedule[[#This Row],[Nº. DE PAGO]]&lt;&gt;"",SUM(INDEX(PaymentSchedule[INTERÉS],1,1):PaymentSchedule[[#This Row],[INTERÉS]]),"")</f>
        <v/>
      </c>
    </row>
    <row r="193" spans="2:11" x14ac:dyDescent="0.3">
      <c r="B193" s="111" t="str">
        <f>IF(LoanIsGood,IF(ROW()-ROW(PaymentSchedule[[#Headers],[Nº. DE PAGO]])&gt;Numero_De_Pagos_Programados,"",ROW()-ROW(PaymentSchedule[[#Headers],[Nº. DE PAGO]])),"")</f>
        <v/>
      </c>
      <c r="C19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3" s="109" t="str">
        <f>IF(PaymentSchedule[[#This Row],[Nº. DE PAGO]]&lt;&gt;"",Pago_Programado,"")</f>
        <v/>
      </c>
      <c r="F19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3" s="109" t="str">
        <f>IF(PaymentSchedule[[#This Row],[Nº. DE PAGO]]&lt;&gt;"",PaymentSchedule[[#This Row],[IMPORTE TOTAL DEL PAGO]]-PaymentSchedule[[#This Row],[INTERÉS]],"")</f>
        <v/>
      </c>
      <c r="I193" s="109" t="str">
        <f>IF(PaymentSchedule[[#This Row],[Nº. DE PAGO]]&lt;&gt;"",PaymentSchedule[[#This Row],[SALDO INICIAL]]*(Tasa_De_Interes_Anual/Numero_De_Pagos_Por_Año),"")</f>
        <v/>
      </c>
      <c r="J19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3" s="109" t="str">
        <f>IF(PaymentSchedule[[#This Row],[Nº. DE PAGO]]&lt;&gt;"",SUM(INDEX(PaymentSchedule[INTERÉS],1,1):PaymentSchedule[[#This Row],[INTERÉS]]),"")</f>
        <v/>
      </c>
    </row>
    <row r="194" spans="2:11" x14ac:dyDescent="0.3">
      <c r="B194" s="111" t="str">
        <f>IF(LoanIsGood,IF(ROW()-ROW(PaymentSchedule[[#Headers],[Nº. DE PAGO]])&gt;Numero_De_Pagos_Programados,"",ROW()-ROW(PaymentSchedule[[#Headers],[Nº. DE PAGO]])),"")</f>
        <v/>
      </c>
      <c r="C19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4" s="109" t="str">
        <f>IF(PaymentSchedule[[#This Row],[Nº. DE PAGO]]&lt;&gt;"",Pago_Programado,"")</f>
        <v/>
      </c>
      <c r="F19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4" s="109" t="str">
        <f>IF(PaymentSchedule[[#This Row],[Nº. DE PAGO]]&lt;&gt;"",PaymentSchedule[[#This Row],[IMPORTE TOTAL DEL PAGO]]-PaymentSchedule[[#This Row],[INTERÉS]],"")</f>
        <v/>
      </c>
      <c r="I194" s="109" t="str">
        <f>IF(PaymentSchedule[[#This Row],[Nº. DE PAGO]]&lt;&gt;"",PaymentSchedule[[#This Row],[SALDO INICIAL]]*(Tasa_De_Interes_Anual/Numero_De_Pagos_Por_Año),"")</f>
        <v/>
      </c>
      <c r="J19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4" s="109" t="str">
        <f>IF(PaymentSchedule[[#This Row],[Nº. DE PAGO]]&lt;&gt;"",SUM(INDEX(PaymentSchedule[INTERÉS],1,1):PaymentSchedule[[#This Row],[INTERÉS]]),"")</f>
        <v/>
      </c>
    </row>
    <row r="195" spans="2:11" x14ac:dyDescent="0.3">
      <c r="B195" s="111" t="str">
        <f>IF(LoanIsGood,IF(ROW()-ROW(PaymentSchedule[[#Headers],[Nº. DE PAGO]])&gt;Numero_De_Pagos_Programados,"",ROW()-ROW(PaymentSchedule[[#Headers],[Nº. DE PAGO]])),"")</f>
        <v/>
      </c>
      <c r="C19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5" s="109" t="str">
        <f>IF(PaymentSchedule[[#This Row],[Nº. DE PAGO]]&lt;&gt;"",Pago_Programado,"")</f>
        <v/>
      </c>
      <c r="F19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5" s="109" t="str">
        <f>IF(PaymentSchedule[[#This Row],[Nº. DE PAGO]]&lt;&gt;"",PaymentSchedule[[#This Row],[IMPORTE TOTAL DEL PAGO]]-PaymentSchedule[[#This Row],[INTERÉS]],"")</f>
        <v/>
      </c>
      <c r="I195" s="109" t="str">
        <f>IF(PaymentSchedule[[#This Row],[Nº. DE PAGO]]&lt;&gt;"",PaymentSchedule[[#This Row],[SALDO INICIAL]]*(Tasa_De_Interes_Anual/Numero_De_Pagos_Por_Año),"")</f>
        <v/>
      </c>
      <c r="J19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5" s="109" t="str">
        <f>IF(PaymentSchedule[[#This Row],[Nº. DE PAGO]]&lt;&gt;"",SUM(INDEX(PaymentSchedule[INTERÉS],1,1):PaymentSchedule[[#This Row],[INTERÉS]]),"")</f>
        <v/>
      </c>
    </row>
    <row r="196" spans="2:11" x14ac:dyDescent="0.3">
      <c r="B196" s="111" t="str">
        <f>IF(LoanIsGood,IF(ROW()-ROW(PaymentSchedule[[#Headers],[Nº. DE PAGO]])&gt;Numero_De_Pagos_Programados,"",ROW()-ROW(PaymentSchedule[[#Headers],[Nº. DE PAGO]])),"")</f>
        <v/>
      </c>
      <c r="C19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6" s="109" t="str">
        <f>IF(PaymentSchedule[[#This Row],[Nº. DE PAGO]]&lt;&gt;"",Pago_Programado,"")</f>
        <v/>
      </c>
      <c r="F19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6" s="109" t="str">
        <f>IF(PaymentSchedule[[#This Row],[Nº. DE PAGO]]&lt;&gt;"",PaymentSchedule[[#This Row],[IMPORTE TOTAL DEL PAGO]]-PaymentSchedule[[#This Row],[INTERÉS]],"")</f>
        <v/>
      </c>
      <c r="I196" s="109" t="str">
        <f>IF(PaymentSchedule[[#This Row],[Nº. DE PAGO]]&lt;&gt;"",PaymentSchedule[[#This Row],[SALDO INICIAL]]*(Tasa_De_Interes_Anual/Numero_De_Pagos_Por_Año),"")</f>
        <v/>
      </c>
      <c r="J19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6" s="109" t="str">
        <f>IF(PaymentSchedule[[#This Row],[Nº. DE PAGO]]&lt;&gt;"",SUM(INDEX(PaymentSchedule[INTERÉS],1,1):PaymentSchedule[[#This Row],[INTERÉS]]),"")</f>
        <v/>
      </c>
    </row>
    <row r="197" spans="2:11" x14ac:dyDescent="0.3">
      <c r="B197" s="111" t="str">
        <f>IF(LoanIsGood,IF(ROW()-ROW(PaymentSchedule[[#Headers],[Nº. DE PAGO]])&gt;Numero_De_Pagos_Programados,"",ROW()-ROW(PaymentSchedule[[#Headers],[Nº. DE PAGO]])),"")</f>
        <v/>
      </c>
      <c r="C19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7" s="109" t="str">
        <f>IF(PaymentSchedule[[#This Row],[Nº. DE PAGO]]&lt;&gt;"",Pago_Programado,"")</f>
        <v/>
      </c>
      <c r="F19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7" s="109" t="str">
        <f>IF(PaymentSchedule[[#This Row],[Nº. DE PAGO]]&lt;&gt;"",PaymentSchedule[[#This Row],[IMPORTE TOTAL DEL PAGO]]-PaymentSchedule[[#This Row],[INTERÉS]],"")</f>
        <v/>
      </c>
      <c r="I197" s="109" t="str">
        <f>IF(PaymentSchedule[[#This Row],[Nº. DE PAGO]]&lt;&gt;"",PaymentSchedule[[#This Row],[SALDO INICIAL]]*(Tasa_De_Interes_Anual/Numero_De_Pagos_Por_Año),"")</f>
        <v/>
      </c>
      <c r="J19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7" s="109" t="str">
        <f>IF(PaymentSchedule[[#This Row],[Nº. DE PAGO]]&lt;&gt;"",SUM(INDEX(PaymentSchedule[INTERÉS],1,1):PaymentSchedule[[#This Row],[INTERÉS]]),"")</f>
        <v/>
      </c>
    </row>
    <row r="198" spans="2:11" x14ac:dyDescent="0.3">
      <c r="B198" s="111" t="str">
        <f>IF(LoanIsGood,IF(ROW()-ROW(PaymentSchedule[[#Headers],[Nº. DE PAGO]])&gt;Numero_De_Pagos_Programados,"",ROW()-ROW(PaymentSchedule[[#Headers],[Nº. DE PAGO]])),"")</f>
        <v/>
      </c>
      <c r="C19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8" s="109" t="str">
        <f>IF(PaymentSchedule[[#This Row],[Nº. DE PAGO]]&lt;&gt;"",Pago_Programado,"")</f>
        <v/>
      </c>
      <c r="F19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8" s="109" t="str">
        <f>IF(PaymentSchedule[[#This Row],[Nº. DE PAGO]]&lt;&gt;"",PaymentSchedule[[#This Row],[IMPORTE TOTAL DEL PAGO]]-PaymentSchedule[[#This Row],[INTERÉS]],"")</f>
        <v/>
      </c>
      <c r="I198" s="109" t="str">
        <f>IF(PaymentSchedule[[#This Row],[Nº. DE PAGO]]&lt;&gt;"",PaymentSchedule[[#This Row],[SALDO INICIAL]]*(Tasa_De_Interes_Anual/Numero_De_Pagos_Por_Año),"")</f>
        <v/>
      </c>
      <c r="J19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8" s="109" t="str">
        <f>IF(PaymentSchedule[[#This Row],[Nº. DE PAGO]]&lt;&gt;"",SUM(INDEX(PaymentSchedule[INTERÉS],1,1):PaymentSchedule[[#This Row],[INTERÉS]]),"")</f>
        <v/>
      </c>
    </row>
    <row r="199" spans="2:11" x14ac:dyDescent="0.3">
      <c r="B199" s="111" t="str">
        <f>IF(LoanIsGood,IF(ROW()-ROW(PaymentSchedule[[#Headers],[Nº. DE PAGO]])&gt;Numero_De_Pagos_Programados,"",ROW()-ROW(PaymentSchedule[[#Headers],[Nº. DE PAGO]])),"")</f>
        <v/>
      </c>
      <c r="C19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9" s="109" t="str">
        <f>IF(PaymentSchedule[[#This Row],[Nº. DE PAGO]]&lt;&gt;"",Pago_Programado,"")</f>
        <v/>
      </c>
      <c r="F19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9" s="109" t="str">
        <f>IF(PaymentSchedule[[#This Row],[Nº. DE PAGO]]&lt;&gt;"",PaymentSchedule[[#This Row],[IMPORTE TOTAL DEL PAGO]]-PaymentSchedule[[#This Row],[INTERÉS]],"")</f>
        <v/>
      </c>
      <c r="I199" s="109" t="str">
        <f>IF(PaymentSchedule[[#This Row],[Nº. DE PAGO]]&lt;&gt;"",PaymentSchedule[[#This Row],[SALDO INICIAL]]*(Tasa_De_Interes_Anual/Numero_De_Pagos_Por_Año),"")</f>
        <v/>
      </c>
      <c r="J19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9" s="109" t="str">
        <f>IF(PaymentSchedule[[#This Row],[Nº. DE PAGO]]&lt;&gt;"",SUM(INDEX(PaymentSchedule[INTERÉS],1,1):PaymentSchedule[[#This Row],[INTERÉS]]),"")</f>
        <v/>
      </c>
    </row>
    <row r="200" spans="2:11" x14ac:dyDescent="0.3">
      <c r="B200" s="111" t="str">
        <f>IF(LoanIsGood,IF(ROW()-ROW(PaymentSchedule[[#Headers],[Nº. DE PAGO]])&gt;Numero_De_Pagos_Programados,"",ROW()-ROW(PaymentSchedule[[#Headers],[Nº. DE PAGO]])),"")</f>
        <v/>
      </c>
      <c r="C20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0" s="109" t="str">
        <f>IF(PaymentSchedule[[#This Row],[Nº. DE PAGO]]&lt;&gt;"",Pago_Programado,"")</f>
        <v/>
      </c>
      <c r="F20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0" s="109" t="str">
        <f>IF(PaymentSchedule[[#This Row],[Nº. DE PAGO]]&lt;&gt;"",PaymentSchedule[[#This Row],[IMPORTE TOTAL DEL PAGO]]-PaymentSchedule[[#This Row],[INTERÉS]],"")</f>
        <v/>
      </c>
      <c r="I200" s="109" t="str">
        <f>IF(PaymentSchedule[[#This Row],[Nº. DE PAGO]]&lt;&gt;"",PaymentSchedule[[#This Row],[SALDO INICIAL]]*(Tasa_De_Interes_Anual/Numero_De_Pagos_Por_Año),"")</f>
        <v/>
      </c>
      <c r="J20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0" s="109" t="str">
        <f>IF(PaymentSchedule[[#This Row],[Nº. DE PAGO]]&lt;&gt;"",SUM(INDEX(PaymentSchedule[INTERÉS],1,1):PaymentSchedule[[#This Row],[INTERÉS]]),"")</f>
        <v/>
      </c>
    </row>
    <row r="201" spans="2:11" x14ac:dyDescent="0.3">
      <c r="B201" s="111" t="str">
        <f>IF(LoanIsGood,IF(ROW()-ROW(PaymentSchedule[[#Headers],[Nº. DE PAGO]])&gt;Numero_De_Pagos_Programados,"",ROW()-ROW(PaymentSchedule[[#Headers],[Nº. DE PAGO]])),"")</f>
        <v/>
      </c>
      <c r="C20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1" s="109" t="str">
        <f>IF(PaymentSchedule[[#This Row],[Nº. DE PAGO]]&lt;&gt;"",Pago_Programado,"")</f>
        <v/>
      </c>
      <c r="F20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1" s="109" t="str">
        <f>IF(PaymentSchedule[[#This Row],[Nº. DE PAGO]]&lt;&gt;"",PaymentSchedule[[#This Row],[IMPORTE TOTAL DEL PAGO]]-PaymentSchedule[[#This Row],[INTERÉS]],"")</f>
        <v/>
      </c>
      <c r="I201" s="109" t="str">
        <f>IF(PaymentSchedule[[#This Row],[Nº. DE PAGO]]&lt;&gt;"",PaymentSchedule[[#This Row],[SALDO INICIAL]]*(Tasa_De_Interes_Anual/Numero_De_Pagos_Por_Año),"")</f>
        <v/>
      </c>
      <c r="J20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1" s="109" t="str">
        <f>IF(PaymentSchedule[[#This Row],[Nº. DE PAGO]]&lt;&gt;"",SUM(INDEX(PaymentSchedule[INTERÉS],1,1):PaymentSchedule[[#This Row],[INTERÉS]]),"")</f>
        <v/>
      </c>
    </row>
    <row r="202" spans="2:11" x14ac:dyDescent="0.3">
      <c r="B202" s="111" t="str">
        <f>IF(LoanIsGood,IF(ROW()-ROW(PaymentSchedule[[#Headers],[Nº. DE PAGO]])&gt;Numero_De_Pagos_Programados,"",ROW()-ROW(PaymentSchedule[[#Headers],[Nº. DE PAGO]])),"")</f>
        <v/>
      </c>
      <c r="C20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2" s="109" t="str">
        <f>IF(PaymentSchedule[[#This Row],[Nº. DE PAGO]]&lt;&gt;"",Pago_Programado,"")</f>
        <v/>
      </c>
      <c r="F20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2" s="109" t="str">
        <f>IF(PaymentSchedule[[#This Row],[Nº. DE PAGO]]&lt;&gt;"",PaymentSchedule[[#This Row],[IMPORTE TOTAL DEL PAGO]]-PaymentSchedule[[#This Row],[INTERÉS]],"")</f>
        <v/>
      </c>
      <c r="I202" s="109" t="str">
        <f>IF(PaymentSchedule[[#This Row],[Nº. DE PAGO]]&lt;&gt;"",PaymentSchedule[[#This Row],[SALDO INICIAL]]*(Tasa_De_Interes_Anual/Numero_De_Pagos_Por_Año),"")</f>
        <v/>
      </c>
      <c r="J20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2" s="109" t="str">
        <f>IF(PaymentSchedule[[#This Row],[Nº. DE PAGO]]&lt;&gt;"",SUM(INDEX(PaymentSchedule[INTERÉS],1,1):PaymentSchedule[[#This Row],[INTERÉS]]),"")</f>
        <v/>
      </c>
    </row>
    <row r="203" spans="2:11" x14ac:dyDescent="0.3">
      <c r="B203" s="111" t="str">
        <f>IF(LoanIsGood,IF(ROW()-ROW(PaymentSchedule[[#Headers],[Nº. DE PAGO]])&gt;Numero_De_Pagos_Programados,"",ROW()-ROW(PaymentSchedule[[#Headers],[Nº. DE PAGO]])),"")</f>
        <v/>
      </c>
      <c r="C20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3" s="109" t="str">
        <f>IF(PaymentSchedule[[#This Row],[Nº. DE PAGO]]&lt;&gt;"",Pago_Programado,"")</f>
        <v/>
      </c>
      <c r="F20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3" s="109" t="str">
        <f>IF(PaymentSchedule[[#This Row],[Nº. DE PAGO]]&lt;&gt;"",PaymentSchedule[[#This Row],[IMPORTE TOTAL DEL PAGO]]-PaymentSchedule[[#This Row],[INTERÉS]],"")</f>
        <v/>
      </c>
      <c r="I203" s="109" t="str">
        <f>IF(PaymentSchedule[[#This Row],[Nº. DE PAGO]]&lt;&gt;"",PaymentSchedule[[#This Row],[SALDO INICIAL]]*(Tasa_De_Interes_Anual/Numero_De_Pagos_Por_Año),"")</f>
        <v/>
      </c>
      <c r="J20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3" s="109" t="str">
        <f>IF(PaymentSchedule[[#This Row],[Nº. DE PAGO]]&lt;&gt;"",SUM(INDEX(PaymentSchedule[INTERÉS],1,1):PaymentSchedule[[#This Row],[INTERÉS]]),"")</f>
        <v/>
      </c>
    </row>
    <row r="204" spans="2:11" x14ac:dyDescent="0.3">
      <c r="B204" s="111" t="str">
        <f>IF(LoanIsGood,IF(ROW()-ROW(PaymentSchedule[[#Headers],[Nº. DE PAGO]])&gt;Numero_De_Pagos_Programados,"",ROW()-ROW(PaymentSchedule[[#Headers],[Nº. DE PAGO]])),"")</f>
        <v/>
      </c>
      <c r="C20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4" s="109" t="str">
        <f>IF(PaymentSchedule[[#This Row],[Nº. DE PAGO]]&lt;&gt;"",Pago_Programado,"")</f>
        <v/>
      </c>
      <c r="F20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4" s="109" t="str">
        <f>IF(PaymentSchedule[[#This Row],[Nº. DE PAGO]]&lt;&gt;"",PaymentSchedule[[#This Row],[IMPORTE TOTAL DEL PAGO]]-PaymentSchedule[[#This Row],[INTERÉS]],"")</f>
        <v/>
      </c>
      <c r="I204" s="109" t="str">
        <f>IF(PaymentSchedule[[#This Row],[Nº. DE PAGO]]&lt;&gt;"",PaymentSchedule[[#This Row],[SALDO INICIAL]]*(Tasa_De_Interes_Anual/Numero_De_Pagos_Por_Año),"")</f>
        <v/>
      </c>
      <c r="J20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4" s="109" t="str">
        <f>IF(PaymentSchedule[[#This Row],[Nº. DE PAGO]]&lt;&gt;"",SUM(INDEX(PaymentSchedule[INTERÉS],1,1):PaymentSchedule[[#This Row],[INTERÉS]]),"")</f>
        <v/>
      </c>
    </row>
    <row r="205" spans="2:11" x14ac:dyDescent="0.3">
      <c r="B205" s="111" t="str">
        <f>IF(LoanIsGood,IF(ROW()-ROW(PaymentSchedule[[#Headers],[Nº. DE PAGO]])&gt;Numero_De_Pagos_Programados,"",ROW()-ROW(PaymentSchedule[[#Headers],[Nº. DE PAGO]])),"")</f>
        <v/>
      </c>
      <c r="C20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5" s="109" t="str">
        <f>IF(PaymentSchedule[[#This Row],[Nº. DE PAGO]]&lt;&gt;"",Pago_Programado,"")</f>
        <v/>
      </c>
      <c r="F20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5" s="109" t="str">
        <f>IF(PaymentSchedule[[#This Row],[Nº. DE PAGO]]&lt;&gt;"",PaymentSchedule[[#This Row],[IMPORTE TOTAL DEL PAGO]]-PaymentSchedule[[#This Row],[INTERÉS]],"")</f>
        <v/>
      </c>
      <c r="I205" s="109" t="str">
        <f>IF(PaymentSchedule[[#This Row],[Nº. DE PAGO]]&lt;&gt;"",PaymentSchedule[[#This Row],[SALDO INICIAL]]*(Tasa_De_Interes_Anual/Numero_De_Pagos_Por_Año),"")</f>
        <v/>
      </c>
      <c r="J20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5" s="109" t="str">
        <f>IF(PaymentSchedule[[#This Row],[Nº. DE PAGO]]&lt;&gt;"",SUM(INDEX(PaymentSchedule[INTERÉS],1,1):PaymentSchedule[[#This Row],[INTERÉS]]),"")</f>
        <v/>
      </c>
    </row>
    <row r="206" spans="2:11" x14ac:dyDescent="0.3">
      <c r="B206" s="111" t="str">
        <f>IF(LoanIsGood,IF(ROW()-ROW(PaymentSchedule[[#Headers],[Nº. DE PAGO]])&gt;Numero_De_Pagos_Programados,"",ROW()-ROW(PaymentSchedule[[#Headers],[Nº. DE PAGO]])),"")</f>
        <v/>
      </c>
      <c r="C20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6" s="109" t="str">
        <f>IF(PaymentSchedule[[#This Row],[Nº. DE PAGO]]&lt;&gt;"",Pago_Programado,"")</f>
        <v/>
      </c>
      <c r="F20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6" s="109" t="str">
        <f>IF(PaymentSchedule[[#This Row],[Nº. DE PAGO]]&lt;&gt;"",PaymentSchedule[[#This Row],[IMPORTE TOTAL DEL PAGO]]-PaymentSchedule[[#This Row],[INTERÉS]],"")</f>
        <v/>
      </c>
      <c r="I206" s="109" t="str">
        <f>IF(PaymentSchedule[[#This Row],[Nº. DE PAGO]]&lt;&gt;"",PaymentSchedule[[#This Row],[SALDO INICIAL]]*(Tasa_De_Interes_Anual/Numero_De_Pagos_Por_Año),"")</f>
        <v/>
      </c>
      <c r="J20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6" s="109" t="str">
        <f>IF(PaymentSchedule[[#This Row],[Nº. DE PAGO]]&lt;&gt;"",SUM(INDEX(PaymentSchedule[INTERÉS],1,1):PaymentSchedule[[#This Row],[INTERÉS]]),"")</f>
        <v/>
      </c>
    </row>
    <row r="207" spans="2:11" x14ac:dyDescent="0.3">
      <c r="B207" s="111" t="str">
        <f>IF(LoanIsGood,IF(ROW()-ROW(PaymentSchedule[[#Headers],[Nº. DE PAGO]])&gt;Numero_De_Pagos_Programados,"",ROW()-ROW(PaymentSchedule[[#Headers],[Nº. DE PAGO]])),"")</f>
        <v/>
      </c>
      <c r="C20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7" s="109" t="str">
        <f>IF(PaymentSchedule[[#This Row],[Nº. DE PAGO]]&lt;&gt;"",Pago_Programado,"")</f>
        <v/>
      </c>
      <c r="F20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7" s="109" t="str">
        <f>IF(PaymentSchedule[[#This Row],[Nº. DE PAGO]]&lt;&gt;"",PaymentSchedule[[#This Row],[IMPORTE TOTAL DEL PAGO]]-PaymentSchedule[[#This Row],[INTERÉS]],"")</f>
        <v/>
      </c>
      <c r="I207" s="109" t="str">
        <f>IF(PaymentSchedule[[#This Row],[Nº. DE PAGO]]&lt;&gt;"",PaymentSchedule[[#This Row],[SALDO INICIAL]]*(Tasa_De_Interes_Anual/Numero_De_Pagos_Por_Año),"")</f>
        <v/>
      </c>
      <c r="J20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7" s="109" t="str">
        <f>IF(PaymentSchedule[[#This Row],[Nº. DE PAGO]]&lt;&gt;"",SUM(INDEX(PaymentSchedule[INTERÉS],1,1):PaymentSchedule[[#This Row],[INTERÉS]]),"")</f>
        <v/>
      </c>
    </row>
    <row r="208" spans="2:11" x14ac:dyDescent="0.3">
      <c r="B208" s="111" t="str">
        <f>IF(LoanIsGood,IF(ROW()-ROW(PaymentSchedule[[#Headers],[Nº. DE PAGO]])&gt;Numero_De_Pagos_Programados,"",ROW()-ROW(PaymentSchedule[[#Headers],[Nº. DE PAGO]])),"")</f>
        <v/>
      </c>
      <c r="C20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8" s="109" t="str">
        <f>IF(PaymentSchedule[[#This Row],[Nº. DE PAGO]]&lt;&gt;"",Pago_Programado,"")</f>
        <v/>
      </c>
      <c r="F20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8" s="109" t="str">
        <f>IF(PaymentSchedule[[#This Row],[Nº. DE PAGO]]&lt;&gt;"",PaymentSchedule[[#This Row],[IMPORTE TOTAL DEL PAGO]]-PaymentSchedule[[#This Row],[INTERÉS]],"")</f>
        <v/>
      </c>
      <c r="I208" s="109" t="str">
        <f>IF(PaymentSchedule[[#This Row],[Nº. DE PAGO]]&lt;&gt;"",PaymentSchedule[[#This Row],[SALDO INICIAL]]*(Tasa_De_Interes_Anual/Numero_De_Pagos_Por_Año),"")</f>
        <v/>
      </c>
      <c r="J20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8" s="109" t="str">
        <f>IF(PaymentSchedule[[#This Row],[Nº. DE PAGO]]&lt;&gt;"",SUM(INDEX(PaymentSchedule[INTERÉS],1,1):PaymentSchedule[[#This Row],[INTERÉS]]),"")</f>
        <v/>
      </c>
    </row>
    <row r="209" spans="2:11" x14ac:dyDescent="0.3">
      <c r="B209" s="111" t="str">
        <f>IF(LoanIsGood,IF(ROW()-ROW(PaymentSchedule[[#Headers],[Nº. DE PAGO]])&gt;Numero_De_Pagos_Programados,"",ROW()-ROW(PaymentSchedule[[#Headers],[Nº. DE PAGO]])),"")</f>
        <v/>
      </c>
      <c r="C20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9" s="109" t="str">
        <f>IF(PaymentSchedule[[#This Row],[Nº. DE PAGO]]&lt;&gt;"",Pago_Programado,"")</f>
        <v/>
      </c>
      <c r="F20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9" s="109" t="str">
        <f>IF(PaymentSchedule[[#This Row],[Nº. DE PAGO]]&lt;&gt;"",PaymentSchedule[[#This Row],[IMPORTE TOTAL DEL PAGO]]-PaymentSchedule[[#This Row],[INTERÉS]],"")</f>
        <v/>
      </c>
      <c r="I209" s="109" t="str">
        <f>IF(PaymentSchedule[[#This Row],[Nº. DE PAGO]]&lt;&gt;"",PaymentSchedule[[#This Row],[SALDO INICIAL]]*(Tasa_De_Interes_Anual/Numero_De_Pagos_Por_Año),"")</f>
        <v/>
      </c>
      <c r="J20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9" s="109" t="str">
        <f>IF(PaymentSchedule[[#This Row],[Nº. DE PAGO]]&lt;&gt;"",SUM(INDEX(PaymentSchedule[INTERÉS],1,1):PaymentSchedule[[#This Row],[INTERÉS]]),"")</f>
        <v/>
      </c>
    </row>
    <row r="210" spans="2:11" x14ac:dyDescent="0.3">
      <c r="B210" s="111" t="str">
        <f>IF(LoanIsGood,IF(ROW()-ROW(PaymentSchedule[[#Headers],[Nº. DE PAGO]])&gt;Numero_De_Pagos_Programados,"",ROW()-ROW(PaymentSchedule[[#Headers],[Nº. DE PAGO]])),"")</f>
        <v/>
      </c>
      <c r="C21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0" s="109" t="str">
        <f>IF(PaymentSchedule[[#This Row],[Nº. DE PAGO]]&lt;&gt;"",Pago_Programado,"")</f>
        <v/>
      </c>
      <c r="F21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0" s="109" t="str">
        <f>IF(PaymentSchedule[[#This Row],[Nº. DE PAGO]]&lt;&gt;"",PaymentSchedule[[#This Row],[IMPORTE TOTAL DEL PAGO]]-PaymentSchedule[[#This Row],[INTERÉS]],"")</f>
        <v/>
      </c>
      <c r="I210" s="109" t="str">
        <f>IF(PaymentSchedule[[#This Row],[Nº. DE PAGO]]&lt;&gt;"",PaymentSchedule[[#This Row],[SALDO INICIAL]]*(Tasa_De_Interes_Anual/Numero_De_Pagos_Por_Año),"")</f>
        <v/>
      </c>
      <c r="J21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0" s="109" t="str">
        <f>IF(PaymentSchedule[[#This Row],[Nº. DE PAGO]]&lt;&gt;"",SUM(INDEX(PaymentSchedule[INTERÉS],1,1):PaymentSchedule[[#This Row],[INTERÉS]]),"")</f>
        <v/>
      </c>
    </row>
    <row r="211" spans="2:11" x14ac:dyDescent="0.3">
      <c r="B211" s="111" t="str">
        <f>IF(LoanIsGood,IF(ROW()-ROW(PaymentSchedule[[#Headers],[Nº. DE PAGO]])&gt;Numero_De_Pagos_Programados,"",ROW()-ROW(PaymentSchedule[[#Headers],[Nº. DE PAGO]])),"")</f>
        <v/>
      </c>
      <c r="C21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1" s="109" t="str">
        <f>IF(PaymentSchedule[[#This Row],[Nº. DE PAGO]]&lt;&gt;"",Pago_Programado,"")</f>
        <v/>
      </c>
      <c r="F21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1" s="109" t="str">
        <f>IF(PaymentSchedule[[#This Row],[Nº. DE PAGO]]&lt;&gt;"",PaymentSchedule[[#This Row],[IMPORTE TOTAL DEL PAGO]]-PaymentSchedule[[#This Row],[INTERÉS]],"")</f>
        <v/>
      </c>
      <c r="I211" s="109" t="str">
        <f>IF(PaymentSchedule[[#This Row],[Nº. DE PAGO]]&lt;&gt;"",PaymentSchedule[[#This Row],[SALDO INICIAL]]*(Tasa_De_Interes_Anual/Numero_De_Pagos_Por_Año),"")</f>
        <v/>
      </c>
      <c r="J21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1" s="109" t="str">
        <f>IF(PaymentSchedule[[#This Row],[Nº. DE PAGO]]&lt;&gt;"",SUM(INDEX(PaymentSchedule[INTERÉS],1,1):PaymentSchedule[[#This Row],[INTERÉS]]),"")</f>
        <v/>
      </c>
    </row>
    <row r="212" spans="2:11" x14ac:dyDescent="0.3">
      <c r="B212" s="111" t="str">
        <f>IF(LoanIsGood,IF(ROW()-ROW(PaymentSchedule[[#Headers],[Nº. DE PAGO]])&gt;Numero_De_Pagos_Programados,"",ROW()-ROW(PaymentSchedule[[#Headers],[Nº. DE PAGO]])),"")</f>
        <v/>
      </c>
      <c r="C21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2" s="109" t="str">
        <f>IF(PaymentSchedule[[#This Row],[Nº. DE PAGO]]&lt;&gt;"",Pago_Programado,"")</f>
        <v/>
      </c>
      <c r="F21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2" s="109" t="str">
        <f>IF(PaymentSchedule[[#This Row],[Nº. DE PAGO]]&lt;&gt;"",PaymentSchedule[[#This Row],[IMPORTE TOTAL DEL PAGO]]-PaymentSchedule[[#This Row],[INTERÉS]],"")</f>
        <v/>
      </c>
      <c r="I212" s="109" t="str">
        <f>IF(PaymentSchedule[[#This Row],[Nº. DE PAGO]]&lt;&gt;"",PaymentSchedule[[#This Row],[SALDO INICIAL]]*(Tasa_De_Interes_Anual/Numero_De_Pagos_Por_Año),"")</f>
        <v/>
      </c>
      <c r="J21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2" s="109" t="str">
        <f>IF(PaymentSchedule[[#This Row],[Nº. DE PAGO]]&lt;&gt;"",SUM(INDEX(PaymentSchedule[INTERÉS],1,1):PaymentSchedule[[#This Row],[INTERÉS]]),"")</f>
        <v/>
      </c>
    </row>
    <row r="213" spans="2:11" x14ac:dyDescent="0.3">
      <c r="B213" s="111" t="str">
        <f>IF(LoanIsGood,IF(ROW()-ROW(PaymentSchedule[[#Headers],[Nº. DE PAGO]])&gt;Numero_De_Pagos_Programados,"",ROW()-ROW(PaymentSchedule[[#Headers],[Nº. DE PAGO]])),"")</f>
        <v/>
      </c>
      <c r="C21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3" s="109" t="str">
        <f>IF(PaymentSchedule[[#This Row],[Nº. DE PAGO]]&lt;&gt;"",Pago_Programado,"")</f>
        <v/>
      </c>
      <c r="F21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3" s="109" t="str">
        <f>IF(PaymentSchedule[[#This Row],[Nº. DE PAGO]]&lt;&gt;"",PaymentSchedule[[#This Row],[IMPORTE TOTAL DEL PAGO]]-PaymentSchedule[[#This Row],[INTERÉS]],"")</f>
        <v/>
      </c>
      <c r="I213" s="109" t="str">
        <f>IF(PaymentSchedule[[#This Row],[Nº. DE PAGO]]&lt;&gt;"",PaymentSchedule[[#This Row],[SALDO INICIAL]]*(Tasa_De_Interes_Anual/Numero_De_Pagos_Por_Año),"")</f>
        <v/>
      </c>
      <c r="J21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3" s="109" t="str">
        <f>IF(PaymentSchedule[[#This Row],[Nº. DE PAGO]]&lt;&gt;"",SUM(INDEX(PaymentSchedule[INTERÉS],1,1):PaymentSchedule[[#This Row],[INTERÉS]]),"")</f>
        <v/>
      </c>
    </row>
    <row r="214" spans="2:11" x14ac:dyDescent="0.3">
      <c r="B214" s="111" t="str">
        <f>IF(LoanIsGood,IF(ROW()-ROW(PaymentSchedule[[#Headers],[Nº. DE PAGO]])&gt;Numero_De_Pagos_Programados,"",ROW()-ROW(PaymentSchedule[[#Headers],[Nº. DE PAGO]])),"")</f>
        <v/>
      </c>
      <c r="C21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4" s="109" t="str">
        <f>IF(PaymentSchedule[[#This Row],[Nº. DE PAGO]]&lt;&gt;"",Pago_Programado,"")</f>
        <v/>
      </c>
      <c r="F21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4" s="109" t="str">
        <f>IF(PaymentSchedule[[#This Row],[Nº. DE PAGO]]&lt;&gt;"",PaymentSchedule[[#This Row],[IMPORTE TOTAL DEL PAGO]]-PaymentSchedule[[#This Row],[INTERÉS]],"")</f>
        <v/>
      </c>
      <c r="I214" s="109" t="str">
        <f>IF(PaymentSchedule[[#This Row],[Nº. DE PAGO]]&lt;&gt;"",PaymentSchedule[[#This Row],[SALDO INICIAL]]*(Tasa_De_Interes_Anual/Numero_De_Pagos_Por_Año),"")</f>
        <v/>
      </c>
      <c r="J21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4" s="109" t="str">
        <f>IF(PaymentSchedule[[#This Row],[Nº. DE PAGO]]&lt;&gt;"",SUM(INDEX(PaymentSchedule[INTERÉS],1,1):PaymentSchedule[[#This Row],[INTERÉS]]),"")</f>
        <v/>
      </c>
    </row>
    <row r="215" spans="2:11" x14ac:dyDescent="0.3">
      <c r="B215" s="111" t="str">
        <f>IF(LoanIsGood,IF(ROW()-ROW(PaymentSchedule[[#Headers],[Nº. DE PAGO]])&gt;Numero_De_Pagos_Programados,"",ROW()-ROW(PaymentSchedule[[#Headers],[Nº. DE PAGO]])),"")</f>
        <v/>
      </c>
      <c r="C21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5" s="109" t="str">
        <f>IF(PaymentSchedule[[#This Row],[Nº. DE PAGO]]&lt;&gt;"",Pago_Programado,"")</f>
        <v/>
      </c>
      <c r="F21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5" s="109" t="str">
        <f>IF(PaymentSchedule[[#This Row],[Nº. DE PAGO]]&lt;&gt;"",PaymentSchedule[[#This Row],[IMPORTE TOTAL DEL PAGO]]-PaymentSchedule[[#This Row],[INTERÉS]],"")</f>
        <v/>
      </c>
      <c r="I215" s="109" t="str">
        <f>IF(PaymentSchedule[[#This Row],[Nº. DE PAGO]]&lt;&gt;"",PaymentSchedule[[#This Row],[SALDO INICIAL]]*(Tasa_De_Interes_Anual/Numero_De_Pagos_Por_Año),"")</f>
        <v/>
      </c>
      <c r="J21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5" s="109" t="str">
        <f>IF(PaymentSchedule[[#This Row],[Nº. DE PAGO]]&lt;&gt;"",SUM(INDEX(PaymentSchedule[INTERÉS],1,1):PaymentSchedule[[#This Row],[INTERÉS]]),"")</f>
        <v/>
      </c>
    </row>
    <row r="216" spans="2:11" x14ac:dyDescent="0.3">
      <c r="B216" s="111" t="str">
        <f>IF(LoanIsGood,IF(ROW()-ROW(PaymentSchedule[[#Headers],[Nº. DE PAGO]])&gt;Numero_De_Pagos_Programados,"",ROW()-ROW(PaymentSchedule[[#Headers],[Nº. DE PAGO]])),"")</f>
        <v/>
      </c>
      <c r="C21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6" s="109" t="str">
        <f>IF(PaymentSchedule[[#This Row],[Nº. DE PAGO]]&lt;&gt;"",Pago_Programado,"")</f>
        <v/>
      </c>
      <c r="F21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6" s="109" t="str">
        <f>IF(PaymentSchedule[[#This Row],[Nº. DE PAGO]]&lt;&gt;"",PaymentSchedule[[#This Row],[IMPORTE TOTAL DEL PAGO]]-PaymentSchedule[[#This Row],[INTERÉS]],"")</f>
        <v/>
      </c>
      <c r="I216" s="109" t="str">
        <f>IF(PaymentSchedule[[#This Row],[Nº. DE PAGO]]&lt;&gt;"",PaymentSchedule[[#This Row],[SALDO INICIAL]]*(Tasa_De_Interes_Anual/Numero_De_Pagos_Por_Año),"")</f>
        <v/>
      </c>
      <c r="J21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6" s="109" t="str">
        <f>IF(PaymentSchedule[[#This Row],[Nº. DE PAGO]]&lt;&gt;"",SUM(INDEX(PaymentSchedule[INTERÉS],1,1):PaymentSchedule[[#This Row],[INTERÉS]]),"")</f>
        <v/>
      </c>
    </row>
    <row r="217" spans="2:11" x14ac:dyDescent="0.3">
      <c r="B217" s="111" t="str">
        <f>IF(LoanIsGood,IF(ROW()-ROW(PaymentSchedule[[#Headers],[Nº. DE PAGO]])&gt;Numero_De_Pagos_Programados,"",ROW()-ROW(PaymentSchedule[[#Headers],[Nº. DE PAGO]])),"")</f>
        <v/>
      </c>
      <c r="C21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7" s="109" t="str">
        <f>IF(PaymentSchedule[[#This Row],[Nº. DE PAGO]]&lt;&gt;"",Pago_Programado,"")</f>
        <v/>
      </c>
      <c r="F21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7" s="109" t="str">
        <f>IF(PaymentSchedule[[#This Row],[Nº. DE PAGO]]&lt;&gt;"",PaymentSchedule[[#This Row],[IMPORTE TOTAL DEL PAGO]]-PaymentSchedule[[#This Row],[INTERÉS]],"")</f>
        <v/>
      </c>
      <c r="I217" s="109" t="str">
        <f>IF(PaymentSchedule[[#This Row],[Nº. DE PAGO]]&lt;&gt;"",PaymentSchedule[[#This Row],[SALDO INICIAL]]*(Tasa_De_Interes_Anual/Numero_De_Pagos_Por_Año),"")</f>
        <v/>
      </c>
      <c r="J21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7" s="109" t="str">
        <f>IF(PaymentSchedule[[#This Row],[Nº. DE PAGO]]&lt;&gt;"",SUM(INDEX(PaymentSchedule[INTERÉS],1,1):PaymentSchedule[[#This Row],[INTERÉS]]),"")</f>
        <v/>
      </c>
    </row>
    <row r="218" spans="2:11" x14ac:dyDescent="0.3">
      <c r="B218" s="111" t="str">
        <f>IF(LoanIsGood,IF(ROW()-ROW(PaymentSchedule[[#Headers],[Nº. DE PAGO]])&gt;Numero_De_Pagos_Programados,"",ROW()-ROW(PaymentSchedule[[#Headers],[Nº. DE PAGO]])),"")</f>
        <v/>
      </c>
      <c r="C21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8" s="109" t="str">
        <f>IF(PaymentSchedule[[#This Row],[Nº. DE PAGO]]&lt;&gt;"",Pago_Programado,"")</f>
        <v/>
      </c>
      <c r="F21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8" s="109" t="str">
        <f>IF(PaymentSchedule[[#This Row],[Nº. DE PAGO]]&lt;&gt;"",PaymentSchedule[[#This Row],[IMPORTE TOTAL DEL PAGO]]-PaymentSchedule[[#This Row],[INTERÉS]],"")</f>
        <v/>
      </c>
      <c r="I218" s="109" t="str">
        <f>IF(PaymentSchedule[[#This Row],[Nº. DE PAGO]]&lt;&gt;"",PaymentSchedule[[#This Row],[SALDO INICIAL]]*(Tasa_De_Interes_Anual/Numero_De_Pagos_Por_Año),"")</f>
        <v/>
      </c>
      <c r="J21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8" s="109" t="str">
        <f>IF(PaymentSchedule[[#This Row],[Nº. DE PAGO]]&lt;&gt;"",SUM(INDEX(PaymentSchedule[INTERÉS],1,1):PaymentSchedule[[#This Row],[INTERÉS]]),"")</f>
        <v/>
      </c>
    </row>
    <row r="219" spans="2:11" x14ac:dyDescent="0.3">
      <c r="B219" s="111" t="str">
        <f>IF(LoanIsGood,IF(ROW()-ROW(PaymentSchedule[[#Headers],[Nº. DE PAGO]])&gt;Numero_De_Pagos_Programados,"",ROW()-ROW(PaymentSchedule[[#Headers],[Nº. DE PAGO]])),"")</f>
        <v/>
      </c>
      <c r="C21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9" s="109" t="str">
        <f>IF(PaymentSchedule[[#This Row],[Nº. DE PAGO]]&lt;&gt;"",Pago_Programado,"")</f>
        <v/>
      </c>
      <c r="F21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9" s="109" t="str">
        <f>IF(PaymentSchedule[[#This Row],[Nº. DE PAGO]]&lt;&gt;"",PaymentSchedule[[#This Row],[IMPORTE TOTAL DEL PAGO]]-PaymentSchedule[[#This Row],[INTERÉS]],"")</f>
        <v/>
      </c>
      <c r="I219" s="109" t="str">
        <f>IF(PaymentSchedule[[#This Row],[Nº. DE PAGO]]&lt;&gt;"",PaymentSchedule[[#This Row],[SALDO INICIAL]]*(Tasa_De_Interes_Anual/Numero_De_Pagos_Por_Año),"")</f>
        <v/>
      </c>
      <c r="J21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9" s="109" t="str">
        <f>IF(PaymentSchedule[[#This Row],[Nº. DE PAGO]]&lt;&gt;"",SUM(INDEX(PaymentSchedule[INTERÉS],1,1):PaymentSchedule[[#This Row],[INTERÉS]]),"")</f>
        <v/>
      </c>
    </row>
    <row r="220" spans="2:11" x14ac:dyDescent="0.3">
      <c r="B220" s="111" t="str">
        <f>IF(LoanIsGood,IF(ROW()-ROW(PaymentSchedule[[#Headers],[Nº. DE PAGO]])&gt;Numero_De_Pagos_Programados,"",ROW()-ROW(PaymentSchedule[[#Headers],[Nº. DE PAGO]])),"")</f>
        <v/>
      </c>
      <c r="C22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0" s="109" t="str">
        <f>IF(PaymentSchedule[[#This Row],[Nº. DE PAGO]]&lt;&gt;"",Pago_Programado,"")</f>
        <v/>
      </c>
      <c r="F22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0" s="109" t="str">
        <f>IF(PaymentSchedule[[#This Row],[Nº. DE PAGO]]&lt;&gt;"",PaymentSchedule[[#This Row],[IMPORTE TOTAL DEL PAGO]]-PaymentSchedule[[#This Row],[INTERÉS]],"")</f>
        <v/>
      </c>
      <c r="I220" s="109" t="str">
        <f>IF(PaymentSchedule[[#This Row],[Nº. DE PAGO]]&lt;&gt;"",PaymentSchedule[[#This Row],[SALDO INICIAL]]*(Tasa_De_Interes_Anual/Numero_De_Pagos_Por_Año),"")</f>
        <v/>
      </c>
      <c r="J22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0" s="109" t="str">
        <f>IF(PaymentSchedule[[#This Row],[Nº. DE PAGO]]&lt;&gt;"",SUM(INDEX(PaymentSchedule[INTERÉS],1,1):PaymentSchedule[[#This Row],[INTERÉS]]),"")</f>
        <v/>
      </c>
    </row>
    <row r="221" spans="2:11" x14ac:dyDescent="0.3">
      <c r="B221" s="111" t="str">
        <f>IF(LoanIsGood,IF(ROW()-ROW(PaymentSchedule[[#Headers],[Nº. DE PAGO]])&gt;Numero_De_Pagos_Programados,"",ROW()-ROW(PaymentSchedule[[#Headers],[Nº. DE PAGO]])),"")</f>
        <v/>
      </c>
      <c r="C22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1" s="109" t="str">
        <f>IF(PaymentSchedule[[#This Row],[Nº. DE PAGO]]&lt;&gt;"",Pago_Programado,"")</f>
        <v/>
      </c>
      <c r="F22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1" s="109" t="str">
        <f>IF(PaymentSchedule[[#This Row],[Nº. DE PAGO]]&lt;&gt;"",PaymentSchedule[[#This Row],[IMPORTE TOTAL DEL PAGO]]-PaymentSchedule[[#This Row],[INTERÉS]],"")</f>
        <v/>
      </c>
      <c r="I221" s="109" t="str">
        <f>IF(PaymentSchedule[[#This Row],[Nº. DE PAGO]]&lt;&gt;"",PaymentSchedule[[#This Row],[SALDO INICIAL]]*(Tasa_De_Interes_Anual/Numero_De_Pagos_Por_Año),"")</f>
        <v/>
      </c>
      <c r="J22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1" s="109" t="str">
        <f>IF(PaymentSchedule[[#This Row],[Nº. DE PAGO]]&lt;&gt;"",SUM(INDEX(PaymentSchedule[INTERÉS],1,1):PaymentSchedule[[#This Row],[INTERÉS]]),"")</f>
        <v/>
      </c>
    </row>
    <row r="222" spans="2:11" x14ac:dyDescent="0.3">
      <c r="B222" s="111" t="str">
        <f>IF(LoanIsGood,IF(ROW()-ROW(PaymentSchedule[[#Headers],[Nº. DE PAGO]])&gt;Numero_De_Pagos_Programados,"",ROW()-ROW(PaymentSchedule[[#Headers],[Nº. DE PAGO]])),"")</f>
        <v/>
      </c>
      <c r="C22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2" s="109" t="str">
        <f>IF(PaymentSchedule[[#This Row],[Nº. DE PAGO]]&lt;&gt;"",Pago_Programado,"")</f>
        <v/>
      </c>
      <c r="F22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2" s="109" t="str">
        <f>IF(PaymentSchedule[[#This Row],[Nº. DE PAGO]]&lt;&gt;"",PaymentSchedule[[#This Row],[IMPORTE TOTAL DEL PAGO]]-PaymentSchedule[[#This Row],[INTERÉS]],"")</f>
        <v/>
      </c>
      <c r="I222" s="109" t="str">
        <f>IF(PaymentSchedule[[#This Row],[Nº. DE PAGO]]&lt;&gt;"",PaymentSchedule[[#This Row],[SALDO INICIAL]]*(Tasa_De_Interes_Anual/Numero_De_Pagos_Por_Año),"")</f>
        <v/>
      </c>
      <c r="J22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2" s="109" t="str">
        <f>IF(PaymentSchedule[[#This Row],[Nº. DE PAGO]]&lt;&gt;"",SUM(INDEX(PaymentSchedule[INTERÉS],1,1):PaymentSchedule[[#This Row],[INTERÉS]]),"")</f>
        <v/>
      </c>
    </row>
    <row r="223" spans="2:11" x14ac:dyDescent="0.3">
      <c r="B223" s="111" t="str">
        <f>IF(LoanIsGood,IF(ROW()-ROW(PaymentSchedule[[#Headers],[Nº. DE PAGO]])&gt;Numero_De_Pagos_Programados,"",ROW()-ROW(PaymentSchedule[[#Headers],[Nº. DE PAGO]])),"")</f>
        <v/>
      </c>
      <c r="C22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3" s="109" t="str">
        <f>IF(PaymentSchedule[[#This Row],[Nº. DE PAGO]]&lt;&gt;"",Pago_Programado,"")</f>
        <v/>
      </c>
      <c r="F22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3" s="109" t="str">
        <f>IF(PaymentSchedule[[#This Row],[Nº. DE PAGO]]&lt;&gt;"",PaymentSchedule[[#This Row],[IMPORTE TOTAL DEL PAGO]]-PaymentSchedule[[#This Row],[INTERÉS]],"")</f>
        <v/>
      </c>
      <c r="I223" s="109" t="str">
        <f>IF(PaymentSchedule[[#This Row],[Nº. DE PAGO]]&lt;&gt;"",PaymentSchedule[[#This Row],[SALDO INICIAL]]*(Tasa_De_Interes_Anual/Numero_De_Pagos_Por_Año),"")</f>
        <v/>
      </c>
      <c r="J22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3" s="109" t="str">
        <f>IF(PaymentSchedule[[#This Row],[Nº. DE PAGO]]&lt;&gt;"",SUM(INDEX(PaymentSchedule[INTERÉS],1,1):PaymentSchedule[[#This Row],[INTERÉS]]),"")</f>
        <v/>
      </c>
    </row>
    <row r="224" spans="2:11" x14ac:dyDescent="0.3">
      <c r="B224" s="111" t="str">
        <f>IF(LoanIsGood,IF(ROW()-ROW(PaymentSchedule[[#Headers],[Nº. DE PAGO]])&gt;Numero_De_Pagos_Programados,"",ROW()-ROW(PaymentSchedule[[#Headers],[Nº. DE PAGO]])),"")</f>
        <v/>
      </c>
      <c r="C22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4" s="109" t="str">
        <f>IF(PaymentSchedule[[#This Row],[Nº. DE PAGO]]&lt;&gt;"",Pago_Programado,"")</f>
        <v/>
      </c>
      <c r="F22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4" s="109" t="str">
        <f>IF(PaymentSchedule[[#This Row],[Nº. DE PAGO]]&lt;&gt;"",PaymentSchedule[[#This Row],[IMPORTE TOTAL DEL PAGO]]-PaymentSchedule[[#This Row],[INTERÉS]],"")</f>
        <v/>
      </c>
      <c r="I224" s="109" t="str">
        <f>IF(PaymentSchedule[[#This Row],[Nº. DE PAGO]]&lt;&gt;"",PaymentSchedule[[#This Row],[SALDO INICIAL]]*(Tasa_De_Interes_Anual/Numero_De_Pagos_Por_Año),"")</f>
        <v/>
      </c>
      <c r="J22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4" s="109" t="str">
        <f>IF(PaymentSchedule[[#This Row],[Nº. DE PAGO]]&lt;&gt;"",SUM(INDEX(PaymentSchedule[INTERÉS],1,1):PaymentSchedule[[#This Row],[INTERÉS]]),"")</f>
        <v/>
      </c>
    </row>
    <row r="225" spans="2:11" x14ac:dyDescent="0.3">
      <c r="B225" s="111" t="str">
        <f>IF(LoanIsGood,IF(ROW()-ROW(PaymentSchedule[[#Headers],[Nº. DE PAGO]])&gt;Numero_De_Pagos_Programados,"",ROW()-ROW(PaymentSchedule[[#Headers],[Nº. DE PAGO]])),"")</f>
        <v/>
      </c>
      <c r="C22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5" s="109" t="str">
        <f>IF(PaymentSchedule[[#This Row],[Nº. DE PAGO]]&lt;&gt;"",Pago_Programado,"")</f>
        <v/>
      </c>
      <c r="F22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5" s="109" t="str">
        <f>IF(PaymentSchedule[[#This Row],[Nº. DE PAGO]]&lt;&gt;"",PaymentSchedule[[#This Row],[IMPORTE TOTAL DEL PAGO]]-PaymentSchedule[[#This Row],[INTERÉS]],"")</f>
        <v/>
      </c>
      <c r="I225" s="109" t="str">
        <f>IF(PaymentSchedule[[#This Row],[Nº. DE PAGO]]&lt;&gt;"",PaymentSchedule[[#This Row],[SALDO INICIAL]]*(Tasa_De_Interes_Anual/Numero_De_Pagos_Por_Año),"")</f>
        <v/>
      </c>
      <c r="J22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5" s="109" t="str">
        <f>IF(PaymentSchedule[[#This Row],[Nº. DE PAGO]]&lt;&gt;"",SUM(INDEX(PaymentSchedule[INTERÉS],1,1):PaymentSchedule[[#This Row],[INTERÉS]]),"")</f>
        <v/>
      </c>
    </row>
    <row r="226" spans="2:11" x14ac:dyDescent="0.3">
      <c r="B226" s="111" t="str">
        <f>IF(LoanIsGood,IF(ROW()-ROW(PaymentSchedule[[#Headers],[Nº. DE PAGO]])&gt;Numero_De_Pagos_Programados,"",ROW()-ROW(PaymentSchedule[[#Headers],[Nº. DE PAGO]])),"")</f>
        <v/>
      </c>
      <c r="C22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6" s="109" t="str">
        <f>IF(PaymentSchedule[[#This Row],[Nº. DE PAGO]]&lt;&gt;"",Pago_Programado,"")</f>
        <v/>
      </c>
      <c r="F22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6" s="109" t="str">
        <f>IF(PaymentSchedule[[#This Row],[Nº. DE PAGO]]&lt;&gt;"",PaymentSchedule[[#This Row],[IMPORTE TOTAL DEL PAGO]]-PaymentSchedule[[#This Row],[INTERÉS]],"")</f>
        <v/>
      </c>
      <c r="I226" s="109" t="str">
        <f>IF(PaymentSchedule[[#This Row],[Nº. DE PAGO]]&lt;&gt;"",PaymentSchedule[[#This Row],[SALDO INICIAL]]*(Tasa_De_Interes_Anual/Numero_De_Pagos_Por_Año),"")</f>
        <v/>
      </c>
      <c r="J22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6" s="109" t="str">
        <f>IF(PaymentSchedule[[#This Row],[Nº. DE PAGO]]&lt;&gt;"",SUM(INDEX(PaymentSchedule[INTERÉS],1,1):PaymentSchedule[[#This Row],[INTERÉS]]),"")</f>
        <v/>
      </c>
    </row>
    <row r="227" spans="2:11" x14ac:dyDescent="0.3">
      <c r="B227" s="111" t="str">
        <f>IF(LoanIsGood,IF(ROW()-ROW(PaymentSchedule[[#Headers],[Nº. DE PAGO]])&gt;Numero_De_Pagos_Programados,"",ROW()-ROW(PaymentSchedule[[#Headers],[Nº. DE PAGO]])),"")</f>
        <v/>
      </c>
      <c r="C22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7" s="109" t="str">
        <f>IF(PaymentSchedule[[#This Row],[Nº. DE PAGO]]&lt;&gt;"",Pago_Programado,"")</f>
        <v/>
      </c>
      <c r="F22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7" s="109" t="str">
        <f>IF(PaymentSchedule[[#This Row],[Nº. DE PAGO]]&lt;&gt;"",PaymentSchedule[[#This Row],[IMPORTE TOTAL DEL PAGO]]-PaymentSchedule[[#This Row],[INTERÉS]],"")</f>
        <v/>
      </c>
      <c r="I227" s="109" t="str">
        <f>IF(PaymentSchedule[[#This Row],[Nº. DE PAGO]]&lt;&gt;"",PaymentSchedule[[#This Row],[SALDO INICIAL]]*(Tasa_De_Interes_Anual/Numero_De_Pagos_Por_Año),"")</f>
        <v/>
      </c>
      <c r="J22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7" s="109" t="str">
        <f>IF(PaymentSchedule[[#This Row],[Nº. DE PAGO]]&lt;&gt;"",SUM(INDEX(PaymentSchedule[INTERÉS],1,1):PaymentSchedule[[#This Row],[INTERÉS]]),"")</f>
        <v/>
      </c>
    </row>
    <row r="228" spans="2:11" x14ac:dyDescent="0.3">
      <c r="B228" s="111" t="str">
        <f>IF(LoanIsGood,IF(ROW()-ROW(PaymentSchedule[[#Headers],[Nº. DE PAGO]])&gt;Numero_De_Pagos_Programados,"",ROW()-ROW(PaymentSchedule[[#Headers],[Nº. DE PAGO]])),"")</f>
        <v/>
      </c>
      <c r="C22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8" s="109" t="str">
        <f>IF(PaymentSchedule[[#This Row],[Nº. DE PAGO]]&lt;&gt;"",Pago_Programado,"")</f>
        <v/>
      </c>
      <c r="F22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8" s="109" t="str">
        <f>IF(PaymentSchedule[[#This Row],[Nº. DE PAGO]]&lt;&gt;"",PaymentSchedule[[#This Row],[IMPORTE TOTAL DEL PAGO]]-PaymentSchedule[[#This Row],[INTERÉS]],"")</f>
        <v/>
      </c>
      <c r="I228" s="109" t="str">
        <f>IF(PaymentSchedule[[#This Row],[Nº. DE PAGO]]&lt;&gt;"",PaymentSchedule[[#This Row],[SALDO INICIAL]]*(Tasa_De_Interes_Anual/Numero_De_Pagos_Por_Año),"")</f>
        <v/>
      </c>
      <c r="J22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8" s="109" t="str">
        <f>IF(PaymentSchedule[[#This Row],[Nº. DE PAGO]]&lt;&gt;"",SUM(INDEX(PaymentSchedule[INTERÉS],1,1):PaymentSchedule[[#This Row],[INTERÉS]]),"")</f>
        <v/>
      </c>
    </row>
    <row r="229" spans="2:11" x14ac:dyDescent="0.3">
      <c r="B229" s="111" t="str">
        <f>IF(LoanIsGood,IF(ROW()-ROW(PaymentSchedule[[#Headers],[Nº. DE PAGO]])&gt;Numero_De_Pagos_Programados,"",ROW()-ROW(PaymentSchedule[[#Headers],[Nº. DE PAGO]])),"")</f>
        <v/>
      </c>
      <c r="C22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9" s="109" t="str">
        <f>IF(PaymentSchedule[[#This Row],[Nº. DE PAGO]]&lt;&gt;"",Pago_Programado,"")</f>
        <v/>
      </c>
      <c r="F22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9" s="109" t="str">
        <f>IF(PaymentSchedule[[#This Row],[Nº. DE PAGO]]&lt;&gt;"",PaymentSchedule[[#This Row],[IMPORTE TOTAL DEL PAGO]]-PaymentSchedule[[#This Row],[INTERÉS]],"")</f>
        <v/>
      </c>
      <c r="I229" s="109" t="str">
        <f>IF(PaymentSchedule[[#This Row],[Nº. DE PAGO]]&lt;&gt;"",PaymentSchedule[[#This Row],[SALDO INICIAL]]*(Tasa_De_Interes_Anual/Numero_De_Pagos_Por_Año),"")</f>
        <v/>
      </c>
      <c r="J22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9" s="109" t="str">
        <f>IF(PaymentSchedule[[#This Row],[Nº. DE PAGO]]&lt;&gt;"",SUM(INDEX(PaymentSchedule[INTERÉS],1,1):PaymentSchedule[[#This Row],[INTERÉS]]),"")</f>
        <v/>
      </c>
    </row>
    <row r="230" spans="2:11" x14ac:dyDescent="0.3">
      <c r="B230" s="111" t="str">
        <f>IF(LoanIsGood,IF(ROW()-ROW(PaymentSchedule[[#Headers],[Nº. DE PAGO]])&gt;Numero_De_Pagos_Programados,"",ROW()-ROW(PaymentSchedule[[#Headers],[Nº. DE PAGO]])),"")</f>
        <v/>
      </c>
      <c r="C23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0" s="109" t="str">
        <f>IF(PaymentSchedule[[#This Row],[Nº. DE PAGO]]&lt;&gt;"",Pago_Programado,"")</f>
        <v/>
      </c>
      <c r="F23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0" s="109" t="str">
        <f>IF(PaymentSchedule[[#This Row],[Nº. DE PAGO]]&lt;&gt;"",PaymentSchedule[[#This Row],[IMPORTE TOTAL DEL PAGO]]-PaymentSchedule[[#This Row],[INTERÉS]],"")</f>
        <v/>
      </c>
      <c r="I230" s="109" t="str">
        <f>IF(PaymentSchedule[[#This Row],[Nº. DE PAGO]]&lt;&gt;"",PaymentSchedule[[#This Row],[SALDO INICIAL]]*(Tasa_De_Interes_Anual/Numero_De_Pagos_Por_Año),"")</f>
        <v/>
      </c>
      <c r="J23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0" s="109" t="str">
        <f>IF(PaymentSchedule[[#This Row],[Nº. DE PAGO]]&lt;&gt;"",SUM(INDEX(PaymentSchedule[INTERÉS],1,1):PaymentSchedule[[#This Row],[INTERÉS]]),"")</f>
        <v/>
      </c>
    </row>
    <row r="231" spans="2:11" x14ac:dyDescent="0.3">
      <c r="B231" s="111" t="str">
        <f>IF(LoanIsGood,IF(ROW()-ROW(PaymentSchedule[[#Headers],[Nº. DE PAGO]])&gt;Numero_De_Pagos_Programados,"",ROW()-ROW(PaymentSchedule[[#Headers],[Nº. DE PAGO]])),"")</f>
        <v/>
      </c>
      <c r="C23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1" s="109" t="str">
        <f>IF(PaymentSchedule[[#This Row],[Nº. DE PAGO]]&lt;&gt;"",Pago_Programado,"")</f>
        <v/>
      </c>
      <c r="F23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1" s="109" t="str">
        <f>IF(PaymentSchedule[[#This Row],[Nº. DE PAGO]]&lt;&gt;"",PaymentSchedule[[#This Row],[IMPORTE TOTAL DEL PAGO]]-PaymentSchedule[[#This Row],[INTERÉS]],"")</f>
        <v/>
      </c>
      <c r="I231" s="109" t="str">
        <f>IF(PaymentSchedule[[#This Row],[Nº. DE PAGO]]&lt;&gt;"",PaymentSchedule[[#This Row],[SALDO INICIAL]]*(Tasa_De_Interes_Anual/Numero_De_Pagos_Por_Año),"")</f>
        <v/>
      </c>
      <c r="J23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1" s="109" t="str">
        <f>IF(PaymentSchedule[[#This Row],[Nº. DE PAGO]]&lt;&gt;"",SUM(INDEX(PaymentSchedule[INTERÉS],1,1):PaymentSchedule[[#This Row],[INTERÉS]]),"")</f>
        <v/>
      </c>
    </row>
    <row r="232" spans="2:11" x14ac:dyDescent="0.3">
      <c r="B232" s="111" t="str">
        <f>IF(LoanIsGood,IF(ROW()-ROW(PaymentSchedule[[#Headers],[Nº. DE PAGO]])&gt;Numero_De_Pagos_Programados,"",ROW()-ROW(PaymentSchedule[[#Headers],[Nº. DE PAGO]])),"")</f>
        <v/>
      </c>
      <c r="C23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2" s="109" t="str">
        <f>IF(PaymentSchedule[[#This Row],[Nº. DE PAGO]]&lt;&gt;"",Pago_Programado,"")</f>
        <v/>
      </c>
      <c r="F23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2" s="109" t="str">
        <f>IF(PaymentSchedule[[#This Row],[Nº. DE PAGO]]&lt;&gt;"",PaymentSchedule[[#This Row],[IMPORTE TOTAL DEL PAGO]]-PaymentSchedule[[#This Row],[INTERÉS]],"")</f>
        <v/>
      </c>
      <c r="I232" s="109" t="str">
        <f>IF(PaymentSchedule[[#This Row],[Nº. DE PAGO]]&lt;&gt;"",PaymentSchedule[[#This Row],[SALDO INICIAL]]*(Tasa_De_Interes_Anual/Numero_De_Pagos_Por_Año),"")</f>
        <v/>
      </c>
      <c r="J23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2" s="109" t="str">
        <f>IF(PaymentSchedule[[#This Row],[Nº. DE PAGO]]&lt;&gt;"",SUM(INDEX(PaymentSchedule[INTERÉS],1,1):PaymentSchedule[[#This Row],[INTERÉS]]),"")</f>
        <v/>
      </c>
    </row>
    <row r="233" spans="2:11" x14ac:dyDescent="0.3">
      <c r="B233" s="111" t="str">
        <f>IF(LoanIsGood,IF(ROW()-ROW(PaymentSchedule[[#Headers],[Nº. DE PAGO]])&gt;Numero_De_Pagos_Programados,"",ROW()-ROW(PaymentSchedule[[#Headers],[Nº. DE PAGO]])),"")</f>
        <v/>
      </c>
      <c r="C23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3" s="109" t="str">
        <f>IF(PaymentSchedule[[#This Row],[Nº. DE PAGO]]&lt;&gt;"",Pago_Programado,"")</f>
        <v/>
      </c>
      <c r="F23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3" s="109" t="str">
        <f>IF(PaymentSchedule[[#This Row],[Nº. DE PAGO]]&lt;&gt;"",PaymentSchedule[[#This Row],[IMPORTE TOTAL DEL PAGO]]-PaymentSchedule[[#This Row],[INTERÉS]],"")</f>
        <v/>
      </c>
      <c r="I233" s="109" t="str">
        <f>IF(PaymentSchedule[[#This Row],[Nº. DE PAGO]]&lt;&gt;"",PaymentSchedule[[#This Row],[SALDO INICIAL]]*(Tasa_De_Interes_Anual/Numero_De_Pagos_Por_Año),"")</f>
        <v/>
      </c>
      <c r="J23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3" s="109" t="str">
        <f>IF(PaymentSchedule[[#This Row],[Nº. DE PAGO]]&lt;&gt;"",SUM(INDEX(PaymentSchedule[INTERÉS],1,1):PaymentSchedule[[#This Row],[INTERÉS]]),"")</f>
        <v/>
      </c>
    </row>
    <row r="234" spans="2:11" x14ac:dyDescent="0.3">
      <c r="B234" s="111" t="str">
        <f>IF(LoanIsGood,IF(ROW()-ROW(PaymentSchedule[[#Headers],[Nº. DE PAGO]])&gt;Numero_De_Pagos_Programados,"",ROW()-ROW(PaymentSchedule[[#Headers],[Nº. DE PAGO]])),"")</f>
        <v/>
      </c>
      <c r="C23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4" s="109" t="str">
        <f>IF(PaymentSchedule[[#This Row],[Nº. DE PAGO]]&lt;&gt;"",Pago_Programado,"")</f>
        <v/>
      </c>
      <c r="F23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4" s="109" t="str">
        <f>IF(PaymentSchedule[[#This Row],[Nº. DE PAGO]]&lt;&gt;"",PaymentSchedule[[#This Row],[IMPORTE TOTAL DEL PAGO]]-PaymentSchedule[[#This Row],[INTERÉS]],"")</f>
        <v/>
      </c>
      <c r="I234" s="109" t="str">
        <f>IF(PaymentSchedule[[#This Row],[Nº. DE PAGO]]&lt;&gt;"",PaymentSchedule[[#This Row],[SALDO INICIAL]]*(Tasa_De_Interes_Anual/Numero_De_Pagos_Por_Año),"")</f>
        <v/>
      </c>
      <c r="J23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4" s="109" t="str">
        <f>IF(PaymentSchedule[[#This Row],[Nº. DE PAGO]]&lt;&gt;"",SUM(INDEX(PaymentSchedule[INTERÉS],1,1):PaymentSchedule[[#This Row],[INTERÉS]]),"")</f>
        <v/>
      </c>
    </row>
    <row r="235" spans="2:11" x14ac:dyDescent="0.3">
      <c r="B235" s="111" t="str">
        <f>IF(LoanIsGood,IF(ROW()-ROW(PaymentSchedule[[#Headers],[Nº. DE PAGO]])&gt;Numero_De_Pagos_Programados,"",ROW()-ROW(PaymentSchedule[[#Headers],[Nº. DE PAGO]])),"")</f>
        <v/>
      </c>
      <c r="C23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5" s="109" t="str">
        <f>IF(PaymentSchedule[[#This Row],[Nº. DE PAGO]]&lt;&gt;"",Pago_Programado,"")</f>
        <v/>
      </c>
      <c r="F23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5" s="109" t="str">
        <f>IF(PaymentSchedule[[#This Row],[Nº. DE PAGO]]&lt;&gt;"",PaymentSchedule[[#This Row],[IMPORTE TOTAL DEL PAGO]]-PaymentSchedule[[#This Row],[INTERÉS]],"")</f>
        <v/>
      </c>
      <c r="I235" s="109" t="str">
        <f>IF(PaymentSchedule[[#This Row],[Nº. DE PAGO]]&lt;&gt;"",PaymentSchedule[[#This Row],[SALDO INICIAL]]*(Tasa_De_Interes_Anual/Numero_De_Pagos_Por_Año),"")</f>
        <v/>
      </c>
      <c r="J23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5" s="109" t="str">
        <f>IF(PaymentSchedule[[#This Row],[Nº. DE PAGO]]&lt;&gt;"",SUM(INDEX(PaymentSchedule[INTERÉS],1,1):PaymentSchedule[[#This Row],[INTERÉS]]),"")</f>
        <v/>
      </c>
    </row>
    <row r="236" spans="2:11" x14ac:dyDescent="0.3">
      <c r="B236" s="111" t="str">
        <f>IF(LoanIsGood,IF(ROW()-ROW(PaymentSchedule[[#Headers],[Nº. DE PAGO]])&gt;Numero_De_Pagos_Programados,"",ROW()-ROW(PaymentSchedule[[#Headers],[Nº. DE PAGO]])),"")</f>
        <v/>
      </c>
      <c r="C23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6" s="109" t="str">
        <f>IF(PaymentSchedule[[#This Row],[Nº. DE PAGO]]&lt;&gt;"",Pago_Programado,"")</f>
        <v/>
      </c>
      <c r="F23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6" s="109" t="str">
        <f>IF(PaymentSchedule[[#This Row],[Nº. DE PAGO]]&lt;&gt;"",PaymentSchedule[[#This Row],[IMPORTE TOTAL DEL PAGO]]-PaymentSchedule[[#This Row],[INTERÉS]],"")</f>
        <v/>
      </c>
      <c r="I236" s="109" t="str">
        <f>IF(PaymentSchedule[[#This Row],[Nº. DE PAGO]]&lt;&gt;"",PaymentSchedule[[#This Row],[SALDO INICIAL]]*(Tasa_De_Interes_Anual/Numero_De_Pagos_Por_Año),"")</f>
        <v/>
      </c>
      <c r="J23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6" s="109" t="str">
        <f>IF(PaymentSchedule[[#This Row],[Nº. DE PAGO]]&lt;&gt;"",SUM(INDEX(PaymentSchedule[INTERÉS],1,1):PaymentSchedule[[#This Row],[INTERÉS]]),"")</f>
        <v/>
      </c>
    </row>
    <row r="237" spans="2:11" x14ac:dyDescent="0.3">
      <c r="B237" s="111" t="str">
        <f>IF(LoanIsGood,IF(ROW()-ROW(PaymentSchedule[[#Headers],[Nº. DE PAGO]])&gt;Numero_De_Pagos_Programados,"",ROW()-ROW(PaymentSchedule[[#Headers],[Nº. DE PAGO]])),"")</f>
        <v/>
      </c>
      <c r="C23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7" s="109" t="str">
        <f>IF(PaymentSchedule[[#This Row],[Nº. DE PAGO]]&lt;&gt;"",Pago_Programado,"")</f>
        <v/>
      </c>
      <c r="F23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7" s="109" t="str">
        <f>IF(PaymentSchedule[[#This Row],[Nº. DE PAGO]]&lt;&gt;"",PaymentSchedule[[#This Row],[IMPORTE TOTAL DEL PAGO]]-PaymentSchedule[[#This Row],[INTERÉS]],"")</f>
        <v/>
      </c>
      <c r="I237" s="109" t="str">
        <f>IF(PaymentSchedule[[#This Row],[Nº. DE PAGO]]&lt;&gt;"",PaymentSchedule[[#This Row],[SALDO INICIAL]]*(Tasa_De_Interes_Anual/Numero_De_Pagos_Por_Año),"")</f>
        <v/>
      </c>
      <c r="J23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7" s="109" t="str">
        <f>IF(PaymentSchedule[[#This Row],[Nº. DE PAGO]]&lt;&gt;"",SUM(INDEX(PaymentSchedule[INTERÉS],1,1):PaymentSchedule[[#This Row],[INTERÉS]]),"")</f>
        <v/>
      </c>
    </row>
    <row r="238" spans="2:11" x14ac:dyDescent="0.3">
      <c r="B238" s="111" t="str">
        <f>IF(LoanIsGood,IF(ROW()-ROW(PaymentSchedule[[#Headers],[Nº. DE PAGO]])&gt;Numero_De_Pagos_Programados,"",ROW()-ROW(PaymentSchedule[[#Headers],[Nº. DE PAGO]])),"")</f>
        <v/>
      </c>
      <c r="C23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8" s="109" t="str">
        <f>IF(PaymentSchedule[[#This Row],[Nº. DE PAGO]]&lt;&gt;"",Pago_Programado,"")</f>
        <v/>
      </c>
      <c r="F23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8" s="109" t="str">
        <f>IF(PaymentSchedule[[#This Row],[Nº. DE PAGO]]&lt;&gt;"",PaymentSchedule[[#This Row],[IMPORTE TOTAL DEL PAGO]]-PaymentSchedule[[#This Row],[INTERÉS]],"")</f>
        <v/>
      </c>
      <c r="I238" s="109" t="str">
        <f>IF(PaymentSchedule[[#This Row],[Nº. DE PAGO]]&lt;&gt;"",PaymentSchedule[[#This Row],[SALDO INICIAL]]*(Tasa_De_Interes_Anual/Numero_De_Pagos_Por_Año),"")</f>
        <v/>
      </c>
      <c r="J23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8" s="109" t="str">
        <f>IF(PaymentSchedule[[#This Row],[Nº. DE PAGO]]&lt;&gt;"",SUM(INDEX(PaymentSchedule[INTERÉS],1,1):PaymentSchedule[[#This Row],[INTERÉS]]),"")</f>
        <v/>
      </c>
    </row>
    <row r="239" spans="2:11" x14ac:dyDescent="0.3">
      <c r="B239" s="111" t="str">
        <f>IF(LoanIsGood,IF(ROW()-ROW(PaymentSchedule[[#Headers],[Nº. DE PAGO]])&gt;Numero_De_Pagos_Programados,"",ROW()-ROW(PaymentSchedule[[#Headers],[Nº. DE PAGO]])),"")</f>
        <v/>
      </c>
      <c r="C23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9" s="109" t="str">
        <f>IF(PaymentSchedule[[#This Row],[Nº. DE PAGO]]&lt;&gt;"",Pago_Programado,"")</f>
        <v/>
      </c>
      <c r="F23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9" s="109" t="str">
        <f>IF(PaymentSchedule[[#This Row],[Nº. DE PAGO]]&lt;&gt;"",PaymentSchedule[[#This Row],[IMPORTE TOTAL DEL PAGO]]-PaymentSchedule[[#This Row],[INTERÉS]],"")</f>
        <v/>
      </c>
      <c r="I239" s="109" t="str">
        <f>IF(PaymentSchedule[[#This Row],[Nº. DE PAGO]]&lt;&gt;"",PaymentSchedule[[#This Row],[SALDO INICIAL]]*(Tasa_De_Interes_Anual/Numero_De_Pagos_Por_Año),"")</f>
        <v/>
      </c>
      <c r="J23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9" s="109" t="str">
        <f>IF(PaymentSchedule[[#This Row],[Nº. DE PAGO]]&lt;&gt;"",SUM(INDEX(PaymentSchedule[INTERÉS],1,1):PaymentSchedule[[#This Row],[INTERÉS]]),"")</f>
        <v/>
      </c>
    </row>
    <row r="240" spans="2:11" x14ac:dyDescent="0.3">
      <c r="B240" s="111" t="str">
        <f>IF(LoanIsGood,IF(ROW()-ROW(PaymentSchedule[[#Headers],[Nº. DE PAGO]])&gt;Numero_De_Pagos_Programados,"",ROW()-ROW(PaymentSchedule[[#Headers],[Nº. DE PAGO]])),"")</f>
        <v/>
      </c>
      <c r="C24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0" s="109" t="str">
        <f>IF(PaymentSchedule[[#This Row],[Nº. DE PAGO]]&lt;&gt;"",Pago_Programado,"")</f>
        <v/>
      </c>
      <c r="F24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0" s="109" t="str">
        <f>IF(PaymentSchedule[[#This Row],[Nº. DE PAGO]]&lt;&gt;"",PaymentSchedule[[#This Row],[IMPORTE TOTAL DEL PAGO]]-PaymentSchedule[[#This Row],[INTERÉS]],"")</f>
        <v/>
      </c>
      <c r="I240" s="109" t="str">
        <f>IF(PaymentSchedule[[#This Row],[Nº. DE PAGO]]&lt;&gt;"",PaymentSchedule[[#This Row],[SALDO INICIAL]]*(Tasa_De_Interes_Anual/Numero_De_Pagos_Por_Año),"")</f>
        <v/>
      </c>
      <c r="J24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0" s="109" t="str">
        <f>IF(PaymentSchedule[[#This Row],[Nº. DE PAGO]]&lt;&gt;"",SUM(INDEX(PaymentSchedule[INTERÉS],1,1):PaymentSchedule[[#This Row],[INTERÉS]]),"")</f>
        <v/>
      </c>
    </row>
    <row r="241" spans="2:11" x14ac:dyDescent="0.3">
      <c r="B241" s="111" t="str">
        <f>IF(LoanIsGood,IF(ROW()-ROW(PaymentSchedule[[#Headers],[Nº. DE PAGO]])&gt;Numero_De_Pagos_Programados,"",ROW()-ROW(PaymentSchedule[[#Headers],[Nº. DE PAGO]])),"")</f>
        <v/>
      </c>
      <c r="C24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1" s="109" t="str">
        <f>IF(PaymentSchedule[[#This Row],[Nº. DE PAGO]]&lt;&gt;"",Pago_Programado,"")</f>
        <v/>
      </c>
      <c r="F24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1" s="109" t="str">
        <f>IF(PaymentSchedule[[#This Row],[Nº. DE PAGO]]&lt;&gt;"",PaymentSchedule[[#This Row],[IMPORTE TOTAL DEL PAGO]]-PaymentSchedule[[#This Row],[INTERÉS]],"")</f>
        <v/>
      </c>
      <c r="I241" s="109" t="str">
        <f>IF(PaymentSchedule[[#This Row],[Nº. DE PAGO]]&lt;&gt;"",PaymentSchedule[[#This Row],[SALDO INICIAL]]*(Tasa_De_Interes_Anual/Numero_De_Pagos_Por_Año),"")</f>
        <v/>
      </c>
      <c r="J24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1" s="109" t="str">
        <f>IF(PaymentSchedule[[#This Row],[Nº. DE PAGO]]&lt;&gt;"",SUM(INDEX(PaymentSchedule[INTERÉS],1,1):PaymentSchedule[[#This Row],[INTERÉS]]),"")</f>
        <v/>
      </c>
    </row>
    <row r="242" spans="2:11" x14ac:dyDescent="0.3">
      <c r="B242" s="111" t="str">
        <f>IF(LoanIsGood,IF(ROW()-ROW(PaymentSchedule[[#Headers],[Nº. DE PAGO]])&gt;Numero_De_Pagos_Programados,"",ROW()-ROW(PaymentSchedule[[#Headers],[Nº. DE PAGO]])),"")</f>
        <v/>
      </c>
      <c r="C24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2" s="109" t="str">
        <f>IF(PaymentSchedule[[#This Row],[Nº. DE PAGO]]&lt;&gt;"",Pago_Programado,"")</f>
        <v/>
      </c>
      <c r="F24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2" s="109" t="str">
        <f>IF(PaymentSchedule[[#This Row],[Nº. DE PAGO]]&lt;&gt;"",PaymentSchedule[[#This Row],[IMPORTE TOTAL DEL PAGO]]-PaymentSchedule[[#This Row],[INTERÉS]],"")</f>
        <v/>
      </c>
      <c r="I242" s="109" t="str">
        <f>IF(PaymentSchedule[[#This Row],[Nº. DE PAGO]]&lt;&gt;"",PaymentSchedule[[#This Row],[SALDO INICIAL]]*(Tasa_De_Interes_Anual/Numero_De_Pagos_Por_Año),"")</f>
        <v/>
      </c>
      <c r="J24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2" s="109" t="str">
        <f>IF(PaymentSchedule[[#This Row],[Nº. DE PAGO]]&lt;&gt;"",SUM(INDEX(PaymentSchedule[INTERÉS],1,1):PaymentSchedule[[#This Row],[INTERÉS]]),"")</f>
        <v/>
      </c>
    </row>
    <row r="243" spans="2:11" x14ac:dyDescent="0.3">
      <c r="B243" s="111" t="str">
        <f>IF(LoanIsGood,IF(ROW()-ROW(PaymentSchedule[[#Headers],[Nº. DE PAGO]])&gt;Numero_De_Pagos_Programados,"",ROW()-ROW(PaymentSchedule[[#Headers],[Nº. DE PAGO]])),"")</f>
        <v/>
      </c>
      <c r="C24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3" s="109" t="str">
        <f>IF(PaymentSchedule[[#This Row],[Nº. DE PAGO]]&lt;&gt;"",Pago_Programado,"")</f>
        <v/>
      </c>
      <c r="F24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3" s="109" t="str">
        <f>IF(PaymentSchedule[[#This Row],[Nº. DE PAGO]]&lt;&gt;"",PaymentSchedule[[#This Row],[IMPORTE TOTAL DEL PAGO]]-PaymentSchedule[[#This Row],[INTERÉS]],"")</f>
        <v/>
      </c>
      <c r="I243" s="109" t="str">
        <f>IF(PaymentSchedule[[#This Row],[Nº. DE PAGO]]&lt;&gt;"",PaymentSchedule[[#This Row],[SALDO INICIAL]]*(Tasa_De_Interes_Anual/Numero_De_Pagos_Por_Año),"")</f>
        <v/>
      </c>
      <c r="J24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3" s="109" t="str">
        <f>IF(PaymentSchedule[[#This Row],[Nº. DE PAGO]]&lt;&gt;"",SUM(INDEX(PaymentSchedule[INTERÉS],1,1):PaymentSchedule[[#This Row],[INTERÉS]]),"")</f>
        <v/>
      </c>
    </row>
    <row r="244" spans="2:11" x14ac:dyDescent="0.3">
      <c r="B244" s="111" t="str">
        <f>IF(LoanIsGood,IF(ROW()-ROW(PaymentSchedule[[#Headers],[Nº. DE PAGO]])&gt;Numero_De_Pagos_Programados,"",ROW()-ROW(PaymentSchedule[[#Headers],[Nº. DE PAGO]])),"")</f>
        <v/>
      </c>
      <c r="C24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4" s="109" t="str">
        <f>IF(PaymentSchedule[[#This Row],[Nº. DE PAGO]]&lt;&gt;"",Pago_Programado,"")</f>
        <v/>
      </c>
      <c r="F24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4" s="109" t="str">
        <f>IF(PaymentSchedule[[#This Row],[Nº. DE PAGO]]&lt;&gt;"",PaymentSchedule[[#This Row],[IMPORTE TOTAL DEL PAGO]]-PaymentSchedule[[#This Row],[INTERÉS]],"")</f>
        <v/>
      </c>
      <c r="I244" s="109" t="str">
        <f>IF(PaymentSchedule[[#This Row],[Nº. DE PAGO]]&lt;&gt;"",PaymentSchedule[[#This Row],[SALDO INICIAL]]*(Tasa_De_Interes_Anual/Numero_De_Pagos_Por_Año),"")</f>
        <v/>
      </c>
      <c r="J24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4" s="109" t="str">
        <f>IF(PaymentSchedule[[#This Row],[Nº. DE PAGO]]&lt;&gt;"",SUM(INDEX(PaymentSchedule[INTERÉS],1,1):PaymentSchedule[[#This Row],[INTERÉS]]),"")</f>
        <v/>
      </c>
    </row>
    <row r="245" spans="2:11" x14ac:dyDescent="0.3">
      <c r="B245" s="111" t="str">
        <f>IF(LoanIsGood,IF(ROW()-ROW(PaymentSchedule[[#Headers],[Nº. DE PAGO]])&gt;Numero_De_Pagos_Programados,"",ROW()-ROW(PaymentSchedule[[#Headers],[Nº. DE PAGO]])),"")</f>
        <v/>
      </c>
      <c r="C24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5" s="109" t="str">
        <f>IF(PaymentSchedule[[#This Row],[Nº. DE PAGO]]&lt;&gt;"",Pago_Programado,"")</f>
        <v/>
      </c>
      <c r="F24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5" s="109" t="str">
        <f>IF(PaymentSchedule[[#This Row],[Nº. DE PAGO]]&lt;&gt;"",PaymentSchedule[[#This Row],[IMPORTE TOTAL DEL PAGO]]-PaymentSchedule[[#This Row],[INTERÉS]],"")</f>
        <v/>
      </c>
      <c r="I245" s="109" t="str">
        <f>IF(PaymentSchedule[[#This Row],[Nº. DE PAGO]]&lt;&gt;"",PaymentSchedule[[#This Row],[SALDO INICIAL]]*(Tasa_De_Interes_Anual/Numero_De_Pagos_Por_Año),"")</f>
        <v/>
      </c>
      <c r="J24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5" s="109" t="str">
        <f>IF(PaymentSchedule[[#This Row],[Nº. DE PAGO]]&lt;&gt;"",SUM(INDEX(PaymentSchedule[INTERÉS],1,1):PaymentSchedule[[#This Row],[INTERÉS]]),"")</f>
        <v/>
      </c>
    </row>
    <row r="246" spans="2:11" x14ac:dyDescent="0.3">
      <c r="B246" s="111" t="str">
        <f>IF(LoanIsGood,IF(ROW()-ROW(PaymentSchedule[[#Headers],[Nº. DE PAGO]])&gt;Numero_De_Pagos_Programados,"",ROW()-ROW(PaymentSchedule[[#Headers],[Nº. DE PAGO]])),"")</f>
        <v/>
      </c>
      <c r="C24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6" s="109" t="str">
        <f>IF(PaymentSchedule[[#This Row],[Nº. DE PAGO]]&lt;&gt;"",Pago_Programado,"")</f>
        <v/>
      </c>
      <c r="F24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6" s="109" t="str">
        <f>IF(PaymentSchedule[[#This Row],[Nº. DE PAGO]]&lt;&gt;"",PaymentSchedule[[#This Row],[IMPORTE TOTAL DEL PAGO]]-PaymentSchedule[[#This Row],[INTERÉS]],"")</f>
        <v/>
      </c>
      <c r="I246" s="109" t="str">
        <f>IF(PaymentSchedule[[#This Row],[Nº. DE PAGO]]&lt;&gt;"",PaymentSchedule[[#This Row],[SALDO INICIAL]]*(Tasa_De_Interes_Anual/Numero_De_Pagos_Por_Año),"")</f>
        <v/>
      </c>
      <c r="J24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6" s="109" t="str">
        <f>IF(PaymentSchedule[[#This Row],[Nº. DE PAGO]]&lt;&gt;"",SUM(INDEX(PaymentSchedule[INTERÉS],1,1):PaymentSchedule[[#This Row],[INTERÉS]]),"")</f>
        <v/>
      </c>
    </row>
    <row r="247" spans="2:11" x14ac:dyDescent="0.3">
      <c r="B247" s="111" t="str">
        <f>IF(LoanIsGood,IF(ROW()-ROW(PaymentSchedule[[#Headers],[Nº. DE PAGO]])&gt;Numero_De_Pagos_Programados,"",ROW()-ROW(PaymentSchedule[[#Headers],[Nº. DE PAGO]])),"")</f>
        <v/>
      </c>
      <c r="C24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7" s="109" t="str">
        <f>IF(PaymentSchedule[[#This Row],[Nº. DE PAGO]]&lt;&gt;"",Pago_Programado,"")</f>
        <v/>
      </c>
      <c r="F24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7" s="109" t="str">
        <f>IF(PaymentSchedule[[#This Row],[Nº. DE PAGO]]&lt;&gt;"",PaymentSchedule[[#This Row],[IMPORTE TOTAL DEL PAGO]]-PaymentSchedule[[#This Row],[INTERÉS]],"")</f>
        <v/>
      </c>
      <c r="I247" s="109" t="str">
        <f>IF(PaymentSchedule[[#This Row],[Nº. DE PAGO]]&lt;&gt;"",PaymentSchedule[[#This Row],[SALDO INICIAL]]*(Tasa_De_Interes_Anual/Numero_De_Pagos_Por_Año),"")</f>
        <v/>
      </c>
      <c r="J24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7" s="109" t="str">
        <f>IF(PaymentSchedule[[#This Row],[Nº. DE PAGO]]&lt;&gt;"",SUM(INDEX(PaymentSchedule[INTERÉS],1,1):PaymentSchedule[[#This Row],[INTERÉS]]),"")</f>
        <v/>
      </c>
    </row>
    <row r="248" spans="2:11" x14ac:dyDescent="0.3">
      <c r="B248" s="111" t="str">
        <f>IF(LoanIsGood,IF(ROW()-ROW(PaymentSchedule[[#Headers],[Nº. DE PAGO]])&gt;Numero_De_Pagos_Programados,"",ROW()-ROW(PaymentSchedule[[#Headers],[Nº. DE PAGO]])),"")</f>
        <v/>
      </c>
      <c r="C24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8" s="109" t="str">
        <f>IF(PaymentSchedule[[#This Row],[Nº. DE PAGO]]&lt;&gt;"",Pago_Programado,"")</f>
        <v/>
      </c>
      <c r="F24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8" s="109" t="str">
        <f>IF(PaymentSchedule[[#This Row],[Nº. DE PAGO]]&lt;&gt;"",PaymentSchedule[[#This Row],[IMPORTE TOTAL DEL PAGO]]-PaymentSchedule[[#This Row],[INTERÉS]],"")</f>
        <v/>
      </c>
      <c r="I248" s="109" t="str">
        <f>IF(PaymentSchedule[[#This Row],[Nº. DE PAGO]]&lt;&gt;"",PaymentSchedule[[#This Row],[SALDO INICIAL]]*(Tasa_De_Interes_Anual/Numero_De_Pagos_Por_Año),"")</f>
        <v/>
      </c>
      <c r="J24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8" s="109" t="str">
        <f>IF(PaymentSchedule[[#This Row],[Nº. DE PAGO]]&lt;&gt;"",SUM(INDEX(PaymentSchedule[INTERÉS],1,1):PaymentSchedule[[#This Row],[INTERÉS]]),"")</f>
        <v/>
      </c>
    </row>
    <row r="249" spans="2:11" x14ac:dyDescent="0.3">
      <c r="B249" s="111" t="str">
        <f>IF(LoanIsGood,IF(ROW()-ROW(PaymentSchedule[[#Headers],[Nº. DE PAGO]])&gt;Numero_De_Pagos_Programados,"",ROW()-ROW(PaymentSchedule[[#Headers],[Nº. DE PAGO]])),"")</f>
        <v/>
      </c>
      <c r="C24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9" s="109" t="str">
        <f>IF(PaymentSchedule[[#This Row],[Nº. DE PAGO]]&lt;&gt;"",Pago_Programado,"")</f>
        <v/>
      </c>
      <c r="F24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9" s="109" t="str">
        <f>IF(PaymentSchedule[[#This Row],[Nº. DE PAGO]]&lt;&gt;"",PaymentSchedule[[#This Row],[IMPORTE TOTAL DEL PAGO]]-PaymentSchedule[[#This Row],[INTERÉS]],"")</f>
        <v/>
      </c>
      <c r="I249" s="109" t="str">
        <f>IF(PaymentSchedule[[#This Row],[Nº. DE PAGO]]&lt;&gt;"",PaymentSchedule[[#This Row],[SALDO INICIAL]]*(Tasa_De_Interes_Anual/Numero_De_Pagos_Por_Año),"")</f>
        <v/>
      </c>
      <c r="J24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9" s="109" t="str">
        <f>IF(PaymentSchedule[[#This Row],[Nº. DE PAGO]]&lt;&gt;"",SUM(INDEX(PaymentSchedule[INTERÉS],1,1):PaymentSchedule[[#This Row],[INTERÉS]]),"")</f>
        <v/>
      </c>
    </row>
    <row r="250" spans="2:11" x14ac:dyDescent="0.3">
      <c r="B250" s="111" t="str">
        <f>IF(LoanIsGood,IF(ROW()-ROW(PaymentSchedule[[#Headers],[Nº. DE PAGO]])&gt;Numero_De_Pagos_Programados,"",ROW()-ROW(PaymentSchedule[[#Headers],[Nº. DE PAGO]])),"")</f>
        <v/>
      </c>
      <c r="C25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0" s="109" t="str">
        <f>IF(PaymentSchedule[[#This Row],[Nº. DE PAGO]]&lt;&gt;"",Pago_Programado,"")</f>
        <v/>
      </c>
      <c r="F25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0" s="109" t="str">
        <f>IF(PaymentSchedule[[#This Row],[Nº. DE PAGO]]&lt;&gt;"",PaymentSchedule[[#This Row],[IMPORTE TOTAL DEL PAGO]]-PaymentSchedule[[#This Row],[INTERÉS]],"")</f>
        <v/>
      </c>
      <c r="I250" s="109" t="str">
        <f>IF(PaymentSchedule[[#This Row],[Nº. DE PAGO]]&lt;&gt;"",PaymentSchedule[[#This Row],[SALDO INICIAL]]*(Tasa_De_Interes_Anual/Numero_De_Pagos_Por_Año),"")</f>
        <v/>
      </c>
      <c r="J25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0" s="109" t="str">
        <f>IF(PaymentSchedule[[#This Row],[Nº. DE PAGO]]&lt;&gt;"",SUM(INDEX(PaymentSchedule[INTERÉS],1,1):PaymentSchedule[[#This Row],[INTERÉS]]),"")</f>
        <v/>
      </c>
    </row>
    <row r="251" spans="2:11" x14ac:dyDescent="0.3">
      <c r="B251" s="111" t="str">
        <f>IF(LoanIsGood,IF(ROW()-ROW(PaymentSchedule[[#Headers],[Nº. DE PAGO]])&gt;Numero_De_Pagos_Programados,"",ROW()-ROW(PaymentSchedule[[#Headers],[Nº. DE PAGO]])),"")</f>
        <v/>
      </c>
      <c r="C25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1" s="109" t="str">
        <f>IF(PaymentSchedule[[#This Row],[Nº. DE PAGO]]&lt;&gt;"",Pago_Programado,"")</f>
        <v/>
      </c>
      <c r="F25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1" s="109" t="str">
        <f>IF(PaymentSchedule[[#This Row],[Nº. DE PAGO]]&lt;&gt;"",PaymentSchedule[[#This Row],[IMPORTE TOTAL DEL PAGO]]-PaymentSchedule[[#This Row],[INTERÉS]],"")</f>
        <v/>
      </c>
      <c r="I251" s="109" t="str">
        <f>IF(PaymentSchedule[[#This Row],[Nº. DE PAGO]]&lt;&gt;"",PaymentSchedule[[#This Row],[SALDO INICIAL]]*(Tasa_De_Interes_Anual/Numero_De_Pagos_Por_Año),"")</f>
        <v/>
      </c>
      <c r="J25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1" s="109" t="str">
        <f>IF(PaymentSchedule[[#This Row],[Nº. DE PAGO]]&lt;&gt;"",SUM(INDEX(PaymentSchedule[INTERÉS],1,1):PaymentSchedule[[#This Row],[INTERÉS]]),"")</f>
        <v/>
      </c>
    </row>
    <row r="252" spans="2:11" x14ac:dyDescent="0.3">
      <c r="B252" s="111" t="str">
        <f>IF(LoanIsGood,IF(ROW()-ROW(PaymentSchedule[[#Headers],[Nº. DE PAGO]])&gt;Numero_De_Pagos_Programados,"",ROW()-ROW(PaymentSchedule[[#Headers],[Nº. DE PAGO]])),"")</f>
        <v/>
      </c>
      <c r="C25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2" s="109" t="str">
        <f>IF(PaymentSchedule[[#This Row],[Nº. DE PAGO]]&lt;&gt;"",Pago_Programado,"")</f>
        <v/>
      </c>
      <c r="F25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2" s="109" t="str">
        <f>IF(PaymentSchedule[[#This Row],[Nº. DE PAGO]]&lt;&gt;"",PaymentSchedule[[#This Row],[IMPORTE TOTAL DEL PAGO]]-PaymentSchedule[[#This Row],[INTERÉS]],"")</f>
        <v/>
      </c>
      <c r="I252" s="109" t="str">
        <f>IF(PaymentSchedule[[#This Row],[Nº. DE PAGO]]&lt;&gt;"",PaymentSchedule[[#This Row],[SALDO INICIAL]]*(Tasa_De_Interes_Anual/Numero_De_Pagos_Por_Año),"")</f>
        <v/>
      </c>
      <c r="J25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2" s="109" t="str">
        <f>IF(PaymentSchedule[[#This Row],[Nº. DE PAGO]]&lt;&gt;"",SUM(INDEX(PaymentSchedule[INTERÉS],1,1):PaymentSchedule[[#This Row],[INTERÉS]]),"")</f>
        <v/>
      </c>
    </row>
    <row r="253" spans="2:11" x14ac:dyDescent="0.3">
      <c r="B253" s="111" t="str">
        <f>IF(LoanIsGood,IF(ROW()-ROW(PaymentSchedule[[#Headers],[Nº. DE PAGO]])&gt;Numero_De_Pagos_Programados,"",ROW()-ROW(PaymentSchedule[[#Headers],[Nº. DE PAGO]])),"")</f>
        <v/>
      </c>
      <c r="C25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3" s="109" t="str">
        <f>IF(PaymentSchedule[[#This Row],[Nº. DE PAGO]]&lt;&gt;"",Pago_Programado,"")</f>
        <v/>
      </c>
      <c r="F25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3" s="109" t="str">
        <f>IF(PaymentSchedule[[#This Row],[Nº. DE PAGO]]&lt;&gt;"",PaymentSchedule[[#This Row],[IMPORTE TOTAL DEL PAGO]]-PaymentSchedule[[#This Row],[INTERÉS]],"")</f>
        <v/>
      </c>
      <c r="I253" s="109" t="str">
        <f>IF(PaymentSchedule[[#This Row],[Nº. DE PAGO]]&lt;&gt;"",PaymentSchedule[[#This Row],[SALDO INICIAL]]*(Tasa_De_Interes_Anual/Numero_De_Pagos_Por_Año),"")</f>
        <v/>
      </c>
      <c r="J25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3" s="109" t="str">
        <f>IF(PaymentSchedule[[#This Row],[Nº. DE PAGO]]&lt;&gt;"",SUM(INDEX(PaymentSchedule[INTERÉS],1,1):PaymentSchedule[[#This Row],[INTERÉS]]),"")</f>
        <v/>
      </c>
    </row>
    <row r="254" spans="2:11" x14ac:dyDescent="0.3">
      <c r="B254" s="111" t="str">
        <f>IF(LoanIsGood,IF(ROW()-ROW(PaymentSchedule[[#Headers],[Nº. DE PAGO]])&gt;Numero_De_Pagos_Programados,"",ROW()-ROW(PaymentSchedule[[#Headers],[Nº. DE PAGO]])),"")</f>
        <v/>
      </c>
      <c r="C25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4" s="109" t="str">
        <f>IF(PaymentSchedule[[#This Row],[Nº. DE PAGO]]&lt;&gt;"",Pago_Programado,"")</f>
        <v/>
      </c>
      <c r="F25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4" s="109" t="str">
        <f>IF(PaymentSchedule[[#This Row],[Nº. DE PAGO]]&lt;&gt;"",PaymentSchedule[[#This Row],[IMPORTE TOTAL DEL PAGO]]-PaymentSchedule[[#This Row],[INTERÉS]],"")</f>
        <v/>
      </c>
      <c r="I254" s="109" t="str">
        <f>IF(PaymentSchedule[[#This Row],[Nº. DE PAGO]]&lt;&gt;"",PaymentSchedule[[#This Row],[SALDO INICIAL]]*(Tasa_De_Interes_Anual/Numero_De_Pagos_Por_Año),"")</f>
        <v/>
      </c>
      <c r="J25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4" s="109" t="str">
        <f>IF(PaymentSchedule[[#This Row],[Nº. DE PAGO]]&lt;&gt;"",SUM(INDEX(PaymentSchedule[INTERÉS],1,1):PaymentSchedule[[#This Row],[INTERÉS]]),"")</f>
        <v/>
      </c>
    </row>
    <row r="255" spans="2:11" x14ac:dyDescent="0.3">
      <c r="B255" s="111" t="str">
        <f>IF(LoanIsGood,IF(ROW()-ROW(PaymentSchedule[[#Headers],[Nº. DE PAGO]])&gt;Numero_De_Pagos_Programados,"",ROW()-ROW(PaymentSchedule[[#Headers],[Nº. DE PAGO]])),"")</f>
        <v/>
      </c>
      <c r="C25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5" s="109" t="str">
        <f>IF(PaymentSchedule[[#This Row],[Nº. DE PAGO]]&lt;&gt;"",Pago_Programado,"")</f>
        <v/>
      </c>
      <c r="F25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5" s="109" t="str">
        <f>IF(PaymentSchedule[[#This Row],[Nº. DE PAGO]]&lt;&gt;"",PaymentSchedule[[#This Row],[IMPORTE TOTAL DEL PAGO]]-PaymentSchedule[[#This Row],[INTERÉS]],"")</f>
        <v/>
      </c>
      <c r="I255" s="109" t="str">
        <f>IF(PaymentSchedule[[#This Row],[Nº. DE PAGO]]&lt;&gt;"",PaymentSchedule[[#This Row],[SALDO INICIAL]]*(Tasa_De_Interes_Anual/Numero_De_Pagos_Por_Año),"")</f>
        <v/>
      </c>
      <c r="J25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5" s="109" t="str">
        <f>IF(PaymentSchedule[[#This Row],[Nº. DE PAGO]]&lt;&gt;"",SUM(INDEX(PaymentSchedule[INTERÉS],1,1):PaymentSchedule[[#This Row],[INTERÉS]]),"")</f>
        <v/>
      </c>
    </row>
    <row r="256" spans="2:11" x14ac:dyDescent="0.3">
      <c r="B256" s="111" t="str">
        <f>IF(LoanIsGood,IF(ROW()-ROW(PaymentSchedule[[#Headers],[Nº. DE PAGO]])&gt;Numero_De_Pagos_Programados,"",ROW()-ROW(PaymentSchedule[[#Headers],[Nº. DE PAGO]])),"")</f>
        <v/>
      </c>
      <c r="C25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6" s="109" t="str">
        <f>IF(PaymentSchedule[[#This Row],[Nº. DE PAGO]]&lt;&gt;"",Pago_Programado,"")</f>
        <v/>
      </c>
      <c r="F25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6" s="109" t="str">
        <f>IF(PaymentSchedule[[#This Row],[Nº. DE PAGO]]&lt;&gt;"",PaymentSchedule[[#This Row],[IMPORTE TOTAL DEL PAGO]]-PaymentSchedule[[#This Row],[INTERÉS]],"")</f>
        <v/>
      </c>
      <c r="I256" s="109" t="str">
        <f>IF(PaymentSchedule[[#This Row],[Nº. DE PAGO]]&lt;&gt;"",PaymentSchedule[[#This Row],[SALDO INICIAL]]*(Tasa_De_Interes_Anual/Numero_De_Pagos_Por_Año),"")</f>
        <v/>
      </c>
      <c r="J25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6" s="109" t="str">
        <f>IF(PaymentSchedule[[#This Row],[Nº. DE PAGO]]&lt;&gt;"",SUM(INDEX(PaymentSchedule[INTERÉS],1,1):PaymentSchedule[[#This Row],[INTERÉS]]),"")</f>
        <v/>
      </c>
    </row>
    <row r="257" spans="2:11" x14ac:dyDescent="0.3">
      <c r="B257" s="111" t="str">
        <f>IF(LoanIsGood,IF(ROW()-ROW(PaymentSchedule[[#Headers],[Nº. DE PAGO]])&gt;Numero_De_Pagos_Programados,"",ROW()-ROW(PaymentSchedule[[#Headers],[Nº. DE PAGO]])),"")</f>
        <v/>
      </c>
      <c r="C25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7" s="109" t="str">
        <f>IF(PaymentSchedule[[#This Row],[Nº. DE PAGO]]&lt;&gt;"",Pago_Programado,"")</f>
        <v/>
      </c>
      <c r="F25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7" s="109" t="str">
        <f>IF(PaymentSchedule[[#This Row],[Nº. DE PAGO]]&lt;&gt;"",PaymentSchedule[[#This Row],[IMPORTE TOTAL DEL PAGO]]-PaymentSchedule[[#This Row],[INTERÉS]],"")</f>
        <v/>
      </c>
      <c r="I257" s="109" t="str">
        <f>IF(PaymentSchedule[[#This Row],[Nº. DE PAGO]]&lt;&gt;"",PaymentSchedule[[#This Row],[SALDO INICIAL]]*(Tasa_De_Interes_Anual/Numero_De_Pagos_Por_Año),"")</f>
        <v/>
      </c>
      <c r="J25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7" s="109" t="str">
        <f>IF(PaymentSchedule[[#This Row],[Nº. DE PAGO]]&lt;&gt;"",SUM(INDEX(PaymentSchedule[INTERÉS],1,1):PaymentSchedule[[#This Row],[INTERÉS]]),"")</f>
        <v/>
      </c>
    </row>
    <row r="258" spans="2:11" x14ac:dyDescent="0.3">
      <c r="B258" s="111" t="str">
        <f>IF(LoanIsGood,IF(ROW()-ROW(PaymentSchedule[[#Headers],[Nº. DE PAGO]])&gt;Numero_De_Pagos_Programados,"",ROW()-ROW(PaymentSchedule[[#Headers],[Nº. DE PAGO]])),"")</f>
        <v/>
      </c>
      <c r="C25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8" s="109" t="str">
        <f>IF(PaymentSchedule[[#This Row],[Nº. DE PAGO]]&lt;&gt;"",Pago_Programado,"")</f>
        <v/>
      </c>
      <c r="F25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8" s="109" t="str">
        <f>IF(PaymentSchedule[[#This Row],[Nº. DE PAGO]]&lt;&gt;"",PaymentSchedule[[#This Row],[IMPORTE TOTAL DEL PAGO]]-PaymentSchedule[[#This Row],[INTERÉS]],"")</f>
        <v/>
      </c>
      <c r="I258" s="109" t="str">
        <f>IF(PaymentSchedule[[#This Row],[Nº. DE PAGO]]&lt;&gt;"",PaymentSchedule[[#This Row],[SALDO INICIAL]]*(Tasa_De_Interes_Anual/Numero_De_Pagos_Por_Año),"")</f>
        <v/>
      </c>
      <c r="J25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8" s="109" t="str">
        <f>IF(PaymentSchedule[[#This Row],[Nº. DE PAGO]]&lt;&gt;"",SUM(INDEX(PaymentSchedule[INTERÉS],1,1):PaymentSchedule[[#This Row],[INTERÉS]]),"")</f>
        <v/>
      </c>
    </row>
    <row r="259" spans="2:11" x14ac:dyDescent="0.3">
      <c r="B259" s="111" t="str">
        <f>IF(LoanIsGood,IF(ROW()-ROW(PaymentSchedule[[#Headers],[Nº. DE PAGO]])&gt;Numero_De_Pagos_Programados,"",ROW()-ROW(PaymentSchedule[[#Headers],[Nº. DE PAGO]])),"")</f>
        <v/>
      </c>
      <c r="C25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9" s="109" t="str">
        <f>IF(PaymentSchedule[[#This Row],[Nº. DE PAGO]]&lt;&gt;"",Pago_Programado,"")</f>
        <v/>
      </c>
      <c r="F25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9" s="109" t="str">
        <f>IF(PaymentSchedule[[#This Row],[Nº. DE PAGO]]&lt;&gt;"",PaymentSchedule[[#This Row],[IMPORTE TOTAL DEL PAGO]]-PaymentSchedule[[#This Row],[INTERÉS]],"")</f>
        <v/>
      </c>
      <c r="I259" s="109" t="str">
        <f>IF(PaymentSchedule[[#This Row],[Nº. DE PAGO]]&lt;&gt;"",PaymentSchedule[[#This Row],[SALDO INICIAL]]*(Tasa_De_Interes_Anual/Numero_De_Pagos_Por_Año),"")</f>
        <v/>
      </c>
      <c r="J25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9" s="109" t="str">
        <f>IF(PaymentSchedule[[#This Row],[Nº. DE PAGO]]&lt;&gt;"",SUM(INDEX(PaymentSchedule[INTERÉS],1,1):PaymentSchedule[[#This Row],[INTERÉS]]),"")</f>
        <v/>
      </c>
    </row>
    <row r="260" spans="2:11" x14ac:dyDescent="0.3">
      <c r="B260" s="111" t="str">
        <f>IF(LoanIsGood,IF(ROW()-ROW(PaymentSchedule[[#Headers],[Nº. DE PAGO]])&gt;Numero_De_Pagos_Programados,"",ROW()-ROW(PaymentSchedule[[#Headers],[Nº. DE PAGO]])),"")</f>
        <v/>
      </c>
      <c r="C26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0" s="109" t="str">
        <f>IF(PaymentSchedule[[#This Row],[Nº. DE PAGO]]&lt;&gt;"",Pago_Programado,"")</f>
        <v/>
      </c>
      <c r="F26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0" s="109" t="str">
        <f>IF(PaymentSchedule[[#This Row],[Nº. DE PAGO]]&lt;&gt;"",PaymentSchedule[[#This Row],[IMPORTE TOTAL DEL PAGO]]-PaymentSchedule[[#This Row],[INTERÉS]],"")</f>
        <v/>
      </c>
      <c r="I260" s="109" t="str">
        <f>IF(PaymentSchedule[[#This Row],[Nº. DE PAGO]]&lt;&gt;"",PaymentSchedule[[#This Row],[SALDO INICIAL]]*(Tasa_De_Interes_Anual/Numero_De_Pagos_Por_Año),"")</f>
        <v/>
      </c>
      <c r="J26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0" s="109" t="str">
        <f>IF(PaymentSchedule[[#This Row],[Nº. DE PAGO]]&lt;&gt;"",SUM(INDEX(PaymentSchedule[INTERÉS],1,1):PaymentSchedule[[#This Row],[INTERÉS]]),"")</f>
        <v/>
      </c>
    </row>
    <row r="261" spans="2:11" x14ac:dyDescent="0.3">
      <c r="B261" s="111" t="str">
        <f>IF(LoanIsGood,IF(ROW()-ROW(PaymentSchedule[[#Headers],[Nº. DE PAGO]])&gt;Numero_De_Pagos_Programados,"",ROW()-ROW(PaymentSchedule[[#Headers],[Nº. DE PAGO]])),"")</f>
        <v/>
      </c>
      <c r="C26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1" s="109" t="str">
        <f>IF(PaymentSchedule[[#This Row],[Nº. DE PAGO]]&lt;&gt;"",Pago_Programado,"")</f>
        <v/>
      </c>
      <c r="F26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1" s="109" t="str">
        <f>IF(PaymentSchedule[[#This Row],[Nº. DE PAGO]]&lt;&gt;"",PaymentSchedule[[#This Row],[IMPORTE TOTAL DEL PAGO]]-PaymentSchedule[[#This Row],[INTERÉS]],"")</f>
        <v/>
      </c>
      <c r="I261" s="109" t="str">
        <f>IF(PaymentSchedule[[#This Row],[Nº. DE PAGO]]&lt;&gt;"",PaymentSchedule[[#This Row],[SALDO INICIAL]]*(Tasa_De_Interes_Anual/Numero_De_Pagos_Por_Año),"")</f>
        <v/>
      </c>
      <c r="J26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1" s="109" t="str">
        <f>IF(PaymentSchedule[[#This Row],[Nº. DE PAGO]]&lt;&gt;"",SUM(INDEX(PaymentSchedule[INTERÉS],1,1):PaymentSchedule[[#This Row],[INTERÉS]]),"")</f>
        <v/>
      </c>
    </row>
    <row r="262" spans="2:11" x14ac:dyDescent="0.3">
      <c r="B262" s="111" t="str">
        <f>IF(LoanIsGood,IF(ROW()-ROW(PaymentSchedule[[#Headers],[Nº. DE PAGO]])&gt;Numero_De_Pagos_Programados,"",ROW()-ROW(PaymentSchedule[[#Headers],[Nº. DE PAGO]])),"")</f>
        <v/>
      </c>
      <c r="C26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2" s="109" t="str">
        <f>IF(PaymentSchedule[[#This Row],[Nº. DE PAGO]]&lt;&gt;"",Pago_Programado,"")</f>
        <v/>
      </c>
      <c r="F26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2" s="109" t="str">
        <f>IF(PaymentSchedule[[#This Row],[Nº. DE PAGO]]&lt;&gt;"",PaymentSchedule[[#This Row],[IMPORTE TOTAL DEL PAGO]]-PaymentSchedule[[#This Row],[INTERÉS]],"")</f>
        <v/>
      </c>
      <c r="I262" s="109" t="str">
        <f>IF(PaymentSchedule[[#This Row],[Nº. DE PAGO]]&lt;&gt;"",PaymentSchedule[[#This Row],[SALDO INICIAL]]*(Tasa_De_Interes_Anual/Numero_De_Pagos_Por_Año),"")</f>
        <v/>
      </c>
      <c r="J26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2" s="109" t="str">
        <f>IF(PaymentSchedule[[#This Row],[Nº. DE PAGO]]&lt;&gt;"",SUM(INDEX(PaymentSchedule[INTERÉS],1,1):PaymentSchedule[[#This Row],[INTERÉS]]),"")</f>
        <v/>
      </c>
    </row>
    <row r="263" spans="2:11" x14ac:dyDescent="0.3">
      <c r="B263" s="111" t="str">
        <f>IF(LoanIsGood,IF(ROW()-ROW(PaymentSchedule[[#Headers],[Nº. DE PAGO]])&gt;Numero_De_Pagos_Programados,"",ROW()-ROW(PaymentSchedule[[#Headers],[Nº. DE PAGO]])),"")</f>
        <v/>
      </c>
      <c r="C26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3" s="109" t="str">
        <f>IF(PaymentSchedule[[#This Row],[Nº. DE PAGO]]&lt;&gt;"",Pago_Programado,"")</f>
        <v/>
      </c>
      <c r="F26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3" s="109" t="str">
        <f>IF(PaymentSchedule[[#This Row],[Nº. DE PAGO]]&lt;&gt;"",PaymentSchedule[[#This Row],[IMPORTE TOTAL DEL PAGO]]-PaymentSchedule[[#This Row],[INTERÉS]],"")</f>
        <v/>
      </c>
      <c r="I263" s="109" t="str">
        <f>IF(PaymentSchedule[[#This Row],[Nº. DE PAGO]]&lt;&gt;"",PaymentSchedule[[#This Row],[SALDO INICIAL]]*(Tasa_De_Interes_Anual/Numero_De_Pagos_Por_Año),"")</f>
        <v/>
      </c>
      <c r="J26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3" s="109" t="str">
        <f>IF(PaymentSchedule[[#This Row],[Nº. DE PAGO]]&lt;&gt;"",SUM(INDEX(PaymentSchedule[INTERÉS],1,1):PaymentSchedule[[#This Row],[INTERÉS]]),"")</f>
        <v/>
      </c>
    </row>
    <row r="264" spans="2:11" x14ac:dyDescent="0.3">
      <c r="B264" s="111" t="str">
        <f>IF(LoanIsGood,IF(ROW()-ROW(PaymentSchedule[[#Headers],[Nº. DE PAGO]])&gt;Numero_De_Pagos_Programados,"",ROW()-ROW(PaymentSchedule[[#Headers],[Nº. DE PAGO]])),"")</f>
        <v/>
      </c>
      <c r="C26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4" s="109" t="str">
        <f>IF(PaymentSchedule[[#This Row],[Nº. DE PAGO]]&lt;&gt;"",Pago_Programado,"")</f>
        <v/>
      </c>
      <c r="F26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4" s="109" t="str">
        <f>IF(PaymentSchedule[[#This Row],[Nº. DE PAGO]]&lt;&gt;"",PaymentSchedule[[#This Row],[IMPORTE TOTAL DEL PAGO]]-PaymentSchedule[[#This Row],[INTERÉS]],"")</f>
        <v/>
      </c>
      <c r="I264" s="109" t="str">
        <f>IF(PaymentSchedule[[#This Row],[Nº. DE PAGO]]&lt;&gt;"",PaymentSchedule[[#This Row],[SALDO INICIAL]]*(Tasa_De_Interes_Anual/Numero_De_Pagos_Por_Año),"")</f>
        <v/>
      </c>
      <c r="J26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4" s="109" t="str">
        <f>IF(PaymentSchedule[[#This Row],[Nº. DE PAGO]]&lt;&gt;"",SUM(INDEX(PaymentSchedule[INTERÉS],1,1):PaymentSchedule[[#This Row],[INTERÉS]]),"")</f>
        <v/>
      </c>
    </row>
    <row r="265" spans="2:11" x14ac:dyDescent="0.3">
      <c r="B265" s="111" t="str">
        <f>IF(LoanIsGood,IF(ROW()-ROW(PaymentSchedule[[#Headers],[Nº. DE PAGO]])&gt;Numero_De_Pagos_Programados,"",ROW()-ROW(PaymentSchedule[[#Headers],[Nº. DE PAGO]])),"")</f>
        <v/>
      </c>
      <c r="C26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5" s="109" t="str">
        <f>IF(PaymentSchedule[[#This Row],[Nº. DE PAGO]]&lt;&gt;"",Pago_Programado,"")</f>
        <v/>
      </c>
      <c r="F26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5" s="109" t="str">
        <f>IF(PaymentSchedule[[#This Row],[Nº. DE PAGO]]&lt;&gt;"",PaymentSchedule[[#This Row],[IMPORTE TOTAL DEL PAGO]]-PaymentSchedule[[#This Row],[INTERÉS]],"")</f>
        <v/>
      </c>
      <c r="I265" s="109" t="str">
        <f>IF(PaymentSchedule[[#This Row],[Nº. DE PAGO]]&lt;&gt;"",PaymentSchedule[[#This Row],[SALDO INICIAL]]*(Tasa_De_Interes_Anual/Numero_De_Pagos_Por_Año),"")</f>
        <v/>
      </c>
      <c r="J26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5" s="109" t="str">
        <f>IF(PaymentSchedule[[#This Row],[Nº. DE PAGO]]&lt;&gt;"",SUM(INDEX(PaymentSchedule[INTERÉS],1,1):PaymentSchedule[[#This Row],[INTERÉS]]),"")</f>
        <v/>
      </c>
    </row>
    <row r="266" spans="2:11" x14ac:dyDescent="0.3">
      <c r="B266" s="111" t="str">
        <f>IF(LoanIsGood,IF(ROW()-ROW(PaymentSchedule[[#Headers],[Nº. DE PAGO]])&gt;Numero_De_Pagos_Programados,"",ROW()-ROW(PaymentSchedule[[#Headers],[Nº. DE PAGO]])),"")</f>
        <v/>
      </c>
      <c r="C26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6" s="109" t="str">
        <f>IF(PaymentSchedule[[#This Row],[Nº. DE PAGO]]&lt;&gt;"",Pago_Programado,"")</f>
        <v/>
      </c>
      <c r="F26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6" s="109" t="str">
        <f>IF(PaymentSchedule[[#This Row],[Nº. DE PAGO]]&lt;&gt;"",PaymentSchedule[[#This Row],[IMPORTE TOTAL DEL PAGO]]-PaymentSchedule[[#This Row],[INTERÉS]],"")</f>
        <v/>
      </c>
      <c r="I266" s="109" t="str">
        <f>IF(PaymentSchedule[[#This Row],[Nº. DE PAGO]]&lt;&gt;"",PaymentSchedule[[#This Row],[SALDO INICIAL]]*(Tasa_De_Interes_Anual/Numero_De_Pagos_Por_Año),"")</f>
        <v/>
      </c>
      <c r="J26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6" s="109" t="str">
        <f>IF(PaymentSchedule[[#This Row],[Nº. DE PAGO]]&lt;&gt;"",SUM(INDEX(PaymentSchedule[INTERÉS],1,1):PaymentSchedule[[#This Row],[INTERÉS]]),"")</f>
        <v/>
      </c>
    </row>
    <row r="267" spans="2:11" x14ac:dyDescent="0.3">
      <c r="B267" s="111" t="str">
        <f>IF(LoanIsGood,IF(ROW()-ROW(PaymentSchedule[[#Headers],[Nº. DE PAGO]])&gt;Numero_De_Pagos_Programados,"",ROW()-ROW(PaymentSchedule[[#Headers],[Nº. DE PAGO]])),"")</f>
        <v/>
      </c>
      <c r="C26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7" s="109" t="str">
        <f>IF(PaymentSchedule[[#This Row],[Nº. DE PAGO]]&lt;&gt;"",Pago_Programado,"")</f>
        <v/>
      </c>
      <c r="F26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7" s="109" t="str">
        <f>IF(PaymentSchedule[[#This Row],[Nº. DE PAGO]]&lt;&gt;"",PaymentSchedule[[#This Row],[IMPORTE TOTAL DEL PAGO]]-PaymentSchedule[[#This Row],[INTERÉS]],"")</f>
        <v/>
      </c>
      <c r="I267" s="109" t="str">
        <f>IF(PaymentSchedule[[#This Row],[Nº. DE PAGO]]&lt;&gt;"",PaymentSchedule[[#This Row],[SALDO INICIAL]]*(Tasa_De_Interes_Anual/Numero_De_Pagos_Por_Año),"")</f>
        <v/>
      </c>
      <c r="J26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7" s="109" t="str">
        <f>IF(PaymentSchedule[[#This Row],[Nº. DE PAGO]]&lt;&gt;"",SUM(INDEX(PaymentSchedule[INTERÉS],1,1):PaymentSchedule[[#This Row],[INTERÉS]]),"")</f>
        <v/>
      </c>
    </row>
    <row r="268" spans="2:11" x14ac:dyDescent="0.3">
      <c r="B268" s="111" t="str">
        <f>IF(LoanIsGood,IF(ROW()-ROW(PaymentSchedule[[#Headers],[Nº. DE PAGO]])&gt;Numero_De_Pagos_Programados,"",ROW()-ROW(PaymentSchedule[[#Headers],[Nº. DE PAGO]])),"")</f>
        <v/>
      </c>
      <c r="C26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8" s="109" t="str">
        <f>IF(PaymentSchedule[[#This Row],[Nº. DE PAGO]]&lt;&gt;"",Pago_Programado,"")</f>
        <v/>
      </c>
      <c r="F26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8" s="109" t="str">
        <f>IF(PaymentSchedule[[#This Row],[Nº. DE PAGO]]&lt;&gt;"",PaymentSchedule[[#This Row],[IMPORTE TOTAL DEL PAGO]]-PaymentSchedule[[#This Row],[INTERÉS]],"")</f>
        <v/>
      </c>
      <c r="I268" s="109" t="str">
        <f>IF(PaymentSchedule[[#This Row],[Nº. DE PAGO]]&lt;&gt;"",PaymentSchedule[[#This Row],[SALDO INICIAL]]*(Tasa_De_Interes_Anual/Numero_De_Pagos_Por_Año),"")</f>
        <v/>
      </c>
      <c r="J26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8" s="109" t="str">
        <f>IF(PaymentSchedule[[#This Row],[Nº. DE PAGO]]&lt;&gt;"",SUM(INDEX(PaymentSchedule[INTERÉS],1,1):PaymentSchedule[[#This Row],[INTERÉS]]),"")</f>
        <v/>
      </c>
    </row>
    <row r="269" spans="2:11" x14ac:dyDescent="0.3">
      <c r="B269" s="111" t="str">
        <f>IF(LoanIsGood,IF(ROW()-ROW(PaymentSchedule[[#Headers],[Nº. DE PAGO]])&gt;Numero_De_Pagos_Programados,"",ROW()-ROW(PaymentSchedule[[#Headers],[Nº. DE PAGO]])),"")</f>
        <v/>
      </c>
      <c r="C26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9" s="109" t="str">
        <f>IF(PaymentSchedule[[#This Row],[Nº. DE PAGO]]&lt;&gt;"",Pago_Programado,"")</f>
        <v/>
      </c>
      <c r="F26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9" s="109" t="str">
        <f>IF(PaymentSchedule[[#This Row],[Nº. DE PAGO]]&lt;&gt;"",PaymentSchedule[[#This Row],[IMPORTE TOTAL DEL PAGO]]-PaymentSchedule[[#This Row],[INTERÉS]],"")</f>
        <v/>
      </c>
      <c r="I269" s="109" t="str">
        <f>IF(PaymentSchedule[[#This Row],[Nº. DE PAGO]]&lt;&gt;"",PaymentSchedule[[#This Row],[SALDO INICIAL]]*(Tasa_De_Interes_Anual/Numero_De_Pagos_Por_Año),"")</f>
        <v/>
      </c>
      <c r="J26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9" s="109" t="str">
        <f>IF(PaymentSchedule[[#This Row],[Nº. DE PAGO]]&lt;&gt;"",SUM(INDEX(PaymentSchedule[INTERÉS],1,1):PaymentSchedule[[#This Row],[INTERÉS]]),"")</f>
        <v/>
      </c>
    </row>
    <row r="270" spans="2:11" x14ac:dyDescent="0.3">
      <c r="B270" s="111" t="str">
        <f>IF(LoanIsGood,IF(ROW()-ROW(PaymentSchedule[[#Headers],[Nº. DE PAGO]])&gt;Numero_De_Pagos_Programados,"",ROW()-ROW(PaymentSchedule[[#Headers],[Nº. DE PAGO]])),"")</f>
        <v/>
      </c>
      <c r="C27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0" s="109" t="str">
        <f>IF(PaymentSchedule[[#This Row],[Nº. DE PAGO]]&lt;&gt;"",Pago_Programado,"")</f>
        <v/>
      </c>
      <c r="F27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0" s="109" t="str">
        <f>IF(PaymentSchedule[[#This Row],[Nº. DE PAGO]]&lt;&gt;"",PaymentSchedule[[#This Row],[IMPORTE TOTAL DEL PAGO]]-PaymentSchedule[[#This Row],[INTERÉS]],"")</f>
        <v/>
      </c>
      <c r="I270" s="109" t="str">
        <f>IF(PaymentSchedule[[#This Row],[Nº. DE PAGO]]&lt;&gt;"",PaymentSchedule[[#This Row],[SALDO INICIAL]]*(Tasa_De_Interes_Anual/Numero_De_Pagos_Por_Año),"")</f>
        <v/>
      </c>
      <c r="J27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0" s="109" t="str">
        <f>IF(PaymentSchedule[[#This Row],[Nº. DE PAGO]]&lt;&gt;"",SUM(INDEX(PaymentSchedule[INTERÉS],1,1):PaymentSchedule[[#This Row],[INTERÉS]]),"")</f>
        <v/>
      </c>
    </row>
    <row r="271" spans="2:11" x14ac:dyDescent="0.3">
      <c r="B271" s="111" t="str">
        <f>IF(LoanIsGood,IF(ROW()-ROW(PaymentSchedule[[#Headers],[Nº. DE PAGO]])&gt;Numero_De_Pagos_Programados,"",ROW()-ROW(PaymentSchedule[[#Headers],[Nº. DE PAGO]])),"")</f>
        <v/>
      </c>
      <c r="C27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1" s="109" t="str">
        <f>IF(PaymentSchedule[[#This Row],[Nº. DE PAGO]]&lt;&gt;"",Pago_Programado,"")</f>
        <v/>
      </c>
      <c r="F27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1" s="109" t="str">
        <f>IF(PaymentSchedule[[#This Row],[Nº. DE PAGO]]&lt;&gt;"",PaymentSchedule[[#This Row],[IMPORTE TOTAL DEL PAGO]]-PaymentSchedule[[#This Row],[INTERÉS]],"")</f>
        <v/>
      </c>
      <c r="I271" s="109" t="str">
        <f>IF(PaymentSchedule[[#This Row],[Nº. DE PAGO]]&lt;&gt;"",PaymentSchedule[[#This Row],[SALDO INICIAL]]*(Tasa_De_Interes_Anual/Numero_De_Pagos_Por_Año),"")</f>
        <v/>
      </c>
      <c r="J27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1" s="109" t="str">
        <f>IF(PaymentSchedule[[#This Row],[Nº. DE PAGO]]&lt;&gt;"",SUM(INDEX(PaymentSchedule[INTERÉS],1,1):PaymentSchedule[[#This Row],[INTERÉS]]),"")</f>
        <v/>
      </c>
    </row>
    <row r="272" spans="2:11" x14ac:dyDescent="0.3">
      <c r="B272" s="111" t="str">
        <f>IF(LoanIsGood,IF(ROW()-ROW(PaymentSchedule[[#Headers],[Nº. DE PAGO]])&gt;Numero_De_Pagos_Programados,"",ROW()-ROW(PaymentSchedule[[#Headers],[Nº. DE PAGO]])),"")</f>
        <v/>
      </c>
      <c r="C27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2" s="109" t="str">
        <f>IF(PaymentSchedule[[#This Row],[Nº. DE PAGO]]&lt;&gt;"",Pago_Programado,"")</f>
        <v/>
      </c>
      <c r="F27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2" s="109" t="str">
        <f>IF(PaymentSchedule[[#This Row],[Nº. DE PAGO]]&lt;&gt;"",PaymentSchedule[[#This Row],[IMPORTE TOTAL DEL PAGO]]-PaymentSchedule[[#This Row],[INTERÉS]],"")</f>
        <v/>
      </c>
      <c r="I272" s="109" t="str">
        <f>IF(PaymentSchedule[[#This Row],[Nº. DE PAGO]]&lt;&gt;"",PaymentSchedule[[#This Row],[SALDO INICIAL]]*(Tasa_De_Interes_Anual/Numero_De_Pagos_Por_Año),"")</f>
        <v/>
      </c>
      <c r="J27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2" s="109" t="str">
        <f>IF(PaymentSchedule[[#This Row],[Nº. DE PAGO]]&lt;&gt;"",SUM(INDEX(PaymentSchedule[INTERÉS],1,1):PaymentSchedule[[#This Row],[INTERÉS]]),"")</f>
        <v/>
      </c>
    </row>
    <row r="273" spans="2:11" x14ac:dyDescent="0.3">
      <c r="B273" s="111" t="str">
        <f>IF(LoanIsGood,IF(ROW()-ROW(PaymentSchedule[[#Headers],[Nº. DE PAGO]])&gt;Numero_De_Pagos_Programados,"",ROW()-ROW(PaymentSchedule[[#Headers],[Nº. DE PAGO]])),"")</f>
        <v/>
      </c>
      <c r="C27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3" s="109" t="str">
        <f>IF(PaymentSchedule[[#This Row],[Nº. DE PAGO]]&lt;&gt;"",Pago_Programado,"")</f>
        <v/>
      </c>
      <c r="F27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3" s="109" t="str">
        <f>IF(PaymentSchedule[[#This Row],[Nº. DE PAGO]]&lt;&gt;"",PaymentSchedule[[#This Row],[IMPORTE TOTAL DEL PAGO]]-PaymentSchedule[[#This Row],[INTERÉS]],"")</f>
        <v/>
      </c>
      <c r="I273" s="109" t="str">
        <f>IF(PaymentSchedule[[#This Row],[Nº. DE PAGO]]&lt;&gt;"",PaymentSchedule[[#This Row],[SALDO INICIAL]]*(Tasa_De_Interes_Anual/Numero_De_Pagos_Por_Año),"")</f>
        <v/>
      </c>
      <c r="J27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3" s="109" t="str">
        <f>IF(PaymentSchedule[[#This Row],[Nº. DE PAGO]]&lt;&gt;"",SUM(INDEX(PaymentSchedule[INTERÉS],1,1):PaymentSchedule[[#This Row],[INTERÉS]]),"")</f>
        <v/>
      </c>
    </row>
    <row r="274" spans="2:11" x14ac:dyDescent="0.3">
      <c r="B274" s="111" t="str">
        <f>IF(LoanIsGood,IF(ROW()-ROW(PaymentSchedule[[#Headers],[Nº. DE PAGO]])&gt;Numero_De_Pagos_Programados,"",ROW()-ROW(PaymentSchedule[[#Headers],[Nº. DE PAGO]])),"")</f>
        <v/>
      </c>
      <c r="C27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4" s="109" t="str">
        <f>IF(PaymentSchedule[[#This Row],[Nº. DE PAGO]]&lt;&gt;"",Pago_Programado,"")</f>
        <v/>
      </c>
      <c r="F27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4" s="109" t="str">
        <f>IF(PaymentSchedule[[#This Row],[Nº. DE PAGO]]&lt;&gt;"",PaymentSchedule[[#This Row],[IMPORTE TOTAL DEL PAGO]]-PaymentSchedule[[#This Row],[INTERÉS]],"")</f>
        <v/>
      </c>
      <c r="I274" s="109" t="str">
        <f>IF(PaymentSchedule[[#This Row],[Nº. DE PAGO]]&lt;&gt;"",PaymentSchedule[[#This Row],[SALDO INICIAL]]*(Tasa_De_Interes_Anual/Numero_De_Pagos_Por_Año),"")</f>
        <v/>
      </c>
      <c r="J27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4" s="109" t="str">
        <f>IF(PaymentSchedule[[#This Row],[Nº. DE PAGO]]&lt;&gt;"",SUM(INDEX(PaymentSchedule[INTERÉS],1,1):PaymentSchedule[[#This Row],[INTERÉS]]),"")</f>
        <v/>
      </c>
    </row>
    <row r="275" spans="2:11" x14ac:dyDescent="0.3">
      <c r="B275" s="111" t="str">
        <f>IF(LoanIsGood,IF(ROW()-ROW(PaymentSchedule[[#Headers],[Nº. DE PAGO]])&gt;Numero_De_Pagos_Programados,"",ROW()-ROW(PaymentSchedule[[#Headers],[Nº. DE PAGO]])),"")</f>
        <v/>
      </c>
      <c r="C27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5" s="109" t="str">
        <f>IF(PaymentSchedule[[#This Row],[Nº. DE PAGO]]&lt;&gt;"",Pago_Programado,"")</f>
        <v/>
      </c>
      <c r="F27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5" s="109" t="str">
        <f>IF(PaymentSchedule[[#This Row],[Nº. DE PAGO]]&lt;&gt;"",PaymentSchedule[[#This Row],[IMPORTE TOTAL DEL PAGO]]-PaymentSchedule[[#This Row],[INTERÉS]],"")</f>
        <v/>
      </c>
      <c r="I275" s="109" t="str">
        <f>IF(PaymentSchedule[[#This Row],[Nº. DE PAGO]]&lt;&gt;"",PaymentSchedule[[#This Row],[SALDO INICIAL]]*(Tasa_De_Interes_Anual/Numero_De_Pagos_Por_Año),"")</f>
        <v/>
      </c>
      <c r="J27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5" s="109" t="str">
        <f>IF(PaymentSchedule[[#This Row],[Nº. DE PAGO]]&lt;&gt;"",SUM(INDEX(PaymentSchedule[INTERÉS],1,1):PaymentSchedule[[#This Row],[INTERÉS]]),"")</f>
        <v/>
      </c>
    </row>
    <row r="276" spans="2:11" x14ac:dyDescent="0.3">
      <c r="B276" s="111" t="str">
        <f>IF(LoanIsGood,IF(ROW()-ROW(PaymentSchedule[[#Headers],[Nº. DE PAGO]])&gt;Numero_De_Pagos_Programados,"",ROW()-ROW(PaymentSchedule[[#Headers],[Nº. DE PAGO]])),"")</f>
        <v/>
      </c>
      <c r="C27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6" s="109" t="str">
        <f>IF(PaymentSchedule[[#This Row],[Nº. DE PAGO]]&lt;&gt;"",Pago_Programado,"")</f>
        <v/>
      </c>
      <c r="F27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6" s="109" t="str">
        <f>IF(PaymentSchedule[[#This Row],[Nº. DE PAGO]]&lt;&gt;"",PaymentSchedule[[#This Row],[IMPORTE TOTAL DEL PAGO]]-PaymentSchedule[[#This Row],[INTERÉS]],"")</f>
        <v/>
      </c>
      <c r="I276" s="109" t="str">
        <f>IF(PaymentSchedule[[#This Row],[Nº. DE PAGO]]&lt;&gt;"",PaymentSchedule[[#This Row],[SALDO INICIAL]]*(Tasa_De_Interes_Anual/Numero_De_Pagos_Por_Año),"")</f>
        <v/>
      </c>
      <c r="J27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6" s="109" t="str">
        <f>IF(PaymentSchedule[[#This Row],[Nº. DE PAGO]]&lt;&gt;"",SUM(INDEX(PaymentSchedule[INTERÉS],1,1):PaymentSchedule[[#This Row],[INTERÉS]]),"")</f>
        <v/>
      </c>
    </row>
    <row r="277" spans="2:11" x14ac:dyDescent="0.3">
      <c r="B277" s="111" t="str">
        <f>IF(LoanIsGood,IF(ROW()-ROW(PaymentSchedule[[#Headers],[Nº. DE PAGO]])&gt;Numero_De_Pagos_Programados,"",ROW()-ROW(PaymentSchedule[[#Headers],[Nº. DE PAGO]])),"")</f>
        <v/>
      </c>
      <c r="C27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7" s="109" t="str">
        <f>IF(PaymentSchedule[[#This Row],[Nº. DE PAGO]]&lt;&gt;"",Pago_Programado,"")</f>
        <v/>
      </c>
      <c r="F27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7" s="109" t="str">
        <f>IF(PaymentSchedule[[#This Row],[Nº. DE PAGO]]&lt;&gt;"",PaymentSchedule[[#This Row],[IMPORTE TOTAL DEL PAGO]]-PaymentSchedule[[#This Row],[INTERÉS]],"")</f>
        <v/>
      </c>
      <c r="I277" s="109" t="str">
        <f>IF(PaymentSchedule[[#This Row],[Nº. DE PAGO]]&lt;&gt;"",PaymentSchedule[[#This Row],[SALDO INICIAL]]*(Tasa_De_Interes_Anual/Numero_De_Pagos_Por_Año),"")</f>
        <v/>
      </c>
      <c r="J27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7" s="109" t="str">
        <f>IF(PaymentSchedule[[#This Row],[Nº. DE PAGO]]&lt;&gt;"",SUM(INDEX(PaymentSchedule[INTERÉS],1,1):PaymentSchedule[[#This Row],[INTERÉS]]),"")</f>
        <v/>
      </c>
    </row>
    <row r="278" spans="2:11" x14ac:dyDescent="0.3">
      <c r="B278" s="111" t="str">
        <f>IF(LoanIsGood,IF(ROW()-ROW(PaymentSchedule[[#Headers],[Nº. DE PAGO]])&gt;Numero_De_Pagos_Programados,"",ROW()-ROW(PaymentSchedule[[#Headers],[Nº. DE PAGO]])),"")</f>
        <v/>
      </c>
      <c r="C27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8" s="109" t="str">
        <f>IF(PaymentSchedule[[#This Row],[Nº. DE PAGO]]&lt;&gt;"",Pago_Programado,"")</f>
        <v/>
      </c>
      <c r="F27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8" s="109" t="str">
        <f>IF(PaymentSchedule[[#This Row],[Nº. DE PAGO]]&lt;&gt;"",PaymentSchedule[[#This Row],[IMPORTE TOTAL DEL PAGO]]-PaymentSchedule[[#This Row],[INTERÉS]],"")</f>
        <v/>
      </c>
      <c r="I278" s="109" t="str">
        <f>IF(PaymentSchedule[[#This Row],[Nº. DE PAGO]]&lt;&gt;"",PaymentSchedule[[#This Row],[SALDO INICIAL]]*(Tasa_De_Interes_Anual/Numero_De_Pagos_Por_Año),"")</f>
        <v/>
      </c>
      <c r="J27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8" s="109" t="str">
        <f>IF(PaymentSchedule[[#This Row],[Nº. DE PAGO]]&lt;&gt;"",SUM(INDEX(PaymentSchedule[INTERÉS],1,1):PaymentSchedule[[#This Row],[INTERÉS]]),"")</f>
        <v/>
      </c>
    </row>
    <row r="279" spans="2:11" x14ac:dyDescent="0.3">
      <c r="B279" s="111" t="str">
        <f>IF(LoanIsGood,IF(ROW()-ROW(PaymentSchedule[[#Headers],[Nº. DE PAGO]])&gt;Numero_De_Pagos_Programados,"",ROW()-ROW(PaymentSchedule[[#Headers],[Nº. DE PAGO]])),"")</f>
        <v/>
      </c>
      <c r="C27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9" s="109" t="str">
        <f>IF(PaymentSchedule[[#This Row],[Nº. DE PAGO]]&lt;&gt;"",Pago_Programado,"")</f>
        <v/>
      </c>
      <c r="F27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9" s="109" t="str">
        <f>IF(PaymentSchedule[[#This Row],[Nº. DE PAGO]]&lt;&gt;"",PaymentSchedule[[#This Row],[IMPORTE TOTAL DEL PAGO]]-PaymentSchedule[[#This Row],[INTERÉS]],"")</f>
        <v/>
      </c>
      <c r="I279" s="109" t="str">
        <f>IF(PaymentSchedule[[#This Row],[Nº. DE PAGO]]&lt;&gt;"",PaymentSchedule[[#This Row],[SALDO INICIAL]]*(Tasa_De_Interes_Anual/Numero_De_Pagos_Por_Año),"")</f>
        <v/>
      </c>
      <c r="J27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9" s="109" t="str">
        <f>IF(PaymentSchedule[[#This Row],[Nº. DE PAGO]]&lt;&gt;"",SUM(INDEX(PaymentSchedule[INTERÉS],1,1):PaymentSchedule[[#This Row],[INTERÉS]]),"")</f>
        <v/>
      </c>
    </row>
    <row r="280" spans="2:11" x14ac:dyDescent="0.3">
      <c r="B280" s="111" t="str">
        <f>IF(LoanIsGood,IF(ROW()-ROW(PaymentSchedule[[#Headers],[Nº. DE PAGO]])&gt;Numero_De_Pagos_Programados,"",ROW()-ROW(PaymentSchedule[[#Headers],[Nº. DE PAGO]])),"")</f>
        <v/>
      </c>
      <c r="C28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0" s="109" t="str">
        <f>IF(PaymentSchedule[[#This Row],[Nº. DE PAGO]]&lt;&gt;"",Pago_Programado,"")</f>
        <v/>
      </c>
      <c r="F28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0" s="109" t="str">
        <f>IF(PaymentSchedule[[#This Row],[Nº. DE PAGO]]&lt;&gt;"",PaymentSchedule[[#This Row],[IMPORTE TOTAL DEL PAGO]]-PaymentSchedule[[#This Row],[INTERÉS]],"")</f>
        <v/>
      </c>
      <c r="I280" s="109" t="str">
        <f>IF(PaymentSchedule[[#This Row],[Nº. DE PAGO]]&lt;&gt;"",PaymentSchedule[[#This Row],[SALDO INICIAL]]*(Tasa_De_Interes_Anual/Numero_De_Pagos_Por_Año),"")</f>
        <v/>
      </c>
      <c r="J28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0" s="109" t="str">
        <f>IF(PaymentSchedule[[#This Row],[Nº. DE PAGO]]&lt;&gt;"",SUM(INDEX(PaymentSchedule[INTERÉS],1,1):PaymentSchedule[[#This Row],[INTERÉS]]),"")</f>
        <v/>
      </c>
    </row>
    <row r="281" spans="2:11" x14ac:dyDescent="0.3">
      <c r="B281" s="111" t="str">
        <f>IF(LoanIsGood,IF(ROW()-ROW(PaymentSchedule[[#Headers],[Nº. DE PAGO]])&gt;Numero_De_Pagos_Programados,"",ROW()-ROW(PaymentSchedule[[#Headers],[Nº. DE PAGO]])),"")</f>
        <v/>
      </c>
      <c r="C28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1" s="109" t="str">
        <f>IF(PaymentSchedule[[#This Row],[Nº. DE PAGO]]&lt;&gt;"",Pago_Programado,"")</f>
        <v/>
      </c>
      <c r="F28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1" s="109" t="str">
        <f>IF(PaymentSchedule[[#This Row],[Nº. DE PAGO]]&lt;&gt;"",PaymentSchedule[[#This Row],[IMPORTE TOTAL DEL PAGO]]-PaymentSchedule[[#This Row],[INTERÉS]],"")</f>
        <v/>
      </c>
      <c r="I281" s="109" t="str">
        <f>IF(PaymentSchedule[[#This Row],[Nº. DE PAGO]]&lt;&gt;"",PaymentSchedule[[#This Row],[SALDO INICIAL]]*(Tasa_De_Interes_Anual/Numero_De_Pagos_Por_Año),"")</f>
        <v/>
      </c>
      <c r="J28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1" s="109" t="str">
        <f>IF(PaymentSchedule[[#This Row],[Nº. DE PAGO]]&lt;&gt;"",SUM(INDEX(PaymentSchedule[INTERÉS],1,1):PaymentSchedule[[#This Row],[INTERÉS]]),"")</f>
        <v/>
      </c>
    </row>
    <row r="282" spans="2:11" x14ac:dyDescent="0.3">
      <c r="B282" s="111" t="str">
        <f>IF(LoanIsGood,IF(ROW()-ROW(PaymentSchedule[[#Headers],[Nº. DE PAGO]])&gt;Numero_De_Pagos_Programados,"",ROW()-ROW(PaymentSchedule[[#Headers],[Nº. DE PAGO]])),"")</f>
        <v/>
      </c>
      <c r="C28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2" s="109" t="str">
        <f>IF(PaymentSchedule[[#This Row],[Nº. DE PAGO]]&lt;&gt;"",Pago_Programado,"")</f>
        <v/>
      </c>
      <c r="F28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2" s="109" t="str">
        <f>IF(PaymentSchedule[[#This Row],[Nº. DE PAGO]]&lt;&gt;"",PaymentSchedule[[#This Row],[IMPORTE TOTAL DEL PAGO]]-PaymentSchedule[[#This Row],[INTERÉS]],"")</f>
        <v/>
      </c>
      <c r="I282" s="109" t="str">
        <f>IF(PaymentSchedule[[#This Row],[Nº. DE PAGO]]&lt;&gt;"",PaymentSchedule[[#This Row],[SALDO INICIAL]]*(Tasa_De_Interes_Anual/Numero_De_Pagos_Por_Año),"")</f>
        <v/>
      </c>
      <c r="J28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2" s="109" t="str">
        <f>IF(PaymentSchedule[[#This Row],[Nº. DE PAGO]]&lt;&gt;"",SUM(INDEX(PaymentSchedule[INTERÉS],1,1):PaymentSchedule[[#This Row],[INTERÉS]]),"")</f>
        <v/>
      </c>
    </row>
    <row r="283" spans="2:11" x14ac:dyDescent="0.3">
      <c r="B283" s="111" t="str">
        <f>IF(LoanIsGood,IF(ROW()-ROW(PaymentSchedule[[#Headers],[Nº. DE PAGO]])&gt;Numero_De_Pagos_Programados,"",ROW()-ROW(PaymentSchedule[[#Headers],[Nº. DE PAGO]])),"")</f>
        <v/>
      </c>
      <c r="C28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3" s="109" t="str">
        <f>IF(PaymentSchedule[[#This Row],[Nº. DE PAGO]]&lt;&gt;"",Pago_Programado,"")</f>
        <v/>
      </c>
      <c r="F28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3" s="109" t="str">
        <f>IF(PaymentSchedule[[#This Row],[Nº. DE PAGO]]&lt;&gt;"",PaymentSchedule[[#This Row],[IMPORTE TOTAL DEL PAGO]]-PaymentSchedule[[#This Row],[INTERÉS]],"")</f>
        <v/>
      </c>
      <c r="I283" s="109" t="str">
        <f>IF(PaymentSchedule[[#This Row],[Nº. DE PAGO]]&lt;&gt;"",PaymentSchedule[[#This Row],[SALDO INICIAL]]*(Tasa_De_Interes_Anual/Numero_De_Pagos_Por_Año),"")</f>
        <v/>
      </c>
      <c r="J28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3" s="109" t="str">
        <f>IF(PaymentSchedule[[#This Row],[Nº. DE PAGO]]&lt;&gt;"",SUM(INDEX(PaymentSchedule[INTERÉS],1,1):PaymentSchedule[[#This Row],[INTERÉS]]),"")</f>
        <v/>
      </c>
    </row>
    <row r="284" spans="2:11" x14ac:dyDescent="0.3">
      <c r="B284" s="111" t="str">
        <f>IF(LoanIsGood,IF(ROW()-ROW(PaymentSchedule[[#Headers],[Nº. DE PAGO]])&gt;Numero_De_Pagos_Programados,"",ROW()-ROW(PaymentSchedule[[#Headers],[Nº. DE PAGO]])),"")</f>
        <v/>
      </c>
      <c r="C28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4" s="109" t="str">
        <f>IF(PaymentSchedule[[#This Row],[Nº. DE PAGO]]&lt;&gt;"",Pago_Programado,"")</f>
        <v/>
      </c>
      <c r="F28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4" s="109" t="str">
        <f>IF(PaymentSchedule[[#This Row],[Nº. DE PAGO]]&lt;&gt;"",PaymentSchedule[[#This Row],[IMPORTE TOTAL DEL PAGO]]-PaymentSchedule[[#This Row],[INTERÉS]],"")</f>
        <v/>
      </c>
      <c r="I284" s="109" t="str">
        <f>IF(PaymentSchedule[[#This Row],[Nº. DE PAGO]]&lt;&gt;"",PaymentSchedule[[#This Row],[SALDO INICIAL]]*(Tasa_De_Interes_Anual/Numero_De_Pagos_Por_Año),"")</f>
        <v/>
      </c>
      <c r="J28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4" s="109" t="str">
        <f>IF(PaymentSchedule[[#This Row],[Nº. DE PAGO]]&lt;&gt;"",SUM(INDEX(PaymentSchedule[INTERÉS],1,1):PaymentSchedule[[#This Row],[INTERÉS]]),"")</f>
        <v/>
      </c>
    </row>
    <row r="285" spans="2:11" x14ac:dyDescent="0.3">
      <c r="B285" s="111" t="str">
        <f>IF(LoanIsGood,IF(ROW()-ROW(PaymentSchedule[[#Headers],[Nº. DE PAGO]])&gt;Numero_De_Pagos_Programados,"",ROW()-ROW(PaymentSchedule[[#Headers],[Nº. DE PAGO]])),"")</f>
        <v/>
      </c>
      <c r="C28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5" s="109" t="str">
        <f>IF(PaymentSchedule[[#This Row],[Nº. DE PAGO]]&lt;&gt;"",Pago_Programado,"")</f>
        <v/>
      </c>
      <c r="F28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5" s="109" t="str">
        <f>IF(PaymentSchedule[[#This Row],[Nº. DE PAGO]]&lt;&gt;"",PaymentSchedule[[#This Row],[IMPORTE TOTAL DEL PAGO]]-PaymentSchedule[[#This Row],[INTERÉS]],"")</f>
        <v/>
      </c>
      <c r="I285" s="109" t="str">
        <f>IF(PaymentSchedule[[#This Row],[Nº. DE PAGO]]&lt;&gt;"",PaymentSchedule[[#This Row],[SALDO INICIAL]]*(Tasa_De_Interes_Anual/Numero_De_Pagos_Por_Año),"")</f>
        <v/>
      </c>
      <c r="J28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5" s="109" t="str">
        <f>IF(PaymentSchedule[[#This Row],[Nº. DE PAGO]]&lt;&gt;"",SUM(INDEX(PaymentSchedule[INTERÉS],1,1):PaymentSchedule[[#This Row],[INTERÉS]]),"")</f>
        <v/>
      </c>
    </row>
    <row r="286" spans="2:11" x14ac:dyDescent="0.3">
      <c r="B286" s="111" t="str">
        <f>IF(LoanIsGood,IF(ROW()-ROW(PaymentSchedule[[#Headers],[Nº. DE PAGO]])&gt;Numero_De_Pagos_Programados,"",ROW()-ROW(PaymentSchedule[[#Headers],[Nº. DE PAGO]])),"")</f>
        <v/>
      </c>
      <c r="C28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6" s="109" t="str">
        <f>IF(PaymentSchedule[[#This Row],[Nº. DE PAGO]]&lt;&gt;"",Pago_Programado,"")</f>
        <v/>
      </c>
      <c r="F28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6" s="109" t="str">
        <f>IF(PaymentSchedule[[#This Row],[Nº. DE PAGO]]&lt;&gt;"",PaymentSchedule[[#This Row],[IMPORTE TOTAL DEL PAGO]]-PaymentSchedule[[#This Row],[INTERÉS]],"")</f>
        <v/>
      </c>
      <c r="I286" s="109" t="str">
        <f>IF(PaymentSchedule[[#This Row],[Nº. DE PAGO]]&lt;&gt;"",PaymentSchedule[[#This Row],[SALDO INICIAL]]*(Tasa_De_Interes_Anual/Numero_De_Pagos_Por_Año),"")</f>
        <v/>
      </c>
      <c r="J28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6" s="109" t="str">
        <f>IF(PaymentSchedule[[#This Row],[Nº. DE PAGO]]&lt;&gt;"",SUM(INDEX(PaymentSchedule[INTERÉS],1,1):PaymentSchedule[[#This Row],[INTERÉS]]),"")</f>
        <v/>
      </c>
    </row>
    <row r="287" spans="2:11" x14ac:dyDescent="0.3">
      <c r="B287" s="111" t="str">
        <f>IF(LoanIsGood,IF(ROW()-ROW(PaymentSchedule[[#Headers],[Nº. DE PAGO]])&gt;Numero_De_Pagos_Programados,"",ROW()-ROW(PaymentSchedule[[#Headers],[Nº. DE PAGO]])),"")</f>
        <v/>
      </c>
      <c r="C28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7" s="109" t="str">
        <f>IF(PaymentSchedule[[#This Row],[Nº. DE PAGO]]&lt;&gt;"",Pago_Programado,"")</f>
        <v/>
      </c>
      <c r="F28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7" s="109" t="str">
        <f>IF(PaymentSchedule[[#This Row],[Nº. DE PAGO]]&lt;&gt;"",PaymentSchedule[[#This Row],[IMPORTE TOTAL DEL PAGO]]-PaymentSchedule[[#This Row],[INTERÉS]],"")</f>
        <v/>
      </c>
      <c r="I287" s="109" t="str">
        <f>IF(PaymentSchedule[[#This Row],[Nº. DE PAGO]]&lt;&gt;"",PaymentSchedule[[#This Row],[SALDO INICIAL]]*(Tasa_De_Interes_Anual/Numero_De_Pagos_Por_Año),"")</f>
        <v/>
      </c>
      <c r="J28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7" s="109" t="str">
        <f>IF(PaymentSchedule[[#This Row],[Nº. DE PAGO]]&lt;&gt;"",SUM(INDEX(PaymentSchedule[INTERÉS],1,1):PaymentSchedule[[#This Row],[INTERÉS]]),"")</f>
        <v/>
      </c>
    </row>
    <row r="288" spans="2:11" x14ac:dyDescent="0.3">
      <c r="B288" s="111" t="str">
        <f>IF(LoanIsGood,IF(ROW()-ROW(PaymentSchedule[[#Headers],[Nº. DE PAGO]])&gt;Numero_De_Pagos_Programados,"",ROW()-ROW(PaymentSchedule[[#Headers],[Nº. DE PAGO]])),"")</f>
        <v/>
      </c>
      <c r="C28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8" s="109" t="str">
        <f>IF(PaymentSchedule[[#This Row],[Nº. DE PAGO]]&lt;&gt;"",Pago_Programado,"")</f>
        <v/>
      </c>
      <c r="F28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8" s="109" t="str">
        <f>IF(PaymentSchedule[[#This Row],[Nº. DE PAGO]]&lt;&gt;"",PaymentSchedule[[#This Row],[IMPORTE TOTAL DEL PAGO]]-PaymentSchedule[[#This Row],[INTERÉS]],"")</f>
        <v/>
      </c>
      <c r="I288" s="109" t="str">
        <f>IF(PaymentSchedule[[#This Row],[Nº. DE PAGO]]&lt;&gt;"",PaymentSchedule[[#This Row],[SALDO INICIAL]]*(Tasa_De_Interes_Anual/Numero_De_Pagos_Por_Año),"")</f>
        <v/>
      </c>
      <c r="J28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8" s="109" t="str">
        <f>IF(PaymentSchedule[[#This Row],[Nº. DE PAGO]]&lt;&gt;"",SUM(INDEX(PaymentSchedule[INTERÉS],1,1):PaymentSchedule[[#This Row],[INTERÉS]]),"")</f>
        <v/>
      </c>
    </row>
    <row r="289" spans="2:11" x14ac:dyDescent="0.3">
      <c r="B289" s="111" t="str">
        <f>IF(LoanIsGood,IF(ROW()-ROW(PaymentSchedule[[#Headers],[Nº. DE PAGO]])&gt;Numero_De_Pagos_Programados,"",ROW()-ROW(PaymentSchedule[[#Headers],[Nº. DE PAGO]])),"")</f>
        <v/>
      </c>
      <c r="C28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9" s="109" t="str">
        <f>IF(PaymentSchedule[[#This Row],[Nº. DE PAGO]]&lt;&gt;"",Pago_Programado,"")</f>
        <v/>
      </c>
      <c r="F28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9" s="109" t="str">
        <f>IF(PaymentSchedule[[#This Row],[Nº. DE PAGO]]&lt;&gt;"",PaymentSchedule[[#This Row],[IMPORTE TOTAL DEL PAGO]]-PaymentSchedule[[#This Row],[INTERÉS]],"")</f>
        <v/>
      </c>
      <c r="I289" s="109" t="str">
        <f>IF(PaymentSchedule[[#This Row],[Nº. DE PAGO]]&lt;&gt;"",PaymentSchedule[[#This Row],[SALDO INICIAL]]*(Tasa_De_Interes_Anual/Numero_De_Pagos_Por_Año),"")</f>
        <v/>
      </c>
      <c r="J28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9" s="109" t="str">
        <f>IF(PaymentSchedule[[#This Row],[Nº. DE PAGO]]&lt;&gt;"",SUM(INDEX(PaymentSchedule[INTERÉS],1,1):PaymentSchedule[[#This Row],[INTERÉS]]),"")</f>
        <v/>
      </c>
    </row>
    <row r="290" spans="2:11" x14ac:dyDescent="0.3">
      <c r="B290" s="111" t="str">
        <f>IF(LoanIsGood,IF(ROW()-ROW(PaymentSchedule[[#Headers],[Nº. DE PAGO]])&gt;Numero_De_Pagos_Programados,"",ROW()-ROW(PaymentSchedule[[#Headers],[Nº. DE PAGO]])),"")</f>
        <v/>
      </c>
      <c r="C29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0" s="109" t="str">
        <f>IF(PaymentSchedule[[#This Row],[Nº. DE PAGO]]&lt;&gt;"",Pago_Programado,"")</f>
        <v/>
      </c>
      <c r="F29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0" s="109" t="str">
        <f>IF(PaymentSchedule[[#This Row],[Nº. DE PAGO]]&lt;&gt;"",PaymentSchedule[[#This Row],[IMPORTE TOTAL DEL PAGO]]-PaymentSchedule[[#This Row],[INTERÉS]],"")</f>
        <v/>
      </c>
      <c r="I290" s="109" t="str">
        <f>IF(PaymentSchedule[[#This Row],[Nº. DE PAGO]]&lt;&gt;"",PaymentSchedule[[#This Row],[SALDO INICIAL]]*(Tasa_De_Interes_Anual/Numero_De_Pagos_Por_Año),"")</f>
        <v/>
      </c>
      <c r="J29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0" s="109" t="str">
        <f>IF(PaymentSchedule[[#This Row],[Nº. DE PAGO]]&lt;&gt;"",SUM(INDEX(PaymentSchedule[INTERÉS],1,1):PaymentSchedule[[#This Row],[INTERÉS]]),"")</f>
        <v/>
      </c>
    </row>
    <row r="291" spans="2:11" x14ac:dyDescent="0.3">
      <c r="B291" s="111" t="str">
        <f>IF(LoanIsGood,IF(ROW()-ROW(PaymentSchedule[[#Headers],[Nº. DE PAGO]])&gt;Numero_De_Pagos_Programados,"",ROW()-ROW(PaymentSchedule[[#Headers],[Nº. DE PAGO]])),"")</f>
        <v/>
      </c>
      <c r="C29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1" s="109" t="str">
        <f>IF(PaymentSchedule[[#This Row],[Nº. DE PAGO]]&lt;&gt;"",Pago_Programado,"")</f>
        <v/>
      </c>
      <c r="F29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1" s="109" t="str">
        <f>IF(PaymentSchedule[[#This Row],[Nº. DE PAGO]]&lt;&gt;"",PaymentSchedule[[#This Row],[IMPORTE TOTAL DEL PAGO]]-PaymentSchedule[[#This Row],[INTERÉS]],"")</f>
        <v/>
      </c>
      <c r="I291" s="109" t="str">
        <f>IF(PaymentSchedule[[#This Row],[Nº. DE PAGO]]&lt;&gt;"",PaymentSchedule[[#This Row],[SALDO INICIAL]]*(Tasa_De_Interes_Anual/Numero_De_Pagos_Por_Año),"")</f>
        <v/>
      </c>
      <c r="J29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1" s="109" t="str">
        <f>IF(PaymentSchedule[[#This Row],[Nº. DE PAGO]]&lt;&gt;"",SUM(INDEX(PaymentSchedule[INTERÉS],1,1):PaymentSchedule[[#This Row],[INTERÉS]]),"")</f>
        <v/>
      </c>
    </row>
    <row r="292" spans="2:11" x14ac:dyDescent="0.3">
      <c r="B292" s="111" t="str">
        <f>IF(LoanIsGood,IF(ROW()-ROW(PaymentSchedule[[#Headers],[Nº. DE PAGO]])&gt;Numero_De_Pagos_Programados,"",ROW()-ROW(PaymentSchedule[[#Headers],[Nº. DE PAGO]])),"")</f>
        <v/>
      </c>
      <c r="C29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2" s="109" t="str">
        <f>IF(PaymentSchedule[[#This Row],[Nº. DE PAGO]]&lt;&gt;"",Pago_Programado,"")</f>
        <v/>
      </c>
      <c r="F29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2" s="109" t="str">
        <f>IF(PaymentSchedule[[#This Row],[Nº. DE PAGO]]&lt;&gt;"",PaymentSchedule[[#This Row],[IMPORTE TOTAL DEL PAGO]]-PaymentSchedule[[#This Row],[INTERÉS]],"")</f>
        <v/>
      </c>
      <c r="I292" s="109" t="str">
        <f>IF(PaymentSchedule[[#This Row],[Nº. DE PAGO]]&lt;&gt;"",PaymentSchedule[[#This Row],[SALDO INICIAL]]*(Tasa_De_Interes_Anual/Numero_De_Pagos_Por_Año),"")</f>
        <v/>
      </c>
      <c r="J29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2" s="109" t="str">
        <f>IF(PaymentSchedule[[#This Row],[Nº. DE PAGO]]&lt;&gt;"",SUM(INDEX(PaymentSchedule[INTERÉS],1,1):PaymentSchedule[[#This Row],[INTERÉS]]),"")</f>
        <v/>
      </c>
    </row>
    <row r="293" spans="2:11" x14ac:dyDescent="0.3">
      <c r="B293" s="111" t="str">
        <f>IF(LoanIsGood,IF(ROW()-ROW(PaymentSchedule[[#Headers],[Nº. DE PAGO]])&gt;Numero_De_Pagos_Programados,"",ROW()-ROW(PaymentSchedule[[#Headers],[Nº. DE PAGO]])),"")</f>
        <v/>
      </c>
      <c r="C29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3" s="109" t="str">
        <f>IF(PaymentSchedule[[#This Row],[Nº. DE PAGO]]&lt;&gt;"",Pago_Programado,"")</f>
        <v/>
      </c>
      <c r="F29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3" s="109" t="str">
        <f>IF(PaymentSchedule[[#This Row],[Nº. DE PAGO]]&lt;&gt;"",PaymentSchedule[[#This Row],[IMPORTE TOTAL DEL PAGO]]-PaymentSchedule[[#This Row],[INTERÉS]],"")</f>
        <v/>
      </c>
      <c r="I293" s="109" t="str">
        <f>IF(PaymentSchedule[[#This Row],[Nº. DE PAGO]]&lt;&gt;"",PaymentSchedule[[#This Row],[SALDO INICIAL]]*(Tasa_De_Interes_Anual/Numero_De_Pagos_Por_Año),"")</f>
        <v/>
      </c>
      <c r="J29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3" s="109" t="str">
        <f>IF(PaymentSchedule[[#This Row],[Nº. DE PAGO]]&lt;&gt;"",SUM(INDEX(PaymentSchedule[INTERÉS],1,1):PaymentSchedule[[#This Row],[INTERÉS]]),"")</f>
        <v/>
      </c>
    </row>
    <row r="294" spans="2:11" x14ac:dyDescent="0.3">
      <c r="B294" s="111" t="str">
        <f>IF(LoanIsGood,IF(ROW()-ROW(PaymentSchedule[[#Headers],[Nº. DE PAGO]])&gt;Numero_De_Pagos_Programados,"",ROW()-ROW(PaymentSchedule[[#Headers],[Nº. DE PAGO]])),"")</f>
        <v/>
      </c>
      <c r="C29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4" s="109" t="str">
        <f>IF(PaymentSchedule[[#This Row],[Nº. DE PAGO]]&lt;&gt;"",Pago_Programado,"")</f>
        <v/>
      </c>
      <c r="F29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4" s="109" t="str">
        <f>IF(PaymentSchedule[[#This Row],[Nº. DE PAGO]]&lt;&gt;"",PaymentSchedule[[#This Row],[IMPORTE TOTAL DEL PAGO]]-PaymentSchedule[[#This Row],[INTERÉS]],"")</f>
        <v/>
      </c>
      <c r="I294" s="109" t="str">
        <f>IF(PaymentSchedule[[#This Row],[Nº. DE PAGO]]&lt;&gt;"",PaymentSchedule[[#This Row],[SALDO INICIAL]]*(Tasa_De_Interes_Anual/Numero_De_Pagos_Por_Año),"")</f>
        <v/>
      </c>
      <c r="J29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4" s="109" t="str">
        <f>IF(PaymentSchedule[[#This Row],[Nº. DE PAGO]]&lt;&gt;"",SUM(INDEX(PaymentSchedule[INTERÉS],1,1):PaymentSchedule[[#This Row],[INTERÉS]]),"")</f>
        <v/>
      </c>
    </row>
    <row r="295" spans="2:11" x14ac:dyDescent="0.3">
      <c r="B295" s="111" t="str">
        <f>IF(LoanIsGood,IF(ROW()-ROW(PaymentSchedule[[#Headers],[Nº. DE PAGO]])&gt;Numero_De_Pagos_Programados,"",ROW()-ROW(PaymentSchedule[[#Headers],[Nº. DE PAGO]])),"")</f>
        <v/>
      </c>
      <c r="C29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5" s="109" t="str">
        <f>IF(PaymentSchedule[[#This Row],[Nº. DE PAGO]]&lt;&gt;"",Pago_Programado,"")</f>
        <v/>
      </c>
      <c r="F29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5" s="109" t="str">
        <f>IF(PaymentSchedule[[#This Row],[Nº. DE PAGO]]&lt;&gt;"",PaymentSchedule[[#This Row],[IMPORTE TOTAL DEL PAGO]]-PaymentSchedule[[#This Row],[INTERÉS]],"")</f>
        <v/>
      </c>
      <c r="I295" s="109" t="str">
        <f>IF(PaymentSchedule[[#This Row],[Nº. DE PAGO]]&lt;&gt;"",PaymentSchedule[[#This Row],[SALDO INICIAL]]*(Tasa_De_Interes_Anual/Numero_De_Pagos_Por_Año),"")</f>
        <v/>
      </c>
      <c r="J29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5" s="109" t="str">
        <f>IF(PaymentSchedule[[#This Row],[Nº. DE PAGO]]&lt;&gt;"",SUM(INDEX(PaymentSchedule[INTERÉS],1,1):PaymentSchedule[[#This Row],[INTERÉS]]),"")</f>
        <v/>
      </c>
    </row>
    <row r="296" spans="2:11" x14ac:dyDescent="0.3">
      <c r="B296" s="111" t="str">
        <f>IF(LoanIsGood,IF(ROW()-ROW(PaymentSchedule[[#Headers],[Nº. DE PAGO]])&gt;Numero_De_Pagos_Programados,"",ROW()-ROW(PaymentSchedule[[#Headers],[Nº. DE PAGO]])),"")</f>
        <v/>
      </c>
      <c r="C29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6" s="109" t="str">
        <f>IF(PaymentSchedule[[#This Row],[Nº. DE PAGO]]&lt;&gt;"",Pago_Programado,"")</f>
        <v/>
      </c>
      <c r="F29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6" s="109" t="str">
        <f>IF(PaymentSchedule[[#This Row],[Nº. DE PAGO]]&lt;&gt;"",PaymentSchedule[[#This Row],[IMPORTE TOTAL DEL PAGO]]-PaymentSchedule[[#This Row],[INTERÉS]],"")</f>
        <v/>
      </c>
      <c r="I296" s="109" t="str">
        <f>IF(PaymentSchedule[[#This Row],[Nº. DE PAGO]]&lt;&gt;"",PaymentSchedule[[#This Row],[SALDO INICIAL]]*(Tasa_De_Interes_Anual/Numero_De_Pagos_Por_Año),"")</f>
        <v/>
      </c>
      <c r="J29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6" s="109" t="str">
        <f>IF(PaymentSchedule[[#This Row],[Nº. DE PAGO]]&lt;&gt;"",SUM(INDEX(PaymentSchedule[INTERÉS],1,1):PaymentSchedule[[#This Row],[INTERÉS]]),"")</f>
        <v/>
      </c>
    </row>
    <row r="297" spans="2:11" x14ac:dyDescent="0.3">
      <c r="B297" s="111" t="str">
        <f>IF(LoanIsGood,IF(ROW()-ROW(PaymentSchedule[[#Headers],[Nº. DE PAGO]])&gt;Numero_De_Pagos_Programados,"",ROW()-ROW(PaymentSchedule[[#Headers],[Nº. DE PAGO]])),"")</f>
        <v/>
      </c>
      <c r="C29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7" s="109" t="str">
        <f>IF(PaymentSchedule[[#This Row],[Nº. DE PAGO]]&lt;&gt;"",Pago_Programado,"")</f>
        <v/>
      </c>
      <c r="F29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7" s="109" t="str">
        <f>IF(PaymentSchedule[[#This Row],[Nº. DE PAGO]]&lt;&gt;"",PaymentSchedule[[#This Row],[IMPORTE TOTAL DEL PAGO]]-PaymentSchedule[[#This Row],[INTERÉS]],"")</f>
        <v/>
      </c>
      <c r="I297" s="109" t="str">
        <f>IF(PaymentSchedule[[#This Row],[Nº. DE PAGO]]&lt;&gt;"",PaymentSchedule[[#This Row],[SALDO INICIAL]]*(Tasa_De_Interes_Anual/Numero_De_Pagos_Por_Año),"")</f>
        <v/>
      </c>
      <c r="J29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7" s="109" t="str">
        <f>IF(PaymentSchedule[[#This Row],[Nº. DE PAGO]]&lt;&gt;"",SUM(INDEX(PaymentSchedule[INTERÉS],1,1):PaymentSchedule[[#This Row],[INTERÉS]]),"")</f>
        <v/>
      </c>
    </row>
    <row r="298" spans="2:11" x14ac:dyDescent="0.3">
      <c r="B298" s="111" t="str">
        <f>IF(LoanIsGood,IF(ROW()-ROW(PaymentSchedule[[#Headers],[Nº. DE PAGO]])&gt;Numero_De_Pagos_Programados,"",ROW()-ROW(PaymentSchedule[[#Headers],[Nº. DE PAGO]])),"")</f>
        <v/>
      </c>
      <c r="C29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8" s="109" t="str">
        <f>IF(PaymentSchedule[[#This Row],[Nº. DE PAGO]]&lt;&gt;"",Pago_Programado,"")</f>
        <v/>
      </c>
      <c r="F29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8" s="109" t="str">
        <f>IF(PaymentSchedule[[#This Row],[Nº. DE PAGO]]&lt;&gt;"",PaymentSchedule[[#This Row],[IMPORTE TOTAL DEL PAGO]]-PaymentSchedule[[#This Row],[INTERÉS]],"")</f>
        <v/>
      </c>
      <c r="I298" s="109" t="str">
        <f>IF(PaymentSchedule[[#This Row],[Nº. DE PAGO]]&lt;&gt;"",PaymentSchedule[[#This Row],[SALDO INICIAL]]*(Tasa_De_Interes_Anual/Numero_De_Pagos_Por_Año),"")</f>
        <v/>
      </c>
      <c r="J29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8" s="109" t="str">
        <f>IF(PaymentSchedule[[#This Row],[Nº. DE PAGO]]&lt;&gt;"",SUM(INDEX(PaymentSchedule[INTERÉS],1,1):PaymentSchedule[[#This Row],[INTERÉS]]),"")</f>
        <v/>
      </c>
    </row>
    <row r="299" spans="2:11" x14ac:dyDescent="0.3">
      <c r="B299" s="111" t="str">
        <f>IF(LoanIsGood,IF(ROW()-ROW(PaymentSchedule[[#Headers],[Nº. DE PAGO]])&gt;Numero_De_Pagos_Programados,"",ROW()-ROW(PaymentSchedule[[#Headers],[Nº. DE PAGO]])),"")</f>
        <v/>
      </c>
      <c r="C29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9" s="109" t="str">
        <f>IF(PaymentSchedule[[#This Row],[Nº. DE PAGO]]&lt;&gt;"",Pago_Programado,"")</f>
        <v/>
      </c>
      <c r="F29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9" s="109" t="str">
        <f>IF(PaymentSchedule[[#This Row],[Nº. DE PAGO]]&lt;&gt;"",PaymentSchedule[[#This Row],[IMPORTE TOTAL DEL PAGO]]-PaymentSchedule[[#This Row],[INTERÉS]],"")</f>
        <v/>
      </c>
      <c r="I299" s="109" t="str">
        <f>IF(PaymentSchedule[[#This Row],[Nº. DE PAGO]]&lt;&gt;"",PaymentSchedule[[#This Row],[SALDO INICIAL]]*(Tasa_De_Interes_Anual/Numero_De_Pagos_Por_Año),"")</f>
        <v/>
      </c>
      <c r="J29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9" s="109" t="str">
        <f>IF(PaymentSchedule[[#This Row],[Nº. DE PAGO]]&lt;&gt;"",SUM(INDEX(PaymentSchedule[INTERÉS],1,1):PaymentSchedule[[#This Row],[INTERÉS]]),"")</f>
        <v/>
      </c>
    </row>
    <row r="300" spans="2:11" x14ac:dyDescent="0.3">
      <c r="B300" s="111" t="str">
        <f>IF(LoanIsGood,IF(ROW()-ROW(PaymentSchedule[[#Headers],[Nº. DE PAGO]])&gt;Numero_De_Pagos_Programados,"",ROW()-ROW(PaymentSchedule[[#Headers],[Nº. DE PAGO]])),"")</f>
        <v/>
      </c>
      <c r="C30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0" s="109" t="str">
        <f>IF(PaymentSchedule[[#This Row],[Nº. DE PAGO]]&lt;&gt;"",Pago_Programado,"")</f>
        <v/>
      </c>
      <c r="F30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0" s="109" t="str">
        <f>IF(PaymentSchedule[[#This Row],[Nº. DE PAGO]]&lt;&gt;"",PaymentSchedule[[#This Row],[IMPORTE TOTAL DEL PAGO]]-PaymentSchedule[[#This Row],[INTERÉS]],"")</f>
        <v/>
      </c>
      <c r="I300" s="109" t="str">
        <f>IF(PaymentSchedule[[#This Row],[Nº. DE PAGO]]&lt;&gt;"",PaymentSchedule[[#This Row],[SALDO INICIAL]]*(Tasa_De_Interes_Anual/Numero_De_Pagos_Por_Año),"")</f>
        <v/>
      </c>
      <c r="J30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0" s="109" t="str">
        <f>IF(PaymentSchedule[[#This Row],[Nº. DE PAGO]]&lt;&gt;"",SUM(INDEX(PaymentSchedule[INTERÉS],1,1):PaymentSchedule[[#This Row],[INTERÉS]]),"")</f>
        <v/>
      </c>
    </row>
    <row r="301" spans="2:11" x14ac:dyDescent="0.3">
      <c r="B301" s="111" t="str">
        <f>IF(LoanIsGood,IF(ROW()-ROW(PaymentSchedule[[#Headers],[Nº. DE PAGO]])&gt;Numero_De_Pagos_Programados,"",ROW()-ROW(PaymentSchedule[[#Headers],[Nº. DE PAGO]])),"")</f>
        <v/>
      </c>
      <c r="C30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1" s="109" t="str">
        <f>IF(PaymentSchedule[[#This Row],[Nº. DE PAGO]]&lt;&gt;"",Pago_Programado,"")</f>
        <v/>
      </c>
      <c r="F30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1" s="109" t="str">
        <f>IF(PaymentSchedule[[#This Row],[Nº. DE PAGO]]&lt;&gt;"",PaymentSchedule[[#This Row],[IMPORTE TOTAL DEL PAGO]]-PaymentSchedule[[#This Row],[INTERÉS]],"")</f>
        <v/>
      </c>
      <c r="I301" s="109" t="str">
        <f>IF(PaymentSchedule[[#This Row],[Nº. DE PAGO]]&lt;&gt;"",PaymentSchedule[[#This Row],[SALDO INICIAL]]*(Tasa_De_Interes_Anual/Numero_De_Pagos_Por_Año),"")</f>
        <v/>
      </c>
      <c r="J30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1" s="109" t="str">
        <f>IF(PaymentSchedule[[#This Row],[Nº. DE PAGO]]&lt;&gt;"",SUM(INDEX(PaymentSchedule[INTERÉS],1,1):PaymentSchedule[[#This Row],[INTERÉS]]),"")</f>
        <v/>
      </c>
    </row>
    <row r="302" spans="2:11" x14ac:dyDescent="0.3">
      <c r="B302" s="111" t="str">
        <f>IF(LoanIsGood,IF(ROW()-ROW(PaymentSchedule[[#Headers],[Nº. DE PAGO]])&gt;Numero_De_Pagos_Programados,"",ROW()-ROW(PaymentSchedule[[#Headers],[Nº. DE PAGO]])),"")</f>
        <v/>
      </c>
      <c r="C30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2" s="109" t="str">
        <f>IF(PaymentSchedule[[#This Row],[Nº. DE PAGO]]&lt;&gt;"",Pago_Programado,"")</f>
        <v/>
      </c>
      <c r="F30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2" s="109" t="str">
        <f>IF(PaymentSchedule[[#This Row],[Nº. DE PAGO]]&lt;&gt;"",PaymentSchedule[[#This Row],[IMPORTE TOTAL DEL PAGO]]-PaymentSchedule[[#This Row],[INTERÉS]],"")</f>
        <v/>
      </c>
      <c r="I302" s="109" t="str">
        <f>IF(PaymentSchedule[[#This Row],[Nº. DE PAGO]]&lt;&gt;"",PaymentSchedule[[#This Row],[SALDO INICIAL]]*(Tasa_De_Interes_Anual/Numero_De_Pagos_Por_Año),"")</f>
        <v/>
      </c>
      <c r="J30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2" s="109" t="str">
        <f>IF(PaymentSchedule[[#This Row],[Nº. DE PAGO]]&lt;&gt;"",SUM(INDEX(PaymentSchedule[INTERÉS],1,1):PaymentSchedule[[#This Row],[INTERÉS]]),"")</f>
        <v/>
      </c>
    </row>
    <row r="303" spans="2:11" x14ac:dyDescent="0.3">
      <c r="B303" s="111" t="str">
        <f>IF(LoanIsGood,IF(ROW()-ROW(PaymentSchedule[[#Headers],[Nº. DE PAGO]])&gt;Numero_De_Pagos_Programados,"",ROW()-ROW(PaymentSchedule[[#Headers],[Nº. DE PAGO]])),"")</f>
        <v/>
      </c>
      <c r="C30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3" s="109" t="str">
        <f>IF(PaymentSchedule[[#This Row],[Nº. DE PAGO]]&lt;&gt;"",Pago_Programado,"")</f>
        <v/>
      </c>
      <c r="F30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3" s="109" t="str">
        <f>IF(PaymentSchedule[[#This Row],[Nº. DE PAGO]]&lt;&gt;"",PaymentSchedule[[#This Row],[IMPORTE TOTAL DEL PAGO]]-PaymentSchedule[[#This Row],[INTERÉS]],"")</f>
        <v/>
      </c>
      <c r="I303" s="109" t="str">
        <f>IF(PaymentSchedule[[#This Row],[Nº. DE PAGO]]&lt;&gt;"",PaymentSchedule[[#This Row],[SALDO INICIAL]]*(Tasa_De_Interes_Anual/Numero_De_Pagos_Por_Año),"")</f>
        <v/>
      </c>
      <c r="J30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3" s="109" t="str">
        <f>IF(PaymentSchedule[[#This Row],[Nº. DE PAGO]]&lt;&gt;"",SUM(INDEX(PaymentSchedule[INTERÉS],1,1):PaymentSchedule[[#This Row],[INTERÉS]]),"")</f>
        <v/>
      </c>
    </row>
    <row r="304" spans="2:11" x14ac:dyDescent="0.3">
      <c r="B304" s="111" t="str">
        <f>IF(LoanIsGood,IF(ROW()-ROW(PaymentSchedule[[#Headers],[Nº. DE PAGO]])&gt;Numero_De_Pagos_Programados,"",ROW()-ROW(PaymentSchedule[[#Headers],[Nº. DE PAGO]])),"")</f>
        <v/>
      </c>
      <c r="C30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4" s="109" t="str">
        <f>IF(PaymentSchedule[[#This Row],[Nº. DE PAGO]]&lt;&gt;"",Pago_Programado,"")</f>
        <v/>
      </c>
      <c r="F30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4" s="109" t="str">
        <f>IF(PaymentSchedule[[#This Row],[Nº. DE PAGO]]&lt;&gt;"",PaymentSchedule[[#This Row],[IMPORTE TOTAL DEL PAGO]]-PaymentSchedule[[#This Row],[INTERÉS]],"")</f>
        <v/>
      </c>
      <c r="I304" s="109" t="str">
        <f>IF(PaymentSchedule[[#This Row],[Nº. DE PAGO]]&lt;&gt;"",PaymentSchedule[[#This Row],[SALDO INICIAL]]*(Tasa_De_Interes_Anual/Numero_De_Pagos_Por_Año),"")</f>
        <v/>
      </c>
      <c r="J30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4" s="109" t="str">
        <f>IF(PaymentSchedule[[#This Row],[Nº. DE PAGO]]&lt;&gt;"",SUM(INDEX(PaymentSchedule[INTERÉS],1,1):PaymentSchedule[[#This Row],[INTERÉS]]),"")</f>
        <v/>
      </c>
    </row>
    <row r="305" spans="2:11" x14ac:dyDescent="0.3">
      <c r="B305" s="111" t="str">
        <f>IF(LoanIsGood,IF(ROW()-ROW(PaymentSchedule[[#Headers],[Nº. DE PAGO]])&gt;Numero_De_Pagos_Programados,"",ROW()-ROW(PaymentSchedule[[#Headers],[Nº. DE PAGO]])),"")</f>
        <v/>
      </c>
      <c r="C30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5" s="109" t="str">
        <f>IF(PaymentSchedule[[#This Row],[Nº. DE PAGO]]&lt;&gt;"",Pago_Programado,"")</f>
        <v/>
      </c>
      <c r="F30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5" s="109" t="str">
        <f>IF(PaymentSchedule[[#This Row],[Nº. DE PAGO]]&lt;&gt;"",PaymentSchedule[[#This Row],[IMPORTE TOTAL DEL PAGO]]-PaymentSchedule[[#This Row],[INTERÉS]],"")</f>
        <v/>
      </c>
      <c r="I305" s="109" t="str">
        <f>IF(PaymentSchedule[[#This Row],[Nº. DE PAGO]]&lt;&gt;"",PaymentSchedule[[#This Row],[SALDO INICIAL]]*(Tasa_De_Interes_Anual/Numero_De_Pagos_Por_Año),"")</f>
        <v/>
      </c>
      <c r="J30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5" s="109" t="str">
        <f>IF(PaymentSchedule[[#This Row],[Nº. DE PAGO]]&lt;&gt;"",SUM(INDEX(PaymentSchedule[INTERÉS],1,1):PaymentSchedule[[#This Row],[INTERÉS]]),"")</f>
        <v/>
      </c>
    </row>
    <row r="306" spans="2:11" x14ac:dyDescent="0.3">
      <c r="B306" s="111" t="str">
        <f>IF(LoanIsGood,IF(ROW()-ROW(PaymentSchedule[[#Headers],[Nº. DE PAGO]])&gt;Numero_De_Pagos_Programados,"",ROW()-ROW(PaymentSchedule[[#Headers],[Nº. DE PAGO]])),"")</f>
        <v/>
      </c>
      <c r="C30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6" s="109" t="str">
        <f>IF(PaymentSchedule[[#This Row],[Nº. DE PAGO]]&lt;&gt;"",Pago_Programado,"")</f>
        <v/>
      </c>
      <c r="F30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6" s="109" t="str">
        <f>IF(PaymentSchedule[[#This Row],[Nº. DE PAGO]]&lt;&gt;"",PaymentSchedule[[#This Row],[IMPORTE TOTAL DEL PAGO]]-PaymentSchedule[[#This Row],[INTERÉS]],"")</f>
        <v/>
      </c>
      <c r="I306" s="109" t="str">
        <f>IF(PaymentSchedule[[#This Row],[Nº. DE PAGO]]&lt;&gt;"",PaymentSchedule[[#This Row],[SALDO INICIAL]]*(Tasa_De_Interes_Anual/Numero_De_Pagos_Por_Año),"")</f>
        <v/>
      </c>
      <c r="J30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6" s="109" t="str">
        <f>IF(PaymentSchedule[[#This Row],[Nº. DE PAGO]]&lt;&gt;"",SUM(INDEX(PaymentSchedule[INTERÉS],1,1):PaymentSchedule[[#This Row],[INTERÉS]]),"")</f>
        <v/>
      </c>
    </row>
    <row r="307" spans="2:11" x14ac:dyDescent="0.3">
      <c r="B307" s="111" t="str">
        <f>IF(LoanIsGood,IF(ROW()-ROW(PaymentSchedule[[#Headers],[Nº. DE PAGO]])&gt;Numero_De_Pagos_Programados,"",ROW()-ROW(PaymentSchedule[[#Headers],[Nº. DE PAGO]])),"")</f>
        <v/>
      </c>
      <c r="C30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7" s="109" t="str">
        <f>IF(PaymentSchedule[[#This Row],[Nº. DE PAGO]]&lt;&gt;"",Pago_Programado,"")</f>
        <v/>
      </c>
      <c r="F30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7" s="109" t="str">
        <f>IF(PaymentSchedule[[#This Row],[Nº. DE PAGO]]&lt;&gt;"",PaymentSchedule[[#This Row],[IMPORTE TOTAL DEL PAGO]]-PaymentSchedule[[#This Row],[INTERÉS]],"")</f>
        <v/>
      </c>
      <c r="I307" s="109" t="str">
        <f>IF(PaymentSchedule[[#This Row],[Nº. DE PAGO]]&lt;&gt;"",PaymentSchedule[[#This Row],[SALDO INICIAL]]*(Tasa_De_Interes_Anual/Numero_De_Pagos_Por_Año),"")</f>
        <v/>
      </c>
      <c r="J30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7" s="109" t="str">
        <f>IF(PaymentSchedule[[#This Row],[Nº. DE PAGO]]&lt;&gt;"",SUM(INDEX(PaymentSchedule[INTERÉS],1,1):PaymentSchedule[[#This Row],[INTERÉS]]),"")</f>
        <v/>
      </c>
    </row>
    <row r="308" spans="2:11" x14ac:dyDescent="0.3">
      <c r="B308" s="111" t="str">
        <f>IF(LoanIsGood,IF(ROW()-ROW(PaymentSchedule[[#Headers],[Nº. DE PAGO]])&gt;Numero_De_Pagos_Programados,"",ROW()-ROW(PaymentSchedule[[#Headers],[Nº. DE PAGO]])),"")</f>
        <v/>
      </c>
      <c r="C30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8" s="109" t="str">
        <f>IF(PaymentSchedule[[#This Row],[Nº. DE PAGO]]&lt;&gt;"",Pago_Programado,"")</f>
        <v/>
      </c>
      <c r="F30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8" s="109" t="str">
        <f>IF(PaymentSchedule[[#This Row],[Nº. DE PAGO]]&lt;&gt;"",PaymentSchedule[[#This Row],[IMPORTE TOTAL DEL PAGO]]-PaymentSchedule[[#This Row],[INTERÉS]],"")</f>
        <v/>
      </c>
      <c r="I308" s="109" t="str">
        <f>IF(PaymentSchedule[[#This Row],[Nº. DE PAGO]]&lt;&gt;"",PaymentSchedule[[#This Row],[SALDO INICIAL]]*(Tasa_De_Interes_Anual/Numero_De_Pagos_Por_Año),"")</f>
        <v/>
      </c>
      <c r="J30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8" s="109" t="str">
        <f>IF(PaymentSchedule[[#This Row],[Nº. DE PAGO]]&lt;&gt;"",SUM(INDEX(PaymentSchedule[INTERÉS],1,1):PaymentSchedule[[#This Row],[INTERÉS]]),"")</f>
        <v/>
      </c>
    </row>
    <row r="309" spans="2:11" x14ac:dyDescent="0.3">
      <c r="B309" s="111" t="str">
        <f>IF(LoanIsGood,IF(ROW()-ROW(PaymentSchedule[[#Headers],[Nº. DE PAGO]])&gt;Numero_De_Pagos_Programados,"",ROW()-ROW(PaymentSchedule[[#Headers],[Nº. DE PAGO]])),"")</f>
        <v/>
      </c>
      <c r="C30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9" s="109" t="str">
        <f>IF(PaymentSchedule[[#This Row],[Nº. DE PAGO]]&lt;&gt;"",Pago_Programado,"")</f>
        <v/>
      </c>
      <c r="F30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9" s="109" t="str">
        <f>IF(PaymentSchedule[[#This Row],[Nº. DE PAGO]]&lt;&gt;"",PaymentSchedule[[#This Row],[IMPORTE TOTAL DEL PAGO]]-PaymentSchedule[[#This Row],[INTERÉS]],"")</f>
        <v/>
      </c>
      <c r="I309" s="109" t="str">
        <f>IF(PaymentSchedule[[#This Row],[Nº. DE PAGO]]&lt;&gt;"",PaymentSchedule[[#This Row],[SALDO INICIAL]]*(Tasa_De_Interes_Anual/Numero_De_Pagos_Por_Año),"")</f>
        <v/>
      </c>
      <c r="J30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9" s="109" t="str">
        <f>IF(PaymentSchedule[[#This Row],[Nº. DE PAGO]]&lt;&gt;"",SUM(INDEX(PaymentSchedule[INTERÉS],1,1):PaymentSchedule[[#This Row],[INTERÉS]]),"")</f>
        <v/>
      </c>
    </row>
    <row r="310" spans="2:11" x14ac:dyDescent="0.3">
      <c r="B310" s="111" t="str">
        <f>IF(LoanIsGood,IF(ROW()-ROW(PaymentSchedule[[#Headers],[Nº. DE PAGO]])&gt;Numero_De_Pagos_Programados,"",ROW()-ROW(PaymentSchedule[[#Headers],[Nº. DE PAGO]])),"")</f>
        <v/>
      </c>
      <c r="C31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0" s="109" t="str">
        <f>IF(PaymentSchedule[[#This Row],[Nº. DE PAGO]]&lt;&gt;"",Pago_Programado,"")</f>
        <v/>
      </c>
      <c r="F31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0" s="109" t="str">
        <f>IF(PaymentSchedule[[#This Row],[Nº. DE PAGO]]&lt;&gt;"",PaymentSchedule[[#This Row],[IMPORTE TOTAL DEL PAGO]]-PaymentSchedule[[#This Row],[INTERÉS]],"")</f>
        <v/>
      </c>
      <c r="I310" s="109" t="str">
        <f>IF(PaymentSchedule[[#This Row],[Nº. DE PAGO]]&lt;&gt;"",PaymentSchedule[[#This Row],[SALDO INICIAL]]*(Tasa_De_Interes_Anual/Numero_De_Pagos_Por_Año),"")</f>
        <v/>
      </c>
      <c r="J31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0" s="109" t="str">
        <f>IF(PaymentSchedule[[#This Row],[Nº. DE PAGO]]&lt;&gt;"",SUM(INDEX(PaymentSchedule[INTERÉS],1,1):PaymentSchedule[[#This Row],[INTERÉS]]),"")</f>
        <v/>
      </c>
    </row>
    <row r="311" spans="2:11" x14ac:dyDescent="0.3">
      <c r="B311" s="111" t="str">
        <f>IF(LoanIsGood,IF(ROW()-ROW(PaymentSchedule[[#Headers],[Nº. DE PAGO]])&gt;Numero_De_Pagos_Programados,"",ROW()-ROW(PaymentSchedule[[#Headers],[Nº. DE PAGO]])),"")</f>
        <v/>
      </c>
      <c r="C31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1" s="109" t="str">
        <f>IF(PaymentSchedule[[#This Row],[Nº. DE PAGO]]&lt;&gt;"",Pago_Programado,"")</f>
        <v/>
      </c>
      <c r="F31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1" s="109" t="str">
        <f>IF(PaymentSchedule[[#This Row],[Nº. DE PAGO]]&lt;&gt;"",PaymentSchedule[[#This Row],[IMPORTE TOTAL DEL PAGO]]-PaymentSchedule[[#This Row],[INTERÉS]],"")</f>
        <v/>
      </c>
      <c r="I311" s="109" t="str">
        <f>IF(PaymentSchedule[[#This Row],[Nº. DE PAGO]]&lt;&gt;"",PaymentSchedule[[#This Row],[SALDO INICIAL]]*(Tasa_De_Interes_Anual/Numero_De_Pagos_Por_Año),"")</f>
        <v/>
      </c>
      <c r="J31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1" s="109" t="str">
        <f>IF(PaymentSchedule[[#This Row],[Nº. DE PAGO]]&lt;&gt;"",SUM(INDEX(PaymentSchedule[INTERÉS],1,1):PaymentSchedule[[#This Row],[INTERÉS]]),"")</f>
        <v/>
      </c>
    </row>
    <row r="312" spans="2:11" x14ac:dyDescent="0.3">
      <c r="B312" s="111" t="str">
        <f>IF(LoanIsGood,IF(ROW()-ROW(PaymentSchedule[[#Headers],[Nº. DE PAGO]])&gt;Numero_De_Pagos_Programados,"",ROW()-ROW(PaymentSchedule[[#Headers],[Nº. DE PAGO]])),"")</f>
        <v/>
      </c>
      <c r="C31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2" s="109" t="str">
        <f>IF(PaymentSchedule[[#This Row],[Nº. DE PAGO]]&lt;&gt;"",Pago_Programado,"")</f>
        <v/>
      </c>
      <c r="F31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2" s="109" t="str">
        <f>IF(PaymentSchedule[[#This Row],[Nº. DE PAGO]]&lt;&gt;"",PaymentSchedule[[#This Row],[IMPORTE TOTAL DEL PAGO]]-PaymentSchedule[[#This Row],[INTERÉS]],"")</f>
        <v/>
      </c>
      <c r="I312" s="109" t="str">
        <f>IF(PaymentSchedule[[#This Row],[Nº. DE PAGO]]&lt;&gt;"",PaymentSchedule[[#This Row],[SALDO INICIAL]]*(Tasa_De_Interes_Anual/Numero_De_Pagos_Por_Año),"")</f>
        <v/>
      </c>
      <c r="J31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2" s="109" t="str">
        <f>IF(PaymentSchedule[[#This Row],[Nº. DE PAGO]]&lt;&gt;"",SUM(INDEX(PaymentSchedule[INTERÉS],1,1):PaymentSchedule[[#This Row],[INTERÉS]]),"")</f>
        <v/>
      </c>
    </row>
    <row r="313" spans="2:11" x14ac:dyDescent="0.3">
      <c r="B313" s="111" t="str">
        <f>IF(LoanIsGood,IF(ROW()-ROW(PaymentSchedule[[#Headers],[Nº. DE PAGO]])&gt;Numero_De_Pagos_Programados,"",ROW()-ROW(PaymentSchedule[[#Headers],[Nº. DE PAGO]])),"")</f>
        <v/>
      </c>
      <c r="C31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3" s="109" t="str">
        <f>IF(PaymentSchedule[[#This Row],[Nº. DE PAGO]]&lt;&gt;"",Pago_Programado,"")</f>
        <v/>
      </c>
      <c r="F31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3" s="109" t="str">
        <f>IF(PaymentSchedule[[#This Row],[Nº. DE PAGO]]&lt;&gt;"",PaymentSchedule[[#This Row],[IMPORTE TOTAL DEL PAGO]]-PaymentSchedule[[#This Row],[INTERÉS]],"")</f>
        <v/>
      </c>
      <c r="I313" s="109" t="str">
        <f>IF(PaymentSchedule[[#This Row],[Nº. DE PAGO]]&lt;&gt;"",PaymentSchedule[[#This Row],[SALDO INICIAL]]*(Tasa_De_Interes_Anual/Numero_De_Pagos_Por_Año),"")</f>
        <v/>
      </c>
      <c r="J31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3" s="109" t="str">
        <f>IF(PaymentSchedule[[#This Row],[Nº. DE PAGO]]&lt;&gt;"",SUM(INDEX(PaymentSchedule[INTERÉS],1,1):PaymentSchedule[[#This Row],[INTERÉS]]),"")</f>
        <v/>
      </c>
    </row>
    <row r="314" spans="2:11" x14ac:dyDescent="0.3">
      <c r="B314" s="111" t="str">
        <f>IF(LoanIsGood,IF(ROW()-ROW(PaymentSchedule[[#Headers],[Nº. DE PAGO]])&gt;Numero_De_Pagos_Programados,"",ROW()-ROW(PaymentSchedule[[#Headers],[Nº. DE PAGO]])),"")</f>
        <v/>
      </c>
      <c r="C31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4" s="109" t="str">
        <f>IF(PaymentSchedule[[#This Row],[Nº. DE PAGO]]&lt;&gt;"",Pago_Programado,"")</f>
        <v/>
      </c>
      <c r="F31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4" s="109" t="str">
        <f>IF(PaymentSchedule[[#This Row],[Nº. DE PAGO]]&lt;&gt;"",PaymentSchedule[[#This Row],[IMPORTE TOTAL DEL PAGO]]-PaymentSchedule[[#This Row],[INTERÉS]],"")</f>
        <v/>
      </c>
      <c r="I314" s="109" t="str">
        <f>IF(PaymentSchedule[[#This Row],[Nº. DE PAGO]]&lt;&gt;"",PaymentSchedule[[#This Row],[SALDO INICIAL]]*(Tasa_De_Interes_Anual/Numero_De_Pagos_Por_Año),"")</f>
        <v/>
      </c>
      <c r="J31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4" s="109" t="str">
        <f>IF(PaymentSchedule[[#This Row],[Nº. DE PAGO]]&lt;&gt;"",SUM(INDEX(PaymentSchedule[INTERÉS],1,1):PaymentSchedule[[#This Row],[INTERÉS]]),"")</f>
        <v/>
      </c>
    </row>
    <row r="315" spans="2:11" x14ac:dyDescent="0.3">
      <c r="B315" s="111" t="str">
        <f>IF(LoanIsGood,IF(ROW()-ROW(PaymentSchedule[[#Headers],[Nº. DE PAGO]])&gt;Numero_De_Pagos_Programados,"",ROW()-ROW(PaymentSchedule[[#Headers],[Nº. DE PAGO]])),"")</f>
        <v/>
      </c>
      <c r="C31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5" s="109" t="str">
        <f>IF(PaymentSchedule[[#This Row],[Nº. DE PAGO]]&lt;&gt;"",Pago_Programado,"")</f>
        <v/>
      </c>
      <c r="F31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5" s="109" t="str">
        <f>IF(PaymentSchedule[[#This Row],[Nº. DE PAGO]]&lt;&gt;"",PaymentSchedule[[#This Row],[IMPORTE TOTAL DEL PAGO]]-PaymentSchedule[[#This Row],[INTERÉS]],"")</f>
        <v/>
      </c>
      <c r="I315" s="109" t="str">
        <f>IF(PaymentSchedule[[#This Row],[Nº. DE PAGO]]&lt;&gt;"",PaymentSchedule[[#This Row],[SALDO INICIAL]]*(Tasa_De_Interes_Anual/Numero_De_Pagos_Por_Año),"")</f>
        <v/>
      </c>
      <c r="J31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5" s="109" t="str">
        <f>IF(PaymentSchedule[[#This Row],[Nº. DE PAGO]]&lt;&gt;"",SUM(INDEX(PaymentSchedule[INTERÉS],1,1):PaymentSchedule[[#This Row],[INTERÉS]]),"")</f>
        <v/>
      </c>
    </row>
    <row r="316" spans="2:11" x14ac:dyDescent="0.3">
      <c r="B316" s="111" t="str">
        <f>IF(LoanIsGood,IF(ROW()-ROW(PaymentSchedule[[#Headers],[Nº. DE PAGO]])&gt;Numero_De_Pagos_Programados,"",ROW()-ROW(PaymentSchedule[[#Headers],[Nº. DE PAGO]])),"")</f>
        <v/>
      </c>
      <c r="C31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6" s="109" t="str">
        <f>IF(PaymentSchedule[[#This Row],[Nº. DE PAGO]]&lt;&gt;"",Pago_Programado,"")</f>
        <v/>
      </c>
      <c r="F31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6" s="109" t="str">
        <f>IF(PaymentSchedule[[#This Row],[Nº. DE PAGO]]&lt;&gt;"",PaymentSchedule[[#This Row],[IMPORTE TOTAL DEL PAGO]]-PaymentSchedule[[#This Row],[INTERÉS]],"")</f>
        <v/>
      </c>
      <c r="I316" s="109" t="str">
        <f>IF(PaymentSchedule[[#This Row],[Nº. DE PAGO]]&lt;&gt;"",PaymentSchedule[[#This Row],[SALDO INICIAL]]*(Tasa_De_Interes_Anual/Numero_De_Pagos_Por_Año),"")</f>
        <v/>
      </c>
      <c r="J31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6" s="109" t="str">
        <f>IF(PaymentSchedule[[#This Row],[Nº. DE PAGO]]&lt;&gt;"",SUM(INDEX(PaymentSchedule[INTERÉS],1,1):PaymentSchedule[[#This Row],[INTERÉS]]),"")</f>
        <v/>
      </c>
    </row>
    <row r="317" spans="2:11" x14ac:dyDescent="0.3">
      <c r="B317" s="111" t="str">
        <f>IF(LoanIsGood,IF(ROW()-ROW(PaymentSchedule[[#Headers],[Nº. DE PAGO]])&gt;Numero_De_Pagos_Programados,"",ROW()-ROW(PaymentSchedule[[#Headers],[Nº. DE PAGO]])),"")</f>
        <v/>
      </c>
      <c r="C31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7" s="109" t="str">
        <f>IF(PaymentSchedule[[#This Row],[Nº. DE PAGO]]&lt;&gt;"",Pago_Programado,"")</f>
        <v/>
      </c>
      <c r="F31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7" s="109" t="str">
        <f>IF(PaymentSchedule[[#This Row],[Nº. DE PAGO]]&lt;&gt;"",PaymentSchedule[[#This Row],[IMPORTE TOTAL DEL PAGO]]-PaymentSchedule[[#This Row],[INTERÉS]],"")</f>
        <v/>
      </c>
      <c r="I317" s="109" t="str">
        <f>IF(PaymentSchedule[[#This Row],[Nº. DE PAGO]]&lt;&gt;"",PaymentSchedule[[#This Row],[SALDO INICIAL]]*(Tasa_De_Interes_Anual/Numero_De_Pagos_Por_Año),"")</f>
        <v/>
      </c>
      <c r="J31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7" s="109" t="str">
        <f>IF(PaymentSchedule[[#This Row],[Nº. DE PAGO]]&lt;&gt;"",SUM(INDEX(PaymentSchedule[INTERÉS],1,1):PaymentSchedule[[#This Row],[INTERÉS]]),"")</f>
        <v/>
      </c>
    </row>
    <row r="318" spans="2:11" x14ac:dyDescent="0.3">
      <c r="B318" s="111" t="str">
        <f>IF(LoanIsGood,IF(ROW()-ROW(PaymentSchedule[[#Headers],[Nº. DE PAGO]])&gt;Numero_De_Pagos_Programados,"",ROW()-ROW(PaymentSchedule[[#Headers],[Nº. DE PAGO]])),"")</f>
        <v/>
      </c>
      <c r="C31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8" s="109" t="str">
        <f>IF(PaymentSchedule[[#This Row],[Nº. DE PAGO]]&lt;&gt;"",Pago_Programado,"")</f>
        <v/>
      </c>
      <c r="F31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8" s="109" t="str">
        <f>IF(PaymentSchedule[[#This Row],[Nº. DE PAGO]]&lt;&gt;"",PaymentSchedule[[#This Row],[IMPORTE TOTAL DEL PAGO]]-PaymentSchedule[[#This Row],[INTERÉS]],"")</f>
        <v/>
      </c>
      <c r="I318" s="109" t="str">
        <f>IF(PaymentSchedule[[#This Row],[Nº. DE PAGO]]&lt;&gt;"",PaymentSchedule[[#This Row],[SALDO INICIAL]]*(Tasa_De_Interes_Anual/Numero_De_Pagos_Por_Año),"")</f>
        <v/>
      </c>
      <c r="J31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8" s="109" t="str">
        <f>IF(PaymentSchedule[[#This Row],[Nº. DE PAGO]]&lt;&gt;"",SUM(INDEX(PaymentSchedule[INTERÉS],1,1):PaymentSchedule[[#This Row],[INTERÉS]]),"")</f>
        <v/>
      </c>
    </row>
    <row r="319" spans="2:11" x14ac:dyDescent="0.3">
      <c r="B319" s="111" t="str">
        <f>IF(LoanIsGood,IF(ROW()-ROW(PaymentSchedule[[#Headers],[Nº. DE PAGO]])&gt;Numero_De_Pagos_Programados,"",ROW()-ROW(PaymentSchedule[[#Headers],[Nº. DE PAGO]])),"")</f>
        <v/>
      </c>
      <c r="C31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9" s="109" t="str">
        <f>IF(PaymentSchedule[[#This Row],[Nº. DE PAGO]]&lt;&gt;"",Pago_Programado,"")</f>
        <v/>
      </c>
      <c r="F31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9" s="109" t="str">
        <f>IF(PaymentSchedule[[#This Row],[Nº. DE PAGO]]&lt;&gt;"",PaymentSchedule[[#This Row],[IMPORTE TOTAL DEL PAGO]]-PaymentSchedule[[#This Row],[INTERÉS]],"")</f>
        <v/>
      </c>
      <c r="I319" s="109" t="str">
        <f>IF(PaymentSchedule[[#This Row],[Nº. DE PAGO]]&lt;&gt;"",PaymentSchedule[[#This Row],[SALDO INICIAL]]*(Tasa_De_Interes_Anual/Numero_De_Pagos_Por_Año),"")</f>
        <v/>
      </c>
      <c r="J31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9" s="109" t="str">
        <f>IF(PaymentSchedule[[#This Row],[Nº. DE PAGO]]&lt;&gt;"",SUM(INDEX(PaymentSchedule[INTERÉS],1,1):PaymentSchedule[[#This Row],[INTERÉS]]),"")</f>
        <v/>
      </c>
    </row>
    <row r="320" spans="2:11" x14ac:dyDescent="0.3">
      <c r="B320" s="111" t="str">
        <f>IF(LoanIsGood,IF(ROW()-ROW(PaymentSchedule[[#Headers],[Nº. DE PAGO]])&gt;Numero_De_Pagos_Programados,"",ROW()-ROW(PaymentSchedule[[#Headers],[Nº. DE PAGO]])),"")</f>
        <v/>
      </c>
      <c r="C32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0" s="109" t="str">
        <f>IF(PaymentSchedule[[#This Row],[Nº. DE PAGO]]&lt;&gt;"",Pago_Programado,"")</f>
        <v/>
      </c>
      <c r="F32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0" s="109" t="str">
        <f>IF(PaymentSchedule[[#This Row],[Nº. DE PAGO]]&lt;&gt;"",PaymentSchedule[[#This Row],[IMPORTE TOTAL DEL PAGO]]-PaymentSchedule[[#This Row],[INTERÉS]],"")</f>
        <v/>
      </c>
      <c r="I320" s="109" t="str">
        <f>IF(PaymentSchedule[[#This Row],[Nº. DE PAGO]]&lt;&gt;"",PaymentSchedule[[#This Row],[SALDO INICIAL]]*(Tasa_De_Interes_Anual/Numero_De_Pagos_Por_Año),"")</f>
        <v/>
      </c>
      <c r="J32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0" s="109" t="str">
        <f>IF(PaymentSchedule[[#This Row],[Nº. DE PAGO]]&lt;&gt;"",SUM(INDEX(PaymentSchedule[INTERÉS],1,1):PaymentSchedule[[#This Row],[INTERÉS]]),"")</f>
        <v/>
      </c>
    </row>
    <row r="321" spans="2:11" x14ac:dyDescent="0.3">
      <c r="B321" s="111" t="str">
        <f>IF(LoanIsGood,IF(ROW()-ROW(PaymentSchedule[[#Headers],[Nº. DE PAGO]])&gt;Numero_De_Pagos_Programados,"",ROW()-ROW(PaymentSchedule[[#Headers],[Nº. DE PAGO]])),"")</f>
        <v/>
      </c>
      <c r="C32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1" s="109" t="str">
        <f>IF(PaymentSchedule[[#This Row],[Nº. DE PAGO]]&lt;&gt;"",Pago_Programado,"")</f>
        <v/>
      </c>
      <c r="F32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1" s="109" t="str">
        <f>IF(PaymentSchedule[[#This Row],[Nº. DE PAGO]]&lt;&gt;"",PaymentSchedule[[#This Row],[IMPORTE TOTAL DEL PAGO]]-PaymentSchedule[[#This Row],[INTERÉS]],"")</f>
        <v/>
      </c>
      <c r="I321" s="109" t="str">
        <f>IF(PaymentSchedule[[#This Row],[Nº. DE PAGO]]&lt;&gt;"",PaymentSchedule[[#This Row],[SALDO INICIAL]]*(Tasa_De_Interes_Anual/Numero_De_Pagos_Por_Año),"")</f>
        <v/>
      </c>
      <c r="J32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1" s="109" t="str">
        <f>IF(PaymentSchedule[[#This Row],[Nº. DE PAGO]]&lt;&gt;"",SUM(INDEX(PaymentSchedule[INTERÉS],1,1):PaymentSchedule[[#This Row],[INTERÉS]]),"")</f>
        <v/>
      </c>
    </row>
    <row r="322" spans="2:11" x14ac:dyDescent="0.3">
      <c r="B322" s="111" t="str">
        <f>IF(LoanIsGood,IF(ROW()-ROW(PaymentSchedule[[#Headers],[Nº. DE PAGO]])&gt;Numero_De_Pagos_Programados,"",ROW()-ROW(PaymentSchedule[[#Headers],[Nº. DE PAGO]])),"")</f>
        <v/>
      </c>
      <c r="C32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2" s="109" t="str">
        <f>IF(PaymentSchedule[[#This Row],[Nº. DE PAGO]]&lt;&gt;"",Pago_Programado,"")</f>
        <v/>
      </c>
      <c r="F32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2" s="109" t="str">
        <f>IF(PaymentSchedule[[#This Row],[Nº. DE PAGO]]&lt;&gt;"",PaymentSchedule[[#This Row],[IMPORTE TOTAL DEL PAGO]]-PaymentSchedule[[#This Row],[INTERÉS]],"")</f>
        <v/>
      </c>
      <c r="I322" s="109" t="str">
        <f>IF(PaymentSchedule[[#This Row],[Nº. DE PAGO]]&lt;&gt;"",PaymentSchedule[[#This Row],[SALDO INICIAL]]*(Tasa_De_Interes_Anual/Numero_De_Pagos_Por_Año),"")</f>
        <v/>
      </c>
      <c r="J32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2" s="109" t="str">
        <f>IF(PaymentSchedule[[#This Row],[Nº. DE PAGO]]&lt;&gt;"",SUM(INDEX(PaymentSchedule[INTERÉS],1,1):PaymentSchedule[[#This Row],[INTERÉS]]),"")</f>
        <v/>
      </c>
    </row>
    <row r="323" spans="2:11" x14ac:dyDescent="0.3">
      <c r="B323" s="111" t="str">
        <f>IF(LoanIsGood,IF(ROW()-ROW(PaymentSchedule[[#Headers],[Nº. DE PAGO]])&gt;Numero_De_Pagos_Programados,"",ROW()-ROW(PaymentSchedule[[#Headers],[Nº. DE PAGO]])),"")</f>
        <v/>
      </c>
      <c r="C32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3" s="109" t="str">
        <f>IF(PaymentSchedule[[#This Row],[Nº. DE PAGO]]&lt;&gt;"",Pago_Programado,"")</f>
        <v/>
      </c>
      <c r="F32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3" s="109" t="str">
        <f>IF(PaymentSchedule[[#This Row],[Nº. DE PAGO]]&lt;&gt;"",PaymentSchedule[[#This Row],[IMPORTE TOTAL DEL PAGO]]-PaymentSchedule[[#This Row],[INTERÉS]],"")</f>
        <v/>
      </c>
      <c r="I323" s="109" t="str">
        <f>IF(PaymentSchedule[[#This Row],[Nº. DE PAGO]]&lt;&gt;"",PaymentSchedule[[#This Row],[SALDO INICIAL]]*(Tasa_De_Interes_Anual/Numero_De_Pagos_Por_Año),"")</f>
        <v/>
      </c>
      <c r="J32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3" s="109" t="str">
        <f>IF(PaymentSchedule[[#This Row],[Nº. DE PAGO]]&lt;&gt;"",SUM(INDEX(PaymentSchedule[INTERÉS],1,1):PaymentSchedule[[#This Row],[INTERÉS]]),"")</f>
        <v/>
      </c>
    </row>
    <row r="324" spans="2:11" x14ac:dyDescent="0.3">
      <c r="B324" s="111" t="str">
        <f>IF(LoanIsGood,IF(ROW()-ROW(PaymentSchedule[[#Headers],[Nº. DE PAGO]])&gt;Numero_De_Pagos_Programados,"",ROW()-ROW(PaymentSchedule[[#Headers],[Nº. DE PAGO]])),"")</f>
        <v/>
      </c>
      <c r="C32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4" s="109" t="str">
        <f>IF(PaymentSchedule[[#This Row],[Nº. DE PAGO]]&lt;&gt;"",Pago_Programado,"")</f>
        <v/>
      </c>
      <c r="F32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4" s="109" t="str">
        <f>IF(PaymentSchedule[[#This Row],[Nº. DE PAGO]]&lt;&gt;"",PaymentSchedule[[#This Row],[IMPORTE TOTAL DEL PAGO]]-PaymentSchedule[[#This Row],[INTERÉS]],"")</f>
        <v/>
      </c>
      <c r="I324" s="109" t="str">
        <f>IF(PaymentSchedule[[#This Row],[Nº. DE PAGO]]&lt;&gt;"",PaymentSchedule[[#This Row],[SALDO INICIAL]]*(Tasa_De_Interes_Anual/Numero_De_Pagos_Por_Año),"")</f>
        <v/>
      </c>
      <c r="J32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4" s="109" t="str">
        <f>IF(PaymentSchedule[[#This Row],[Nº. DE PAGO]]&lt;&gt;"",SUM(INDEX(PaymentSchedule[INTERÉS],1,1):PaymentSchedule[[#This Row],[INTERÉS]]),"")</f>
        <v/>
      </c>
    </row>
    <row r="325" spans="2:11" x14ac:dyDescent="0.3">
      <c r="B325" s="111" t="str">
        <f>IF(LoanIsGood,IF(ROW()-ROW(PaymentSchedule[[#Headers],[Nº. DE PAGO]])&gt;Numero_De_Pagos_Programados,"",ROW()-ROW(PaymentSchedule[[#Headers],[Nº. DE PAGO]])),"")</f>
        <v/>
      </c>
      <c r="C32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5" s="109" t="str">
        <f>IF(PaymentSchedule[[#This Row],[Nº. DE PAGO]]&lt;&gt;"",Pago_Programado,"")</f>
        <v/>
      </c>
      <c r="F32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5" s="109" t="str">
        <f>IF(PaymentSchedule[[#This Row],[Nº. DE PAGO]]&lt;&gt;"",PaymentSchedule[[#This Row],[IMPORTE TOTAL DEL PAGO]]-PaymentSchedule[[#This Row],[INTERÉS]],"")</f>
        <v/>
      </c>
      <c r="I325" s="109" t="str">
        <f>IF(PaymentSchedule[[#This Row],[Nº. DE PAGO]]&lt;&gt;"",PaymentSchedule[[#This Row],[SALDO INICIAL]]*(Tasa_De_Interes_Anual/Numero_De_Pagos_Por_Año),"")</f>
        <v/>
      </c>
      <c r="J32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5" s="109" t="str">
        <f>IF(PaymentSchedule[[#This Row],[Nº. DE PAGO]]&lt;&gt;"",SUM(INDEX(PaymentSchedule[INTERÉS],1,1):PaymentSchedule[[#This Row],[INTERÉS]]),"")</f>
        <v/>
      </c>
    </row>
    <row r="326" spans="2:11" x14ac:dyDescent="0.3">
      <c r="B326" s="111" t="str">
        <f>IF(LoanIsGood,IF(ROW()-ROW(PaymentSchedule[[#Headers],[Nº. DE PAGO]])&gt;Numero_De_Pagos_Programados,"",ROW()-ROW(PaymentSchedule[[#Headers],[Nº. DE PAGO]])),"")</f>
        <v/>
      </c>
      <c r="C32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6" s="109" t="str">
        <f>IF(PaymentSchedule[[#This Row],[Nº. DE PAGO]]&lt;&gt;"",Pago_Programado,"")</f>
        <v/>
      </c>
      <c r="F32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6" s="109" t="str">
        <f>IF(PaymentSchedule[[#This Row],[Nº. DE PAGO]]&lt;&gt;"",PaymentSchedule[[#This Row],[IMPORTE TOTAL DEL PAGO]]-PaymentSchedule[[#This Row],[INTERÉS]],"")</f>
        <v/>
      </c>
      <c r="I326" s="109" t="str">
        <f>IF(PaymentSchedule[[#This Row],[Nº. DE PAGO]]&lt;&gt;"",PaymentSchedule[[#This Row],[SALDO INICIAL]]*(Tasa_De_Interes_Anual/Numero_De_Pagos_Por_Año),"")</f>
        <v/>
      </c>
      <c r="J32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6" s="109" t="str">
        <f>IF(PaymentSchedule[[#This Row],[Nº. DE PAGO]]&lt;&gt;"",SUM(INDEX(PaymentSchedule[INTERÉS],1,1):PaymentSchedule[[#This Row],[INTERÉS]]),"")</f>
        <v/>
      </c>
    </row>
    <row r="327" spans="2:11" x14ac:dyDescent="0.3">
      <c r="B327" s="111" t="str">
        <f>IF(LoanIsGood,IF(ROW()-ROW(PaymentSchedule[[#Headers],[Nº. DE PAGO]])&gt;Numero_De_Pagos_Programados,"",ROW()-ROW(PaymentSchedule[[#Headers],[Nº. DE PAGO]])),"")</f>
        <v/>
      </c>
      <c r="C32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7" s="109" t="str">
        <f>IF(PaymentSchedule[[#This Row],[Nº. DE PAGO]]&lt;&gt;"",Pago_Programado,"")</f>
        <v/>
      </c>
      <c r="F32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7" s="109" t="str">
        <f>IF(PaymentSchedule[[#This Row],[Nº. DE PAGO]]&lt;&gt;"",PaymentSchedule[[#This Row],[IMPORTE TOTAL DEL PAGO]]-PaymentSchedule[[#This Row],[INTERÉS]],"")</f>
        <v/>
      </c>
      <c r="I327" s="109" t="str">
        <f>IF(PaymentSchedule[[#This Row],[Nº. DE PAGO]]&lt;&gt;"",PaymentSchedule[[#This Row],[SALDO INICIAL]]*(Tasa_De_Interes_Anual/Numero_De_Pagos_Por_Año),"")</f>
        <v/>
      </c>
      <c r="J32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7" s="109" t="str">
        <f>IF(PaymentSchedule[[#This Row],[Nº. DE PAGO]]&lt;&gt;"",SUM(INDEX(PaymentSchedule[INTERÉS],1,1):PaymentSchedule[[#This Row],[INTERÉS]]),"")</f>
        <v/>
      </c>
    </row>
    <row r="328" spans="2:11" x14ac:dyDescent="0.3">
      <c r="B328" s="111" t="str">
        <f>IF(LoanIsGood,IF(ROW()-ROW(PaymentSchedule[[#Headers],[Nº. DE PAGO]])&gt;Numero_De_Pagos_Programados,"",ROW()-ROW(PaymentSchedule[[#Headers],[Nº. DE PAGO]])),"")</f>
        <v/>
      </c>
      <c r="C32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8" s="109" t="str">
        <f>IF(PaymentSchedule[[#This Row],[Nº. DE PAGO]]&lt;&gt;"",Pago_Programado,"")</f>
        <v/>
      </c>
      <c r="F32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8" s="109" t="str">
        <f>IF(PaymentSchedule[[#This Row],[Nº. DE PAGO]]&lt;&gt;"",PaymentSchedule[[#This Row],[IMPORTE TOTAL DEL PAGO]]-PaymentSchedule[[#This Row],[INTERÉS]],"")</f>
        <v/>
      </c>
      <c r="I328" s="109" t="str">
        <f>IF(PaymentSchedule[[#This Row],[Nº. DE PAGO]]&lt;&gt;"",PaymentSchedule[[#This Row],[SALDO INICIAL]]*(Tasa_De_Interes_Anual/Numero_De_Pagos_Por_Año),"")</f>
        <v/>
      </c>
      <c r="J32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8" s="109" t="str">
        <f>IF(PaymentSchedule[[#This Row],[Nº. DE PAGO]]&lt;&gt;"",SUM(INDEX(PaymentSchedule[INTERÉS],1,1):PaymentSchedule[[#This Row],[INTERÉS]]),"")</f>
        <v/>
      </c>
    </row>
    <row r="329" spans="2:11" x14ac:dyDescent="0.3">
      <c r="B329" s="111" t="str">
        <f>IF(LoanIsGood,IF(ROW()-ROW(PaymentSchedule[[#Headers],[Nº. DE PAGO]])&gt;Numero_De_Pagos_Programados,"",ROW()-ROW(PaymentSchedule[[#Headers],[Nº. DE PAGO]])),"")</f>
        <v/>
      </c>
      <c r="C32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9" s="109" t="str">
        <f>IF(PaymentSchedule[[#This Row],[Nº. DE PAGO]]&lt;&gt;"",Pago_Programado,"")</f>
        <v/>
      </c>
      <c r="F32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9" s="109" t="str">
        <f>IF(PaymentSchedule[[#This Row],[Nº. DE PAGO]]&lt;&gt;"",PaymentSchedule[[#This Row],[IMPORTE TOTAL DEL PAGO]]-PaymentSchedule[[#This Row],[INTERÉS]],"")</f>
        <v/>
      </c>
      <c r="I329" s="109" t="str">
        <f>IF(PaymentSchedule[[#This Row],[Nº. DE PAGO]]&lt;&gt;"",PaymentSchedule[[#This Row],[SALDO INICIAL]]*(Tasa_De_Interes_Anual/Numero_De_Pagos_Por_Año),"")</f>
        <v/>
      </c>
      <c r="J32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9" s="109" t="str">
        <f>IF(PaymentSchedule[[#This Row],[Nº. DE PAGO]]&lt;&gt;"",SUM(INDEX(PaymentSchedule[INTERÉS],1,1):PaymentSchedule[[#This Row],[INTERÉS]]),"")</f>
        <v/>
      </c>
    </row>
    <row r="330" spans="2:11" x14ac:dyDescent="0.3">
      <c r="B330" s="111" t="str">
        <f>IF(LoanIsGood,IF(ROW()-ROW(PaymentSchedule[[#Headers],[Nº. DE PAGO]])&gt;Numero_De_Pagos_Programados,"",ROW()-ROW(PaymentSchedule[[#Headers],[Nº. DE PAGO]])),"")</f>
        <v/>
      </c>
      <c r="C33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0" s="109" t="str">
        <f>IF(PaymentSchedule[[#This Row],[Nº. DE PAGO]]&lt;&gt;"",Pago_Programado,"")</f>
        <v/>
      </c>
      <c r="F33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0" s="109" t="str">
        <f>IF(PaymentSchedule[[#This Row],[Nº. DE PAGO]]&lt;&gt;"",PaymentSchedule[[#This Row],[IMPORTE TOTAL DEL PAGO]]-PaymentSchedule[[#This Row],[INTERÉS]],"")</f>
        <v/>
      </c>
      <c r="I330" s="109" t="str">
        <f>IF(PaymentSchedule[[#This Row],[Nº. DE PAGO]]&lt;&gt;"",PaymentSchedule[[#This Row],[SALDO INICIAL]]*(Tasa_De_Interes_Anual/Numero_De_Pagos_Por_Año),"")</f>
        <v/>
      </c>
      <c r="J33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0" s="109" t="str">
        <f>IF(PaymentSchedule[[#This Row],[Nº. DE PAGO]]&lt;&gt;"",SUM(INDEX(PaymentSchedule[INTERÉS],1,1):PaymentSchedule[[#This Row],[INTERÉS]]),"")</f>
        <v/>
      </c>
    </row>
    <row r="331" spans="2:11" x14ac:dyDescent="0.3">
      <c r="B331" s="111" t="str">
        <f>IF(LoanIsGood,IF(ROW()-ROW(PaymentSchedule[[#Headers],[Nº. DE PAGO]])&gt;Numero_De_Pagos_Programados,"",ROW()-ROW(PaymentSchedule[[#Headers],[Nº. DE PAGO]])),"")</f>
        <v/>
      </c>
      <c r="C33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1" s="109" t="str">
        <f>IF(PaymentSchedule[[#This Row],[Nº. DE PAGO]]&lt;&gt;"",Pago_Programado,"")</f>
        <v/>
      </c>
      <c r="F33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1" s="109" t="str">
        <f>IF(PaymentSchedule[[#This Row],[Nº. DE PAGO]]&lt;&gt;"",PaymentSchedule[[#This Row],[IMPORTE TOTAL DEL PAGO]]-PaymentSchedule[[#This Row],[INTERÉS]],"")</f>
        <v/>
      </c>
      <c r="I331" s="109" t="str">
        <f>IF(PaymentSchedule[[#This Row],[Nº. DE PAGO]]&lt;&gt;"",PaymentSchedule[[#This Row],[SALDO INICIAL]]*(Tasa_De_Interes_Anual/Numero_De_Pagos_Por_Año),"")</f>
        <v/>
      </c>
      <c r="J33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1" s="109" t="str">
        <f>IF(PaymentSchedule[[#This Row],[Nº. DE PAGO]]&lt;&gt;"",SUM(INDEX(PaymentSchedule[INTERÉS],1,1):PaymentSchedule[[#This Row],[INTERÉS]]),"")</f>
        <v/>
      </c>
    </row>
    <row r="332" spans="2:11" x14ac:dyDescent="0.3">
      <c r="B332" s="111" t="str">
        <f>IF(LoanIsGood,IF(ROW()-ROW(PaymentSchedule[[#Headers],[Nº. DE PAGO]])&gt;Numero_De_Pagos_Programados,"",ROW()-ROW(PaymentSchedule[[#Headers],[Nº. DE PAGO]])),"")</f>
        <v/>
      </c>
      <c r="C33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2" s="109" t="str">
        <f>IF(PaymentSchedule[[#This Row],[Nº. DE PAGO]]&lt;&gt;"",Pago_Programado,"")</f>
        <v/>
      </c>
      <c r="F33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2" s="109" t="str">
        <f>IF(PaymentSchedule[[#This Row],[Nº. DE PAGO]]&lt;&gt;"",PaymentSchedule[[#This Row],[IMPORTE TOTAL DEL PAGO]]-PaymentSchedule[[#This Row],[INTERÉS]],"")</f>
        <v/>
      </c>
      <c r="I332" s="109" t="str">
        <f>IF(PaymentSchedule[[#This Row],[Nº. DE PAGO]]&lt;&gt;"",PaymentSchedule[[#This Row],[SALDO INICIAL]]*(Tasa_De_Interes_Anual/Numero_De_Pagos_Por_Año),"")</f>
        <v/>
      </c>
      <c r="J33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2" s="109" t="str">
        <f>IF(PaymentSchedule[[#This Row],[Nº. DE PAGO]]&lt;&gt;"",SUM(INDEX(PaymentSchedule[INTERÉS],1,1):PaymentSchedule[[#This Row],[INTERÉS]]),"")</f>
        <v/>
      </c>
    </row>
    <row r="333" spans="2:11" x14ac:dyDescent="0.3">
      <c r="B333" s="111" t="str">
        <f>IF(LoanIsGood,IF(ROW()-ROW(PaymentSchedule[[#Headers],[Nº. DE PAGO]])&gt;Numero_De_Pagos_Programados,"",ROW()-ROW(PaymentSchedule[[#Headers],[Nº. DE PAGO]])),"")</f>
        <v/>
      </c>
      <c r="C33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3" s="109" t="str">
        <f>IF(PaymentSchedule[[#This Row],[Nº. DE PAGO]]&lt;&gt;"",Pago_Programado,"")</f>
        <v/>
      </c>
      <c r="F33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3" s="109" t="str">
        <f>IF(PaymentSchedule[[#This Row],[Nº. DE PAGO]]&lt;&gt;"",PaymentSchedule[[#This Row],[IMPORTE TOTAL DEL PAGO]]-PaymentSchedule[[#This Row],[INTERÉS]],"")</f>
        <v/>
      </c>
      <c r="I333" s="109" t="str">
        <f>IF(PaymentSchedule[[#This Row],[Nº. DE PAGO]]&lt;&gt;"",PaymentSchedule[[#This Row],[SALDO INICIAL]]*(Tasa_De_Interes_Anual/Numero_De_Pagos_Por_Año),"")</f>
        <v/>
      </c>
      <c r="J33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3" s="109" t="str">
        <f>IF(PaymentSchedule[[#This Row],[Nº. DE PAGO]]&lt;&gt;"",SUM(INDEX(PaymentSchedule[INTERÉS],1,1):PaymentSchedule[[#This Row],[INTERÉS]]),"")</f>
        <v/>
      </c>
    </row>
    <row r="334" spans="2:11" x14ac:dyDescent="0.3">
      <c r="B334" s="111" t="str">
        <f>IF(LoanIsGood,IF(ROW()-ROW(PaymentSchedule[[#Headers],[Nº. DE PAGO]])&gt;Numero_De_Pagos_Programados,"",ROW()-ROW(PaymentSchedule[[#Headers],[Nº. DE PAGO]])),"")</f>
        <v/>
      </c>
      <c r="C33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4" s="109" t="str">
        <f>IF(PaymentSchedule[[#This Row],[Nº. DE PAGO]]&lt;&gt;"",Pago_Programado,"")</f>
        <v/>
      </c>
      <c r="F33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4" s="109" t="str">
        <f>IF(PaymentSchedule[[#This Row],[Nº. DE PAGO]]&lt;&gt;"",PaymentSchedule[[#This Row],[IMPORTE TOTAL DEL PAGO]]-PaymentSchedule[[#This Row],[INTERÉS]],"")</f>
        <v/>
      </c>
      <c r="I334" s="109" t="str">
        <f>IF(PaymentSchedule[[#This Row],[Nº. DE PAGO]]&lt;&gt;"",PaymentSchedule[[#This Row],[SALDO INICIAL]]*(Tasa_De_Interes_Anual/Numero_De_Pagos_Por_Año),"")</f>
        <v/>
      </c>
      <c r="J33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4" s="109" t="str">
        <f>IF(PaymentSchedule[[#This Row],[Nº. DE PAGO]]&lt;&gt;"",SUM(INDEX(PaymentSchedule[INTERÉS],1,1):PaymentSchedule[[#This Row],[INTERÉS]]),"")</f>
        <v/>
      </c>
    </row>
    <row r="335" spans="2:11" x14ac:dyDescent="0.3">
      <c r="B335" s="111" t="str">
        <f>IF(LoanIsGood,IF(ROW()-ROW(PaymentSchedule[[#Headers],[Nº. DE PAGO]])&gt;Numero_De_Pagos_Programados,"",ROW()-ROW(PaymentSchedule[[#Headers],[Nº. DE PAGO]])),"")</f>
        <v/>
      </c>
      <c r="C33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5" s="109" t="str">
        <f>IF(PaymentSchedule[[#This Row],[Nº. DE PAGO]]&lt;&gt;"",Pago_Programado,"")</f>
        <v/>
      </c>
      <c r="F33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5" s="109" t="str">
        <f>IF(PaymentSchedule[[#This Row],[Nº. DE PAGO]]&lt;&gt;"",PaymentSchedule[[#This Row],[IMPORTE TOTAL DEL PAGO]]-PaymentSchedule[[#This Row],[INTERÉS]],"")</f>
        <v/>
      </c>
      <c r="I335" s="109" t="str">
        <f>IF(PaymentSchedule[[#This Row],[Nº. DE PAGO]]&lt;&gt;"",PaymentSchedule[[#This Row],[SALDO INICIAL]]*(Tasa_De_Interes_Anual/Numero_De_Pagos_Por_Año),"")</f>
        <v/>
      </c>
      <c r="J33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5" s="109" t="str">
        <f>IF(PaymentSchedule[[#This Row],[Nº. DE PAGO]]&lt;&gt;"",SUM(INDEX(PaymentSchedule[INTERÉS],1,1):PaymentSchedule[[#This Row],[INTERÉS]]),"")</f>
        <v/>
      </c>
    </row>
    <row r="336" spans="2:11" x14ac:dyDescent="0.3">
      <c r="B336" s="111" t="str">
        <f>IF(LoanIsGood,IF(ROW()-ROW(PaymentSchedule[[#Headers],[Nº. DE PAGO]])&gt;Numero_De_Pagos_Programados,"",ROW()-ROW(PaymentSchedule[[#Headers],[Nº. DE PAGO]])),"")</f>
        <v/>
      </c>
      <c r="C33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6" s="109" t="str">
        <f>IF(PaymentSchedule[[#This Row],[Nº. DE PAGO]]&lt;&gt;"",Pago_Programado,"")</f>
        <v/>
      </c>
      <c r="F33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6" s="109" t="str">
        <f>IF(PaymentSchedule[[#This Row],[Nº. DE PAGO]]&lt;&gt;"",PaymentSchedule[[#This Row],[IMPORTE TOTAL DEL PAGO]]-PaymentSchedule[[#This Row],[INTERÉS]],"")</f>
        <v/>
      </c>
      <c r="I336" s="109" t="str">
        <f>IF(PaymentSchedule[[#This Row],[Nº. DE PAGO]]&lt;&gt;"",PaymentSchedule[[#This Row],[SALDO INICIAL]]*(Tasa_De_Interes_Anual/Numero_De_Pagos_Por_Año),"")</f>
        <v/>
      </c>
      <c r="J33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6" s="109" t="str">
        <f>IF(PaymentSchedule[[#This Row],[Nº. DE PAGO]]&lt;&gt;"",SUM(INDEX(PaymentSchedule[INTERÉS],1,1):PaymentSchedule[[#This Row],[INTERÉS]]),"")</f>
        <v/>
      </c>
    </row>
    <row r="337" spans="2:11" x14ac:dyDescent="0.3">
      <c r="B337" s="111" t="str">
        <f>IF(LoanIsGood,IF(ROW()-ROW(PaymentSchedule[[#Headers],[Nº. DE PAGO]])&gt;Numero_De_Pagos_Programados,"",ROW()-ROW(PaymentSchedule[[#Headers],[Nº. DE PAGO]])),"")</f>
        <v/>
      </c>
      <c r="C33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7" s="109" t="str">
        <f>IF(PaymentSchedule[[#This Row],[Nº. DE PAGO]]&lt;&gt;"",Pago_Programado,"")</f>
        <v/>
      </c>
      <c r="F33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7" s="109" t="str">
        <f>IF(PaymentSchedule[[#This Row],[Nº. DE PAGO]]&lt;&gt;"",PaymentSchedule[[#This Row],[IMPORTE TOTAL DEL PAGO]]-PaymentSchedule[[#This Row],[INTERÉS]],"")</f>
        <v/>
      </c>
      <c r="I337" s="109" t="str">
        <f>IF(PaymentSchedule[[#This Row],[Nº. DE PAGO]]&lt;&gt;"",PaymentSchedule[[#This Row],[SALDO INICIAL]]*(Tasa_De_Interes_Anual/Numero_De_Pagos_Por_Año),"")</f>
        <v/>
      </c>
      <c r="J33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7" s="109" t="str">
        <f>IF(PaymentSchedule[[#This Row],[Nº. DE PAGO]]&lt;&gt;"",SUM(INDEX(PaymentSchedule[INTERÉS],1,1):PaymentSchedule[[#This Row],[INTERÉS]]),"")</f>
        <v/>
      </c>
    </row>
    <row r="338" spans="2:11" x14ac:dyDescent="0.3">
      <c r="B338" s="111" t="str">
        <f>IF(LoanIsGood,IF(ROW()-ROW(PaymentSchedule[[#Headers],[Nº. DE PAGO]])&gt;Numero_De_Pagos_Programados,"",ROW()-ROW(PaymentSchedule[[#Headers],[Nº. DE PAGO]])),"")</f>
        <v/>
      </c>
      <c r="C33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8" s="109" t="str">
        <f>IF(PaymentSchedule[[#This Row],[Nº. DE PAGO]]&lt;&gt;"",Pago_Programado,"")</f>
        <v/>
      </c>
      <c r="F33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8" s="109" t="str">
        <f>IF(PaymentSchedule[[#This Row],[Nº. DE PAGO]]&lt;&gt;"",PaymentSchedule[[#This Row],[IMPORTE TOTAL DEL PAGO]]-PaymentSchedule[[#This Row],[INTERÉS]],"")</f>
        <v/>
      </c>
      <c r="I338" s="109" t="str">
        <f>IF(PaymentSchedule[[#This Row],[Nº. DE PAGO]]&lt;&gt;"",PaymentSchedule[[#This Row],[SALDO INICIAL]]*(Tasa_De_Interes_Anual/Numero_De_Pagos_Por_Año),"")</f>
        <v/>
      </c>
      <c r="J33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8" s="109" t="str">
        <f>IF(PaymentSchedule[[#This Row],[Nº. DE PAGO]]&lt;&gt;"",SUM(INDEX(PaymentSchedule[INTERÉS],1,1):PaymentSchedule[[#This Row],[INTERÉS]]),"")</f>
        <v/>
      </c>
    </row>
    <row r="339" spans="2:11" x14ac:dyDescent="0.3">
      <c r="B339" s="111" t="str">
        <f>IF(LoanIsGood,IF(ROW()-ROW(PaymentSchedule[[#Headers],[Nº. DE PAGO]])&gt;Numero_De_Pagos_Programados,"",ROW()-ROW(PaymentSchedule[[#Headers],[Nº. DE PAGO]])),"")</f>
        <v/>
      </c>
      <c r="C33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9" s="109" t="str">
        <f>IF(PaymentSchedule[[#This Row],[Nº. DE PAGO]]&lt;&gt;"",Pago_Programado,"")</f>
        <v/>
      </c>
      <c r="F33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9" s="109" t="str">
        <f>IF(PaymentSchedule[[#This Row],[Nº. DE PAGO]]&lt;&gt;"",PaymentSchedule[[#This Row],[IMPORTE TOTAL DEL PAGO]]-PaymentSchedule[[#This Row],[INTERÉS]],"")</f>
        <v/>
      </c>
      <c r="I339" s="109" t="str">
        <f>IF(PaymentSchedule[[#This Row],[Nº. DE PAGO]]&lt;&gt;"",PaymentSchedule[[#This Row],[SALDO INICIAL]]*(Tasa_De_Interes_Anual/Numero_De_Pagos_Por_Año),"")</f>
        <v/>
      </c>
      <c r="J33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9" s="109" t="str">
        <f>IF(PaymentSchedule[[#This Row],[Nº. DE PAGO]]&lt;&gt;"",SUM(INDEX(PaymentSchedule[INTERÉS],1,1):PaymentSchedule[[#This Row],[INTERÉS]]),"")</f>
        <v/>
      </c>
    </row>
    <row r="340" spans="2:11" x14ac:dyDescent="0.3">
      <c r="B340" s="111" t="str">
        <f>IF(LoanIsGood,IF(ROW()-ROW(PaymentSchedule[[#Headers],[Nº. DE PAGO]])&gt;Numero_De_Pagos_Programados,"",ROW()-ROW(PaymentSchedule[[#Headers],[Nº. DE PAGO]])),"")</f>
        <v/>
      </c>
      <c r="C34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0" s="109" t="str">
        <f>IF(PaymentSchedule[[#This Row],[Nº. DE PAGO]]&lt;&gt;"",Pago_Programado,"")</f>
        <v/>
      </c>
      <c r="F34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0" s="109" t="str">
        <f>IF(PaymentSchedule[[#This Row],[Nº. DE PAGO]]&lt;&gt;"",PaymentSchedule[[#This Row],[IMPORTE TOTAL DEL PAGO]]-PaymentSchedule[[#This Row],[INTERÉS]],"")</f>
        <v/>
      </c>
      <c r="I340" s="109" t="str">
        <f>IF(PaymentSchedule[[#This Row],[Nº. DE PAGO]]&lt;&gt;"",PaymentSchedule[[#This Row],[SALDO INICIAL]]*(Tasa_De_Interes_Anual/Numero_De_Pagos_Por_Año),"")</f>
        <v/>
      </c>
      <c r="J34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0" s="109" t="str">
        <f>IF(PaymentSchedule[[#This Row],[Nº. DE PAGO]]&lt;&gt;"",SUM(INDEX(PaymentSchedule[INTERÉS],1,1):PaymentSchedule[[#This Row],[INTERÉS]]),"")</f>
        <v/>
      </c>
    </row>
    <row r="341" spans="2:11" x14ac:dyDescent="0.3">
      <c r="B341" s="111" t="str">
        <f>IF(LoanIsGood,IF(ROW()-ROW(PaymentSchedule[[#Headers],[Nº. DE PAGO]])&gt;Numero_De_Pagos_Programados,"",ROW()-ROW(PaymentSchedule[[#Headers],[Nº. DE PAGO]])),"")</f>
        <v/>
      </c>
      <c r="C34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1" s="109" t="str">
        <f>IF(PaymentSchedule[[#This Row],[Nº. DE PAGO]]&lt;&gt;"",Pago_Programado,"")</f>
        <v/>
      </c>
      <c r="F34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1" s="109" t="str">
        <f>IF(PaymentSchedule[[#This Row],[Nº. DE PAGO]]&lt;&gt;"",PaymentSchedule[[#This Row],[IMPORTE TOTAL DEL PAGO]]-PaymentSchedule[[#This Row],[INTERÉS]],"")</f>
        <v/>
      </c>
      <c r="I341" s="109" t="str">
        <f>IF(PaymentSchedule[[#This Row],[Nº. DE PAGO]]&lt;&gt;"",PaymentSchedule[[#This Row],[SALDO INICIAL]]*(Tasa_De_Interes_Anual/Numero_De_Pagos_Por_Año),"")</f>
        <v/>
      </c>
      <c r="J34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1" s="109" t="str">
        <f>IF(PaymentSchedule[[#This Row],[Nº. DE PAGO]]&lt;&gt;"",SUM(INDEX(PaymentSchedule[INTERÉS],1,1):PaymentSchedule[[#This Row],[INTERÉS]]),"")</f>
        <v/>
      </c>
    </row>
    <row r="342" spans="2:11" x14ac:dyDescent="0.3">
      <c r="B342" s="111" t="str">
        <f>IF(LoanIsGood,IF(ROW()-ROW(PaymentSchedule[[#Headers],[Nº. DE PAGO]])&gt;Numero_De_Pagos_Programados,"",ROW()-ROW(PaymentSchedule[[#Headers],[Nº. DE PAGO]])),"")</f>
        <v/>
      </c>
      <c r="C34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2" s="109" t="str">
        <f>IF(PaymentSchedule[[#This Row],[Nº. DE PAGO]]&lt;&gt;"",Pago_Programado,"")</f>
        <v/>
      </c>
      <c r="F34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2" s="109" t="str">
        <f>IF(PaymentSchedule[[#This Row],[Nº. DE PAGO]]&lt;&gt;"",PaymentSchedule[[#This Row],[IMPORTE TOTAL DEL PAGO]]-PaymentSchedule[[#This Row],[INTERÉS]],"")</f>
        <v/>
      </c>
      <c r="I342" s="109" t="str">
        <f>IF(PaymentSchedule[[#This Row],[Nº. DE PAGO]]&lt;&gt;"",PaymentSchedule[[#This Row],[SALDO INICIAL]]*(Tasa_De_Interes_Anual/Numero_De_Pagos_Por_Año),"")</f>
        <v/>
      </c>
      <c r="J34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2" s="109" t="str">
        <f>IF(PaymentSchedule[[#This Row],[Nº. DE PAGO]]&lt;&gt;"",SUM(INDEX(PaymentSchedule[INTERÉS],1,1):PaymentSchedule[[#This Row],[INTERÉS]]),"")</f>
        <v/>
      </c>
    </row>
    <row r="343" spans="2:11" x14ac:dyDescent="0.3">
      <c r="B343" s="111" t="str">
        <f>IF(LoanIsGood,IF(ROW()-ROW(PaymentSchedule[[#Headers],[Nº. DE PAGO]])&gt;Numero_De_Pagos_Programados,"",ROW()-ROW(PaymentSchedule[[#Headers],[Nº. DE PAGO]])),"")</f>
        <v/>
      </c>
      <c r="C34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3" s="109" t="str">
        <f>IF(PaymentSchedule[[#This Row],[Nº. DE PAGO]]&lt;&gt;"",Pago_Programado,"")</f>
        <v/>
      </c>
      <c r="F34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3" s="109" t="str">
        <f>IF(PaymentSchedule[[#This Row],[Nº. DE PAGO]]&lt;&gt;"",PaymentSchedule[[#This Row],[IMPORTE TOTAL DEL PAGO]]-PaymentSchedule[[#This Row],[INTERÉS]],"")</f>
        <v/>
      </c>
      <c r="I343" s="109" t="str">
        <f>IF(PaymentSchedule[[#This Row],[Nº. DE PAGO]]&lt;&gt;"",PaymentSchedule[[#This Row],[SALDO INICIAL]]*(Tasa_De_Interes_Anual/Numero_De_Pagos_Por_Año),"")</f>
        <v/>
      </c>
      <c r="J34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3" s="109" t="str">
        <f>IF(PaymentSchedule[[#This Row],[Nº. DE PAGO]]&lt;&gt;"",SUM(INDEX(PaymentSchedule[INTERÉS],1,1):PaymentSchedule[[#This Row],[INTERÉS]]),"")</f>
        <v/>
      </c>
    </row>
    <row r="344" spans="2:11" x14ac:dyDescent="0.3">
      <c r="B344" s="111" t="str">
        <f>IF(LoanIsGood,IF(ROW()-ROW(PaymentSchedule[[#Headers],[Nº. DE PAGO]])&gt;Numero_De_Pagos_Programados,"",ROW()-ROW(PaymentSchedule[[#Headers],[Nº. DE PAGO]])),"")</f>
        <v/>
      </c>
      <c r="C34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4" s="109" t="str">
        <f>IF(PaymentSchedule[[#This Row],[Nº. DE PAGO]]&lt;&gt;"",Pago_Programado,"")</f>
        <v/>
      </c>
      <c r="F34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4" s="109" t="str">
        <f>IF(PaymentSchedule[[#This Row],[Nº. DE PAGO]]&lt;&gt;"",PaymentSchedule[[#This Row],[IMPORTE TOTAL DEL PAGO]]-PaymentSchedule[[#This Row],[INTERÉS]],"")</f>
        <v/>
      </c>
      <c r="I344" s="109" t="str">
        <f>IF(PaymentSchedule[[#This Row],[Nº. DE PAGO]]&lt;&gt;"",PaymentSchedule[[#This Row],[SALDO INICIAL]]*(Tasa_De_Interes_Anual/Numero_De_Pagos_Por_Año),"")</f>
        <v/>
      </c>
      <c r="J34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4" s="109" t="str">
        <f>IF(PaymentSchedule[[#This Row],[Nº. DE PAGO]]&lt;&gt;"",SUM(INDEX(PaymentSchedule[INTERÉS],1,1):PaymentSchedule[[#This Row],[INTERÉS]]),"")</f>
        <v/>
      </c>
    </row>
    <row r="345" spans="2:11" x14ac:dyDescent="0.3">
      <c r="B345" s="111" t="str">
        <f>IF(LoanIsGood,IF(ROW()-ROW(PaymentSchedule[[#Headers],[Nº. DE PAGO]])&gt;Numero_De_Pagos_Programados,"",ROW()-ROW(PaymentSchedule[[#Headers],[Nº. DE PAGO]])),"")</f>
        <v/>
      </c>
      <c r="C34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5" s="109" t="str">
        <f>IF(PaymentSchedule[[#This Row],[Nº. DE PAGO]]&lt;&gt;"",Pago_Programado,"")</f>
        <v/>
      </c>
      <c r="F34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5" s="109" t="str">
        <f>IF(PaymentSchedule[[#This Row],[Nº. DE PAGO]]&lt;&gt;"",PaymentSchedule[[#This Row],[IMPORTE TOTAL DEL PAGO]]-PaymentSchedule[[#This Row],[INTERÉS]],"")</f>
        <v/>
      </c>
      <c r="I345" s="109" t="str">
        <f>IF(PaymentSchedule[[#This Row],[Nº. DE PAGO]]&lt;&gt;"",PaymentSchedule[[#This Row],[SALDO INICIAL]]*(Tasa_De_Interes_Anual/Numero_De_Pagos_Por_Año),"")</f>
        <v/>
      </c>
      <c r="J34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5" s="109" t="str">
        <f>IF(PaymentSchedule[[#This Row],[Nº. DE PAGO]]&lt;&gt;"",SUM(INDEX(PaymentSchedule[INTERÉS],1,1):PaymentSchedule[[#This Row],[INTERÉS]]),"")</f>
        <v/>
      </c>
    </row>
    <row r="346" spans="2:11" x14ac:dyDescent="0.3">
      <c r="B346" s="111" t="str">
        <f>IF(LoanIsGood,IF(ROW()-ROW(PaymentSchedule[[#Headers],[Nº. DE PAGO]])&gt;Numero_De_Pagos_Programados,"",ROW()-ROW(PaymentSchedule[[#Headers],[Nº. DE PAGO]])),"")</f>
        <v/>
      </c>
      <c r="C34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6" s="109" t="str">
        <f>IF(PaymentSchedule[[#This Row],[Nº. DE PAGO]]&lt;&gt;"",Pago_Programado,"")</f>
        <v/>
      </c>
      <c r="F34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6" s="109" t="str">
        <f>IF(PaymentSchedule[[#This Row],[Nº. DE PAGO]]&lt;&gt;"",PaymentSchedule[[#This Row],[IMPORTE TOTAL DEL PAGO]]-PaymentSchedule[[#This Row],[INTERÉS]],"")</f>
        <v/>
      </c>
      <c r="I346" s="109" t="str">
        <f>IF(PaymentSchedule[[#This Row],[Nº. DE PAGO]]&lt;&gt;"",PaymentSchedule[[#This Row],[SALDO INICIAL]]*(Tasa_De_Interes_Anual/Numero_De_Pagos_Por_Año),"")</f>
        <v/>
      </c>
      <c r="J34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6" s="109" t="str">
        <f>IF(PaymentSchedule[[#This Row],[Nº. DE PAGO]]&lt;&gt;"",SUM(INDEX(PaymentSchedule[INTERÉS],1,1):PaymentSchedule[[#This Row],[INTERÉS]]),"")</f>
        <v/>
      </c>
    </row>
    <row r="347" spans="2:11" x14ac:dyDescent="0.3">
      <c r="B347" s="111" t="str">
        <f>IF(LoanIsGood,IF(ROW()-ROW(PaymentSchedule[[#Headers],[Nº. DE PAGO]])&gt;Numero_De_Pagos_Programados,"",ROW()-ROW(PaymentSchedule[[#Headers],[Nº. DE PAGO]])),"")</f>
        <v/>
      </c>
      <c r="C34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7" s="109" t="str">
        <f>IF(PaymentSchedule[[#This Row],[Nº. DE PAGO]]&lt;&gt;"",Pago_Programado,"")</f>
        <v/>
      </c>
      <c r="F34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7" s="109" t="str">
        <f>IF(PaymentSchedule[[#This Row],[Nº. DE PAGO]]&lt;&gt;"",PaymentSchedule[[#This Row],[IMPORTE TOTAL DEL PAGO]]-PaymentSchedule[[#This Row],[INTERÉS]],"")</f>
        <v/>
      </c>
      <c r="I347" s="109" t="str">
        <f>IF(PaymentSchedule[[#This Row],[Nº. DE PAGO]]&lt;&gt;"",PaymentSchedule[[#This Row],[SALDO INICIAL]]*(Tasa_De_Interes_Anual/Numero_De_Pagos_Por_Año),"")</f>
        <v/>
      </c>
      <c r="J34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7" s="109" t="str">
        <f>IF(PaymentSchedule[[#This Row],[Nº. DE PAGO]]&lt;&gt;"",SUM(INDEX(PaymentSchedule[INTERÉS],1,1):PaymentSchedule[[#This Row],[INTERÉS]]),"")</f>
        <v/>
      </c>
    </row>
    <row r="348" spans="2:11" x14ac:dyDescent="0.3">
      <c r="B348" s="111" t="str">
        <f>IF(LoanIsGood,IF(ROW()-ROW(PaymentSchedule[[#Headers],[Nº. DE PAGO]])&gt;Numero_De_Pagos_Programados,"",ROW()-ROW(PaymentSchedule[[#Headers],[Nº. DE PAGO]])),"")</f>
        <v/>
      </c>
      <c r="C34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8" s="109" t="str">
        <f>IF(PaymentSchedule[[#This Row],[Nº. DE PAGO]]&lt;&gt;"",Pago_Programado,"")</f>
        <v/>
      </c>
      <c r="F34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8" s="109" t="str">
        <f>IF(PaymentSchedule[[#This Row],[Nº. DE PAGO]]&lt;&gt;"",PaymentSchedule[[#This Row],[IMPORTE TOTAL DEL PAGO]]-PaymentSchedule[[#This Row],[INTERÉS]],"")</f>
        <v/>
      </c>
      <c r="I348" s="109" t="str">
        <f>IF(PaymentSchedule[[#This Row],[Nº. DE PAGO]]&lt;&gt;"",PaymentSchedule[[#This Row],[SALDO INICIAL]]*(Tasa_De_Interes_Anual/Numero_De_Pagos_Por_Año),"")</f>
        <v/>
      </c>
      <c r="J34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8" s="109" t="str">
        <f>IF(PaymentSchedule[[#This Row],[Nº. DE PAGO]]&lt;&gt;"",SUM(INDEX(PaymentSchedule[INTERÉS],1,1):PaymentSchedule[[#This Row],[INTERÉS]]),"")</f>
        <v/>
      </c>
    </row>
    <row r="349" spans="2:11" x14ac:dyDescent="0.3">
      <c r="B349" s="111" t="str">
        <f>IF(LoanIsGood,IF(ROW()-ROW(PaymentSchedule[[#Headers],[Nº. DE PAGO]])&gt;Numero_De_Pagos_Programados,"",ROW()-ROW(PaymentSchedule[[#Headers],[Nº. DE PAGO]])),"")</f>
        <v/>
      </c>
      <c r="C34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9" s="109" t="str">
        <f>IF(PaymentSchedule[[#This Row],[Nº. DE PAGO]]&lt;&gt;"",Pago_Programado,"")</f>
        <v/>
      </c>
      <c r="F34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9" s="109" t="str">
        <f>IF(PaymentSchedule[[#This Row],[Nº. DE PAGO]]&lt;&gt;"",PaymentSchedule[[#This Row],[IMPORTE TOTAL DEL PAGO]]-PaymentSchedule[[#This Row],[INTERÉS]],"")</f>
        <v/>
      </c>
      <c r="I349" s="109" t="str">
        <f>IF(PaymentSchedule[[#This Row],[Nº. DE PAGO]]&lt;&gt;"",PaymentSchedule[[#This Row],[SALDO INICIAL]]*(Tasa_De_Interes_Anual/Numero_De_Pagos_Por_Año),"")</f>
        <v/>
      </c>
      <c r="J34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9" s="109" t="str">
        <f>IF(PaymentSchedule[[#This Row],[Nº. DE PAGO]]&lt;&gt;"",SUM(INDEX(PaymentSchedule[INTERÉS],1,1):PaymentSchedule[[#This Row],[INTERÉS]]),"")</f>
        <v/>
      </c>
    </row>
    <row r="350" spans="2:11" x14ac:dyDescent="0.3">
      <c r="B350" s="111" t="str">
        <f>IF(LoanIsGood,IF(ROW()-ROW(PaymentSchedule[[#Headers],[Nº. DE PAGO]])&gt;Numero_De_Pagos_Programados,"",ROW()-ROW(PaymentSchedule[[#Headers],[Nº. DE PAGO]])),"")</f>
        <v/>
      </c>
      <c r="C35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0" s="109" t="str">
        <f>IF(PaymentSchedule[[#This Row],[Nº. DE PAGO]]&lt;&gt;"",Pago_Programado,"")</f>
        <v/>
      </c>
      <c r="F35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0" s="109" t="str">
        <f>IF(PaymentSchedule[[#This Row],[Nº. DE PAGO]]&lt;&gt;"",PaymentSchedule[[#This Row],[IMPORTE TOTAL DEL PAGO]]-PaymentSchedule[[#This Row],[INTERÉS]],"")</f>
        <v/>
      </c>
      <c r="I350" s="109" t="str">
        <f>IF(PaymentSchedule[[#This Row],[Nº. DE PAGO]]&lt;&gt;"",PaymentSchedule[[#This Row],[SALDO INICIAL]]*(Tasa_De_Interes_Anual/Numero_De_Pagos_Por_Año),"")</f>
        <v/>
      </c>
      <c r="J35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0" s="109" t="str">
        <f>IF(PaymentSchedule[[#This Row],[Nº. DE PAGO]]&lt;&gt;"",SUM(INDEX(PaymentSchedule[INTERÉS],1,1):PaymentSchedule[[#This Row],[INTERÉS]]),"")</f>
        <v/>
      </c>
    </row>
    <row r="351" spans="2:11" x14ac:dyDescent="0.3">
      <c r="B351" s="111" t="str">
        <f>IF(LoanIsGood,IF(ROW()-ROW(PaymentSchedule[[#Headers],[Nº. DE PAGO]])&gt;Numero_De_Pagos_Programados,"",ROW()-ROW(PaymentSchedule[[#Headers],[Nº. DE PAGO]])),"")</f>
        <v/>
      </c>
      <c r="C35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1" s="109" t="str">
        <f>IF(PaymentSchedule[[#This Row],[Nº. DE PAGO]]&lt;&gt;"",Pago_Programado,"")</f>
        <v/>
      </c>
      <c r="F35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1" s="109" t="str">
        <f>IF(PaymentSchedule[[#This Row],[Nº. DE PAGO]]&lt;&gt;"",PaymentSchedule[[#This Row],[IMPORTE TOTAL DEL PAGO]]-PaymentSchedule[[#This Row],[INTERÉS]],"")</f>
        <v/>
      </c>
      <c r="I351" s="109" t="str">
        <f>IF(PaymentSchedule[[#This Row],[Nº. DE PAGO]]&lt;&gt;"",PaymentSchedule[[#This Row],[SALDO INICIAL]]*(Tasa_De_Interes_Anual/Numero_De_Pagos_Por_Año),"")</f>
        <v/>
      </c>
      <c r="J35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1" s="109" t="str">
        <f>IF(PaymentSchedule[[#This Row],[Nº. DE PAGO]]&lt;&gt;"",SUM(INDEX(PaymentSchedule[INTERÉS],1,1):PaymentSchedule[[#This Row],[INTERÉS]]),"")</f>
        <v/>
      </c>
    </row>
    <row r="352" spans="2:11" x14ac:dyDescent="0.3">
      <c r="B352" s="111" t="str">
        <f>IF(LoanIsGood,IF(ROW()-ROW(PaymentSchedule[[#Headers],[Nº. DE PAGO]])&gt;Numero_De_Pagos_Programados,"",ROW()-ROW(PaymentSchedule[[#Headers],[Nº. DE PAGO]])),"")</f>
        <v/>
      </c>
      <c r="C35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2" s="109" t="str">
        <f>IF(PaymentSchedule[[#This Row],[Nº. DE PAGO]]&lt;&gt;"",Pago_Programado,"")</f>
        <v/>
      </c>
      <c r="F35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2" s="109" t="str">
        <f>IF(PaymentSchedule[[#This Row],[Nº. DE PAGO]]&lt;&gt;"",PaymentSchedule[[#This Row],[IMPORTE TOTAL DEL PAGO]]-PaymentSchedule[[#This Row],[INTERÉS]],"")</f>
        <v/>
      </c>
      <c r="I352" s="109" t="str">
        <f>IF(PaymentSchedule[[#This Row],[Nº. DE PAGO]]&lt;&gt;"",PaymentSchedule[[#This Row],[SALDO INICIAL]]*(Tasa_De_Interes_Anual/Numero_De_Pagos_Por_Año),"")</f>
        <v/>
      </c>
      <c r="J35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2" s="109" t="str">
        <f>IF(PaymentSchedule[[#This Row],[Nº. DE PAGO]]&lt;&gt;"",SUM(INDEX(PaymentSchedule[INTERÉS],1,1):PaymentSchedule[[#This Row],[INTERÉS]]),"")</f>
        <v/>
      </c>
    </row>
    <row r="353" spans="2:11" x14ac:dyDescent="0.3">
      <c r="B353" s="111" t="str">
        <f>IF(LoanIsGood,IF(ROW()-ROW(PaymentSchedule[[#Headers],[Nº. DE PAGO]])&gt;Numero_De_Pagos_Programados,"",ROW()-ROW(PaymentSchedule[[#Headers],[Nº. DE PAGO]])),"")</f>
        <v/>
      </c>
      <c r="C35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3" s="109" t="str">
        <f>IF(PaymentSchedule[[#This Row],[Nº. DE PAGO]]&lt;&gt;"",Pago_Programado,"")</f>
        <v/>
      </c>
      <c r="F35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3" s="109" t="str">
        <f>IF(PaymentSchedule[[#This Row],[Nº. DE PAGO]]&lt;&gt;"",PaymentSchedule[[#This Row],[IMPORTE TOTAL DEL PAGO]]-PaymentSchedule[[#This Row],[INTERÉS]],"")</f>
        <v/>
      </c>
      <c r="I353" s="109" t="str">
        <f>IF(PaymentSchedule[[#This Row],[Nº. DE PAGO]]&lt;&gt;"",PaymentSchedule[[#This Row],[SALDO INICIAL]]*(Tasa_De_Interes_Anual/Numero_De_Pagos_Por_Año),"")</f>
        <v/>
      </c>
      <c r="J35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3" s="109" t="str">
        <f>IF(PaymentSchedule[[#This Row],[Nº. DE PAGO]]&lt;&gt;"",SUM(INDEX(PaymentSchedule[INTERÉS],1,1):PaymentSchedule[[#This Row],[INTERÉS]]),"")</f>
        <v/>
      </c>
    </row>
    <row r="354" spans="2:11" x14ac:dyDescent="0.3">
      <c r="B354" s="111" t="str">
        <f>IF(LoanIsGood,IF(ROW()-ROW(PaymentSchedule[[#Headers],[Nº. DE PAGO]])&gt;Numero_De_Pagos_Programados,"",ROW()-ROW(PaymentSchedule[[#Headers],[Nº. DE PAGO]])),"")</f>
        <v/>
      </c>
      <c r="C35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4" s="109" t="str">
        <f>IF(PaymentSchedule[[#This Row],[Nº. DE PAGO]]&lt;&gt;"",Pago_Programado,"")</f>
        <v/>
      </c>
      <c r="F35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4" s="109" t="str">
        <f>IF(PaymentSchedule[[#This Row],[Nº. DE PAGO]]&lt;&gt;"",PaymentSchedule[[#This Row],[IMPORTE TOTAL DEL PAGO]]-PaymentSchedule[[#This Row],[INTERÉS]],"")</f>
        <v/>
      </c>
      <c r="I354" s="109" t="str">
        <f>IF(PaymentSchedule[[#This Row],[Nº. DE PAGO]]&lt;&gt;"",PaymentSchedule[[#This Row],[SALDO INICIAL]]*(Tasa_De_Interes_Anual/Numero_De_Pagos_Por_Año),"")</f>
        <v/>
      </c>
      <c r="J35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4" s="109" t="str">
        <f>IF(PaymentSchedule[[#This Row],[Nº. DE PAGO]]&lt;&gt;"",SUM(INDEX(PaymentSchedule[INTERÉS],1,1):PaymentSchedule[[#This Row],[INTERÉS]]),"")</f>
        <v/>
      </c>
    </row>
    <row r="355" spans="2:11" x14ac:dyDescent="0.3">
      <c r="B355" s="111" t="str">
        <f>IF(LoanIsGood,IF(ROW()-ROW(PaymentSchedule[[#Headers],[Nº. DE PAGO]])&gt;Numero_De_Pagos_Programados,"",ROW()-ROW(PaymentSchedule[[#Headers],[Nº. DE PAGO]])),"")</f>
        <v/>
      </c>
      <c r="C35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5" s="109" t="str">
        <f>IF(PaymentSchedule[[#This Row],[Nº. DE PAGO]]&lt;&gt;"",Pago_Programado,"")</f>
        <v/>
      </c>
      <c r="F35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5" s="109" t="str">
        <f>IF(PaymentSchedule[[#This Row],[Nº. DE PAGO]]&lt;&gt;"",PaymentSchedule[[#This Row],[IMPORTE TOTAL DEL PAGO]]-PaymentSchedule[[#This Row],[INTERÉS]],"")</f>
        <v/>
      </c>
      <c r="I355" s="109" t="str">
        <f>IF(PaymentSchedule[[#This Row],[Nº. DE PAGO]]&lt;&gt;"",PaymentSchedule[[#This Row],[SALDO INICIAL]]*(Tasa_De_Interes_Anual/Numero_De_Pagos_Por_Año),"")</f>
        <v/>
      </c>
      <c r="J35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5" s="109" t="str">
        <f>IF(PaymentSchedule[[#This Row],[Nº. DE PAGO]]&lt;&gt;"",SUM(INDEX(PaymentSchedule[INTERÉS],1,1):PaymentSchedule[[#This Row],[INTERÉS]]),"")</f>
        <v/>
      </c>
    </row>
    <row r="356" spans="2:11" x14ac:dyDescent="0.3">
      <c r="B356" s="111" t="str">
        <f>IF(LoanIsGood,IF(ROW()-ROW(PaymentSchedule[[#Headers],[Nº. DE PAGO]])&gt;Numero_De_Pagos_Programados,"",ROW()-ROW(PaymentSchedule[[#Headers],[Nº. DE PAGO]])),"")</f>
        <v/>
      </c>
      <c r="C35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6" s="109" t="str">
        <f>IF(PaymentSchedule[[#This Row],[Nº. DE PAGO]]&lt;&gt;"",Pago_Programado,"")</f>
        <v/>
      </c>
      <c r="F35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6" s="109" t="str">
        <f>IF(PaymentSchedule[[#This Row],[Nº. DE PAGO]]&lt;&gt;"",PaymentSchedule[[#This Row],[IMPORTE TOTAL DEL PAGO]]-PaymentSchedule[[#This Row],[INTERÉS]],"")</f>
        <v/>
      </c>
      <c r="I356" s="109" t="str">
        <f>IF(PaymentSchedule[[#This Row],[Nº. DE PAGO]]&lt;&gt;"",PaymentSchedule[[#This Row],[SALDO INICIAL]]*(Tasa_De_Interes_Anual/Numero_De_Pagos_Por_Año),"")</f>
        <v/>
      </c>
      <c r="J35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6" s="109" t="str">
        <f>IF(PaymentSchedule[[#This Row],[Nº. DE PAGO]]&lt;&gt;"",SUM(INDEX(PaymentSchedule[INTERÉS],1,1):PaymentSchedule[[#This Row],[INTERÉS]]),"")</f>
        <v/>
      </c>
    </row>
    <row r="357" spans="2:11" x14ac:dyDescent="0.3">
      <c r="B357" s="111" t="str">
        <f>IF(LoanIsGood,IF(ROW()-ROW(PaymentSchedule[[#Headers],[Nº. DE PAGO]])&gt;Numero_De_Pagos_Programados,"",ROW()-ROW(PaymentSchedule[[#Headers],[Nº. DE PAGO]])),"")</f>
        <v/>
      </c>
      <c r="C35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7" s="109" t="str">
        <f>IF(PaymentSchedule[[#This Row],[Nº. DE PAGO]]&lt;&gt;"",Pago_Programado,"")</f>
        <v/>
      </c>
      <c r="F35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7" s="109" t="str">
        <f>IF(PaymentSchedule[[#This Row],[Nº. DE PAGO]]&lt;&gt;"",PaymentSchedule[[#This Row],[IMPORTE TOTAL DEL PAGO]]-PaymentSchedule[[#This Row],[INTERÉS]],"")</f>
        <v/>
      </c>
      <c r="I357" s="109" t="str">
        <f>IF(PaymentSchedule[[#This Row],[Nº. DE PAGO]]&lt;&gt;"",PaymentSchedule[[#This Row],[SALDO INICIAL]]*(Tasa_De_Interes_Anual/Numero_De_Pagos_Por_Año),"")</f>
        <v/>
      </c>
      <c r="J35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7" s="109" t="str">
        <f>IF(PaymentSchedule[[#This Row],[Nº. DE PAGO]]&lt;&gt;"",SUM(INDEX(PaymentSchedule[INTERÉS],1,1):PaymentSchedule[[#This Row],[INTERÉS]]),"")</f>
        <v/>
      </c>
    </row>
    <row r="358" spans="2:11" x14ac:dyDescent="0.3">
      <c r="B358" s="111" t="str">
        <f>IF(LoanIsGood,IF(ROW()-ROW(PaymentSchedule[[#Headers],[Nº. DE PAGO]])&gt;Numero_De_Pagos_Programados,"",ROW()-ROW(PaymentSchedule[[#Headers],[Nº. DE PAGO]])),"")</f>
        <v/>
      </c>
      <c r="C35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8" s="109" t="str">
        <f>IF(PaymentSchedule[[#This Row],[Nº. DE PAGO]]&lt;&gt;"",Pago_Programado,"")</f>
        <v/>
      </c>
      <c r="F35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8" s="109" t="str">
        <f>IF(PaymentSchedule[[#This Row],[Nº. DE PAGO]]&lt;&gt;"",PaymentSchedule[[#This Row],[IMPORTE TOTAL DEL PAGO]]-PaymentSchedule[[#This Row],[INTERÉS]],"")</f>
        <v/>
      </c>
      <c r="I358" s="109" t="str">
        <f>IF(PaymentSchedule[[#This Row],[Nº. DE PAGO]]&lt;&gt;"",PaymentSchedule[[#This Row],[SALDO INICIAL]]*(Tasa_De_Interes_Anual/Numero_De_Pagos_Por_Año),"")</f>
        <v/>
      </c>
      <c r="J35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8" s="109" t="str">
        <f>IF(PaymentSchedule[[#This Row],[Nº. DE PAGO]]&lt;&gt;"",SUM(INDEX(PaymentSchedule[INTERÉS],1,1):PaymentSchedule[[#This Row],[INTERÉS]]),"")</f>
        <v/>
      </c>
    </row>
    <row r="359" spans="2:11" x14ac:dyDescent="0.3">
      <c r="B359" s="111" t="str">
        <f>IF(LoanIsGood,IF(ROW()-ROW(PaymentSchedule[[#Headers],[Nº. DE PAGO]])&gt;Numero_De_Pagos_Programados,"",ROW()-ROW(PaymentSchedule[[#Headers],[Nº. DE PAGO]])),"")</f>
        <v/>
      </c>
      <c r="C35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9" s="109" t="str">
        <f>IF(PaymentSchedule[[#This Row],[Nº. DE PAGO]]&lt;&gt;"",Pago_Programado,"")</f>
        <v/>
      </c>
      <c r="F35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9" s="109" t="str">
        <f>IF(PaymentSchedule[[#This Row],[Nº. DE PAGO]]&lt;&gt;"",PaymentSchedule[[#This Row],[IMPORTE TOTAL DEL PAGO]]-PaymentSchedule[[#This Row],[INTERÉS]],"")</f>
        <v/>
      </c>
      <c r="I359" s="109" t="str">
        <f>IF(PaymentSchedule[[#This Row],[Nº. DE PAGO]]&lt;&gt;"",PaymentSchedule[[#This Row],[SALDO INICIAL]]*(Tasa_De_Interes_Anual/Numero_De_Pagos_Por_Año),"")</f>
        <v/>
      </c>
      <c r="J35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9" s="109" t="str">
        <f>IF(PaymentSchedule[[#This Row],[Nº. DE PAGO]]&lt;&gt;"",SUM(INDEX(PaymentSchedule[INTERÉS],1,1):PaymentSchedule[[#This Row],[INTERÉS]]),"")</f>
        <v/>
      </c>
    </row>
    <row r="360" spans="2:11" x14ac:dyDescent="0.3">
      <c r="B360" s="111" t="str">
        <f>IF(LoanIsGood,IF(ROW()-ROW(PaymentSchedule[[#Headers],[Nº. DE PAGO]])&gt;Numero_De_Pagos_Programados,"",ROW()-ROW(PaymentSchedule[[#Headers],[Nº. DE PAGO]])),"")</f>
        <v/>
      </c>
      <c r="C36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0" s="109" t="str">
        <f>IF(PaymentSchedule[[#This Row],[Nº. DE PAGO]]&lt;&gt;"",Pago_Programado,"")</f>
        <v/>
      </c>
      <c r="F36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0" s="109" t="str">
        <f>IF(PaymentSchedule[[#This Row],[Nº. DE PAGO]]&lt;&gt;"",PaymentSchedule[[#This Row],[IMPORTE TOTAL DEL PAGO]]-PaymentSchedule[[#This Row],[INTERÉS]],"")</f>
        <v/>
      </c>
      <c r="I360" s="109" t="str">
        <f>IF(PaymentSchedule[[#This Row],[Nº. DE PAGO]]&lt;&gt;"",PaymentSchedule[[#This Row],[SALDO INICIAL]]*(Tasa_De_Interes_Anual/Numero_De_Pagos_Por_Año),"")</f>
        <v/>
      </c>
      <c r="J36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0" s="109" t="str">
        <f>IF(PaymentSchedule[[#This Row],[Nº. DE PAGO]]&lt;&gt;"",SUM(INDEX(PaymentSchedule[INTERÉS],1,1):PaymentSchedule[[#This Row],[INTERÉS]]),"")</f>
        <v/>
      </c>
    </row>
    <row r="361" spans="2:11" x14ac:dyDescent="0.3">
      <c r="B361" s="111" t="str">
        <f>IF(LoanIsGood,IF(ROW()-ROW(PaymentSchedule[[#Headers],[Nº. DE PAGO]])&gt;Numero_De_Pagos_Programados,"",ROW()-ROW(PaymentSchedule[[#Headers],[Nº. DE PAGO]])),"")</f>
        <v/>
      </c>
      <c r="C36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1" s="109" t="str">
        <f>IF(PaymentSchedule[[#This Row],[Nº. DE PAGO]]&lt;&gt;"",Pago_Programado,"")</f>
        <v/>
      </c>
      <c r="F36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1" s="109" t="str">
        <f>IF(PaymentSchedule[[#This Row],[Nº. DE PAGO]]&lt;&gt;"",PaymentSchedule[[#This Row],[IMPORTE TOTAL DEL PAGO]]-PaymentSchedule[[#This Row],[INTERÉS]],"")</f>
        <v/>
      </c>
      <c r="I361" s="109" t="str">
        <f>IF(PaymentSchedule[[#This Row],[Nº. DE PAGO]]&lt;&gt;"",PaymentSchedule[[#This Row],[SALDO INICIAL]]*(Tasa_De_Interes_Anual/Numero_De_Pagos_Por_Año),"")</f>
        <v/>
      </c>
      <c r="J36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1" s="109" t="str">
        <f>IF(PaymentSchedule[[#This Row],[Nº. DE PAGO]]&lt;&gt;"",SUM(INDEX(PaymentSchedule[INTERÉS],1,1):PaymentSchedule[[#This Row],[INTERÉS]]),"")</f>
        <v/>
      </c>
    </row>
    <row r="362" spans="2:11" x14ac:dyDescent="0.3">
      <c r="B362" s="111" t="str">
        <f>IF(LoanIsGood,IF(ROW()-ROW(PaymentSchedule[[#Headers],[Nº. DE PAGO]])&gt;Numero_De_Pagos_Programados,"",ROW()-ROW(PaymentSchedule[[#Headers],[Nº. DE PAGO]])),"")</f>
        <v/>
      </c>
      <c r="C362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2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2" s="109" t="str">
        <f>IF(PaymentSchedule[[#This Row],[Nº. DE PAGO]]&lt;&gt;"",Pago_Programado,"")</f>
        <v/>
      </c>
      <c r="F362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2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2" s="109" t="str">
        <f>IF(PaymentSchedule[[#This Row],[Nº. DE PAGO]]&lt;&gt;"",PaymentSchedule[[#This Row],[IMPORTE TOTAL DEL PAGO]]-PaymentSchedule[[#This Row],[INTERÉS]],"")</f>
        <v/>
      </c>
      <c r="I362" s="109" t="str">
        <f>IF(PaymentSchedule[[#This Row],[Nº. DE PAGO]]&lt;&gt;"",PaymentSchedule[[#This Row],[SALDO INICIAL]]*(Tasa_De_Interes_Anual/Numero_De_Pagos_Por_Año),"")</f>
        <v/>
      </c>
      <c r="J362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2" s="109" t="str">
        <f>IF(PaymentSchedule[[#This Row],[Nº. DE PAGO]]&lt;&gt;"",SUM(INDEX(PaymentSchedule[INTERÉS],1,1):PaymentSchedule[[#This Row],[INTERÉS]]),"")</f>
        <v/>
      </c>
    </row>
    <row r="363" spans="2:11" x14ac:dyDescent="0.3">
      <c r="B363" s="111" t="str">
        <f>IF(LoanIsGood,IF(ROW()-ROW(PaymentSchedule[[#Headers],[Nº. DE PAGO]])&gt;Numero_De_Pagos_Programados,"",ROW()-ROW(PaymentSchedule[[#Headers],[Nº. DE PAGO]])),"")</f>
        <v/>
      </c>
      <c r="C363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3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3" s="109" t="str">
        <f>IF(PaymentSchedule[[#This Row],[Nº. DE PAGO]]&lt;&gt;"",Pago_Programado,"")</f>
        <v/>
      </c>
      <c r="F363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3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3" s="109" t="str">
        <f>IF(PaymentSchedule[[#This Row],[Nº. DE PAGO]]&lt;&gt;"",PaymentSchedule[[#This Row],[IMPORTE TOTAL DEL PAGO]]-PaymentSchedule[[#This Row],[INTERÉS]],"")</f>
        <v/>
      </c>
      <c r="I363" s="109" t="str">
        <f>IF(PaymentSchedule[[#This Row],[Nº. DE PAGO]]&lt;&gt;"",PaymentSchedule[[#This Row],[SALDO INICIAL]]*(Tasa_De_Interes_Anual/Numero_De_Pagos_Por_Año),"")</f>
        <v/>
      </c>
      <c r="J363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3" s="109" t="str">
        <f>IF(PaymentSchedule[[#This Row],[Nº. DE PAGO]]&lt;&gt;"",SUM(INDEX(PaymentSchedule[INTERÉS],1,1):PaymentSchedule[[#This Row],[INTERÉS]]),"")</f>
        <v/>
      </c>
    </row>
    <row r="364" spans="2:11" x14ac:dyDescent="0.3">
      <c r="B364" s="111" t="str">
        <f>IF(LoanIsGood,IF(ROW()-ROW(PaymentSchedule[[#Headers],[Nº. DE PAGO]])&gt;Numero_De_Pagos_Programados,"",ROW()-ROW(PaymentSchedule[[#Headers],[Nº. DE PAGO]])),"")</f>
        <v/>
      </c>
      <c r="C364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4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4" s="109" t="str">
        <f>IF(PaymentSchedule[[#This Row],[Nº. DE PAGO]]&lt;&gt;"",Pago_Programado,"")</f>
        <v/>
      </c>
      <c r="F364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4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4" s="109" t="str">
        <f>IF(PaymentSchedule[[#This Row],[Nº. DE PAGO]]&lt;&gt;"",PaymentSchedule[[#This Row],[IMPORTE TOTAL DEL PAGO]]-PaymentSchedule[[#This Row],[INTERÉS]],"")</f>
        <v/>
      </c>
      <c r="I364" s="109" t="str">
        <f>IF(PaymentSchedule[[#This Row],[Nº. DE PAGO]]&lt;&gt;"",PaymentSchedule[[#This Row],[SALDO INICIAL]]*(Tasa_De_Interes_Anual/Numero_De_Pagos_Por_Año),"")</f>
        <v/>
      </c>
      <c r="J364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4" s="109" t="str">
        <f>IF(PaymentSchedule[[#This Row],[Nº. DE PAGO]]&lt;&gt;"",SUM(INDEX(PaymentSchedule[INTERÉS],1,1):PaymentSchedule[[#This Row],[INTERÉS]]),"")</f>
        <v/>
      </c>
    </row>
    <row r="365" spans="2:11" x14ac:dyDescent="0.3">
      <c r="B365" s="111" t="str">
        <f>IF(LoanIsGood,IF(ROW()-ROW(PaymentSchedule[[#Headers],[Nº. DE PAGO]])&gt;Numero_De_Pagos_Programados,"",ROW()-ROW(PaymentSchedule[[#Headers],[Nº. DE PAGO]])),"")</f>
        <v/>
      </c>
      <c r="C365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5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5" s="109" t="str">
        <f>IF(PaymentSchedule[[#This Row],[Nº. DE PAGO]]&lt;&gt;"",Pago_Programado,"")</f>
        <v/>
      </c>
      <c r="F365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5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5" s="109" t="str">
        <f>IF(PaymentSchedule[[#This Row],[Nº. DE PAGO]]&lt;&gt;"",PaymentSchedule[[#This Row],[IMPORTE TOTAL DEL PAGO]]-PaymentSchedule[[#This Row],[INTERÉS]],"")</f>
        <v/>
      </c>
      <c r="I365" s="109" t="str">
        <f>IF(PaymentSchedule[[#This Row],[Nº. DE PAGO]]&lt;&gt;"",PaymentSchedule[[#This Row],[SALDO INICIAL]]*(Tasa_De_Interes_Anual/Numero_De_Pagos_Por_Año),"")</f>
        <v/>
      </c>
      <c r="J365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5" s="109" t="str">
        <f>IF(PaymentSchedule[[#This Row],[Nº. DE PAGO]]&lt;&gt;"",SUM(INDEX(PaymentSchedule[INTERÉS],1,1):PaymentSchedule[[#This Row],[INTERÉS]]),"")</f>
        <v/>
      </c>
    </row>
    <row r="366" spans="2:11" x14ac:dyDescent="0.3">
      <c r="B366" s="111" t="str">
        <f>IF(LoanIsGood,IF(ROW()-ROW(PaymentSchedule[[#Headers],[Nº. DE PAGO]])&gt;Numero_De_Pagos_Programados,"",ROW()-ROW(PaymentSchedule[[#Headers],[Nº. DE PAGO]])),"")</f>
        <v/>
      </c>
      <c r="C366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6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6" s="109" t="str">
        <f>IF(PaymentSchedule[[#This Row],[Nº. DE PAGO]]&lt;&gt;"",Pago_Programado,"")</f>
        <v/>
      </c>
      <c r="F366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6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6" s="109" t="str">
        <f>IF(PaymentSchedule[[#This Row],[Nº. DE PAGO]]&lt;&gt;"",PaymentSchedule[[#This Row],[IMPORTE TOTAL DEL PAGO]]-PaymentSchedule[[#This Row],[INTERÉS]],"")</f>
        <v/>
      </c>
      <c r="I366" s="109" t="str">
        <f>IF(PaymentSchedule[[#This Row],[Nº. DE PAGO]]&lt;&gt;"",PaymentSchedule[[#This Row],[SALDO INICIAL]]*(Tasa_De_Interes_Anual/Numero_De_Pagos_Por_Año),"")</f>
        <v/>
      </c>
      <c r="J366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6" s="109" t="str">
        <f>IF(PaymentSchedule[[#This Row],[Nº. DE PAGO]]&lt;&gt;"",SUM(INDEX(PaymentSchedule[INTERÉS],1,1):PaymentSchedule[[#This Row],[INTERÉS]]),"")</f>
        <v/>
      </c>
    </row>
    <row r="367" spans="2:11" x14ac:dyDescent="0.3">
      <c r="B367" s="111" t="str">
        <f>IF(LoanIsGood,IF(ROW()-ROW(PaymentSchedule[[#Headers],[Nº. DE PAGO]])&gt;Numero_De_Pagos_Programados,"",ROW()-ROW(PaymentSchedule[[#Headers],[Nº. DE PAGO]])),"")</f>
        <v/>
      </c>
      <c r="C367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7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7" s="109" t="str">
        <f>IF(PaymentSchedule[[#This Row],[Nº. DE PAGO]]&lt;&gt;"",Pago_Programado,"")</f>
        <v/>
      </c>
      <c r="F367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7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7" s="109" t="str">
        <f>IF(PaymentSchedule[[#This Row],[Nº. DE PAGO]]&lt;&gt;"",PaymentSchedule[[#This Row],[IMPORTE TOTAL DEL PAGO]]-PaymentSchedule[[#This Row],[INTERÉS]],"")</f>
        <v/>
      </c>
      <c r="I367" s="109" t="str">
        <f>IF(PaymentSchedule[[#This Row],[Nº. DE PAGO]]&lt;&gt;"",PaymentSchedule[[#This Row],[SALDO INICIAL]]*(Tasa_De_Interes_Anual/Numero_De_Pagos_Por_Año),"")</f>
        <v/>
      </c>
      <c r="J367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7" s="109" t="str">
        <f>IF(PaymentSchedule[[#This Row],[Nº. DE PAGO]]&lt;&gt;"",SUM(INDEX(PaymentSchedule[INTERÉS],1,1):PaymentSchedule[[#This Row],[INTERÉS]]),"")</f>
        <v/>
      </c>
    </row>
    <row r="368" spans="2:11" x14ac:dyDescent="0.3">
      <c r="B368" s="111" t="str">
        <f>IF(LoanIsGood,IF(ROW()-ROW(PaymentSchedule[[#Headers],[Nº. DE PAGO]])&gt;Numero_De_Pagos_Programados,"",ROW()-ROW(PaymentSchedule[[#Headers],[Nº. DE PAGO]])),"")</f>
        <v/>
      </c>
      <c r="C368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8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8" s="109" t="str">
        <f>IF(PaymentSchedule[[#This Row],[Nº. DE PAGO]]&lt;&gt;"",Pago_Programado,"")</f>
        <v/>
      </c>
      <c r="F368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8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8" s="109" t="str">
        <f>IF(PaymentSchedule[[#This Row],[Nº. DE PAGO]]&lt;&gt;"",PaymentSchedule[[#This Row],[IMPORTE TOTAL DEL PAGO]]-PaymentSchedule[[#This Row],[INTERÉS]],"")</f>
        <v/>
      </c>
      <c r="I368" s="109" t="str">
        <f>IF(PaymentSchedule[[#This Row],[Nº. DE PAGO]]&lt;&gt;"",PaymentSchedule[[#This Row],[SALDO INICIAL]]*(Tasa_De_Interes_Anual/Numero_De_Pagos_Por_Año),"")</f>
        <v/>
      </c>
      <c r="J368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8" s="109" t="str">
        <f>IF(PaymentSchedule[[#This Row],[Nº. DE PAGO]]&lt;&gt;"",SUM(INDEX(PaymentSchedule[INTERÉS],1,1):PaymentSchedule[[#This Row],[INTERÉS]]),"")</f>
        <v/>
      </c>
    </row>
    <row r="369" spans="2:11" x14ac:dyDescent="0.3">
      <c r="B369" s="111" t="str">
        <f>IF(LoanIsGood,IF(ROW()-ROW(PaymentSchedule[[#Headers],[Nº. DE PAGO]])&gt;Numero_De_Pagos_Programados,"",ROW()-ROW(PaymentSchedule[[#Headers],[Nº. DE PAGO]])),"")</f>
        <v/>
      </c>
      <c r="C369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9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9" s="109" t="str">
        <f>IF(PaymentSchedule[[#This Row],[Nº. DE PAGO]]&lt;&gt;"",Pago_Programado,"")</f>
        <v/>
      </c>
      <c r="F369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9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9" s="109" t="str">
        <f>IF(PaymentSchedule[[#This Row],[Nº. DE PAGO]]&lt;&gt;"",PaymentSchedule[[#This Row],[IMPORTE TOTAL DEL PAGO]]-PaymentSchedule[[#This Row],[INTERÉS]],"")</f>
        <v/>
      </c>
      <c r="I369" s="109" t="str">
        <f>IF(PaymentSchedule[[#This Row],[Nº. DE PAGO]]&lt;&gt;"",PaymentSchedule[[#This Row],[SALDO INICIAL]]*(Tasa_De_Interes_Anual/Numero_De_Pagos_Por_Año),"")</f>
        <v/>
      </c>
      <c r="J369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9" s="109" t="str">
        <f>IF(PaymentSchedule[[#This Row],[Nº. DE PAGO]]&lt;&gt;"",SUM(INDEX(PaymentSchedule[INTERÉS],1,1):PaymentSchedule[[#This Row],[INTERÉS]]),"")</f>
        <v/>
      </c>
    </row>
    <row r="370" spans="2:11" x14ac:dyDescent="0.3">
      <c r="B370" s="111" t="str">
        <f>IF(LoanIsGood,IF(ROW()-ROW(PaymentSchedule[[#Headers],[Nº. DE PAGO]])&gt;Numero_De_Pagos_Programados,"",ROW()-ROW(PaymentSchedule[[#Headers],[Nº. DE PAGO]])),"")</f>
        <v/>
      </c>
      <c r="C370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0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0" s="109" t="str">
        <f>IF(PaymentSchedule[[#This Row],[Nº. DE PAGO]]&lt;&gt;"",Pago_Programado,"")</f>
        <v/>
      </c>
      <c r="F370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0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0" s="109" t="str">
        <f>IF(PaymentSchedule[[#This Row],[Nº. DE PAGO]]&lt;&gt;"",PaymentSchedule[[#This Row],[IMPORTE TOTAL DEL PAGO]]-PaymentSchedule[[#This Row],[INTERÉS]],"")</f>
        <v/>
      </c>
      <c r="I370" s="109" t="str">
        <f>IF(PaymentSchedule[[#This Row],[Nº. DE PAGO]]&lt;&gt;"",PaymentSchedule[[#This Row],[SALDO INICIAL]]*(Tasa_De_Interes_Anual/Numero_De_Pagos_Por_Año),"")</f>
        <v/>
      </c>
      <c r="J370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0" s="109" t="str">
        <f>IF(PaymentSchedule[[#This Row],[Nº. DE PAGO]]&lt;&gt;"",SUM(INDEX(PaymentSchedule[INTERÉS],1,1):PaymentSchedule[[#This Row],[INTERÉS]]),"")</f>
        <v/>
      </c>
    </row>
    <row r="371" spans="2:11" x14ac:dyDescent="0.3">
      <c r="B371" s="111" t="str">
        <f>IF(LoanIsGood,IF(ROW()-ROW(PaymentSchedule[[#Headers],[Nº. DE PAGO]])&gt;Numero_De_Pagos_Programados,"",ROW()-ROW(PaymentSchedule[[#Headers],[Nº. DE PAGO]])),"")</f>
        <v/>
      </c>
      <c r="C371" s="11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1" s="10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1" s="109" t="str">
        <f>IF(PaymentSchedule[[#This Row],[Nº. DE PAGO]]&lt;&gt;"",Pago_Programado,"")</f>
        <v/>
      </c>
      <c r="F371" s="10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1" s="10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1" s="109" t="str">
        <f>IF(PaymentSchedule[[#This Row],[Nº. DE PAGO]]&lt;&gt;"",PaymentSchedule[[#This Row],[IMPORTE TOTAL DEL PAGO]]-PaymentSchedule[[#This Row],[INTERÉS]],"")</f>
        <v/>
      </c>
      <c r="I371" s="109" t="str">
        <f>IF(PaymentSchedule[[#This Row],[Nº. DE PAGO]]&lt;&gt;"",PaymentSchedule[[#This Row],[SALDO INICIAL]]*(Tasa_De_Interes_Anual/Numero_De_Pagos_Por_Año),"")</f>
        <v/>
      </c>
      <c r="J371" s="10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1" s="109" t="str">
        <f>IF(PaymentSchedule[[#This Row],[Nº. DE PAGO]]&lt;&gt;"",SUM(INDEX(PaymentSchedule[INTERÉS],1,1):PaymentSchedule[[#This Row],[INTERÉS]]),"")</f>
        <v/>
      </c>
    </row>
  </sheetData>
  <mergeCells count="12">
    <mergeCell ref="C3:D3"/>
    <mergeCell ref="G3:H3"/>
    <mergeCell ref="C4:D4"/>
    <mergeCell ref="G4:H4"/>
    <mergeCell ref="C5:D5"/>
    <mergeCell ref="G5:H5"/>
    <mergeCell ref="C6:D6"/>
    <mergeCell ref="G6:H6"/>
    <mergeCell ref="C7:D7"/>
    <mergeCell ref="G7:H7"/>
    <mergeCell ref="C9:D9"/>
    <mergeCell ref="H9:I9"/>
  </mergeCells>
  <conditionalFormatting sqref="B12:K371">
    <cfRule type="expression" dxfId="0" priority="1">
      <formula>($B12="")+(($D12=0)*($F12=0))</formula>
    </cfRule>
  </conditionalFormatting>
  <dataValidations count="26">
    <dataValidation allowBlank="1" showInputMessage="1" showErrorMessage="1" prompt="Escriba el importe del préstamo en esta celda." sqref="E3" xr:uid="{57EDFD2F-7592-4B3B-AA23-1BA6E814DAC9}"/>
    <dataValidation allowBlank="1" showInputMessage="1" showErrorMessage="1" prompt="Escriba la tasa de interés que se debe pagar anualmente en esta celda." sqref="E4" xr:uid="{BD6A276B-FBBD-41C7-8FB6-4F7B4C78B512}"/>
    <dataValidation allowBlank="1" showInputMessage="1" showErrorMessage="1" prompt="Escriba el periodo del préstamo en años en esta celda." sqref="E5" xr:uid="{0000A75B-9DE6-4C1C-89FE-E3576E2225F0}"/>
    <dataValidation allowBlank="1" showInputMessage="1" showErrorMessage="1" prompt="Escriba el número de pagos que se deben realizar en un año en esta celda." sqref="E6" xr:uid="{50A7471D-37CC-4BA5-AB96-4E725D51DE15}"/>
    <dataValidation allowBlank="1" showInputMessage="1" showErrorMessage="1" prompt="Escriba la fecha de inicio del préstamo en esta celda." sqref="E7" xr:uid="{D9E06D9E-66E1-4520-89B9-694C9052009C}"/>
    <dataValidation allowBlank="1" showInputMessage="1" showErrorMessage="1" prompt="Escriba el importe del pago extra en esta celda." sqref="E9" xr:uid="{F9293CBC-C06C-434B-B0AE-005F0169E9E4}"/>
    <dataValidation allowBlank="1" showInputMessage="1" showErrorMessage="1" prompt="Importe total del interés calculado automáticamente" sqref="I7" xr:uid="{FB75937F-7231-4DCC-8293-B88E36403D7F}"/>
    <dataValidation allowBlank="1" showInputMessage="1" showErrorMessage="1" prompt="Importe del pago programado actualizado automáticamente" sqref="I3" xr:uid="{C9EF3F11-C22F-47AA-9D01-AAF2D3681B6A}"/>
    <dataValidation allowBlank="1" showInputMessage="1" showErrorMessage="1" prompt="Número de pagos programados actualizado automáticamente" sqref="I4" xr:uid="{D163F1E8-8990-43F7-B97D-C080B0E8A33C}"/>
    <dataValidation allowBlank="1" showInputMessage="1" showErrorMessage="1" prompt="Número real de pagos actualizado automáticamente" sqref="I5" xr:uid="{7F29EC40-0AE8-4607-B164-C456EEF89FB1}"/>
    <dataValidation allowBlank="1" showInputMessage="1" showErrorMessage="1" prompt="Este libro genera un programa de amortización del préstamo que calcula el interés total, el total de pagos e incluye la opción de pagos extra." sqref="A1" xr:uid="{7CFF8188-59FE-454E-AC19-C6B399AC524C}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C2" xr:uid="{0F519A0E-68D6-4948-84AF-FBC23D02B9F6}"/>
    <dataValidation allowBlank="1" showInputMessage="1" showErrorMessage="1" prompt="Los campos del resumen del préstamo, de I3 a I7, se ajustan automáticamente según los valores especificados. Escriba el nombre de la entidad de crédito en I9." sqref="G2" xr:uid="{B0FBCC57-BEF6-4E50-8322-9B25EEDF099F}"/>
    <dataValidation allowBlank="1" showInputMessage="1" showErrorMessage="1" prompt="El título de la hoja de cálculo está en esta celda. Escriba los valores del préstamo en las celdas E3 a E7 y los pagos extra en la E9. El resumen del préstamo en la columna I y la tabla de programación de pagos se actualizarán automáticamente._x000a_" sqref="B1" xr:uid="{91A48892-E61E-43F2-AC28-FC1ED126BD49}"/>
    <dataValidation allowBlank="1" showInputMessage="1" showErrorMessage="1" prompt="Importe total de pagos anticipados actualizada automáticamente" sqref="I6" xr:uid="{412DD756-2FD5-44A1-B2F0-1D154A878A8B}"/>
    <dataValidation allowBlank="1" showInputMessage="1" showErrorMessage="1" prompt="El número del pago se actualiza automáticamente en esta columna" sqref="B11" xr:uid="{55BBD4BA-793D-40E8-B4F1-E2491635E12F}"/>
    <dataValidation allowBlank="1" showInputMessage="1" showErrorMessage="1" prompt="La fecha del pago se actualiza automáticamente en esta columna" sqref="C11" xr:uid="{71B1F85A-380D-44C4-9995-0FBE8884C93A}"/>
    <dataValidation allowBlank="1" showInputMessage="1" showErrorMessage="1" prompt="El saldo inicial se actualiza automáticamente en esta columna" sqref="D11" xr:uid="{1334994D-879B-4D86-BB81-FEB81AA1DBAF}"/>
    <dataValidation allowBlank="1" showInputMessage="1" showErrorMessage="1" prompt="El pago programado se actualiza automáticamente en esta columna" sqref="E11" xr:uid="{5FE41027-43C6-44F3-A87C-E69CFFCB8EFB}"/>
    <dataValidation allowBlank="1" showInputMessage="1" showErrorMessage="1" prompt="El pago extra se actualiza automáticamente en esta columna" sqref="F11" xr:uid="{B59AAE1D-ED6A-41C7-86C4-3D8A84EA3910}"/>
    <dataValidation allowBlank="1" showInputMessage="1" showErrorMessage="1" prompt="El importe total del pago se actualiza automáticamente en esta columna" sqref="G11" xr:uid="{373C9270-4AAB-4D2E-B481-B4161E075030}"/>
    <dataValidation allowBlank="1" showInputMessage="1" showErrorMessage="1" prompt="El principal se actualiza automáticamente en esta columna" sqref="H11" xr:uid="{5E6577CB-870D-49C2-B282-C18E11612CF7}"/>
    <dataValidation allowBlank="1" showInputMessage="1" showErrorMessage="1" prompt="El interés se actualiza automáticamente en esta columna" sqref="I11" xr:uid="{20A616F1-D4B6-4D6A-A874-6B6A6AD856EC}"/>
    <dataValidation allowBlank="1" showInputMessage="1" showErrorMessage="1" prompt="El saldo final se actualiza automáticamente en esta columna" sqref="J11" xr:uid="{CA8E4517-5436-44E6-A16A-97DF996537D6}"/>
    <dataValidation allowBlank="1" showInputMessage="1" showErrorMessage="1" prompt="El interés acumulado se actualiza automáticamente en esta columna" sqref="K11" xr:uid="{8DEAF3D9-BA35-44A4-A2EA-39AD61CF9140}"/>
    <dataValidation allowBlank="1" showInputMessage="1" showErrorMessage="1" prompt="Escriba el nombre de la entidad de crédito en esta celda." sqref="H9:I9" xr:uid="{7A9B2D6F-F849-4C9A-8A2B-F40858F6868E}"/>
  </dataValidations>
  <printOptions horizontalCentered="1"/>
  <pageMargins left="0.4" right="0.4" top="0.4" bottom="0.5" header="0.3" footer="0.3"/>
  <pageSetup paperSize="9" scale="58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2EC5-37C9-42D9-B562-F2FEBBA50068}">
  <dimension ref="A1:K36"/>
  <sheetViews>
    <sheetView topLeftCell="A4" zoomScale="93" zoomScaleNormal="93" workbookViewId="0">
      <selection activeCell="F14" sqref="F14"/>
    </sheetView>
  </sheetViews>
  <sheetFormatPr baseColWidth="10" defaultColWidth="11.44140625" defaultRowHeight="14.4" x14ac:dyDescent="0.3"/>
  <cols>
    <col min="1" max="1" width="23.44140625" customWidth="1"/>
    <col min="2" max="2" width="36.33203125" customWidth="1"/>
    <col min="3" max="3" width="12.6640625" customWidth="1"/>
    <col min="4" max="4" width="7.6640625" customWidth="1"/>
    <col min="5" max="5" width="18.109375" bestFit="1" customWidth="1"/>
    <col min="6" max="6" width="20.5546875" bestFit="1" customWidth="1"/>
    <col min="7" max="7" width="26.44140625" bestFit="1" customWidth="1"/>
    <col min="9" max="9" width="22.6640625" bestFit="1" customWidth="1"/>
    <col min="10" max="10" width="16.6640625" customWidth="1"/>
  </cols>
  <sheetData>
    <row r="1" spans="1:11" ht="21" x14ac:dyDescent="0.4">
      <c r="A1" s="420" t="s">
        <v>131</v>
      </c>
      <c r="B1" s="420"/>
      <c r="C1" s="420"/>
      <c r="D1" s="420"/>
      <c r="E1" s="420"/>
      <c r="F1" s="420"/>
      <c r="G1" s="420"/>
      <c r="H1" s="420"/>
      <c r="I1" s="420"/>
      <c r="J1" s="420"/>
    </row>
    <row r="3" spans="1:11" x14ac:dyDescent="0.3">
      <c r="A3" s="5" t="s">
        <v>132</v>
      </c>
      <c r="B3" s="5"/>
    </row>
    <row r="4" spans="1:11" ht="43.2" x14ac:dyDescent="0.3">
      <c r="A4" s="38" t="s">
        <v>133</v>
      </c>
      <c r="B4" s="38" t="s">
        <v>134</v>
      </c>
      <c r="C4" s="38" t="s">
        <v>135</v>
      </c>
      <c r="D4" s="38" t="s">
        <v>136</v>
      </c>
      <c r="E4" s="38" t="s">
        <v>137</v>
      </c>
      <c r="F4" s="38" t="s">
        <v>138</v>
      </c>
      <c r="G4" s="38" t="s">
        <v>139</v>
      </c>
      <c r="H4" s="38" t="s">
        <v>140</v>
      </c>
      <c r="I4" s="38" t="s">
        <v>141</v>
      </c>
      <c r="J4" s="513" t="s">
        <v>142</v>
      </c>
    </row>
    <row r="5" spans="1:11" s="311" customFormat="1" x14ac:dyDescent="0.3">
      <c r="A5" s="38"/>
      <c r="B5" s="510" t="s">
        <v>371</v>
      </c>
      <c r="C5" s="511"/>
      <c r="D5" s="511"/>
      <c r="E5" s="511"/>
      <c r="F5" s="511"/>
      <c r="G5" s="511"/>
      <c r="H5" s="511"/>
      <c r="I5" s="512"/>
      <c r="J5" s="514">
        <f>SUM(J16,J22,J35)</f>
        <v>4316.666666666667</v>
      </c>
    </row>
    <row r="6" spans="1:11" x14ac:dyDescent="0.3">
      <c r="A6" s="329" t="s">
        <v>143</v>
      </c>
      <c r="B6" s="424" t="s">
        <v>144</v>
      </c>
      <c r="C6" s="425"/>
      <c r="D6" s="425"/>
      <c r="E6" s="425"/>
      <c r="F6" s="425"/>
      <c r="G6" s="425"/>
      <c r="H6" s="426"/>
      <c r="I6" s="129">
        <f>SUM(I7:I12)</f>
        <v>5024</v>
      </c>
      <c r="J6" s="516"/>
      <c r="K6" s="312"/>
    </row>
    <row r="7" spans="1:11" x14ac:dyDescent="0.3">
      <c r="A7" s="329"/>
      <c r="B7" s="3" t="s">
        <v>145</v>
      </c>
      <c r="C7" s="69">
        <v>0.1</v>
      </c>
      <c r="D7" s="70">
        <v>10</v>
      </c>
      <c r="E7" s="133">
        <v>6000</v>
      </c>
      <c r="F7" s="133">
        <f>E7*0.2</f>
        <v>1200</v>
      </c>
      <c r="G7" s="133">
        <f>(E7-F7)/D7</f>
        <v>480</v>
      </c>
      <c r="H7" s="3">
        <v>1</v>
      </c>
      <c r="I7" s="130">
        <f>G7*H7</f>
        <v>480</v>
      </c>
      <c r="J7" s="515"/>
    </row>
    <row r="8" spans="1:11" x14ac:dyDescent="0.3">
      <c r="A8" s="329"/>
      <c r="B8" s="3" t="s">
        <v>146</v>
      </c>
      <c r="C8" s="69">
        <v>0.1</v>
      </c>
      <c r="D8" s="70">
        <v>10</v>
      </c>
      <c r="E8" s="133">
        <v>5800</v>
      </c>
      <c r="F8" s="133">
        <f t="shared" ref="F8:F12" si="0">E8*0.2</f>
        <v>1160</v>
      </c>
      <c r="G8" s="133">
        <f t="shared" ref="G8:G12" si="1">(E8-F8)/D8</f>
        <v>464</v>
      </c>
      <c r="H8" s="3">
        <v>1</v>
      </c>
      <c r="I8" s="130">
        <f t="shared" ref="I8:I12" si="2">G8*H8</f>
        <v>464</v>
      </c>
      <c r="J8" s="515"/>
    </row>
    <row r="9" spans="1:11" x14ac:dyDescent="0.3">
      <c r="A9" s="329"/>
      <c r="B9" s="3" t="s">
        <v>147</v>
      </c>
      <c r="C9" s="69">
        <v>0.1</v>
      </c>
      <c r="D9" s="70">
        <v>10</v>
      </c>
      <c r="E9" s="133">
        <v>3000</v>
      </c>
      <c r="F9" s="133">
        <f t="shared" si="0"/>
        <v>600</v>
      </c>
      <c r="G9" s="133">
        <f t="shared" si="1"/>
        <v>240</v>
      </c>
      <c r="H9" s="3">
        <v>7</v>
      </c>
      <c r="I9" s="130">
        <f t="shared" si="2"/>
        <v>1680</v>
      </c>
      <c r="J9" s="515"/>
    </row>
    <row r="10" spans="1:11" x14ac:dyDescent="0.3">
      <c r="A10" s="329"/>
      <c r="B10" s="3" t="s">
        <v>63</v>
      </c>
      <c r="C10" s="69">
        <v>0.1</v>
      </c>
      <c r="D10" s="70">
        <v>10</v>
      </c>
      <c r="E10" s="133">
        <v>1400</v>
      </c>
      <c r="F10" s="133">
        <f t="shared" si="0"/>
        <v>280</v>
      </c>
      <c r="G10" s="133">
        <f t="shared" si="1"/>
        <v>112</v>
      </c>
      <c r="H10" s="3">
        <v>7</v>
      </c>
      <c r="I10" s="130">
        <f t="shared" si="2"/>
        <v>784</v>
      </c>
      <c r="J10" s="515"/>
    </row>
    <row r="11" spans="1:11" x14ac:dyDescent="0.3">
      <c r="A11" s="329"/>
      <c r="B11" s="2" t="s">
        <v>148</v>
      </c>
      <c r="C11" s="69">
        <v>0.1</v>
      </c>
      <c r="D11" s="70">
        <v>10</v>
      </c>
      <c r="E11" s="133">
        <v>1800</v>
      </c>
      <c r="F11" s="133">
        <f t="shared" si="0"/>
        <v>360</v>
      </c>
      <c r="G11" s="133">
        <f t="shared" si="1"/>
        <v>144</v>
      </c>
      <c r="H11" s="3">
        <v>7</v>
      </c>
      <c r="I11" s="130">
        <f t="shared" si="2"/>
        <v>1008</v>
      </c>
      <c r="J11" s="515"/>
    </row>
    <row r="12" spans="1:11" x14ac:dyDescent="0.3">
      <c r="A12" s="329"/>
      <c r="B12" s="2" t="s">
        <v>149</v>
      </c>
      <c r="C12" s="69">
        <v>0.1</v>
      </c>
      <c r="D12" s="70">
        <v>10</v>
      </c>
      <c r="E12" s="133">
        <v>3800</v>
      </c>
      <c r="F12" s="133">
        <f t="shared" si="0"/>
        <v>760</v>
      </c>
      <c r="G12" s="133">
        <f t="shared" si="1"/>
        <v>304</v>
      </c>
      <c r="H12" s="3">
        <v>2</v>
      </c>
      <c r="I12" s="130">
        <f t="shared" si="2"/>
        <v>608</v>
      </c>
      <c r="J12" s="515"/>
    </row>
    <row r="13" spans="1:11" x14ac:dyDescent="0.3">
      <c r="A13" s="329"/>
      <c r="B13" s="421" t="s">
        <v>150</v>
      </c>
      <c r="C13" s="422"/>
      <c r="D13" s="422"/>
      <c r="E13" s="422"/>
      <c r="F13" s="422"/>
      <c r="G13" s="422"/>
      <c r="H13" s="423"/>
      <c r="I13" s="131">
        <f>SUM(I14:I15)</f>
        <v>30200</v>
      </c>
      <c r="J13" s="515"/>
    </row>
    <row r="14" spans="1:11" x14ac:dyDescent="0.3">
      <c r="A14" s="329"/>
      <c r="B14" s="3" t="s">
        <v>151</v>
      </c>
      <c r="C14" s="69">
        <v>0.25</v>
      </c>
      <c r="D14" s="3">
        <v>4</v>
      </c>
      <c r="E14" s="133">
        <v>11000</v>
      </c>
      <c r="F14" s="133">
        <f t="shared" ref="F14:F15" si="3">E14*0.2</f>
        <v>2200</v>
      </c>
      <c r="G14" s="133">
        <f t="shared" ref="G14:G15" si="4">(E14-F14)/D14</f>
        <v>2200</v>
      </c>
      <c r="H14" s="3">
        <v>1</v>
      </c>
      <c r="I14" s="130">
        <f t="shared" ref="I14:I15" si="5">G14*H14</f>
        <v>2200</v>
      </c>
      <c r="J14" s="515"/>
    </row>
    <row r="15" spans="1:11" x14ac:dyDescent="0.3">
      <c r="A15" s="329"/>
      <c r="B15" s="4" t="s">
        <v>152</v>
      </c>
      <c r="C15" s="69">
        <v>0.25</v>
      </c>
      <c r="D15" s="3">
        <v>4</v>
      </c>
      <c r="E15" s="133">
        <v>20000</v>
      </c>
      <c r="F15" s="133">
        <f t="shared" si="3"/>
        <v>4000</v>
      </c>
      <c r="G15" s="133">
        <f t="shared" si="4"/>
        <v>4000</v>
      </c>
      <c r="H15" s="3">
        <v>7</v>
      </c>
      <c r="I15" s="130">
        <f t="shared" si="5"/>
        <v>28000</v>
      </c>
      <c r="J15" s="517"/>
    </row>
    <row r="16" spans="1:11" x14ac:dyDescent="0.3">
      <c r="A16" s="329"/>
      <c r="B16" s="427" t="s">
        <v>153</v>
      </c>
      <c r="C16" s="428"/>
      <c r="D16" s="428"/>
      <c r="E16" s="428"/>
      <c r="F16" s="428"/>
      <c r="G16" s="428"/>
      <c r="H16" s="428"/>
      <c r="I16" s="132">
        <f>SUM(I6,I13)</f>
        <v>35224</v>
      </c>
      <c r="J16" s="514">
        <f>I16/12</f>
        <v>2935.3333333333335</v>
      </c>
    </row>
    <row r="17" spans="1:10" x14ac:dyDescent="0.3">
      <c r="A17" s="329" t="s">
        <v>26</v>
      </c>
      <c r="B17" s="424" t="s">
        <v>144</v>
      </c>
      <c r="C17" s="425"/>
      <c r="D17" s="425"/>
      <c r="E17" s="425"/>
      <c r="F17" s="425"/>
      <c r="G17" s="425"/>
      <c r="H17" s="426"/>
      <c r="I17" s="129">
        <f>SUM(I18:I19)</f>
        <v>920</v>
      </c>
      <c r="J17" s="516"/>
    </row>
    <row r="18" spans="1:10" x14ac:dyDescent="0.3">
      <c r="A18" s="329"/>
      <c r="B18" s="1" t="s">
        <v>154</v>
      </c>
      <c r="C18" s="69">
        <v>0.1</v>
      </c>
      <c r="D18" s="70">
        <v>10</v>
      </c>
      <c r="E18" s="133">
        <v>10100</v>
      </c>
      <c r="F18" s="133">
        <f t="shared" ref="F18:F19" si="6">E18*0.2</f>
        <v>2020</v>
      </c>
      <c r="G18" s="133">
        <f t="shared" ref="G18:G19" si="7">(E18-F18)/D18</f>
        <v>808</v>
      </c>
      <c r="H18" s="3">
        <v>1</v>
      </c>
      <c r="I18" s="130">
        <f t="shared" ref="I18:I19" si="8">G18*H18</f>
        <v>808</v>
      </c>
      <c r="J18" s="515"/>
    </row>
    <row r="19" spans="1:10" x14ac:dyDescent="0.3">
      <c r="A19" s="329"/>
      <c r="B19" s="1" t="s">
        <v>63</v>
      </c>
      <c r="C19" s="69">
        <v>0.1</v>
      </c>
      <c r="D19" s="70">
        <v>10</v>
      </c>
      <c r="E19" s="133">
        <v>1400</v>
      </c>
      <c r="F19" s="133">
        <f t="shared" si="6"/>
        <v>280</v>
      </c>
      <c r="G19" s="133">
        <f t="shared" si="7"/>
        <v>112</v>
      </c>
      <c r="H19" s="3">
        <v>1</v>
      </c>
      <c r="I19" s="130">
        <f t="shared" si="8"/>
        <v>112</v>
      </c>
      <c r="J19" s="515"/>
    </row>
    <row r="20" spans="1:10" x14ac:dyDescent="0.3">
      <c r="A20" s="329"/>
      <c r="B20" s="421" t="s">
        <v>150</v>
      </c>
      <c r="C20" s="422"/>
      <c r="D20" s="422"/>
      <c r="E20" s="422"/>
      <c r="F20" s="422"/>
      <c r="G20" s="422"/>
      <c r="H20" s="423"/>
      <c r="I20" s="131">
        <f>SUM(I21)</f>
        <v>1800</v>
      </c>
      <c r="J20" s="515"/>
    </row>
    <row r="21" spans="1:10" x14ac:dyDescent="0.3">
      <c r="A21" s="329"/>
      <c r="B21" s="2" t="s">
        <v>155</v>
      </c>
      <c r="C21" s="69">
        <v>0.25</v>
      </c>
      <c r="D21" s="3">
        <v>4</v>
      </c>
      <c r="E21" s="133">
        <v>9000</v>
      </c>
      <c r="F21" s="133">
        <f t="shared" ref="F21" si="9">E21*0.2</f>
        <v>1800</v>
      </c>
      <c r="G21" s="133">
        <f t="shared" ref="G21" si="10">(E21-F21)/D21</f>
        <v>1800</v>
      </c>
      <c r="H21" s="1">
        <v>1</v>
      </c>
      <c r="I21" s="133">
        <f t="shared" ref="I21" si="11">G21*H21</f>
        <v>1800</v>
      </c>
      <c r="J21" s="517"/>
    </row>
    <row r="22" spans="1:10" x14ac:dyDescent="0.3">
      <c r="A22" s="329"/>
      <c r="B22" s="429" t="s">
        <v>156</v>
      </c>
      <c r="C22" s="429"/>
      <c r="D22" s="429"/>
      <c r="E22" s="429"/>
      <c r="F22" s="429"/>
      <c r="G22" s="429"/>
      <c r="H22" s="429"/>
      <c r="I22" s="132">
        <f>SUM(I17,I20)</f>
        <v>2720</v>
      </c>
      <c r="J22" s="514">
        <f>I22/12</f>
        <v>226.66666666666666</v>
      </c>
    </row>
    <row r="23" spans="1:10" x14ac:dyDescent="0.3">
      <c r="A23" s="329" t="s">
        <v>31</v>
      </c>
      <c r="B23" s="424" t="s">
        <v>144</v>
      </c>
      <c r="C23" s="425"/>
      <c r="D23" s="425"/>
      <c r="E23" s="425"/>
      <c r="F23" s="425"/>
      <c r="G23" s="425"/>
      <c r="H23" s="426"/>
      <c r="I23" s="134">
        <f>SUM(I24:I31)</f>
        <v>6256</v>
      </c>
      <c r="J23" s="516"/>
    </row>
    <row r="24" spans="1:10" x14ac:dyDescent="0.3">
      <c r="A24" s="329"/>
      <c r="B24" s="71" t="s">
        <v>145</v>
      </c>
      <c r="C24" s="69">
        <v>0.1</v>
      </c>
      <c r="D24" s="70">
        <v>10</v>
      </c>
      <c r="E24" s="133">
        <v>6000</v>
      </c>
      <c r="F24" s="133">
        <f>E24*0.2</f>
        <v>1200</v>
      </c>
      <c r="G24" s="133">
        <f>(E24-F24)/D24</f>
        <v>480</v>
      </c>
      <c r="H24" s="3">
        <v>1</v>
      </c>
      <c r="I24" s="130">
        <f>G24*H24</f>
        <v>480</v>
      </c>
      <c r="J24" s="515"/>
    </row>
    <row r="25" spans="1:10" x14ac:dyDescent="0.3">
      <c r="A25" s="329"/>
      <c r="B25" s="71" t="s">
        <v>157</v>
      </c>
      <c r="C25" s="69">
        <v>0.1</v>
      </c>
      <c r="D25" s="70">
        <v>10</v>
      </c>
      <c r="E25" s="133">
        <v>5800</v>
      </c>
      <c r="F25" s="133">
        <f t="shared" ref="F25:F34" si="12">E25*0.2</f>
        <v>1160</v>
      </c>
      <c r="G25" s="133">
        <f t="shared" ref="G25:G34" si="13">(E25-F25)/D25</f>
        <v>464</v>
      </c>
      <c r="H25" s="3">
        <v>1</v>
      </c>
      <c r="I25" s="130">
        <f t="shared" ref="I25:I34" si="14">G25*H25</f>
        <v>464</v>
      </c>
      <c r="J25" s="515"/>
    </row>
    <row r="26" spans="1:10" x14ac:dyDescent="0.3">
      <c r="A26" s="329"/>
      <c r="B26" s="1" t="s">
        <v>154</v>
      </c>
      <c r="C26" s="69">
        <v>0.1</v>
      </c>
      <c r="D26" s="70">
        <v>10</v>
      </c>
      <c r="E26" s="133">
        <v>10100</v>
      </c>
      <c r="F26" s="133">
        <f t="shared" si="12"/>
        <v>2020</v>
      </c>
      <c r="G26" s="133">
        <f t="shared" si="13"/>
        <v>808</v>
      </c>
      <c r="H26" s="3">
        <v>3</v>
      </c>
      <c r="I26" s="130">
        <f t="shared" si="14"/>
        <v>2424</v>
      </c>
      <c r="J26" s="515"/>
    </row>
    <row r="27" spans="1:10" x14ac:dyDescent="0.3">
      <c r="A27" s="329"/>
      <c r="B27" s="1" t="s">
        <v>63</v>
      </c>
      <c r="C27" s="69">
        <v>0.1</v>
      </c>
      <c r="D27" s="70">
        <v>10</v>
      </c>
      <c r="E27" s="133">
        <v>1400</v>
      </c>
      <c r="F27" s="133">
        <f t="shared" si="12"/>
        <v>280</v>
      </c>
      <c r="G27" s="133">
        <f t="shared" si="13"/>
        <v>112</v>
      </c>
      <c r="H27" s="3">
        <v>3</v>
      </c>
      <c r="I27" s="130">
        <f t="shared" si="14"/>
        <v>336</v>
      </c>
      <c r="J27" s="515"/>
    </row>
    <row r="28" spans="1:10" x14ac:dyDescent="0.3">
      <c r="A28" s="329"/>
      <c r="B28" s="1" t="s">
        <v>158</v>
      </c>
      <c r="C28" s="69">
        <v>0.1</v>
      </c>
      <c r="D28" s="70">
        <v>10</v>
      </c>
      <c r="E28" s="133">
        <v>1400</v>
      </c>
      <c r="F28" s="133">
        <f t="shared" si="12"/>
        <v>280</v>
      </c>
      <c r="G28" s="133">
        <f t="shared" si="13"/>
        <v>112</v>
      </c>
      <c r="H28" s="3">
        <v>1</v>
      </c>
      <c r="I28" s="130">
        <f t="shared" si="14"/>
        <v>112</v>
      </c>
      <c r="J28" s="515"/>
    </row>
    <row r="29" spans="1:10" x14ac:dyDescent="0.3">
      <c r="A29" s="329"/>
      <c r="B29" s="72" t="s">
        <v>159</v>
      </c>
      <c r="C29" s="69">
        <v>0.1</v>
      </c>
      <c r="D29" s="70">
        <v>10</v>
      </c>
      <c r="E29" s="135">
        <v>15000</v>
      </c>
      <c r="F29" s="135">
        <f t="shared" si="12"/>
        <v>3000</v>
      </c>
      <c r="G29" s="135">
        <f t="shared" si="13"/>
        <v>1200</v>
      </c>
      <c r="H29" s="1">
        <v>1</v>
      </c>
      <c r="I29" s="130">
        <f t="shared" si="14"/>
        <v>1200</v>
      </c>
      <c r="J29" s="515"/>
    </row>
    <row r="30" spans="1:10" x14ac:dyDescent="0.3">
      <c r="A30" s="329"/>
      <c r="B30" s="72" t="s">
        <v>160</v>
      </c>
      <c r="C30" s="69">
        <v>0.1</v>
      </c>
      <c r="D30" s="70">
        <v>10</v>
      </c>
      <c r="E30" s="135">
        <v>8000</v>
      </c>
      <c r="F30" s="135">
        <f t="shared" si="12"/>
        <v>1600</v>
      </c>
      <c r="G30" s="135">
        <f t="shared" si="13"/>
        <v>640</v>
      </c>
      <c r="H30" s="1">
        <v>1</v>
      </c>
      <c r="I30" s="130">
        <f t="shared" si="14"/>
        <v>640</v>
      </c>
      <c r="J30" s="515"/>
    </row>
    <row r="31" spans="1:10" x14ac:dyDescent="0.3">
      <c r="A31" s="329"/>
      <c r="B31" s="72" t="s">
        <v>161</v>
      </c>
      <c r="C31" s="69">
        <v>0.1</v>
      </c>
      <c r="D31" s="70">
        <v>10</v>
      </c>
      <c r="E31" s="135">
        <v>1500</v>
      </c>
      <c r="F31" s="135">
        <f t="shared" ref="F31" si="15">E31*0.2</f>
        <v>300</v>
      </c>
      <c r="G31" s="135">
        <f t="shared" ref="G31" si="16">(E31-F31)/D31</f>
        <v>120</v>
      </c>
      <c r="H31" s="1">
        <v>5</v>
      </c>
      <c r="I31" s="130">
        <f t="shared" ref="I31" si="17">G31*H31</f>
        <v>600</v>
      </c>
      <c r="J31" s="515"/>
    </row>
    <row r="32" spans="1:10" x14ac:dyDescent="0.3">
      <c r="A32" s="329"/>
      <c r="B32" s="421" t="s">
        <v>150</v>
      </c>
      <c r="C32" s="422"/>
      <c r="D32" s="422"/>
      <c r="E32" s="422"/>
      <c r="F32" s="422"/>
      <c r="G32" s="422"/>
      <c r="H32" s="423"/>
      <c r="I32" s="134">
        <f>SUM(I33:I34)</f>
        <v>7600</v>
      </c>
      <c r="J32" s="515"/>
    </row>
    <row r="33" spans="1:10" x14ac:dyDescent="0.3">
      <c r="A33" s="329"/>
      <c r="B33" s="1" t="s">
        <v>151</v>
      </c>
      <c r="C33" s="69">
        <v>0.25</v>
      </c>
      <c r="D33" s="3">
        <v>4</v>
      </c>
      <c r="E33" s="133">
        <v>11000</v>
      </c>
      <c r="F33" s="133">
        <f t="shared" si="12"/>
        <v>2200</v>
      </c>
      <c r="G33" s="133">
        <f t="shared" si="13"/>
        <v>2200</v>
      </c>
      <c r="H33" s="3">
        <v>1</v>
      </c>
      <c r="I33" s="130">
        <f t="shared" si="14"/>
        <v>2200</v>
      </c>
      <c r="J33" s="515"/>
    </row>
    <row r="34" spans="1:10" x14ac:dyDescent="0.3">
      <c r="A34" s="329"/>
      <c r="B34" s="2" t="s">
        <v>155</v>
      </c>
      <c r="C34" s="69">
        <v>0.25</v>
      </c>
      <c r="D34" s="3">
        <v>4</v>
      </c>
      <c r="E34" s="133">
        <v>9000</v>
      </c>
      <c r="F34" s="133">
        <f t="shared" si="12"/>
        <v>1800</v>
      </c>
      <c r="G34" s="133">
        <f t="shared" si="13"/>
        <v>1800</v>
      </c>
      <c r="H34" s="1">
        <v>3</v>
      </c>
      <c r="I34" s="133">
        <f t="shared" si="14"/>
        <v>5400</v>
      </c>
      <c r="J34" s="517"/>
    </row>
    <row r="35" spans="1:10" x14ac:dyDescent="0.3">
      <c r="A35" s="329"/>
      <c r="B35" s="429" t="s">
        <v>162</v>
      </c>
      <c r="C35" s="429"/>
      <c r="D35" s="429"/>
      <c r="E35" s="429"/>
      <c r="F35" s="429"/>
      <c r="G35" s="429"/>
      <c r="H35" s="429"/>
      <c r="I35" s="132">
        <f>SUM(I32,I23)</f>
        <v>13856</v>
      </c>
      <c r="J35" s="514">
        <f>I35/12</f>
        <v>1154.6666666666667</v>
      </c>
    </row>
    <row r="36" spans="1:10" x14ac:dyDescent="0.3">
      <c r="A36" s="5" t="s">
        <v>163</v>
      </c>
      <c r="B36" s="5" t="s">
        <v>164</v>
      </c>
      <c r="C36" s="5"/>
      <c r="D36" s="5"/>
      <c r="E36" s="5"/>
    </row>
  </sheetData>
  <mergeCells count="17">
    <mergeCell ref="J6:J15"/>
    <mergeCell ref="J17:J21"/>
    <mergeCell ref="J23:J34"/>
    <mergeCell ref="A1:J1"/>
    <mergeCell ref="B20:H20"/>
    <mergeCell ref="B23:H23"/>
    <mergeCell ref="B32:H32"/>
    <mergeCell ref="B6:H6"/>
    <mergeCell ref="A23:A35"/>
    <mergeCell ref="A17:A22"/>
    <mergeCell ref="A6:A16"/>
    <mergeCell ref="B17:H17"/>
    <mergeCell ref="B16:H16"/>
    <mergeCell ref="B22:H22"/>
    <mergeCell ref="B35:H35"/>
    <mergeCell ref="B13:H13"/>
    <mergeCell ref="B5:I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sqref="A1:F4"/>
    </sheetView>
  </sheetViews>
  <sheetFormatPr baseColWidth="10" defaultColWidth="11.44140625" defaultRowHeight="14.4" x14ac:dyDescent="0.3"/>
  <cols>
    <col min="1" max="1" width="18.33203125" customWidth="1"/>
    <col min="2" max="3" width="22.109375" style="37" bestFit="1" customWidth="1"/>
    <col min="4" max="4" width="21.6640625" style="6" bestFit="1" customWidth="1"/>
    <col min="5" max="6" width="22.109375" bestFit="1" customWidth="1"/>
    <col min="7" max="7" width="21.5546875" customWidth="1"/>
  </cols>
  <sheetData>
    <row r="1" spans="1:7" ht="21" x14ac:dyDescent="0.4">
      <c r="A1" s="420" t="s">
        <v>165</v>
      </c>
      <c r="B1" s="420"/>
      <c r="C1" s="420"/>
      <c r="D1" s="420"/>
      <c r="E1" s="420"/>
      <c r="F1" s="420"/>
    </row>
    <row r="2" spans="1:7" x14ac:dyDescent="0.3">
      <c r="B2" s="141">
        <v>2019</v>
      </c>
      <c r="C2" s="140">
        <v>2020</v>
      </c>
      <c r="D2" s="139">
        <v>2021</v>
      </c>
      <c r="E2" s="138">
        <v>2022</v>
      </c>
      <c r="F2" s="139">
        <v>2023</v>
      </c>
      <c r="G2" s="139">
        <v>2024</v>
      </c>
    </row>
    <row r="3" spans="1:7" s="6" customFormat="1" ht="42.45" customHeight="1" x14ac:dyDescent="0.3">
      <c r="A3" s="38" t="s">
        <v>166</v>
      </c>
      <c r="B3" s="41" t="s">
        <v>167</v>
      </c>
      <c r="C3" s="41" t="s">
        <v>168</v>
      </c>
      <c r="D3" s="38" t="s">
        <v>169</v>
      </c>
      <c r="E3" s="38" t="s">
        <v>169</v>
      </c>
      <c r="F3" s="38" t="s">
        <v>169</v>
      </c>
      <c r="G3" s="38" t="s">
        <v>169</v>
      </c>
    </row>
    <row r="4" spans="1:7" x14ac:dyDescent="0.3">
      <c r="A4" s="7" t="s">
        <v>170</v>
      </c>
      <c r="B4" s="42">
        <v>2</v>
      </c>
      <c r="C4" s="42">
        <v>4</v>
      </c>
      <c r="D4" s="42">
        <v>6</v>
      </c>
      <c r="E4" s="42">
        <v>8</v>
      </c>
      <c r="F4" s="42">
        <v>11</v>
      </c>
      <c r="G4" s="42">
        <v>15</v>
      </c>
    </row>
    <row r="6" spans="1:7" x14ac:dyDescent="0.3">
      <c r="B6" s="289"/>
      <c r="C6" s="289"/>
      <c r="D6" s="149"/>
      <c r="G6" s="147">
        <f>SUM(B4:G4)</f>
        <v>46</v>
      </c>
    </row>
    <row r="8" spans="1:7" x14ac:dyDescent="0.3">
      <c r="B8" s="430"/>
      <c r="C8" s="430"/>
      <c r="D8" s="149"/>
    </row>
    <row r="9" spans="1:7" x14ac:dyDescent="0.3">
      <c r="B9" s="430"/>
      <c r="C9" s="430"/>
      <c r="D9" s="149"/>
    </row>
    <row r="10" spans="1:7" x14ac:dyDescent="0.3">
      <c r="B10" s="430"/>
      <c r="C10" s="430"/>
      <c r="D10" s="149"/>
    </row>
  </sheetData>
  <mergeCells count="2">
    <mergeCell ref="A1:F1"/>
    <mergeCell ref="B8:C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F901-FEF6-452B-944F-547E790E533C}">
  <dimension ref="A1:E20"/>
  <sheetViews>
    <sheetView workbookViewId="0">
      <selection activeCell="F14" sqref="F14"/>
    </sheetView>
  </sheetViews>
  <sheetFormatPr baseColWidth="10" defaultColWidth="11.44140625" defaultRowHeight="14.4" x14ac:dyDescent="0.3"/>
  <cols>
    <col min="1" max="1" width="32" bestFit="1" customWidth="1"/>
    <col min="2" max="2" width="32.109375" customWidth="1"/>
    <col min="3" max="3" width="21" customWidth="1"/>
    <col min="4" max="4" width="24.6640625" customWidth="1"/>
    <col min="5" max="5" width="25.33203125" customWidth="1"/>
    <col min="6" max="6" width="32" bestFit="1" customWidth="1"/>
  </cols>
  <sheetData>
    <row r="1" spans="1:5" x14ac:dyDescent="0.3">
      <c r="A1" t="s">
        <v>171</v>
      </c>
      <c r="B1" s="150" t="s">
        <v>172</v>
      </c>
    </row>
    <row r="3" spans="1:5" x14ac:dyDescent="0.3">
      <c r="A3" s="227" t="s">
        <v>173</v>
      </c>
      <c r="B3" s="149">
        <v>164745</v>
      </c>
    </row>
    <row r="4" spans="1:5" x14ac:dyDescent="0.3">
      <c r="A4" s="227" t="s">
        <v>174</v>
      </c>
      <c r="B4" s="149">
        <v>40</v>
      </c>
    </row>
    <row r="5" spans="1:5" x14ac:dyDescent="0.3">
      <c r="A5" s="227" t="s">
        <v>175</v>
      </c>
      <c r="B5" s="149">
        <f>ROUNDUP(B3/B4,0)</f>
        <v>4119</v>
      </c>
    </row>
    <row r="6" spans="1:5" x14ac:dyDescent="0.3">
      <c r="A6" s="227" t="s">
        <v>176</v>
      </c>
      <c r="B6" s="149">
        <v>46</v>
      </c>
    </row>
    <row r="7" spans="1:5" x14ac:dyDescent="0.3">
      <c r="A7" s="227" t="s">
        <v>177</v>
      </c>
      <c r="B7" s="149">
        <f>ROUNDUP(B5/B6,0)</f>
        <v>90</v>
      </c>
    </row>
    <row r="8" spans="1:5" x14ac:dyDescent="0.3">
      <c r="A8" s="227" t="s">
        <v>178</v>
      </c>
      <c r="B8" s="149">
        <v>20</v>
      </c>
    </row>
    <row r="9" spans="1:5" x14ac:dyDescent="0.3">
      <c r="A9" s="227" t="s">
        <v>179</v>
      </c>
      <c r="B9" s="149">
        <f>SUM(B7:B8)</f>
        <v>110</v>
      </c>
    </row>
    <row r="11" spans="1:5" x14ac:dyDescent="0.3">
      <c r="B11" s="226" t="s">
        <v>180</v>
      </c>
      <c r="C11" s="226" t="s">
        <v>181</v>
      </c>
      <c r="D11" s="226" t="s">
        <v>182</v>
      </c>
      <c r="E11" s="226" t="s">
        <v>183</v>
      </c>
    </row>
    <row r="12" spans="1:5" x14ac:dyDescent="0.3">
      <c r="A12" t="s">
        <v>184</v>
      </c>
      <c r="B12" s="149">
        <v>1</v>
      </c>
      <c r="C12" s="149">
        <v>700</v>
      </c>
      <c r="D12" s="149">
        <f>B12*C12</f>
        <v>700</v>
      </c>
      <c r="E12" s="149">
        <f t="shared" ref="E12:E18" si="0">D12*$B$9</f>
        <v>77000</v>
      </c>
    </row>
    <row r="13" spans="1:5" x14ac:dyDescent="0.3">
      <c r="A13" t="s">
        <v>185</v>
      </c>
      <c r="B13" s="149">
        <v>8</v>
      </c>
      <c r="C13" s="149">
        <v>10</v>
      </c>
      <c r="D13" s="149">
        <f t="shared" ref="D13:D17" si="1">B13*C13</f>
        <v>80</v>
      </c>
      <c r="E13" s="149">
        <f t="shared" si="0"/>
        <v>8800</v>
      </c>
    </row>
    <row r="14" spans="1:5" x14ac:dyDescent="0.3">
      <c r="A14" t="s">
        <v>186</v>
      </c>
      <c r="B14" s="149">
        <v>25</v>
      </c>
      <c r="C14" s="149">
        <v>5</v>
      </c>
      <c r="D14" s="149">
        <f t="shared" si="1"/>
        <v>125</v>
      </c>
      <c r="E14" s="149">
        <f t="shared" si="0"/>
        <v>13750</v>
      </c>
    </row>
    <row r="15" spans="1:5" x14ac:dyDescent="0.3">
      <c r="A15" t="s">
        <v>187</v>
      </c>
      <c r="B15" s="149">
        <v>1</v>
      </c>
      <c r="C15" s="149">
        <v>140</v>
      </c>
      <c r="D15" s="149">
        <f t="shared" si="1"/>
        <v>140</v>
      </c>
      <c r="E15" s="149">
        <f t="shared" si="0"/>
        <v>15400</v>
      </c>
    </row>
    <row r="16" spans="1:5" x14ac:dyDescent="0.3">
      <c r="A16" t="s">
        <v>188</v>
      </c>
      <c r="B16" s="149">
        <v>1</v>
      </c>
      <c r="C16" s="149">
        <v>70</v>
      </c>
      <c r="D16" s="149">
        <f t="shared" si="1"/>
        <v>70</v>
      </c>
      <c r="E16" s="149">
        <f t="shared" si="0"/>
        <v>7700</v>
      </c>
    </row>
    <row r="17" spans="1:5" x14ac:dyDescent="0.3">
      <c r="A17" t="s">
        <v>189</v>
      </c>
      <c r="B17" s="149">
        <v>1</v>
      </c>
      <c r="C17" s="149">
        <v>450</v>
      </c>
      <c r="D17" s="149">
        <f t="shared" si="1"/>
        <v>450</v>
      </c>
      <c r="E17" s="149">
        <f t="shared" si="0"/>
        <v>49500</v>
      </c>
    </row>
    <row r="18" spans="1:5" x14ac:dyDescent="0.3">
      <c r="A18" t="s">
        <v>190</v>
      </c>
      <c r="B18" s="149">
        <v>1</v>
      </c>
      <c r="C18" s="149">
        <v>2000</v>
      </c>
      <c r="D18" s="149">
        <f t="shared" ref="D18" si="2">B18*C18</f>
        <v>2000</v>
      </c>
      <c r="E18" s="149">
        <f t="shared" si="0"/>
        <v>220000</v>
      </c>
    </row>
    <row r="20" spans="1:5" x14ac:dyDescent="0.3">
      <c r="A20" t="s">
        <v>372</v>
      </c>
      <c r="B20">
        <v>2568.89</v>
      </c>
    </row>
  </sheetData>
  <hyperlinks>
    <hyperlink ref="B1" r:id="rId1" xr:uid="{A1A67800-24FA-461E-BA78-B4DF4CD3C1A2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AW60"/>
  <sheetViews>
    <sheetView topLeftCell="A40" zoomScale="68" zoomScaleNormal="68" workbookViewId="0">
      <selection activeCell="I68" sqref="I68"/>
    </sheetView>
  </sheetViews>
  <sheetFormatPr baseColWidth="10" defaultColWidth="11.44140625" defaultRowHeight="14.4" x14ac:dyDescent="0.3"/>
  <cols>
    <col min="1" max="1" width="43.5546875" bestFit="1" customWidth="1"/>
    <col min="2" max="2" width="19.6640625" style="8" customWidth="1"/>
    <col min="3" max="3" width="20" customWidth="1"/>
    <col min="4" max="4" width="18" customWidth="1"/>
    <col min="5" max="5" width="16.88671875" customWidth="1"/>
    <col min="6" max="6" width="20" customWidth="1"/>
    <col min="7" max="7" width="19.88671875" customWidth="1"/>
    <col min="8" max="8" width="17.88671875" customWidth="1"/>
    <col min="9" max="9" width="21.109375" customWidth="1"/>
    <col min="10" max="10" width="17" bestFit="1" customWidth="1"/>
    <col min="11" max="11" width="19.33203125" customWidth="1"/>
    <col min="12" max="12" width="14.6640625" customWidth="1"/>
    <col min="13" max="13" width="17.44140625" customWidth="1"/>
    <col min="14" max="14" width="17.5546875" customWidth="1"/>
    <col min="15" max="15" width="20.44140625" customWidth="1"/>
    <col min="16" max="16" width="19.6640625" customWidth="1"/>
    <col min="17" max="17" width="22.33203125" customWidth="1"/>
    <col min="18" max="18" width="17" bestFit="1" customWidth="1"/>
    <col min="19" max="19" width="24.6640625" customWidth="1"/>
    <col min="20" max="20" width="14.6640625" bestFit="1" customWidth="1"/>
    <col min="21" max="21" width="16.44140625" customWidth="1"/>
    <col min="22" max="22" width="18" customWidth="1"/>
    <col min="23" max="23" width="20.6640625" customWidth="1"/>
    <col min="24" max="24" width="19.6640625" customWidth="1"/>
    <col min="25" max="25" width="22.33203125" customWidth="1"/>
    <col min="26" max="26" width="17" bestFit="1" customWidth="1"/>
    <col min="27" max="27" width="20.88671875" customWidth="1"/>
    <col min="28" max="28" width="15" customWidth="1"/>
    <col min="29" max="29" width="16.44140625" customWidth="1"/>
    <col min="30" max="30" width="15.33203125" customWidth="1"/>
    <col min="31" max="31" width="18.109375" bestFit="1" customWidth="1"/>
    <col min="32" max="32" width="19.6640625" customWidth="1"/>
    <col min="33" max="33" width="22.33203125" customWidth="1"/>
    <col min="34" max="34" width="17" bestFit="1" customWidth="1"/>
    <col min="35" max="35" width="19.5546875" customWidth="1"/>
    <col min="36" max="36" width="15.88671875" customWidth="1"/>
    <col min="37" max="37" width="16.44140625" customWidth="1"/>
    <col min="38" max="38" width="15.88671875" customWidth="1"/>
    <col min="39" max="39" width="19.33203125" customWidth="1"/>
    <col min="40" max="40" width="19.6640625" customWidth="1"/>
    <col min="41" max="41" width="22.33203125" customWidth="1"/>
    <col min="42" max="42" width="17" bestFit="1" customWidth="1"/>
    <col min="43" max="43" width="16.6640625" bestFit="1" customWidth="1"/>
    <col min="44" max="44" width="13.5546875" bestFit="1" customWidth="1"/>
    <col min="45" max="45" width="16.44140625" customWidth="1"/>
    <col min="46" max="46" width="15.33203125" customWidth="1"/>
    <col min="47" max="47" width="16.6640625" bestFit="1" customWidth="1"/>
    <col min="48" max="48" width="19.6640625" customWidth="1"/>
    <col min="49" max="49" width="22.33203125" customWidth="1"/>
  </cols>
  <sheetData>
    <row r="2" spans="1:49" x14ac:dyDescent="0.3">
      <c r="A2" s="406" t="s">
        <v>192</v>
      </c>
      <c r="B2" s="406"/>
      <c r="C2" s="406"/>
      <c r="D2" s="406"/>
      <c r="E2" s="406"/>
      <c r="F2" s="44">
        <v>3.5000000000000003E-2</v>
      </c>
    </row>
    <row r="3" spans="1:49" ht="18.600000000000001" thickBot="1" x14ac:dyDescent="0.4">
      <c r="A3" s="397" t="s">
        <v>193</v>
      </c>
      <c r="B3" s="397"/>
      <c r="C3" s="397"/>
      <c r="D3" s="397"/>
      <c r="E3" s="397"/>
      <c r="F3" s="151"/>
    </row>
    <row r="4" spans="1:49" ht="19.2" thickTop="1" thickBot="1" x14ac:dyDescent="0.4">
      <c r="A4" s="395" t="s">
        <v>166</v>
      </c>
      <c r="B4" s="229">
        <v>2019</v>
      </c>
      <c r="C4" s="230">
        <v>2020</v>
      </c>
      <c r="D4" s="229">
        <v>2021</v>
      </c>
      <c r="E4" s="265">
        <v>2022</v>
      </c>
      <c r="F4" s="268">
        <v>2023</v>
      </c>
    </row>
    <row r="5" spans="1:49" ht="14.7" customHeight="1" thickTop="1" thickBot="1" x14ac:dyDescent="0.35">
      <c r="A5" s="396"/>
      <c r="B5" s="231" t="s">
        <v>194</v>
      </c>
      <c r="C5" s="231" t="s">
        <v>194</v>
      </c>
      <c r="D5" s="231" t="s">
        <v>194</v>
      </c>
      <c r="E5" s="266" t="s">
        <v>194</v>
      </c>
      <c r="F5" s="267" t="s">
        <v>194</v>
      </c>
      <c r="O5" s="142"/>
      <c r="W5" s="142"/>
      <c r="AE5" s="142"/>
      <c r="AM5" s="142"/>
      <c r="AU5" s="142"/>
    </row>
    <row r="6" spans="1:49" s="6" customFormat="1" ht="15" thickTop="1" x14ac:dyDescent="0.3">
      <c r="A6" s="16"/>
      <c r="B6" s="43" t="s">
        <v>195</v>
      </c>
      <c r="C6" s="43" t="s">
        <v>195</v>
      </c>
      <c r="D6" s="43" t="s">
        <v>195</v>
      </c>
      <c r="E6" s="260" t="s">
        <v>195</v>
      </c>
      <c r="F6" s="260" t="s">
        <v>195</v>
      </c>
      <c r="G6"/>
      <c r="H6"/>
      <c r="I6"/>
      <c r="J6"/>
      <c r="K6"/>
      <c r="L6"/>
      <c r="M6" s="149"/>
      <c r="N6" s="149"/>
      <c r="O6" s="142"/>
      <c r="P6" s="149"/>
      <c r="Q6"/>
      <c r="R6"/>
      <c r="S6"/>
      <c r="T6"/>
      <c r="U6"/>
      <c r="V6" s="149"/>
      <c r="W6" s="142"/>
      <c r="X6" s="149"/>
      <c r="Y6" s="149"/>
      <c r="Z6"/>
      <c r="AA6"/>
      <c r="AB6"/>
      <c r="AC6"/>
      <c r="AD6" s="149"/>
      <c r="AE6" s="142"/>
      <c r="AF6" s="149"/>
      <c r="AG6" s="149"/>
      <c r="AH6"/>
      <c r="AI6"/>
      <c r="AJ6"/>
      <c r="AK6"/>
      <c r="AL6" s="149"/>
      <c r="AM6" s="142"/>
      <c r="AN6" s="149"/>
      <c r="AO6" s="149"/>
      <c r="AP6"/>
      <c r="AQ6"/>
      <c r="AR6"/>
      <c r="AS6"/>
      <c r="AT6" s="149"/>
      <c r="AU6" s="142"/>
      <c r="AV6" s="149"/>
      <c r="AW6" s="149"/>
    </row>
    <row r="7" spans="1:49" x14ac:dyDescent="0.3">
      <c r="A7" s="17" t="s">
        <v>196</v>
      </c>
      <c r="B7" s="12">
        <f>SUM(B8:B13)</f>
        <v>172150</v>
      </c>
      <c r="C7" s="12">
        <f>SUM(C8:C13)</f>
        <v>178175.25</v>
      </c>
      <c r="D7" s="12">
        <f>SUM(D8:D13)</f>
        <v>184411.38374999998</v>
      </c>
      <c r="E7" s="261">
        <f>SUM(E8:E13)</f>
        <v>190865.78218124999</v>
      </c>
      <c r="F7" s="261">
        <f>SUM(F8:F13)</f>
        <v>197546.08455759368</v>
      </c>
      <c r="O7" s="142"/>
      <c r="W7" s="142"/>
      <c r="AE7" s="142"/>
      <c r="AM7" s="142"/>
      <c r="AU7" s="142"/>
    </row>
    <row r="8" spans="1:49" x14ac:dyDescent="0.3">
      <c r="A8" s="18" t="s">
        <v>184</v>
      </c>
      <c r="B8" s="13">
        <f>'Valores de Producción'!E12</f>
        <v>77000</v>
      </c>
      <c r="C8" s="15">
        <f t="shared" ref="C8:F14" si="0">+B8*1.035</f>
        <v>79695</v>
      </c>
      <c r="D8" s="15">
        <f t="shared" si="0"/>
        <v>82484.324999999997</v>
      </c>
      <c r="E8" s="262">
        <f t="shared" si="0"/>
        <v>85371.276374999987</v>
      </c>
      <c r="F8" s="18">
        <f t="shared" si="0"/>
        <v>88359.271048124981</v>
      </c>
      <c r="O8" s="142"/>
      <c r="W8" s="142"/>
      <c r="AE8" s="142"/>
      <c r="AM8" s="142"/>
      <c r="AU8" s="142"/>
    </row>
    <row r="9" spans="1:49" x14ac:dyDescent="0.3">
      <c r="A9" s="18" t="s">
        <v>185</v>
      </c>
      <c r="B9" s="13">
        <f>'Valores de Producción'!E13</f>
        <v>8800</v>
      </c>
      <c r="C9" s="15">
        <f t="shared" si="0"/>
        <v>9108</v>
      </c>
      <c r="D9" s="15">
        <f t="shared" si="0"/>
        <v>9426.7799999999988</v>
      </c>
      <c r="E9" s="262">
        <f t="shared" si="0"/>
        <v>9756.7172999999984</v>
      </c>
      <c r="F9" s="18">
        <f t="shared" si="0"/>
        <v>10098.202405499998</v>
      </c>
      <c r="H9" s="147"/>
      <c r="O9" s="142"/>
      <c r="W9" s="142"/>
      <c r="AE9" s="142"/>
      <c r="AM9" s="142"/>
      <c r="AU9" s="142"/>
    </row>
    <row r="10" spans="1:49" x14ac:dyDescent="0.3">
      <c r="A10" s="18" t="s">
        <v>186</v>
      </c>
      <c r="B10" s="13">
        <f>'Valores de Producción'!E14</f>
        <v>13750</v>
      </c>
      <c r="C10" s="15">
        <f t="shared" si="0"/>
        <v>14231.249999999998</v>
      </c>
      <c r="D10" s="15">
        <f t="shared" si="0"/>
        <v>14729.343749999996</v>
      </c>
      <c r="E10" s="262">
        <f t="shared" si="0"/>
        <v>15244.870781249994</v>
      </c>
      <c r="F10" s="18">
        <f t="shared" si="0"/>
        <v>15778.441258593743</v>
      </c>
      <c r="O10" s="142"/>
      <c r="W10" s="142"/>
      <c r="AE10" s="142"/>
      <c r="AM10" s="142"/>
      <c r="AU10" s="142"/>
    </row>
    <row r="11" spans="1:49" x14ac:dyDescent="0.3">
      <c r="A11" s="18" t="s">
        <v>187</v>
      </c>
      <c r="B11" s="13">
        <f>'Valores de Producción'!E15</f>
        <v>15400</v>
      </c>
      <c r="C11" s="15">
        <f t="shared" si="0"/>
        <v>15938.999999999998</v>
      </c>
      <c r="D11" s="15">
        <f t="shared" si="0"/>
        <v>16496.864999999998</v>
      </c>
      <c r="E11" s="262">
        <f t="shared" si="0"/>
        <v>17074.255274999996</v>
      </c>
      <c r="F11" s="18">
        <f t="shared" si="0"/>
        <v>17671.854209624995</v>
      </c>
      <c r="O11" s="142"/>
      <c r="W11" s="142"/>
      <c r="AE11" s="142"/>
      <c r="AM11" s="142"/>
      <c r="AU11" s="142"/>
    </row>
    <row r="12" spans="1:49" x14ac:dyDescent="0.3">
      <c r="A12" s="18" t="s">
        <v>188</v>
      </c>
      <c r="B12" s="13">
        <f>'Valores de Producción'!E16</f>
        <v>7700</v>
      </c>
      <c r="C12" s="15">
        <f t="shared" si="0"/>
        <v>7969.4999999999991</v>
      </c>
      <c r="D12" s="15">
        <f t="shared" si="0"/>
        <v>8248.432499999999</v>
      </c>
      <c r="E12" s="262">
        <f t="shared" si="0"/>
        <v>8537.1276374999979</v>
      </c>
      <c r="F12" s="18">
        <f t="shared" si="0"/>
        <v>8835.9271048124974</v>
      </c>
      <c r="O12" s="142"/>
      <c r="W12" s="142"/>
      <c r="AE12" s="142"/>
      <c r="AM12" s="142"/>
      <c r="AU12" s="142"/>
    </row>
    <row r="13" spans="1:49" x14ac:dyDescent="0.3">
      <c r="A13" s="18" t="s">
        <v>189</v>
      </c>
      <c r="B13" s="13">
        <f>'Valores de Producción'!E17</f>
        <v>49500</v>
      </c>
      <c r="C13" s="15">
        <f t="shared" si="0"/>
        <v>51232.499999999993</v>
      </c>
      <c r="D13" s="15">
        <f t="shared" si="0"/>
        <v>53025.63749999999</v>
      </c>
      <c r="E13" s="262">
        <f t="shared" si="0"/>
        <v>54881.534812499987</v>
      </c>
      <c r="F13" s="18">
        <f t="shared" si="0"/>
        <v>56802.388530937482</v>
      </c>
      <c r="O13" s="142"/>
      <c r="W13" s="142"/>
      <c r="AE13" s="142"/>
      <c r="AM13" s="142"/>
      <c r="AU13" s="142"/>
    </row>
    <row r="14" spans="1:49" x14ac:dyDescent="0.3">
      <c r="A14" s="19" t="s">
        <v>197</v>
      </c>
      <c r="B14" s="12">
        <f>'Valores de Producción'!E18</f>
        <v>220000</v>
      </c>
      <c r="C14" s="12">
        <f t="shared" si="0"/>
        <v>227699.99999999997</v>
      </c>
      <c r="D14" s="12">
        <f t="shared" si="0"/>
        <v>235669.49999999994</v>
      </c>
      <c r="E14" s="12">
        <f t="shared" si="0"/>
        <v>243917.93249999991</v>
      </c>
      <c r="F14" s="261">
        <f t="shared" si="0"/>
        <v>252455.06013749988</v>
      </c>
    </row>
    <row r="15" spans="1:49" x14ac:dyDescent="0.3">
      <c r="A15" s="270" t="s">
        <v>198</v>
      </c>
      <c r="B15" s="269">
        <f>SUM(B7+B14)</f>
        <v>392150</v>
      </c>
      <c r="C15" s="269">
        <f>SUM(C7+C14)</f>
        <v>405875.25</v>
      </c>
      <c r="D15" s="269">
        <f>SUM(D7+D14)</f>
        <v>420080.88374999992</v>
      </c>
      <c r="E15" s="269">
        <f>SUM(E7+E14)</f>
        <v>434783.71468124993</v>
      </c>
      <c r="F15" s="269">
        <f>SUM(F7+F14)</f>
        <v>450001.14469509356</v>
      </c>
      <c r="O15" s="142"/>
      <c r="W15" s="142"/>
      <c r="AE15" s="142"/>
      <c r="AM15" s="142"/>
      <c r="AU15" s="142"/>
    </row>
    <row r="16" spans="1:49" x14ac:dyDescent="0.3">
      <c r="A16" s="18" t="s">
        <v>199</v>
      </c>
      <c r="B16" s="263">
        <f>'Plan de producción'!B4</f>
        <v>2</v>
      </c>
      <c r="C16" s="263">
        <f>'Plan de producción'!C4</f>
        <v>4</v>
      </c>
      <c r="D16" s="263">
        <f>'Plan de producción'!D4</f>
        <v>6</v>
      </c>
      <c r="E16" s="263">
        <f>'Plan de producción'!E4</f>
        <v>8</v>
      </c>
      <c r="F16" s="263">
        <f>'Plan de producción'!F4</f>
        <v>11</v>
      </c>
      <c r="O16" s="142"/>
      <c r="W16" s="142"/>
      <c r="AE16" s="142"/>
      <c r="AM16" s="142"/>
      <c r="AU16" s="142"/>
    </row>
    <row r="17" spans="1:49" ht="15" thickBot="1" x14ac:dyDescent="0.35">
      <c r="A17" s="20" t="s">
        <v>200</v>
      </c>
      <c r="B17" s="259">
        <f>+B16*B15</f>
        <v>784300</v>
      </c>
      <c r="C17" s="259">
        <f>+C16*C15</f>
        <v>1623501</v>
      </c>
      <c r="D17" s="259">
        <f>+D16*D15</f>
        <v>2520485.3024999993</v>
      </c>
      <c r="E17" s="259">
        <f>+E16*E15</f>
        <v>3478269.7174499994</v>
      </c>
      <c r="F17" s="264">
        <f>+F16*F15</f>
        <v>4950012.5916460296</v>
      </c>
      <c r="O17" s="142"/>
      <c r="W17" s="142"/>
      <c r="AE17" s="142"/>
      <c r="AM17" s="142"/>
      <c r="AU17" s="142"/>
    </row>
    <row r="18" spans="1:49" ht="15" thickTop="1" x14ac:dyDescent="0.3">
      <c r="B18" s="11"/>
      <c r="C18" s="22"/>
    </row>
    <row r="22" spans="1:49" ht="18.600000000000001" thickBot="1" x14ac:dyDescent="0.4">
      <c r="A22" s="411" t="s">
        <v>201</v>
      </c>
      <c r="B22" s="411"/>
      <c r="C22" s="411"/>
      <c r="D22" s="411"/>
      <c r="E22" s="411"/>
      <c r="F22" s="411"/>
      <c r="G22" s="411"/>
      <c r="H22" s="411"/>
      <c r="I22" s="411"/>
    </row>
    <row r="23" spans="1:49" ht="19.2" thickTop="1" thickBot="1" x14ac:dyDescent="0.4">
      <c r="A23" s="292"/>
      <c r="B23" s="380">
        <v>2019</v>
      </c>
      <c r="C23" s="381"/>
      <c r="D23" s="381"/>
      <c r="E23" s="381"/>
      <c r="F23" s="381"/>
      <c r="G23" s="381"/>
      <c r="H23" s="381"/>
      <c r="I23" s="410"/>
      <c r="J23" s="380">
        <v>2020</v>
      </c>
      <c r="K23" s="381"/>
      <c r="L23" s="381"/>
      <c r="M23" s="381"/>
      <c r="N23" s="381"/>
      <c r="O23" s="381"/>
      <c r="P23" s="381"/>
      <c r="Q23" s="407"/>
      <c r="R23" s="380">
        <v>2021</v>
      </c>
      <c r="S23" s="381"/>
      <c r="T23" s="381"/>
      <c r="U23" s="381"/>
      <c r="V23" s="381"/>
      <c r="W23" s="381"/>
      <c r="X23" s="381"/>
      <c r="Y23" s="382"/>
      <c r="Z23" s="380">
        <v>2022</v>
      </c>
      <c r="AA23" s="381"/>
      <c r="AB23" s="381"/>
      <c r="AC23" s="381"/>
      <c r="AD23" s="381"/>
      <c r="AE23" s="381"/>
      <c r="AF23" s="381"/>
      <c r="AG23" s="382"/>
      <c r="AH23" s="380">
        <v>2023</v>
      </c>
      <c r="AI23" s="381"/>
      <c r="AJ23" s="381"/>
      <c r="AK23" s="381"/>
      <c r="AL23" s="381"/>
      <c r="AM23" s="381"/>
      <c r="AN23" s="381"/>
      <c r="AO23" s="382"/>
    </row>
    <row r="24" spans="1:49" s="6" customFormat="1" ht="15" customHeight="1" thickTop="1" x14ac:dyDescent="0.3">
      <c r="A24" s="404" t="s">
        <v>166</v>
      </c>
      <c r="B24" s="398" t="s">
        <v>202</v>
      </c>
      <c r="C24" s="399"/>
      <c r="D24" s="400" t="s">
        <v>203</v>
      </c>
      <c r="E24" s="401" t="s">
        <v>195</v>
      </c>
      <c r="F24" s="402" t="s">
        <v>204</v>
      </c>
      <c r="G24" s="403" t="s">
        <v>18</v>
      </c>
      <c r="H24" s="393" t="s">
        <v>205</v>
      </c>
      <c r="I24" s="408" t="s">
        <v>206</v>
      </c>
      <c r="J24" s="383" t="s">
        <v>202</v>
      </c>
      <c r="K24" s="384"/>
      <c r="L24" s="385" t="s">
        <v>203</v>
      </c>
      <c r="M24" s="386" t="s">
        <v>195</v>
      </c>
      <c r="N24" s="387" t="s">
        <v>204</v>
      </c>
      <c r="O24" s="388" t="s">
        <v>18</v>
      </c>
      <c r="P24" s="389" t="s">
        <v>205</v>
      </c>
      <c r="Q24" s="391" t="s">
        <v>206</v>
      </c>
      <c r="R24" s="383" t="s">
        <v>202</v>
      </c>
      <c r="S24" s="384"/>
      <c r="T24" s="385" t="s">
        <v>203</v>
      </c>
      <c r="U24" s="386" t="s">
        <v>195</v>
      </c>
      <c r="V24" s="387" t="s">
        <v>204</v>
      </c>
      <c r="W24" s="388" t="s">
        <v>18</v>
      </c>
      <c r="X24" s="389" t="s">
        <v>205</v>
      </c>
      <c r="Y24" s="391" t="s">
        <v>206</v>
      </c>
      <c r="Z24" s="383" t="s">
        <v>202</v>
      </c>
      <c r="AA24" s="384"/>
      <c r="AB24" s="385" t="s">
        <v>203</v>
      </c>
      <c r="AC24" s="386" t="s">
        <v>195</v>
      </c>
      <c r="AD24" s="387" t="s">
        <v>204</v>
      </c>
      <c r="AE24" s="388" t="s">
        <v>18</v>
      </c>
      <c r="AF24" s="389" t="s">
        <v>205</v>
      </c>
      <c r="AG24" s="391" t="s">
        <v>206</v>
      </c>
      <c r="AH24" s="383" t="s">
        <v>202</v>
      </c>
      <c r="AI24" s="384"/>
      <c r="AJ24" s="385" t="s">
        <v>203</v>
      </c>
      <c r="AK24" s="386" t="s">
        <v>195</v>
      </c>
      <c r="AL24" s="387" t="s">
        <v>204</v>
      </c>
      <c r="AM24" s="388" t="s">
        <v>18</v>
      </c>
      <c r="AN24" s="389" t="s">
        <v>205</v>
      </c>
      <c r="AO24" s="391" t="s">
        <v>206</v>
      </c>
      <c r="AP24"/>
      <c r="AQ24"/>
      <c r="AR24"/>
      <c r="AS24"/>
      <c r="AT24"/>
      <c r="AU24"/>
      <c r="AV24"/>
      <c r="AW24"/>
    </row>
    <row r="25" spans="1:49" s="6" customFormat="1" ht="15" thickBot="1" x14ac:dyDescent="0.35">
      <c r="A25" s="405"/>
      <c r="B25" s="60" t="s">
        <v>207</v>
      </c>
      <c r="C25" s="61" t="s">
        <v>208</v>
      </c>
      <c r="D25" s="62" t="s">
        <v>207</v>
      </c>
      <c r="E25" s="61" t="s">
        <v>208</v>
      </c>
      <c r="F25" s="62" t="s">
        <v>207</v>
      </c>
      <c r="G25" s="62" t="s">
        <v>208</v>
      </c>
      <c r="H25" s="394"/>
      <c r="I25" s="409"/>
      <c r="J25" s="60" t="s">
        <v>207</v>
      </c>
      <c r="K25" s="61" t="s">
        <v>208</v>
      </c>
      <c r="L25" s="62" t="s">
        <v>207</v>
      </c>
      <c r="M25" s="61" t="s">
        <v>208</v>
      </c>
      <c r="N25" s="62" t="s">
        <v>207</v>
      </c>
      <c r="O25" s="62" t="s">
        <v>208</v>
      </c>
      <c r="P25" s="390"/>
      <c r="Q25" s="392"/>
      <c r="R25" s="60" t="s">
        <v>207</v>
      </c>
      <c r="S25" s="61" t="s">
        <v>208</v>
      </c>
      <c r="T25" s="62" t="s">
        <v>207</v>
      </c>
      <c r="U25" s="61" t="s">
        <v>208</v>
      </c>
      <c r="V25" s="62" t="s">
        <v>207</v>
      </c>
      <c r="W25" s="62" t="s">
        <v>208</v>
      </c>
      <c r="X25" s="390"/>
      <c r="Y25" s="392"/>
      <c r="Z25" s="60" t="s">
        <v>207</v>
      </c>
      <c r="AA25" s="61" t="s">
        <v>208</v>
      </c>
      <c r="AB25" s="62" t="s">
        <v>207</v>
      </c>
      <c r="AC25" s="61" t="s">
        <v>208</v>
      </c>
      <c r="AD25" s="62" t="s">
        <v>207</v>
      </c>
      <c r="AE25" s="62" t="s">
        <v>208</v>
      </c>
      <c r="AF25" s="390"/>
      <c r="AG25" s="392"/>
      <c r="AH25" s="60" t="s">
        <v>207</v>
      </c>
      <c r="AI25" s="61" t="s">
        <v>208</v>
      </c>
      <c r="AJ25" s="62" t="s">
        <v>207</v>
      </c>
      <c r="AK25" s="61" t="s">
        <v>208</v>
      </c>
      <c r="AL25" s="62" t="s">
        <v>207</v>
      </c>
      <c r="AM25" s="62" t="s">
        <v>208</v>
      </c>
      <c r="AN25" s="390"/>
      <c r="AO25" s="392"/>
      <c r="AP25"/>
      <c r="AQ25"/>
      <c r="AR25"/>
      <c r="AS25"/>
      <c r="AT25"/>
      <c r="AU25"/>
      <c r="AV25"/>
      <c r="AW25"/>
    </row>
    <row r="26" spans="1:49" s="6" customFormat="1" ht="15" thickTop="1" x14ac:dyDescent="0.3">
      <c r="A26" s="48" t="s">
        <v>209</v>
      </c>
      <c r="B26" s="51">
        <f>+B27+B34+B35</f>
        <v>0</v>
      </c>
      <c r="C26" s="52">
        <f>SUM(C27,C34,C35)</f>
        <v>784300</v>
      </c>
      <c r="D26" s="53">
        <f>SUM(D27,D34,D35)</f>
        <v>0</v>
      </c>
      <c r="E26" s="53">
        <f>SUM(E27,E34,E35)</f>
        <v>0</v>
      </c>
      <c r="F26" s="53">
        <f>SUM(F27,F34,F35)</f>
        <v>0</v>
      </c>
      <c r="G26" s="53">
        <f>SUM(G27,G34,G35)</f>
        <v>0</v>
      </c>
      <c r="H26" s="52">
        <f>+B26+D26+F26</f>
        <v>0</v>
      </c>
      <c r="I26" s="54">
        <f>+C26+E26+G26</f>
        <v>784300</v>
      </c>
      <c r="J26" s="51">
        <f>+J27+J34+J35</f>
        <v>0</v>
      </c>
      <c r="K26" s="52">
        <f>SUM(K27,K34,K35)</f>
        <v>1623501</v>
      </c>
      <c r="L26" s="53">
        <f>SUM(L27,L34,L35)</f>
        <v>0</v>
      </c>
      <c r="M26" s="53">
        <f>SUM(M27,M34,M35)</f>
        <v>0</v>
      </c>
      <c r="N26" s="53">
        <f>SUM(N27,N34,N35)</f>
        <v>0</v>
      </c>
      <c r="O26" s="53">
        <f>SUM(O27,O34,O35)</f>
        <v>0</v>
      </c>
      <c r="P26" s="52">
        <f>+J26+L26+N26</f>
        <v>0</v>
      </c>
      <c r="Q26" s="54">
        <f>+K26+M26+O26</f>
        <v>1623501</v>
      </c>
      <c r="R26" s="51">
        <f>+R27+R34+R35</f>
        <v>0</v>
      </c>
      <c r="S26" s="52">
        <f>SUM(S27,S34,S35)</f>
        <v>2520485.3024999993</v>
      </c>
      <c r="T26" s="53">
        <f>SUM(T27,T34,T35)</f>
        <v>0</v>
      </c>
      <c r="U26" s="53">
        <f>SUM(U27,U34,U35)</f>
        <v>0</v>
      </c>
      <c r="V26" s="53">
        <f>SUM(V27,V34,V35)</f>
        <v>0</v>
      </c>
      <c r="W26" s="53">
        <f>SUM(W27,W34,W35)</f>
        <v>0</v>
      </c>
      <c r="X26" s="52">
        <f>+R26+T26+V26</f>
        <v>0</v>
      </c>
      <c r="Y26" s="54">
        <f>+S26+U26+W26</f>
        <v>2520485.3024999993</v>
      </c>
      <c r="Z26" s="51">
        <f>+Z27+Z34+Z35</f>
        <v>0</v>
      </c>
      <c r="AA26" s="52">
        <f>SUM(AA27,AA34,AA35)</f>
        <v>3478269.7174499994</v>
      </c>
      <c r="AB26" s="53">
        <f>SUM(AB27,AB34,AB35)</f>
        <v>0</v>
      </c>
      <c r="AC26" s="53">
        <f>SUM(AC27,AC34,AC35)</f>
        <v>0</v>
      </c>
      <c r="AD26" s="53">
        <f>SUM(AD27,AD34,AD35)</f>
        <v>0</v>
      </c>
      <c r="AE26" s="53">
        <f>SUM(AE27,AE34,AE35)</f>
        <v>0</v>
      </c>
      <c r="AF26" s="52">
        <f>+Z26+AB26+AD26</f>
        <v>0</v>
      </c>
      <c r="AG26" s="54">
        <f>+AA26+AC26+AE26</f>
        <v>3478269.7174499994</v>
      </c>
      <c r="AH26" s="51">
        <f>+AH27+AH34+AH35</f>
        <v>0</v>
      </c>
      <c r="AI26" s="52">
        <f>SUM(AI27,AI34,AI35)</f>
        <v>4950012.5916460287</v>
      </c>
      <c r="AJ26" s="53">
        <f>SUM(AJ27,AJ34,AJ35)</f>
        <v>0</v>
      </c>
      <c r="AK26" s="53">
        <f>SUM(AK27,AK34,AK35)</f>
        <v>0</v>
      </c>
      <c r="AL26" s="53">
        <f>SUM(AL27,AL34,AL35)</f>
        <v>0</v>
      </c>
      <c r="AM26" s="53">
        <f>SUM(AM27,AM34,AM35)</f>
        <v>0</v>
      </c>
      <c r="AN26" s="52">
        <f>+AH26+AJ26+AL26</f>
        <v>0</v>
      </c>
      <c r="AO26" s="54">
        <f>+AI26+AK26+AM26</f>
        <v>4950012.5916460287</v>
      </c>
      <c r="AP26"/>
      <c r="AQ26"/>
      <c r="AR26"/>
      <c r="AS26"/>
      <c r="AT26"/>
      <c r="AU26"/>
      <c r="AV26"/>
      <c r="AW26"/>
    </row>
    <row r="27" spans="1:49" s="6" customFormat="1" x14ac:dyDescent="0.3">
      <c r="A27" s="25" t="s">
        <v>196</v>
      </c>
      <c r="B27" s="55">
        <f t="shared" ref="B27:H27" si="1">SUM(B28:B33)</f>
        <v>0</v>
      </c>
      <c r="C27" s="45">
        <f>SUM(C28:C33)</f>
        <v>344300</v>
      </c>
      <c r="D27" s="45">
        <f t="shared" si="1"/>
        <v>0</v>
      </c>
      <c r="E27" s="45">
        <f t="shared" si="1"/>
        <v>0</v>
      </c>
      <c r="F27" s="45">
        <f t="shared" si="1"/>
        <v>0</v>
      </c>
      <c r="G27" s="45">
        <f t="shared" si="1"/>
        <v>0</v>
      </c>
      <c r="H27" s="45">
        <f t="shared" si="1"/>
        <v>0</v>
      </c>
      <c r="I27" s="56">
        <f t="shared" ref="I27:I32" si="2">+C27+E27+G27</f>
        <v>344300</v>
      </c>
      <c r="J27" s="55">
        <f t="shared" ref="J27:P27" si="3">SUM(J28:J33)</f>
        <v>0</v>
      </c>
      <c r="K27" s="45">
        <f t="shared" si="3"/>
        <v>712701</v>
      </c>
      <c r="L27" s="45">
        <f t="shared" si="3"/>
        <v>0</v>
      </c>
      <c r="M27" s="45">
        <f t="shared" si="3"/>
        <v>0</v>
      </c>
      <c r="N27" s="45">
        <f t="shared" si="3"/>
        <v>0</v>
      </c>
      <c r="O27" s="45">
        <f t="shared" si="3"/>
        <v>0</v>
      </c>
      <c r="P27" s="45">
        <f t="shared" si="3"/>
        <v>0</v>
      </c>
      <c r="Q27" s="56">
        <f t="shared" ref="Q27:Q32" si="4">+K27+M27+O27</f>
        <v>712701</v>
      </c>
      <c r="R27" s="55">
        <f t="shared" ref="R27:X27" si="5">SUM(R28:R33)</f>
        <v>0</v>
      </c>
      <c r="S27" s="45">
        <f t="shared" si="5"/>
        <v>1106468.3024999998</v>
      </c>
      <c r="T27" s="45">
        <f t="shared" si="5"/>
        <v>0</v>
      </c>
      <c r="U27" s="45">
        <f t="shared" si="5"/>
        <v>0</v>
      </c>
      <c r="V27" s="45">
        <f t="shared" si="5"/>
        <v>0</v>
      </c>
      <c r="W27" s="45">
        <f t="shared" si="5"/>
        <v>0</v>
      </c>
      <c r="X27" s="45">
        <f t="shared" si="5"/>
        <v>0</v>
      </c>
      <c r="Y27" s="56">
        <f t="shared" ref="Y27:Y32" si="6">+S27+U27+W27</f>
        <v>1106468.3024999998</v>
      </c>
      <c r="Z27" s="55">
        <f t="shared" ref="Z27:AF27" si="7">SUM(Z28:Z33)</f>
        <v>0</v>
      </c>
      <c r="AA27" s="45">
        <f t="shared" si="7"/>
        <v>1526926.2574499999</v>
      </c>
      <c r="AB27" s="45">
        <f t="shared" si="7"/>
        <v>0</v>
      </c>
      <c r="AC27" s="45">
        <f t="shared" si="7"/>
        <v>0</v>
      </c>
      <c r="AD27" s="45">
        <f t="shared" si="7"/>
        <v>0</v>
      </c>
      <c r="AE27" s="45">
        <f t="shared" si="7"/>
        <v>0</v>
      </c>
      <c r="AF27" s="45">
        <f t="shared" si="7"/>
        <v>0</v>
      </c>
      <c r="AG27" s="56">
        <f t="shared" ref="AG27:AG32" si="8">+AA27+AC27+AE27</f>
        <v>1526926.2574499999</v>
      </c>
      <c r="AH27" s="55">
        <f t="shared" ref="AH27:AN27" si="9">SUM(AH28:AH33)</f>
        <v>0</v>
      </c>
      <c r="AI27" s="45">
        <f t="shared" si="9"/>
        <v>2173006.9301335304</v>
      </c>
      <c r="AJ27" s="45">
        <f t="shared" si="9"/>
        <v>0</v>
      </c>
      <c r="AK27" s="45">
        <f t="shared" si="9"/>
        <v>0</v>
      </c>
      <c r="AL27" s="45">
        <f t="shared" si="9"/>
        <v>0</v>
      </c>
      <c r="AM27" s="45">
        <f t="shared" si="9"/>
        <v>0</v>
      </c>
      <c r="AN27" s="45">
        <f t="shared" si="9"/>
        <v>0</v>
      </c>
      <c r="AO27" s="56">
        <f t="shared" ref="AO27:AO32" si="10">+AI27+AK27+AM27</f>
        <v>2173006.9301335304</v>
      </c>
      <c r="AP27"/>
      <c r="AQ27"/>
      <c r="AR27"/>
      <c r="AS27"/>
      <c r="AT27"/>
      <c r="AU27"/>
      <c r="AV27"/>
      <c r="AW27"/>
    </row>
    <row r="28" spans="1:49" s="6" customFormat="1" x14ac:dyDescent="0.3">
      <c r="A28" s="18" t="s">
        <v>184</v>
      </c>
      <c r="B28" s="57"/>
      <c r="C28" s="10">
        <f>B8*'Plan de producción'!$B$4</f>
        <v>154000</v>
      </c>
      <c r="D28" s="10"/>
      <c r="E28" s="10"/>
      <c r="F28" s="10"/>
      <c r="G28" s="10"/>
      <c r="H28" s="28">
        <f t="shared" ref="H28:H47" si="11">+B28+D28+F28</f>
        <v>0</v>
      </c>
      <c r="I28" s="58">
        <f t="shared" si="2"/>
        <v>154000</v>
      </c>
      <c r="J28" s="57"/>
      <c r="K28" s="29">
        <f>C8*'Plan de producción'!$C$4</f>
        <v>318780</v>
      </c>
      <c r="L28" s="10"/>
      <c r="M28" s="10"/>
      <c r="N28" s="10"/>
      <c r="O28" s="10"/>
      <c r="P28" s="28">
        <f t="shared" ref="P28:P35" si="12">+J28+L28+N28</f>
        <v>0</v>
      </c>
      <c r="Q28" s="58">
        <f t="shared" si="4"/>
        <v>318780</v>
      </c>
      <c r="R28" s="57"/>
      <c r="S28" s="29">
        <f>D8*'Plan de producción'!$D$4</f>
        <v>494905.94999999995</v>
      </c>
      <c r="T28" s="10"/>
      <c r="U28" s="10"/>
      <c r="V28" s="10"/>
      <c r="W28" s="10"/>
      <c r="X28" s="28">
        <f t="shared" ref="X28:X35" si="13">+R28+T28+V28</f>
        <v>0</v>
      </c>
      <c r="Y28" s="58">
        <f t="shared" si="6"/>
        <v>494905.94999999995</v>
      </c>
      <c r="Z28" s="57"/>
      <c r="AA28" s="29">
        <f>E8*'Plan de producción'!$E$4</f>
        <v>682970.21099999989</v>
      </c>
      <c r="AB28" s="10"/>
      <c r="AC28" s="10"/>
      <c r="AD28" s="10"/>
      <c r="AE28" s="10"/>
      <c r="AF28" s="28">
        <f t="shared" ref="AF28:AF35" si="14">+Z28+AB28+AD28</f>
        <v>0</v>
      </c>
      <c r="AG28" s="58">
        <f t="shared" si="8"/>
        <v>682970.21099999989</v>
      </c>
      <c r="AH28" s="57"/>
      <c r="AI28" s="29">
        <f>F8*'Plan de producción'!$F$4</f>
        <v>971951.98152937484</v>
      </c>
      <c r="AJ28" s="10"/>
      <c r="AK28" s="10"/>
      <c r="AL28" s="10"/>
      <c r="AM28" s="10"/>
      <c r="AN28" s="28">
        <f t="shared" ref="AN28:AN35" si="15">+AH28+AJ28+AL28</f>
        <v>0</v>
      </c>
      <c r="AO28" s="58">
        <f t="shared" si="10"/>
        <v>971951.98152937484</v>
      </c>
      <c r="AP28"/>
      <c r="AQ28"/>
      <c r="AR28"/>
      <c r="AS28"/>
      <c r="AT28"/>
      <c r="AU28"/>
      <c r="AV28"/>
      <c r="AW28"/>
    </row>
    <row r="29" spans="1:49" s="6" customFormat="1" x14ac:dyDescent="0.3">
      <c r="A29" s="18" t="s">
        <v>185</v>
      </c>
      <c r="B29" s="57"/>
      <c r="C29" s="10">
        <f>B9*'Plan de producción'!$B$4</f>
        <v>17600</v>
      </c>
      <c r="D29" s="10"/>
      <c r="E29" s="10"/>
      <c r="F29" s="10"/>
      <c r="G29" s="10"/>
      <c r="H29" s="28">
        <f t="shared" si="11"/>
        <v>0</v>
      </c>
      <c r="I29" s="58">
        <f t="shared" si="2"/>
        <v>17600</v>
      </c>
      <c r="J29" s="57"/>
      <c r="K29" s="29">
        <f>C9*'Plan de producción'!$C$4</f>
        <v>36432</v>
      </c>
      <c r="L29" s="10"/>
      <c r="M29" s="10"/>
      <c r="N29" s="10"/>
      <c r="O29" s="10"/>
      <c r="P29" s="28">
        <f t="shared" si="12"/>
        <v>0</v>
      </c>
      <c r="Q29" s="58">
        <f t="shared" si="4"/>
        <v>36432</v>
      </c>
      <c r="R29" s="57"/>
      <c r="S29" s="29">
        <f>D9*'Plan de producción'!$D$4</f>
        <v>56560.679999999993</v>
      </c>
      <c r="T29" s="10"/>
      <c r="U29" s="10"/>
      <c r="V29" s="10"/>
      <c r="W29" s="10"/>
      <c r="X29" s="28">
        <f t="shared" si="13"/>
        <v>0</v>
      </c>
      <c r="Y29" s="58">
        <f t="shared" si="6"/>
        <v>56560.679999999993</v>
      </c>
      <c r="Z29" s="57"/>
      <c r="AA29" s="29">
        <f>E9*'Plan de producción'!$E$4</f>
        <v>78053.738399999987</v>
      </c>
      <c r="AB29" s="10"/>
      <c r="AC29" s="10"/>
      <c r="AD29" s="10"/>
      <c r="AE29" s="10"/>
      <c r="AF29" s="28">
        <f t="shared" si="14"/>
        <v>0</v>
      </c>
      <c r="AG29" s="58">
        <f t="shared" si="8"/>
        <v>78053.738399999987</v>
      </c>
      <c r="AH29" s="57"/>
      <c r="AI29" s="29">
        <f>F9*'Plan de producción'!$F$4</f>
        <v>111080.22646049998</v>
      </c>
      <c r="AJ29" s="10"/>
      <c r="AK29" s="10"/>
      <c r="AL29" s="10"/>
      <c r="AM29" s="10"/>
      <c r="AN29" s="28">
        <f t="shared" si="15"/>
        <v>0</v>
      </c>
      <c r="AO29" s="58">
        <f t="shared" si="10"/>
        <v>111080.22646049998</v>
      </c>
      <c r="AP29"/>
      <c r="AQ29"/>
      <c r="AR29"/>
      <c r="AS29"/>
      <c r="AT29"/>
      <c r="AU29"/>
      <c r="AV29"/>
      <c r="AW29"/>
    </row>
    <row r="30" spans="1:49" s="6" customFormat="1" x14ac:dyDescent="0.3">
      <c r="A30" s="18" t="s">
        <v>186</v>
      </c>
      <c r="B30" s="57"/>
      <c r="C30" s="10">
        <f>B10*'Plan de producción'!$B$4</f>
        <v>27500</v>
      </c>
      <c r="D30" s="10"/>
      <c r="E30" s="10"/>
      <c r="F30" s="10"/>
      <c r="G30" s="10"/>
      <c r="H30" s="28">
        <f t="shared" si="11"/>
        <v>0</v>
      </c>
      <c r="I30" s="58">
        <f t="shared" si="2"/>
        <v>27500</v>
      </c>
      <c r="J30" s="57"/>
      <c r="K30" s="29">
        <f>C10*'Plan de producción'!$C$4</f>
        <v>56924.999999999993</v>
      </c>
      <c r="L30" s="10"/>
      <c r="M30" s="10"/>
      <c r="N30" s="10"/>
      <c r="O30" s="10"/>
      <c r="P30" s="28">
        <f t="shared" si="12"/>
        <v>0</v>
      </c>
      <c r="Q30" s="58">
        <f t="shared" si="4"/>
        <v>56924.999999999993</v>
      </c>
      <c r="R30" s="57"/>
      <c r="S30" s="29">
        <f>D10*'Plan de producción'!$D$4</f>
        <v>88376.062499999971</v>
      </c>
      <c r="T30" s="10"/>
      <c r="U30" s="10"/>
      <c r="V30" s="10"/>
      <c r="W30" s="10"/>
      <c r="X30" s="28">
        <f t="shared" si="13"/>
        <v>0</v>
      </c>
      <c r="Y30" s="58">
        <f t="shared" si="6"/>
        <v>88376.062499999971</v>
      </c>
      <c r="Z30" s="57"/>
      <c r="AA30" s="29">
        <f>E10*'Plan de producción'!$E$4</f>
        <v>121958.96624999995</v>
      </c>
      <c r="AB30" s="10"/>
      <c r="AC30" s="10"/>
      <c r="AD30" s="10"/>
      <c r="AE30" s="10"/>
      <c r="AF30" s="28">
        <f t="shared" si="14"/>
        <v>0</v>
      </c>
      <c r="AG30" s="58">
        <f t="shared" si="8"/>
        <v>121958.96624999995</v>
      </c>
      <c r="AH30" s="57"/>
      <c r="AI30" s="29">
        <f>F10*'Plan de producción'!$F$4</f>
        <v>173562.85384453117</v>
      </c>
      <c r="AJ30" s="10"/>
      <c r="AK30" s="10"/>
      <c r="AL30" s="10"/>
      <c r="AM30" s="10"/>
      <c r="AN30" s="28">
        <f t="shared" si="15"/>
        <v>0</v>
      </c>
      <c r="AO30" s="58">
        <f t="shared" si="10"/>
        <v>173562.85384453117</v>
      </c>
      <c r="AP30"/>
      <c r="AQ30"/>
      <c r="AR30"/>
      <c r="AS30"/>
      <c r="AT30"/>
      <c r="AU30"/>
      <c r="AV30"/>
      <c r="AW30"/>
    </row>
    <row r="31" spans="1:49" s="6" customFormat="1" x14ac:dyDescent="0.3">
      <c r="A31" s="18" t="s">
        <v>187</v>
      </c>
      <c r="B31" s="57"/>
      <c r="C31" s="10">
        <f>B11*'Plan de producción'!$B$4</f>
        <v>30800</v>
      </c>
      <c r="D31" s="10"/>
      <c r="E31" s="10"/>
      <c r="F31" s="10"/>
      <c r="G31" s="10"/>
      <c r="H31" s="28">
        <f t="shared" si="11"/>
        <v>0</v>
      </c>
      <c r="I31" s="58">
        <f t="shared" si="2"/>
        <v>30800</v>
      </c>
      <c r="J31" s="57"/>
      <c r="K31" s="29">
        <f>C11*'Plan de producción'!$C$4</f>
        <v>63755.999999999993</v>
      </c>
      <c r="L31" s="10"/>
      <c r="M31" s="10"/>
      <c r="N31" s="10"/>
      <c r="O31" s="10"/>
      <c r="P31" s="28">
        <f t="shared" si="12"/>
        <v>0</v>
      </c>
      <c r="Q31" s="58">
        <f t="shared" si="4"/>
        <v>63755.999999999993</v>
      </c>
      <c r="R31" s="57"/>
      <c r="S31" s="29">
        <f>D11*'Plan de producción'!$D$4</f>
        <v>98981.189999999988</v>
      </c>
      <c r="T31" s="10"/>
      <c r="U31" s="10"/>
      <c r="V31" s="10"/>
      <c r="W31" s="10"/>
      <c r="X31" s="28">
        <f t="shared" si="13"/>
        <v>0</v>
      </c>
      <c r="Y31" s="58">
        <f t="shared" si="6"/>
        <v>98981.189999999988</v>
      </c>
      <c r="Z31" s="57"/>
      <c r="AA31" s="29">
        <f>E11*'Plan de producción'!$E$4</f>
        <v>136594.04219999997</v>
      </c>
      <c r="AB31" s="10"/>
      <c r="AC31" s="10"/>
      <c r="AD31" s="10"/>
      <c r="AE31" s="10"/>
      <c r="AF31" s="28">
        <f t="shared" si="14"/>
        <v>0</v>
      </c>
      <c r="AG31" s="58">
        <f t="shared" si="8"/>
        <v>136594.04219999997</v>
      </c>
      <c r="AH31" s="57"/>
      <c r="AI31" s="29">
        <f>F11*'Plan de producción'!$F$4</f>
        <v>194390.39630587495</v>
      </c>
      <c r="AJ31" s="10"/>
      <c r="AK31" s="10"/>
      <c r="AL31" s="10"/>
      <c r="AM31" s="10"/>
      <c r="AN31" s="28">
        <f t="shared" si="15"/>
        <v>0</v>
      </c>
      <c r="AO31" s="58">
        <f t="shared" si="10"/>
        <v>194390.39630587495</v>
      </c>
      <c r="AP31"/>
      <c r="AQ31"/>
      <c r="AR31"/>
      <c r="AS31"/>
      <c r="AT31"/>
      <c r="AU31"/>
      <c r="AV31"/>
      <c r="AW31"/>
    </row>
    <row r="32" spans="1:49" s="6" customFormat="1" x14ac:dyDescent="0.3">
      <c r="A32" s="18" t="s">
        <v>188</v>
      </c>
      <c r="B32" s="57"/>
      <c r="C32" s="10">
        <f>B12*'Plan de producción'!$B$4</f>
        <v>15400</v>
      </c>
      <c r="D32" s="10"/>
      <c r="E32" s="10"/>
      <c r="F32" s="10"/>
      <c r="G32" s="10"/>
      <c r="H32" s="28">
        <f t="shared" si="11"/>
        <v>0</v>
      </c>
      <c r="I32" s="58">
        <f t="shared" si="2"/>
        <v>15400</v>
      </c>
      <c r="J32" s="57"/>
      <c r="K32" s="29">
        <f>C12*'Plan de producción'!$C$4</f>
        <v>31877.999999999996</v>
      </c>
      <c r="L32" s="10"/>
      <c r="M32" s="10"/>
      <c r="N32" s="10"/>
      <c r="O32" s="10"/>
      <c r="P32" s="28">
        <f t="shared" si="12"/>
        <v>0</v>
      </c>
      <c r="Q32" s="58">
        <f t="shared" si="4"/>
        <v>31877.999999999996</v>
      </c>
      <c r="R32" s="57"/>
      <c r="S32" s="29">
        <f>D12*'Plan de producción'!$D$4</f>
        <v>49490.594999999994</v>
      </c>
      <c r="T32" s="10"/>
      <c r="U32" s="10"/>
      <c r="V32" s="10"/>
      <c r="W32" s="10"/>
      <c r="X32" s="28">
        <f t="shared" si="13"/>
        <v>0</v>
      </c>
      <c r="Y32" s="58">
        <f t="shared" si="6"/>
        <v>49490.594999999994</v>
      </c>
      <c r="Z32" s="57"/>
      <c r="AA32" s="29">
        <f>E12*'Plan de producción'!$E$4</f>
        <v>68297.021099999984</v>
      </c>
      <c r="AB32" s="10"/>
      <c r="AC32" s="10"/>
      <c r="AD32" s="10"/>
      <c r="AE32" s="10"/>
      <c r="AF32" s="28">
        <f t="shared" si="14"/>
        <v>0</v>
      </c>
      <c r="AG32" s="58">
        <f t="shared" si="8"/>
        <v>68297.021099999984</v>
      </c>
      <c r="AH32" s="57"/>
      <c r="AI32" s="29">
        <f>F12*'Plan de producción'!$F$4</f>
        <v>97195.198152937475</v>
      </c>
      <c r="AJ32" s="10"/>
      <c r="AK32" s="10"/>
      <c r="AL32" s="10"/>
      <c r="AM32" s="10"/>
      <c r="AN32" s="28">
        <f t="shared" si="15"/>
        <v>0</v>
      </c>
      <c r="AO32" s="58">
        <f t="shared" si="10"/>
        <v>97195.198152937475</v>
      </c>
      <c r="AP32"/>
      <c r="AQ32"/>
      <c r="AR32"/>
      <c r="AS32"/>
      <c r="AT32"/>
      <c r="AU32"/>
      <c r="AV32"/>
      <c r="AW32"/>
    </row>
    <row r="33" spans="1:49" s="6" customFormat="1" x14ac:dyDescent="0.3">
      <c r="A33" s="18" t="s">
        <v>189</v>
      </c>
      <c r="B33" s="57"/>
      <c r="C33" s="10">
        <f>B13*'Plan de producción'!$B$4</f>
        <v>99000</v>
      </c>
      <c r="D33" s="10"/>
      <c r="E33" s="10"/>
      <c r="F33" s="10"/>
      <c r="G33" s="10"/>
      <c r="H33" s="28">
        <f t="shared" si="11"/>
        <v>0</v>
      </c>
      <c r="I33" s="58">
        <f t="shared" ref="I33:I46" si="16">+C33+E33+G33</f>
        <v>99000</v>
      </c>
      <c r="J33" s="57"/>
      <c r="K33" s="29">
        <f>C13*'Plan de producción'!$C$4</f>
        <v>204929.99999999997</v>
      </c>
      <c r="L33" s="10"/>
      <c r="M33" s="29"/>
      <c r="N33" s="10"/>
      <c r="O33" s="10"/>
      <c r="P33" s="28">
        <f t="shared" si="12"/>
        <v>0</v>
      </c>
      <c r="Q33" s="58">
        <f t="shared" ref="Q33:Q35" si="17">+K33+M33+O33</f>
        <v>204929.99999999997</v>
      </c>
      <c r="R33" s="57"/>
      <c r="S33" s="29">
        <f>D13*'Plan de producción'!$D$4</f>
        <v>318153.82499999995</v>
      </c>
      <c r="T33" s="10"/>
      <c r="U33" s="29"/>
      <c r="V33" s="10"/>
      <c r="W33" s="10"/>
      <c r="X33" s="28">
        <f t="shared" si="13"/>
        <v>0</v>
      </c>
      <c r="Y33" s="58">
        <f t="shared" ref="Y33:Y35" si="18">+S33+U33+W33</f>
        <v>318153.82499999995</v>
      </c>
      <c r="Z33" s="57"/>
      <c r="AA33" s="29">
        <f>E13*'Plan de producción'!$E$4</f>
        <v>439052.2784999999</v>
      </c>
      <c r="AB33" s="10"/>
      <c r="AC33" s="29"/>
      <c r="AD33" s="10"/>
      <c r="AE33" s="10"/>
      <c r="AF33" s="28">
        <f t="shared" si="14"/>
        <v>0</v>
      </c>
      <c r="AG33" s="58">
        <f t="shared" ref="AG33:AG35" si="19">+AA33+AC33+AE33</f>
        <v>439052.2784999999</v>
      </c>
      <c r="AH33" s="57"/>
      <c r="AI33" s="29">
        <f>F13*'Plan de producción'!$F$4</f>
        <v>624826.27384031226</v>
      </c>
      <c r="AJ33" s="10"/>
      <c r="AK33" s="29"/>
      <c r="AL33" s="10"/>
      <c r="AM33" s="10"/>
      <c r="AN33" s="28">
        <f t="shared" si="15"/>
        <v>0</v>
      </c>
      <c r="AO33" s="58">
        <f t="shared" ref="AO33:AO35" si="20">+AI33+AK33+AM33</f>
        <v>624826.27384031226</v>
      </c>
      <c r="AP33"/>
      <c r="AQ33"/>
      <c r="AR33"/>
      <c r="AS33"/>
      <c r="AT33"/>
      <c r="AU33"/>
      <c r="AV33"/>
      <c r="AW33"/>
    </row>
    <row r="34" spans="1:49" x14ac:dyDescent="0.3">
      <c r="A34" s="26" t="s">
        <v>197</v>
      </c>
      <c r="B34" s="57"/>
      <c r="C34" s="10">
        <f>B14*'Plan de producción'!$B$4</f>
        <v>440000</v>
      </c>
      <c r="D34" s="10"/>
      <c r="E34" s="10"/>
      <c r="F34" s="10"/>
      <c r="G34" s="10"/>
      <c r="H34" s="28">
        <f t="shared" si="11"/>
        <v>0</v>
      </c>
      <c r="I34" s="58">
        <f t="shared" si="16"/>
        <v>440000</v>
      </c>
      <c r="J34" s="57"/>
      <c r="K34" s="29">
        <f>C14*'Plan de producción'!$C$4</f>
        <v>910799.99999999988</v>
      </c>
      <c r="L34" s="10"/>
      <c r="M34" s="10"/>
      <c r="N34" s="10"/>
      <c r="O34" s="10"/>
      <c r="P34" s="28">
        <f t="shared" si="12"/>
        <v>0</v>
      </c>
      <c r="Q34" s="58">
        <f t="shared" si="17"/>
        <v>910799.99999999988</v>
      </c>
      <c r="R34" s="57"/>
      <c r="S34" s="29">
        <f>D14*'Plan de producción'!$D$4</f>
        <v>1414016.9999999995</v>
      </c>
      <c r="T34" s="10"/>
      <c r="U34" s="10"/>
      <c r="V34" s="10"/>
      <c r="W34" s="10"/>
      <c r="X34" s="28">
        <f t="shared" si="13"/>
        <v>0</v>
      </c>
      <c r="Y34" s="58">
        <f t="shared" si="18"/>
        <v>1414016.9999999995</v>
      </c>
      <c r="Z34" s="57"/>
      <c r="AA34" s="29">
        <f>E14*'Plan de producción'!$E$4</f>
        <v>1951343.4599999993</v>
      </c>
      <c r="AB34" s="10"/>
      <c r="AC34" s="10"/>
      <c r="AD34" s="10"/>
      <c r="AE34" s="10"/>
      <c r="AF34" s="28">
        <f t="shared" si="14"/>
        <v>0</v>
      </c>
      <c r="AG34" s="58">
        <f t="shared" si="19"/>
        <v>1951343.4599999993</v>
      </c>
      <c r="AH34" s="57"/>
      <c r="AI34" s="29">
        <f>F14*'Plan de producción'!$F$4</f>
        <v>2777005.6615124987</v>
      </c>
      <c r="AJ34" s="10"/>
      <c r="AK34" s="10"/>
      <c r="AL34" s="10"/>
      <c r="AM34" s="10"/>
      <c r="AN34" s="28">
        <f t="shared" si="15"/>
        <v>0</v>
      </c>
      <c r="AO34" s="58">
        <f t="shared" si="20"/>
        <v>2777005.6615124987</v>
      </c>
    </row>
    <row r="35" spans="1:49" x14ac:dyDescent="0.3">
      <c r="A35" s="27" t="s">
        <v>210</v>
      </c>
      <c r="B35" s="57"/>
      <c r="C35" s="10"/>
      <c r="D35" s="10"/>
      <c r="E35" s="10"/>
      <c r="F35" s="10"/>
      <c r="G35" s="10"/>
      <c r="H35" s="28">
        <f t="shared" si="11"/>
        <v>0</v>
      </c>
      <c r="I35" s="58">
        <f t="shared" si="16"/>
        <v>0</v>
      </c>
      <c r="J35" s="57"/>
      <c r="K35" s="45"/>
      <c r="L35" s="10"/>
      <c r="M35" s="10"/>
      <c r="N35" s="10"/>
      <c r="O35" s="10"/>
      <c r="P35" s="28">
        <f t="shared" si="12"/>
        <v>0</v>
      </c>
      <c r="Q35" s="58">
        <f t="shared" si="17"/>
        <v>0</v>
      </c>
      <c r="R35" s="57"/>
      <c r="S35" s="45"/>
      <c r="T35" s="10"/>
      <c r="U35" s="10"/>
      <c r="V35" s="10"/>
      <c r="W35" s="10"/>
      <c r="X35" s="28">
        <f t="shared" si="13"/>
        <v>0</v>
      </c>
      <c r="Y35" s="58">
        <f t="shared" si="18"/>
        <v>0</v>
      </c>
      <c r="Z35" s="57"/>
      <c r="AA35" s="45"/>
      <c r="AB35" s="10"/>
      <c r="AC35" s="10"/>
      <c r="AD35" s="10"/>
      <c r="AE35" s="10"/>
      <c r="AF35" s="28">
        <f t="shared" si="14"/>
        <v>0</v>
      </c>
      <c r="AG35" s="58">
        <f t="shared" si="19"/>
        <v>0</v>
      </c>
      <c r="AH35" s="57"/>
      <c r="AI35" s="45"/>
      <c r="AJ35" s="10"/>
      <c r="AK35" s="10"/>
      <c r="AL35" s="10"/>
      <c r="AM35" s="10"/>
      <c r="AN35" s="28">
        <f t="shared" si="15"/>
        <v>0</v>
      </c>
      <c r="AO35" s="58">
        <f t="shared" si="20"/>
        <v>0</v>
      </c>
    </row>
    <row r="36" spans="1:49" x14ac:dyDescent="0.3">
      <c r="A36" s="49" t="s">
        <v>211</v>
      </c>
      <c r="B36" s="59">
        <f t="shared" ref="B36:AO36" si="21">SUM(B37:B46)</f>
        <v>142172.68333333335</v>
      </c>
      <c r="C36" s="21">
        <f>SUM(C37:C46)</f>
        <v>1706072.2000000002</v>
      </c>
      <c r="D36" s="21">
        <f t="shared" si="21"/>
        <v>16560</v>
      </c>
      <c r="E36" s="21">
        <f t="shared" si="21"/>
        <v>198720</v>
      </c>
      <c r="F36" s="21">
        <f t="shared" si="21"/>
        <v>107154.66666666667</v>
      </c>
      <c r="G36" s="21">
        <f t="shared" si="21"/>
        <v>1285856</v>
      </c>
      <c r="H36" s="21">
        <f t="shared" si="21"/>
        <v>265887.35000000003</v>
      </c>
      <c r="I36" s="21">
        <f t="shared" si="21"/>
        <v>3190648.1999999997</v>
      </c>
      <c r="J36" s="59">
        <f t="shared" si="21"/>
        <v>157681.19518333333</v>
      </c>
      <c r="K36" s="21">
        <f t="shared" si="21"/>
        <v>1764551.8869999999</v>
      </c>
      <c r="L36" s="21">
        <f t="shared" si="21"/>
        <v>17131.666666666668</v>
      </c>
      <c r="M36" s="21">
        <f t="shared" si="21"/>
        <v>205579.99999999997</v>
      </c>
      <c r="N36" s="21">
        <f t="shared" si="21"/>
        <v>110864.66666666667</v>
      </c>
      <c r="O36" s="21">
        <f t="shared" si="21"/>
        <v>1330375.9999999998</v>
      </c>
      <c r="P36" s="21">
        <f t="shared" si="21"/>
        <v>285677.52851666673</v>
      </c>
      <c r="Q36" s="21">
        <f t="shared" si="21"/>
        <v>3300507.8869999992</v>
      </c>
      <c r="R36" s="59">
        <f t="shared" si="21"/>
        <v>179608.45548958334</v>
      </c>
      <c r="S36" s="21">
        <f t="shared" si="21"/>
        <v>1825078.3630449995</v>
      </c>
      <c r="T36" s="21">
        <f t="shared" si="21"/>
        <v>17723.341666666667</v>
      </c>
      <c r="U36" s="21">
        <f t="shared" si="21"/>
        <v>212680.09999999995</v>
      </c>
      <c r="V36" s="21">
        <f t="shared" si="21"/>
        <v>114704.51666666666</v>
      </c>
      <c r="W36" s="21">
        <f t="shared" si="21"/>
        <v>1376454.1999999997</v>
      </c>
      <c r="X36" s="21">
        <f t="shared" si="21"/>
        <v>312036.31382291659</v>
      </c>
      <c r="Y36" s="169">
        <f t="shared" si="21"/>
        <v>3414212.6630449998</v>
      </c>
      <c r="Z36" s="59">
        <f t="shared" si="21"/>
        <v>208577.40886032209</v>
      </c>
      <c r="AA36" s="21">
        <f t="shared" si="21"/>
        <v>1887723.2657515742</v>
      </c>
      <c r="AB36" s="21">
        <f t="shared" si="21"/>
        <v>18335.725291666666</v>
      </c>
      <c r="AC36" s="21">
        <f t="shared" si="21"/>
        <v>220028.70349999992</v>
      </c>
      <c r="AD36" s="21">
        <f t="shared" si="21"/>
        <v>118678.76141666666</v>
      </c>
      <c r="AE36" s="21">
        <f t="shared" si="21"/>
        <v>1424145.1369999994</v>
      </c>
      <c r="AF36" s="21">
        <f t="shared" si="21"/>
        <v>345591.89556865528</v>
      </c>
      <c r="AG36" s="169">
        <f t="shared" si="21"/>
        <v>3531897.1062515737</v>
      </c>
      <c r="AH36" s="59">
        <f t="shared" si="21"/>
        <v>248201.34547559774</v>
      </c>
      <c r="AI36" s="21">
        <f t="shared" si="21"/>
        <v>1952560.7400528796</v>
      </c>
      <c r="AJ36" s="21">
        <f t="shared" si="21"/>
        <v>18969.542343541663</v>
      </c>
      <c r="AK36" s="21">
        <f t="shared" si="21"/>
        <v>227634.50812249989</v>
      </c>
      <c r="AL36" s="21">
        <f t="shared" si="21"/>
        <v>122792.10473291663</v>
      </c>
      <c r="AM36" s="21">
        <f t="shared" si="21"/>
        <v>1473505.2567949996</v>
      </c>
      <c r="AN36" s="21">
        <f t="shared" si="21"/>
        <v>389962.99255205609</v>
      </c>
      <c r="AO36" s="169">
        <f t="shared" si="21"/>
        <v>3653700.5049703787</v>
      </c>
    </row>
    <row r="37" spans="1:49" x14ac:dyDescent="0.3">
      <c r="A37" s="14" t="s">
        <v>212</v>
      </c>
      <c r="B37" s="57">
        <f>Remuneraciones!F7</f>
        <v>133000</v>
      </c>
      <c r="C37" s="10">
        <f>+B37*12</f>
        <v>1596000</v>
      </c>
      <c r="D37" s="10">
        <f>Remuneraciones!F10</f>
        <v>16333.333333333334</v>
      </c>
      <c r="E37" s="10">
        <f>+D37*12</f>
        <v>196000</v>
      </c>
      <c r="F37" s="10">
        <f>Remuneraciones!F17</f>
        <v>62500</v>
      </c>
      <c r="G37" s="10">
        <f>+F37*12</f>
        <v>750000</v>
      </c>
      <c r="H37" s="28">
        <f t="shared" si="11"/>
        <v>211833.33333333334</v>
      </c>
      <c r="I37" s="58">
        <f t="shared" si="16"/>
        <v>2542000</v>
      </c>
      <c r="J37" s="57">
        <f t="shared" ref="J37:O46" si="22">+B37*1.035</f>
        <v>137655</v>
      </c>
      <c r="K37" s="10">
        <f t="shared" si="22"/>
        <v>1651859.9999999998</v>
      </c>
      <c r="L37" s="10">
        <f t="shared" si="22"/>
        <v>16905</v>
      </c>
      <c r="M37" s="29">
        <f t="shared" si="22"/>
        <v>202859.99999999997</v>
      </c>
      <c r="N37" s="10">
        <f t="shared" si="22"/>
        <v>64687.499999999993</v>
      </c>
      <c r="O37" s="10">
        <f t="shared" si="22"/>
        <v>776249.99999999988</v>
      </c>
      <c r="P37" s="29">
        <f t="shared" ref="P37:P46" si="23">+J37+L37+N37</f>
        <v>219247.5</v>
      </c>
      <c r="Q37" s="63">
        <f t="shared" ref="Q37:Q46" si="24">+K37+M37+O37</f>
        <v>2630969.9999999995</v>
      </c>
      <c r="R37" s="57">
        <f t="shared" ref="R37:R42" si="25">+J37*1.035</f>
        <v>142472.92499999999</v>
      </c>
      <c r="S37" s="10">
        <f t="shared" ref="S37:S42" si="26">+K37*1.035</f>
        <v>1709675.0999999996</v>
      </c>
      <c r="T37" s="10">
        <f t="shared" ref="T37:T42" si="27">+L37*1.035</f>
        <v>17496.674999999999</v>
      </c>
      <c r="U37" s="29">
        <f t="shared" ref="U37:U42" si="28">+M37*1.035</f>
        <v>209960.09999999995</v>
      </c>
      <c r="V37" s="10">
        <f t="shared" ref="V37:V42" si="29">+N37*1.035</f>
        <v>66951.562499999985</v>
      </c>
      <c r="W37" s="10">
        <f t="shared" ref="W37:W42" si="30">+O37*1.035</f>
        <v>803418.74999999977</v>
      </c>
      <c r="X37" s="29">
        <f t="shared" ref="X37:X46" si="31">+R37+T37+V37</f>
        <v>226921.16249999998</v>
      </c>
      <c r="Y37" s="170">
        <f t="shared" ref="Y37:Y46" si="32">+S37+U37+W37</f>
        <v>2723053.9499999993</v>
      </c>
      <c r="Z37" s="57">
        <f t="shared" ref="Z37:Z42" si="33">+R37*1.035</f>
        <v>147459.47737499999</v>
      </c>
      <c r="AA37" s="10">
        <f t="shared" ref="AA37:AA42" si="34">+S37*1.035</f>
        <v>1769513.7284999995</v>
      </c>
      <c r="AB37" s="10">
        <f t="shared" ref="AB37:AB42" si="35">+T37*1.035</f>
        <v>18109.058624999998</v>
      </c>
      <c r="AC37" s="29">
        <f t="shared" ref="AC37:AC42" si="36">+U37*1.035</f>
        <v>217308.70349999992</v>
      </c>
      <c r="AD37" s="10">
        <f t="shared" ref="AD37:AD42" si="37">+V37*1.035</f>
        <v>69294.867187499985</v>
      </c>
      <c r="AE37" s="10">
        <f t="shared" ref="AE37:AE42" si="38">+W37*1.035</f>
        <v>831538.40624999965</v>
      </c>
      <c r="AF37" s="29">
        <f t="shared" ref="AF37:AF46" si="39">+Z37+AB37+AD37</f>
        <v>234863.40318749996</v>
      </c>
      <c r="AG37" s="170">
        <f t="shared" ref="AG37:AG46" si="40">+AA37+AC37+AE37</f>
        <v>2818360.8382499991</v>
      </c>
      <c r="AH37" s="57">
        <f t="shared" ref="AH37:AH42" si="41">+Z37*1.035</f>
        <v>152620.55908312497</v>
      </c>
      <c r="AI37" s="10">
        <f t="shared" ref="AI37:AI42" si="42">+AA37*1.035</f>
        <v>1831446.7089974994</v>
      </c>
      <c r="AJ37" s="10">
        <f t="shared" ref="AJ37:AJ42" si="43">+AB37*1.035</f>
        <v>18742.875676874995</v>
      </c>
      <c r="AK37" s="29">
        <f t="shared" ref="AK37:AK42" si="44">+AC37*1.035</f>
        <v>224914.50812249989</v>
      </c>
      <c r="AL37" s="10">
        <f t="shared" ref="AL37:AL42" si="45">+AD37*1.035</f>
        <v>71720.187539062477</v>
      </c>
      <c r="AM37" s="10">
        <f t="shared" ref="AM37:AM42" si="46">+AE37*1.035</f>
        <v>860642.25046874955</v>
      </c>
      <c r="AN37" s="29">
        <f t="shared" ref="AN37:AN46" si="47">+AH37+AJ37+AL37</f>
        <v>243083.62229906244</v>
      </c>
      <c r="AO37" s="170">
        <f t="shared" ref="AO37:AO46" si="48">+AI37+AK37+AM37</f>
        <v>2917003.4675887488</v>
      </c>
    </row>
    <row r="38" spans="1:49" x14ac:dyDescent="0.3">
      <c r="A38" s="14" t="s">
        <v>213</v>
      </c>
      <c r="B38" s="57"/>
      <c r="C38" s="10">
        <f t="shared" ref="C38:C43" si="49">+B38*12</f>
        <v>0</v>
      </c>
      <c r="D38" s="10"/>
      <c r="E38" s="10">
        <f t="shared" ref="E38:G46" si="50">+D38*12</f>
        <v>0</v>
      </c>
      <c r="F38" s="10">
        <v>33000</v>
      </c>
      <c r="G38" s="10">
        <f t="shared" ref="G38:G43" si="51">+F38*12</f>
        <v>396000</v>
      </c>
      <c r="H38" s="28">
        <f t="shared" si="11"/>
        <v>33000</v>
      </c>
      <c r="I38" s="58">
        <f t="shared" si="16"/>
        <v>396000</v>
      </c>
      <c r="J38" s="57">
        <f>+B38*1.035</f>
        <v>0</v>
      </c>
      <c r="K38" s="10">
        <f t="shared" si="22"/>
        <v>0</v>
      </c>
      <c r="L38" s="10">
        <f t="shared" si="22"/>
        <v>0</v>
      </c>
      <c r="M38" s="29">
        <f t="shared" si="22"/>
        <v>0</v>
      </c>
      <c r="N38" s="10">
        <f t="shared" ref="N38:N42" si="52">+F38*1.035</f>
        <v>34155</v>
      </c>
      <c r="O38" s="10">
        <f t="shared" ref="O38:O42" si="53">+G38*1.035</f>
        <v>409859.99999999994</v>
      </c>
      <c r="P38" s="29">
        <f t="shared" si="23"/>
        <v>34155</v>
      </c>
      <c r="Q38" s="63">
        <f t="shared" si="24"/>
        <v>409859.99999999994</v>
      </c>
      <c r="R38" s="57">
        <f t="shared" si="25"/>
        <v>0</v>
      </c>
      <c r="S38" s="10">
        <f t="shared" si="26"/>
        <v>0</v>
      </c>
      <c r="T38" s="10">
        <f t="shared" si="27"/>
        <v>0</v>
      </c>
      <c r="U38" s="29">
        <f t="shared" si="28"/>
        <v>0</v>
      </c>
      <c r="V38" s="10">
        <f t="shared" si="29"/>
        <v>35350.424999999996</v>
      </c>
      <c r="W38" s="10">
        <f t="shared" si="30"/>
        <v>424205.09999999992</v>
      </c>
      <c r="X38" s="29">
        <f t="shared" si="31"/>
        <v>35350.424999999996</v>
      </c>
      <c r="Y38" s="170">
        <f t="shared" si="32"/>
        <v>424205.09999999992</v>
      </c>
      <c r="Z38" s="57">
        <f t="shared" si="33"/>
        <v>0</v>
      </c>
      <c r="AA38" s="10">
        <f t="shared" si="34"/>
        <v>0</v>
      </c>
      <c r="AB38" s="10">
        <f t="shared" si="35"/>
        <v>0</v>
      </c>
      <c r="AC38" s="29">
        <f t="shared" si="36"/>
        <v>0</v>
      </c>
      <c r="AD38" s="10">
        <f t="shared" si="37"/>
        <v>36587.689874999989</v>
      </c>
      <c r="AE38" s="10">
        <f t="shared" si="38"/>
        <v>439052.2784999999</v>
      </c>
      <c r="AF38" s="29">
        <f t="shared" si="39"/>
        <v>36587.689874999989</v>
      </c>
      <c r="AG38" s="170">
        <f t="shared" si="40"/>
        <v>439052.2784999999</v>
      </c>
      <c r="AH38" s="57">
        <f t="shared" si="41"/>
        <v>0</v>
      </c>
      <c r="AI38" s="10">
        <f t="shared" si="42"/>
        <v>0</v>
      </c>
      <c r="AJ38" s="10">
        <f t="shared" si="43"/>
        <v>0</v>
      </c>
      <c r="AK38" s="29">
        <f t="shared" si="44"/>
        <v>0</v>
      </c>
      <c r="AL38" s="10">
        <f t="shared" si="45"/>
        <v>37868.259020624988</v>
      </c>
      <c r="AM38" s="10">
        <f t="shared" si="46"/>
        <v>454419.10824749985</v>
      </c>
      <c r="AN38" s="29">
        <f t="shared" si="47"/>
        <v>37868.259020624988</v>
      </c>
      <c r="AO38" s="170">
        <f t="shared" si="48"/>
        <v>454419.10824749985</v>
      </c>
    </row>
    <row r="39" spans="1:49" x14ac:dyDescent="0.3">
      <c r="A39" s="14" t="s">
        <v>214</v>
      </c>
      <c r="B39" s="57"/>
      <c r="C39" s="10">
        <f>+B39*12</f>
        <v>0</v>
      </c>
      <c r="D39" s="10"/>
      <c r="E39" s="10">
        <f t="shared" si="50"/>
        <v>0</v>
      </c>
      <c r="F39" s="10">
        <v>3000</v>
      </c>
      <c r="G39" s="10">
        <f t="shared" si="51"/>
        <v>36000</v>
      </c>
      <c r="H39" s="28">
        <f t="shared" si="11"/>
        <v>3000</v>
      </c>
      <c r="I39" s="58">
        <f t="shared" si="16"/>
        <v>36000</v>
      </c>
      <c r="J39" s="57">
        <f t="shared" si="22"/>
        <v>0</v>
      </c>
      <c r="K39" s="10">
        <f t="shared" si="22"/>
        <v>0</v>
      </c>
      <c r="L39" s="10">
        <f t="shared" si="22"/>
        <v>0</v>
      </c>
      <c r="M39" s="29">
        <f t="shared" si="22"/>
        <v>0</v>
      </c>
      <c r="N39" s="10">
        <f t="shared" si="52"/>
        <v>3104.9999999999995</v>
      </c>
      <c r="O39" s="10">
        <f t="shared" si="53"/>
        <v>37260</v>
      </c>
      <c r="P39" s="29">
        <f t="shared" si="23"/>
        <v>3104.9999999999995</v>
      </c>
      <c r="Q39" s="63">
        <f t="shared" si="24"/>
        <v>37260</v>
      </c>
      <c r="R39" s="57">
        <f t="shared" si="25"/>
        <v>0</v>
      </c>
      <c r="S39" s="10">
        <f t="shared" si="26"/>
        <v>0</v>
      </c>
      <c r="T39" s="10">
        <f t="shared" si="27"/>
        <v>0</v>
      </c>
      <c r="U39" s="29">
        <f t="shared" si="28"/>
        <v>0</v>
      </c>
      <c r="V39" s="10">
        <f t="shared" si="29"/>
        <v>3213.6749999999993</v>
      </c>
      <c r="W39" s="10">
        <f t="shared" si="30"/>
        <v>38564.1</v>
      </c>
      <c r="X39" s="29">
        <f t="shared" si="31"/>
        <v>3213.6749999999993</v>
      </c>
      <c r="Y39" s="170">
        <f t="shared" si="32"/>
        <v>38564.1</v>
      </c>
      <c r="Z39" s="57">
        <f t="shared" si="33"/>
        <v>0</v>
      </c>
      <c r="AA39" s="10">
        <f t="shared" si="34"/>
        <v>0</v>
      </c>
      <c r="AB39" s="10">
        <f t="shared" si="35"/>
        <v>0</v>
      </c>
      <c r="AC39" s="29">
        <f t="shared" si="36"/>
        <v>0</v>
      </c>
      <c r="AD39" s="10">
        <f t="shared" si="37"/>
        <v>3326.153624999999</v>
      </c>
      <c r="AE39" s="10">
        <f t="shared" si="38"/>
        <v>39913.843499999995</v>
      </c>
      <c r="AF39" s="29">
        <f t="shared" si="39"/>
        <v>3326.153624999999</v>
      </c>
      <c r="AG39" s="170">
        <f t="shared" si="40"/>
        <v>39913.843499999995</v>
      </c>
      <c r="AH39" s="57">
        <f t="shared" si="41"/>
        <v>0</v>
      </c>
      <c r="AI39" s="10">
        <f t="shared" si="42"/>
        <v>0</v>
      </c>
      <c r="AJ39" s="10">
        <f t="shared" si="43"/>
        <v>0</v>
      </c>
      <c r="AK39" s="29">
        <f t="shared" si="44"/>
        <v>0</v>
      </c>
      <c r="AL39" s="10">
        <f t="shared" si="45"/>
        <v>3442.5690018749988</v>
      </c>
      <c r="AM39" s="10">
        <f t="shared" si="46"/>
        <v>41310.828022499991</v>
      </c>
      <c r="AN39" s="29">
        <f t="shared" si="47"/>
        <v>3442.5690018749988</v>
      </c>
      <c r="AO39" s="170">
        <f t="shared" si="48"/>
        <v>41310.828022499991</v>
      </c>
    </row>
    <row r="40" spans="1:49" x14ac:dyDescent="0.3">
      <c r="A40" s="14" t="s">
        <v>215</v>
      </c>
      <c r="B40" s="57"/>
      <c r="C40" s="10">
        <f t="shared" si="49"/>
        <v>0</v>
      </c>
      <c r="D40" s="10"/>
      <c r="E40" s="10">
        <f t="shared" si="50"/>
        <v>0</v>
      </c>
      <c r="F40" s="10">
        <v>2500</v>
      </c>
      <c r="G40" s="10">
        <f t="shared" si="51"/>
        <v>30000</v>
      </c>
      <c r="H40" s="28">
        <f t="shared" si="11"/>
        <v>2500</v>
      </c>
      <c r="I40" s="58">
        <f t="shared" si="16"/>
        <v>30000</v>
      </c>
      <c r="J40" s="57">
        <f t="shared" si="22"/>
        <v>0</v>
      </c>
      <c r="K40" s="10">
        <f t="shared" si="22"/>
        <v>0</v>
      </c>
      <c r="L40" s="10">
        <f t="shared" si="22"/>
        <v>0</v>
      </c>
      <c r="M40" s="29">
        <f t="shared" si="22"/>
        <v>0</v>
      </c>
      <c r="N40" s="10">
        <f t="shared" si="52"/>
        <v>2587.5</v>
      </c>
      <c r="O40" s="10">
        <f t="shared" si="53"/>
        <v>31049.999999999996</v>
      </c>
      <c r="P40" s="29">
        <f t="shared" si="23"/>
        <v>2587.5</v>
      </c>
      <c r="Q40" s="63">
        <f t="shared" si="24"/>
        <v>31049.999999999996</v>
      </c>
      <c r="R40" s="57">
        <f t="shared" si="25"/>
        <v>0</v>
      </c>
      <c r="S40" s="10">
        <f t="shared" si="26"/>
        <v>0</v>
      </c>
      <c r="T40" s="10">
        <f t="shared" si="27"/>
        <v>0</v>
      </c>
      <c r="U40" s="29">
        <f t="shared" si="28"/>
        <v>0</v>
      </c>
      <c r="V40" s="10">
        <f t="shared" si="29"/>
        <v>2678.0625</v>
      </c>
      <c r="W40" s="10">
        <f t="shared" si="30"/>
        <v>32136.749999999993</v>
      </c>
      <c r="X40" s="29">
        <f t="shared" si="31"/>
        <v>2678.0625</v>
      </c>
      <c r="Y40" s="170">
        <f t="shared" si="32"/>
        <v>32136.749999999993</v>
      </c>
      <c r="Z40" s="57">
        <f t="shared" si="33"/>
        <v>0</v>
      </c>
      <c r="AA40" s="10">
        <f t="shared" si="34"/>
        <v>0</v>
      </c>
      <c r="AB40" s="10">
        <f t="shared" si="35"/>
        <v>0</v>
      </c>
      <c r="AC40" s="29">
        <f t="shared" si="36"/>
        <v>0</v>
      </c>
      <c r="AD40" s="10">
        <f t="shared" si="37"/>
        <v>2771.7946874999998</v>
      </c>
      <c r="AE40" s="10">
        <f t="shared" si="38"/>
        <v>33261.53624999999</v>
      </c>
      <c r="AF40" s="29">
        <f t="shared" si="39"/>
        <v>2771.7946874999998</v>
      </c>
      <c r="AG40" s="170">
        <f t="shared" si="40"/>
        <v>33261.53624999999</v>
      </c>
      <c r="AH40" s="57">
        <f t="shared" si="41"/>
        <v>0</v>
      </c>
      <c r="AI40" s="10">
        <f t="shared" si="42"/>
        <v>0</v>
      </c>
      <c r="AJ40" s="10">
        <f t="shared" si="43"/>
        <v>0</v>
      </c>
      <c r="AK40" s="29">
        <f t="shared" si="44"/>
        <v>0</v>
      </c>
      <c r="AL40" s="10">
        <f t="shared" si="45"/>
        <v>2868.8075015624995</v>
      </c>
      <c r="AM40" s="10">
        <f t="shared" si="46"/>
        <v>34425.690018749985</v>
      </c>
      <c r="AN40" s="29">
        <f t="shared" si="47"/>
        <v>2868.8075015624995</v>
      </c>
      <c r="AO40" s="170">
        <f t="shared" si="48"/>
        <v>34425.690018749985</v>
      </c>
    </row>
    <row r="41" spans="1:49" x14ac:dyDescent="0.3">
      <c r="A41" s="14" t="s">
        <v>86</v>
      </c>
      <c r="B41" s="57"/>
      <c r="C41" s="10">
        <f t="shared" si="49"/>
        <v>0</v>
      </c>
      <c r="D41" s="10"/>
      <c r="E41" s="10">
        <f t="shared" si="50"/>
        <v>0</v>
      </c>
      <c r="F41" s="10">
        <v>3000</v>
      </c>
      <c r="G41" s="10">
        <f t="shared" si="51"/>
        <v>36000</v>
      </c>
      <c r="H41" s="28">
        <f t="shared" si="11"/>
        <v>3000</v>
      </c>
      <c r="I41" s="58">
        <f t="shared" si="16"/>
        <v>36000</v>
      </c>
      <c r="J41" s="57">
        <f t="shared" si="22"/>
        <v>0</v>
      </c>
      <c r="K41" s="10">
        <f t="shared" si="22"/>
        <v>0</v>
      </c>
      <c r="L41" s="10">
        <f t="shared" si="22"/>
        <v>0</v>
      </c>
      <c r="M41" s="29">
        <f t="shared" si="22"/>
        <v>0</v>
      </c>
      <c r="N41" s="10">
        <f t="shared" si="52"/>
        <v>3104.9999999999995</v>
      </c>
      <c r="O41" s="10">
        <f t="shared" si="53"/>
        <v>37260</v>
      </c>
      <c r="P41" s="29">
        <f t="shared" si="23"/>
        <v>3104.9999999999995</v>
      </c>
      <c r="Q41" s="63">
        <f t="shared" si="24"/>
        <v>37260</v>
      </c>
      <c r="R41" s="57">
        <f t="shared" si="25"/>
        <v>0</v>
      </c>
      <c r="S41" s="10">
        <f t="shared" si="26"/>
        <v>0</v>
      </c>
      <c r="T41" s="10">
        <f t="shared" si="27"/>
        <v>0</v>
      </c>
      <c r="U41" s="29">
        <f t="shared" si="28"/>
        <v>0</v>
      </c>
      <c r="V41" s="10">
        <f t="shared" si="29"/>
        <v>3213.6749999999993</v>
      </c>
      <c r="W41" s="10">
        <f t="shared" si="30"/>
        <v>38564.1</v>
      </c>
      <c r="X41" s="29">
        <f t="shared" si="31"/>
        <v>3213.6749999999993</v>
      </c>
      <c r="Y41" s="170">
        <f t="shared" si="32"/>
        <v>38564.1</v>
      </c>
      <c r="Z41" s="57">
        <f t="shared" si="33"/>
        <v>0</v>
      </c>
      <c r="AA41" s="10">
        <f t="shared" si="34"/>
        <v>0</v>
      </c>
      <c r="AB41" s="10">
        <f t="shared" si="35"/>
        <v>0</v>
      </c>
      <c r="AC41" s="29">
        <f t="shared" si="36"/>
        <v>0</v>
      </c>
      <c r="AD41" s="10">
        <f t="shared" si="37"/>
        <v>3326.153624999999</v>
      </c>
      <c r="AE41" s="10">
        <f t="shared" si="38"/>
        <v>39913.843499999995</v>
      </c>
      <c r="AF41" s="29">
        <f t="shared" si="39"/>
        <v>3326.153624999999</v>
      </c>
      <c r="AG41" s="170">
        <f t="shared" si="40"/>
        <v>39913.843499999995</v>
      </c>
      <c r="AH41" s="57">
        <f t="shared" si="41"/>
        <v>0</v>
      </c>
      <c r="AI41" s="10">
        <f t="shared" si="42"/>
        <v>0</v>
      </c>
      <c r="AJ41" s="10">
        <f t="shared" si="43"/>
        <v>0</v>
      </c>
      <c r="AK41" s="29">
        <f t="shared" si="44"/>
        <v>0</v>
      </c>
      <c r="AL41" s="10">
        <f t="shared" si="45"/>
        <v>3442.5690018749988</v>
      </c>
      <c r="AM41" s="10">
        <f t="shared" si="46"/>
        <v>41310.828022499991</v>
      </c>
      <c r="AN41" s="29">
        <f t="shared" si="47"/>
        <v>3442.5690018749988</v>
      </c>
      <c r="AO41" s="170">
        <f t="shared" si="48"/>
        <v>41310.828022499991</v>
      </c>
    </row>
    <row r="42" spans="1:49" x14ac:dyDescent="0.3">
      <c r="A42" s="14" t="s">
        <v>216</v>
      </c>
      <c r="B42" s="57"/>
      <c r="C42" s="10">
        <f t="shared" si="49"/>
        <v>0</v>
      </c>
      <c r="D42" s="10"/>
      <c r="E42" s="10">
        <f t="shared" si="50"/>
        <v>0</v>
      </c>
      <c r="F42" s="10">
        <v>2000</v>
      </c>
      <c r="G42" s="10">
        <f t="shared" si="51"/>
        <v>24000</v>
      </c>
      <c r="H42" s="28">
        <f t="shared" si="11"/>
        <v>2000</v>
      </c>
      <c r="I42" s="58">
        <f t="shared" si="16"/>
        <v>24000</v>
      </c>
      <c r="J42" s="57">
        <f t="shared" si="22"/>
        <v>0</v>
      </c>
      <c r="K42" s="10">
        <f t="shared" si="22"/>
        <v>0</v>
      </c>
      <c r="L42" s="10">
        <f t="shared" si="22"/>
        <v>0</v>
      </c>
      <c r="M42" s="29">
        <f t="shared" si="22"/>
        <v>0</v>
      </c>
      <c r="N42" s="10">
        <f t="shared" si="52"/>
        <v>2070</v>
      </c>
      <c r="O42" s="10">
        <f t="shared" si="53"/>
        <v>24839.999999999996</v>
      </c>
      <c r="P42" s="29">
        <f t="shared" si="23"/>
        <v>2070</v>
      </c>
      <c r="Q42" s="63">
        <f t="shared" si="24"/>
        <v>24839.999999999996</v>
      </c>
      <c r="R42" s="57">
        <f t="shared" si="25"/>
        <v>0</v>
      </c>
      <c r="S42" s="10">
        <f t="shared" si="26"/>
        <v>0</v>
      </c>
      <c r="T42" s="10">
        <f t="shared" si="27"/>
        <v>0</v>
      </c>
      <c r="U42" s="29">
        <f t="shared" si="28"/>
        <v>0</v>
      </c>
      <c r="V42" s="10">
        <f t="shared" si="29"/>
        <v>2142.4499999999998</v>
      </c>
      <c r="W42" s="10">
        <f t="shared" si="30"/>
        <v>25709.399999999994</v>
      </c>
      <c r="X42" s="29">
        <f t="shared" si="31"/>
        <v>2142.4499999999998</v>
      </c>
      <c r="Y42" s="170">
        <f t="shared" si="32"/>
        <v>25709.399999999994</v>
      </c>
      <c r="Z42" s="57">
        <f t="shared" si="33"/>
        <v>0</v>
      </c>
      <c r="AA42" s="10">
        <f t="shared" si="34"/>
        <v>0</v>
      </c>
      <c r="AB42" s="10">
        <f t="shared" si="35"/>
        <v>0</v>
      </c>
      <c r="AC42" s="29">
        <f t="shared" si="36"/>
        <v>0</v>
      </c>
      <c r="AD42" s="10">
        <f t="shared" si="37"/>
        <v>2217.4357499999996</v>
      </c>
      <c r="AE42" s="10">
        <f t="shared" si="38"/>
        <v>26609.228999999992</v>
      </c>
      <c r="AF42" s="29">
        <f t="shared" si="39"/>
        <v>2217.4357499999996</v>
      </c>
      <c r="AG42" s="170">
        <f t="shared" si="40"/>
        <v>26609.228999999992</v>
      </c>
      <c r="AH42" s="57">
        <f t="shared" si="41"/>
        <v>0</v>
      </c>
      <c r="AI42" s="10">
        <f t="shared" si="42"/>
        <v>0</v>
      </c>
      <c r="AJ42" s="10">
        <f t="shared" si="43"/>
        <v>0</v>
      </c>
      <c r="AK42" s="29">
        <f t="shared" si="44"/>
        <v>0</v>
      </c>
      <c r="AL42" s="10">
        <f t="shared" si="45"/>
        <v>2295.0460012499993</v>
      </c>
      <c r="AM42" s="10">
        <f t="shared" si="46"/>
        <v>27540.55201499999</v>
      </c>
      <c r="AN42" s="29">
        <f t="shared" si="47"/>
        <v>2295.0460012499993</v>
      </c>
      <c r="AO42" s="170">
        <f t="shared" si="48"/>
        <v>27540.55201499999</v>
      </c>
    </row>
    <row r="43" spans="1:49" x14ac:dyDescent="0.3">
      <c r="A43" s="14" t="s">
        <v>217</v>
      </c>
      <c r="B43" s="152">
        <f>Depreciación!$J$16</f>
        <v>2935.3333333333335</v>
      </c>
      <c r="C43" s="153">
        <f t="shared" si="49"/>
        <v>35224</v>
      </c>
      <c r="D43" s="153">
        <f>Depreciación!$J$22</f>
        <v>226.66666666666666</v>
      </c>
      <c r="E43" s="153">
        <f t="shared" si="50"/>
        <v>2720</v>
      </c>
      <c r="F43" s="153">
        <f>Depreciación!$J$35</f>
        <v>1154.6666666666667</v>
      </c>
      <c r="G43" s="153">
        <f t="shared" si="51"/>
        <v>13856</v>
      </c>
      <c r="H43" s="154">
        <f t="shared" si="11"/>
        <v>4316.666666666667</v>
      </c>
      <c r="I43" s="155">
        <f t="shared" si="16"/>
        <v>51800</v>
      </c>
      <c r="J43" s="152">
        <f>Depreciación!$J$16</f>
        <v>2935.3333333333335</v>
      </c>
      <c r="K43" s="153">
        <f t="shared" ref="K43" si="54">+J43*12</f>
        <v>35224</v>
      </c>
      <c r="L43" s="153">
        <f>Depreciación!$J$22</f>
        <v>226.66666666666666</v>
      </c>
      <c r="M43" s="153">
        <f t="shared" ref="M43" si="55">+L43*12</f>
        <v>2720</v>
      </c>
      <c r="N43" s="153">
        <f>Depreciación!$J$35</f>
        <v>1154.6666666666667</v>
      </c>
      <c r="O43" s="153">
        <f t="shared" ref="O43" si="56">+N43*12</f>
        <v>13856</v>
      </c>
      <c r="P43" s="154">
        <f t="shared" si="23"/>
        <v>4316.666666666667</v>
      </c>
      <c r="Q43" s="155">
        <f t="shared" si="24"/>
        <v>51800</v>
      </c>
      <c r="R43" s="152">
        <f>Depreciación!$J$16</f>
        <v>2935.3333333333335</v>
      </c>
      <c r="S43" s="153">
        <f t="shared" ref="S43" si="57">+R43*12</f>
        <v>35224</v>
      </c>
      <c r="T43" s="153">
        <f>Depreciación!$J$22</f>
        <v>226.66666666666666</v>
      </c>
      <c r="U43" s="153">
        <f t="shared" ref="U43" si="58">+T43*12</f>
        <v>2720</v>
      </c>
      <c r="V43" s="153">
        <f>Depreciación!$J$35</f>
        <v>1154.6666666666667</v>
      </c>
      <c r="W43" s="153">
        <f t="shared" ref="W43" si="59">+V43*12</f>
        <v>13856</v>
      </c>
      <c r="X43" s="154">
        <f t="shared" si="31"/>
        <v>4316.666666666667</v>
      </c>
      <c r="Y43" s="155">
        <f t="shared" si="32"/>
        <v>51800</v>
      </c>
      <c r="Z43" s="152">
        <f>Depreciación!$J$16</f>
        <v>2935.3333333333335</v>
      </c>
      <c r="AA43" s="153">
        <f t="shared" ref="AA43" si="60">+Z43*12</f>
        <v>35224</v>
      </c>
      <c r="AB43" s="153">
        <f>Depreciación!$J$22</f>
        <v>226.66666666666666</v>
      </c>
      <c r="AC43" s="153">
        <f t="shared" ref="AC43" si="61">+AB43*12</f>
        <v>2720</v>
      </c>
      <c r="AD43" s="153">
        <f>Depreciación!$J$35</f>
        <v>1154.6666666666667</v>
      </c>
      <c r="AE43" s="153">
        <f t="shared" ref="AE43" si="62">+AD43*12</f>
        <v>13856</v>
      </c>
      <c r="AF43" s="154">
        <f t="shared" si="39"/>
        <v>4316.666666666667</v>
      </c>
      <c r="AG43" s="155">
        <f t="shared" si="40"/>
        <v>51800</v>
      </c>
      <c r="AH43" s="152">
        <f>Depreciación!$J$16</f>
        <v>2935.3333333333335</v>
      </c>
      <c r="AI43" s="153">
        <f t="shared" ref="AI43" si="63">+AH43*12</f>
        <v>35224</v>
      </c>
      <c r="AJ43" s="153">
        <f>Depreciación!$J$22</f>
        <v>226.66666666666666</v>
      </c>
      <c r="AK43" s="153">
        <f t="shared" ref="AK43" si="64">+AJ43*12</f>
        <v>2720</v>
      </c>
      <c r="AL43" s="153">
        <f>Depreciación!$J$35</f>
        <v>1154.6666666666667</v>
      </c>
      <c r="AM43" s="153">
        <f t="shared" ref="AM43" si="65">+AL43*12</f>
        <v>13856</v>
      </c>
      <c r="AN43" s="154">
        <f t="shared" si="47"/>
        <v>4316.666666666667</v>
      </c>
      <c r="AO43" s="155">
        <f t="shared" si="48"/>
        <v>51800</v>
      </c>
    </row>
    <row r="44" spans="1:49" x14ac:dyDescent="0.3">
      <c r="A44" s="14" t="s">
        <v>191</v>
      </c>
      <c r="B44" s="156">
        <f>'Valores de Producción'!B20*'Plan de producción'!B4</f>
        <v>5137.78</v>
      </c>
      <c r="C44" s="157">
        <f>B44*12</f>
        <v>61653.36</v>
      </c>
      <c r="D44" s="157"/>
      <c r="E44" s="157">
        <f t="shared" si="50"/>
        <v>0</v>
      </c>
      <c r="F44" s="157"/>
      <c r="G44" s="157">
        <f t="shared" si="50"/>
        <v>0</v>
      </c>
      <c r="H44" s="158">
        <f t="shared" si="11"/>
        <v>5137.78</v>
      </c>
      <c r="I44" s="159">
        <f t="shared" si="16"/>
        <v>61653.36</v>
      </c>
      <c r="J44" s="156">
        <f>'Valores de Producción'!B20*'Plan de producción'!C4*POWER(1.035,1)+B44*1.035</f>
        <v>15952.8069</v>
      </c>
      <c r="K44" s="157">
        <f t="shared" si="22"/>
        <v>63811.227599999998</v>
      </c>
      <c r="L44" s="10">
        <f t="shared" si="22"/>
        <v>0</v>
      </c>
      <c r="M44" s="10">
        <f t="shared" si="22"/>
        <v>0</v>
      </c>
      <c r="N44" s="10">
        <f t="shared" si="22"/>
        <v>0</v>
      </c>
      <c r="O44" s="10">
        <f t="shared" si="22"/>
        <v>0</v>
      </c>
      <c r="P44" s="164">
        <f t="shared" si="23"/>
        <v>15952.8069</v>
      </c>
      <c r="Q44" s="165">
        <f t="shared" si="24"/>
        <v>63811.227599999998</v>
      </c>
      <c r="R44" s="156">
        <f>'Valores de Producción'!B20*'Plan de producción'!D4*POWER(1.035,2)+J44*1.035</f>
        <v>33022.310282999999</v>
      </c>
      <c r="S44" s="157">
        <f t="shared" ref="S44:S46" si="66">+K44*1.035</f>
        <v>66044.620565999998</v>
      </c>
      <c r="T44" s="10">
        <f t="shared" ref="T44:T46" si="67">+L44*1.035</f>
        <v>0</v>
      </c>
      <c r="U44" s="10">
        <f t="shared" ref="U44:U46" si="68">+M44*1.035</f>
        <v>0</v>
      </c>
      <c r="V44" s="10">
        <f t="shared" ref="V44:V46" si="69">+N44*1.035</f>
        <v>0</v>
      </c>
      <c r="W44" s="10">
        <f t="shared" ref="W44:W46" si="70">+O44*1.035</f>
        <v>0</v>
      </c>
      <c r="X44" s="164">
        <f t="shared" si="31"/>
        <v>33022.310282999999</v>
      </c>
      <c r="Y44" s="165">
        <f t="shared" si="32"/>
        <v>66044.620565999998</v>
      </c>
      <c r="Z44" s="156">
        <f>'Valores de Producción'!B20*'Plan de producción'!E4*POWER(1.035,3)+R44*1.035</f>
        <v>56963.485238174988</v>
      </c>
      <c r="AA44" s="157">
        <f t="shared" ref="AA44:AA46" si="71">+S44*1.035</f>
        <v>68356.182285809991</v>
      </c>
      <c r="AB44" s="10">
        <f t="shared" ref="AB44:AB46" si="72">+T44*1.035</f>
        <v>0</v>
      </c>
      <c r="AC44" s="10">
        <f t="shared" ref="AC44:AC46" si="73">+U44*1.035</f>
        <v>0</v>
      </c>
      <c r="AD44" s="10">
        <f t="shared" ref="AD44:AD46" si="74">+V44*1.035</f>
        <v>0</v>
      </c>
      <c r="AE44" s="10">
        <f t="shared" ref="AE44:AE46" si="75">+W44*1.035</f>
        <v>0</v>
      </c>
      <c r="AF44" s="164">
        <f t="shared" si="39"/>
        <v>56963.485238174988</v>
      </c>
      <c r="AG44" s="165">
        <f t="shared" si="40"/>
        <v>68356.182285809991</v>
      </c>
      <c r="AH44" s="156">
        <f>'Valores de Producción'!B20*'Plan de producción'!F4*POWER(1.035,4)+Z44*1.035</f>
        <v>91383.671193342219</v>
      </c>
      <c r="AI44" s="157">
        <f t="shared" ref="AI44:AI46" si="76">+AA44*1.035</f>
        <v>70748.648665813336</v>
      </c>
      <c r="AJ44" s="10">
        <f t="shared" ref="AJ44:AJ46" si="77">+AB44*1.035</f>
        <v>0</v>
      </c>
      <c r="AK44" s="10">
        <f t="shared" ref="AK44:AK46" si="78">+AC44*1.035</f>
        <v>0</v>
      </c>
      <c r="AL44" s="10">
        <f t="shared" ref="AL44:AL46" si="79">+AD44*1.035</f>
        <v>0</v>
      </c>
      <c r="AM44" s="10">
        <f t="shared" ref="AM44:AM46" si="80">+AE44*1.035</f>
        <v>0</v>
      </c>
      <c r="AN44" s="164">
        <f t="shared" si="47"/>
        <v>91383.671193342219</v>
      </c>
      <c r="AO44" s="165">
        <f t="shared" si="48"/>
        <v>70748.648665813336</v>
      </c>
    </row>
    <row r="45" spans="1:49" x14ac:dyDescent="0.3">
      <c r="A45" s="14" t="s">
        <v>218</v>
      </c>
      <c r="B45" s="156">
        <v>1000</v>
      </c>
      <c r="C45" s="157">
        <f>B45*12</f>
        <v>12000</v>
      </c>
      <c r="D45" s="157"/>
      <c r="E45" s="157">
        <f t="shared" si="50"/>
        <v>0</v>
      </c>
      <c r="F45" s="157"/>
      <c r="G45" s="157">
        <f t="shared" si="50"/>
        <v>0</v>
      </c>
      <c r="H45" s="158">
        <f t="shared" si="11"/>
        <v>1000</v>
      </c>
      <c r="I45" s="159">
        <f t="shared" si="16"/>
        <v>12000</v>
      </c>
      <c r="J45" s="156">
        <f t="shared" si="22"/>
        <v>1035</v>
      </c>
      <c r="K45" s="157">
        <f t="shared" si="22"/>
        <v>12419.999999999998</v>
      </c>
      <c r="L45" s="10">
        <f t="shared" si="22"/>
        <v>0</v>
      </c>
      <c r="M45" s="10">
        <f t="shared" si="22"/>
        <v>0</v>
      </c>
      <c r="N45" s="10">
        <f t="shared" si="22"/>
        <v>0</v>
      </c>
      <c r="O45" s="10">
        <f t="shared" si="22"/>
        <v>0</v>
      </c>
      <c r="P45" s="164">
        <f t="shared" si="23"/>
        <v>1035</v>
      </c>
      <c r="Q45" s="165">
        <f t="shared" si="24"/>
        <v>12419.999999999998</v>
      </c>
      <c r="R45" s="156">
        <f t="shared" ref="R45:R46" si="81">+J45*1.035</f>
        <v>1071.2249999999999</v>
      </c>
      <c r="S45" s="157">
        <f t="shared" si="66"/>
        <v>12854.699999999997</v>
      </c>
      <c r="T45" s="10">
        <f t="shared" si="67"/>
        <v>0</v>
      </c>
      <c r="U45" s="10">
        <f t="shared" si="68"/>
        <v>0</v>
      </c>
      <c r="V45" s="10">
        <f t="shared" si="69"/>
        <v>0</v>
      </c>
      <c r="W45" s="10">
        <f t="shared" si="70"/>
        <v>0</v>
      </c>
      <c r="X45" s="164">
        <f t="shared" si="31"/>
        <v>1071.2249999999999</v>
      </c>
      <c r="Y45" s="165">
        <f t="shared" si="32"/>
        <v>12854.699999999997</v>
      </c>
      <c r="Z45" s="156">
        <f t="shared" ref="Z45:Z46" si="82">+R45*1.035</f>
        <v>1108.7178749999998</v>
      </c>
      <c r="AA45" s="157">
        <f t="shared" si="71"/>
        <v>13304.614499999996</v>
      </c>
      <c r="AB45" s="10">
        <f t="shared" si="72"/>
        <v>0</v>
      </c>
      <c r="AC45" s="10">
        <f t="shared" si="73"/>
        <v>0</v>
      </c>
      <c r="AD45" s="10">
        <f t="shared" si="74"/>
        <v>0</v>
      </c>
      <c r="AE45" s="10">
        <f t="shared" si="75"/>
        <v>0</v>
      </c>
      <c r="AF45" s="164">
        <f t="shared" si="39"/>
        <v>1108.7178749999998</v>
      </c>
      <c r="AG45" s="165">
        <f t="shared" si="40"/>
        <v>13304.614499999996</v>
      </c>
      <c r="AH45" s="156">
        <f t="shared" ref="AH45:AH46" si="83">+Z45*1.035</f>
        <v>1147.5230006249997</v>
      </c>
      <c r="AI45" s="157">
        <f t="shared" si="76"/>
        <v>13770.276007499995</v>
      </c>
      <c r="AJ45" s="10">
        <f t="shared" si="77"/>
        <v>0</v>
      </c>
      <c r="AK45" s="10">
        <f t="shared" si="78"/>
        <v>0</v>
      </c>
      <c r="AL45" s="10">
        <f t="shared" si="79"/>
        <v>0</v>
      </c>
      <c r="AM45" s="10">
        <f t="shared" si="80"/>
        <v>0</v>
      </c>
      <c r="AN45" s="164">
        <f t="shared" si="47"/>
        <v>1147.5230006249997</v>
      </c>
      <c r="AO45" s="165">
        <f t="shared" si="48"/>
        <v>13770.276007499995</v>
      </c>
    </row>
    <row r="46" spans="1:49" ht="15" thickBot="1" x14ac:dyDescent="0.35">
      <c r="A46" s="14" t="s">
        <v>219</v>
      </c>
      <c r="B46" s="160">
        <v>99.57</v>
      </c>
      <c r="C46" s="161">
        <f>B46*12</f>
        <v>1194.8399999999999</v>
      </c>
      <c r="D46" s="161"/>
      <c r="E46" s="161">
        <f t="shared" si="50"/>
        <v>0</v>
      </c>
      <c r="F46" s="161"/>
      <c r="G46" s="161">
        <f t="shared" si="50"/>
        <v>0</v>
      </c>
      <c r="H46" s="162">
        <f t="shared" si="11"/>
        <v>99.57</v>
      </c>
      <c r="I46" s="163">
        <f t="shared" si="16"/>
        <v>1194.8399999999999</v>
      </c>
      <c r="J46" s="160">
        <f t="shared" si="22"/>
        <v>103.05494999999999</v>
      </c>
      <c r="K46" s="161">
        <f t="shared" si="22"/>
        <v>1236.6593999999998</v>
      </c>
      <c r="L46" s="10">
        <f t="shared" si="22"/>
        <v>0</v>
      </c>
      <c r="M46" s="10">
        <f t="shared" si="22"/>
        <v>0</v>
      </c>
      <c r="N46" s="10">
        <f t="shared" si="22"/>
        <v>0</v>
      </c>
      <c r="O46" s="10">
        <f t="shared" si="22"/>
        <v>0</v>
      </c>
      <c r="P46" s="164">
        <f t="shared" si="23"/>
        <v>103.05494999999999</v>
      </c>
      <c r="Q46" s="165">
        <f t="shared" si="24"/>
        <v>1236.6593999999998</v>
      </c>
      <c r="R46" s="160">
        <f t="shared" si="81"/>
        <v>106.66187324999999</v>
      </c>
      <c r="S46" s="161">
        <f t="shared" si="66"/>
        <v>1279.9424789999996</v>
      </c>
      <c r="T46" s="10">
        <f t="shared" si="67"/>
        <v>0</v>
      </c>
      <c r="U46" s="10">
        <f t="shared" si="68"/>
        <v>0</v>
      </c>
      <c r="V46" s="10">
        <f t="shared" si="69"/>
        <v>0</v>
      </c>
      <c r="W46" s="10">
        <f t="shared" si="70"/>
        <v>0</v>
      </c>
      <c r="X46" s="164">
        <f t="shared" si="31"/>
        <v>106.66187324999999</v>
      </c>
      <c r="Y46" s="165">
        <f t="shared" si="32"/>
        <v>1279.9424789999996</v>
      </c>
      <c r="Z46" s="160">
        <f t="shared" si="82"/>
        <v>110.39503881374998</v>
      </c>
      <c r="AA46" s="161">
        <f t="shared" si="71"/>
        <v>1324.7404657649995</v>
      </c>
      <c r="AB46" s="10">
        <f t="shared" si="72"/>
        <v>0</v>
      </c>
      <c r="AC46" s="10">
        <f t="shared" si="73"/>
        <v>0</v>
      </c>
      <c r="AD46" s="10">
        <f t="shared" si="74"/>
        <v>0</v>
      </c>
      <c r="AE46" s="10">
        <f t="shared" si="75"/>
        <v>0</v>
      </c>
      <c r="AF46" s="164">
        <f t="shared" si="39"/>
        <v>110.39503881374998</v>
      </c>
      <c r="AG46" s="165">
        <f t="shared" si="40"/>
        <v>1324.7404657649995</v>
      </c>
      <c r="AH46" s="160">
        <f t="shared" si="83"/>
        <v>114.25886517223121</v>
      </c>
      <c r="AI46" s="161">
        <f t="shared" si="76"/>
        <v>1371.1063820667744</v>
      </c>
      <c r="AJ46" s="10">
        <f t="shared" si="77"/>
        <v>0</v>
      </c>
      <c r="AK46" s="10">
        <f t="shared" si="78"/>
        <v>0</v>
      </c>
      <c r="AL46" s="10">
        <f t="shared" si="79"/>
        <v>0</v>
      </c>
      <c r="AM46" s="10">
        <f t="shared" si="80"/>
        <v>0</v>
      </c>
      <c r="AN46" s="164">
        <f t="shared" si="47"/>
        <v>114.25886517223121</v>
      </c>
      <c r="AO46" s="165">
        <f t="shared" si="48"/>
        <v>1371.1063820667744</v>
      </c>
    </row>
    <row r="47" spans="1:49" ht="19.2" thickTop="1" thickBot="1" x14ac:dyDescent="0.4">
      <c r="A47" s="50" t="s">
        <v>220</v>
      </c>
      <c r="B47" s="64">
        <f>+B26+B36</f>
        <v>142172.68333333335</v>
      </c>
      <c r="C47" s="65">
        <f t="shared" ref="C47:G47" si="84">+C26+C36</f>
        <v>2490372.2000000002</v>
      </c>
      <c r="D47" s="65">
        <f t="shared" si="84"/>
        <v>16560</v>
      </c>
      <c r="E47" s="65">
        <f t="shared" si="84"/>
        <v>198720</v>
      </c>
      <c r="F47" s="65">
        <f t="shared" si="84"/>
        <v>107154.66666666667</v>
      </c>
      <c r="G47" s="65">
        <f t="shared" si="84"/>
        <v>1285856</v>
      </c>
      <c r="H47" s="66">
        <f t="shared" si="11"/>
        <v>265887.35000000003</v>
      </c>
      <c r="I47" s="67">
        <f>+C47+E47+G47</f>
        <v>3974948.2</v>
      </c>
      <c r="J47" s="64">
        <f t="shared" ref="J47:Q47" si="85">+J26+J36</f>
        <v>157681.19518333333</v>
      </c>
      <c r="K47" s="65">
        <f t="shared" si="85"/>
        <v>3388052.8870000001</v>
      </c>
      <c r="L47" s="65">
        <f t="shared" si="85"/>
        <v>17131.666666666668</v>
      </c>
      <c r="M47" s="65">
        <f t="shared" si="85"/>
        <v>205579.99999999997</v>
      </c>
      <c r="N47" s="65">
        <f t="shared" si="85"/>
        <v>110864.66666666667</v>
      </c>
      <c r="O47" s="65">
        <f t="shared" si="85"/>
        <v>1330375.9999999998</v>
      </c>
      <c r="P47" s="65">
        <f t="shared" si="85"/>
        <v>285677.52851666673</v>
      </c>
      <c r="Q47" s="68">
        <f t="shared" si="85"/>
        <v>4924008.8869999992</v>
      </c>
      <c r="R47" s="64">
        <f t="shared" ref="R47:Y47" si="86">+R26+R36</f>
        <v>179608.45548958334</v>
      </c>
      <c r="S47" s="65">
        <f t="shared" si="86"/>
        <v>4345563.6655449988</v>
      </c>
      <c r="T47" s="65">
        <f t="shared" si="86"/>
        <v>17723.341666666667</v>
      </c>
      <c r="U47" s="65">
        <f t="shared" si="86"/>
        <v>212680.09999999995</v>
      </c>
      <c r="V47" s="65">
        <f t="shared" si="86"/>
        <v>114704.51666666666</v>
      </c>
      <c r="W47" s="65">
        <f t="shared" si="86"/>
        <v>1376454.1999999997</v>
      </c>
      <c r="X47" s="65">
        <f t="shared" si="86"/>
        <v>312036.31382291659</v>
      </c>
      <c r="Y47" s="68">
        <f t="shared" si="86"/>
        <v>5934697.9655449986</v>
      </c>
      <c r="Z47" s="64">
        <f t="shared" ref="Z47:AO47" si="87">+Z26+Z36</f>
        <v>208577.40886032209</v>
      </c>
      <c r="AA47" s="65">
        <f t="shared" si="87"/>
        <v>5365992.9832015736</v>
      </c>
      <c r="AB47" s="65">
        <f t="shared" si="87"/>
        <v>18335.725291666666</v>
      </c>
      <c r="AC47" s="65">
        <f t="shared" si="87"/>
        <v>220028.70349999992</v>
      </c>
      <c r="AD47" s="65">
        <f t="shared" si="87"/>
        <v>118678.76141666666</v>
      </c>
      <c r="AE47" s="65">
        <f t="shared" si="87"/>
        <v>1424145.1369999994</v>
      </c>
      <c r="AF47" s="65">
        <f t="shared" si="87"/>
        <v>345591.89556865528</v>
      </c>
      <c r="AG47" s="68">
        <f t="shared" si="87"/>
        <v>7010166.8237015735</v>
      </c>
      <c r="AH47" s="64">
        <f t="shared" si="87"/>
        <v>248201.34547559774</v>
      </c>
      <c r="AI47" s="65">
        <f t="shared" si="87"/>
        <v>6902573.3316989085</v>
      </c>
      <c r="AJ47" s="65">
        <f t="shared" si="87"/>
        <v>18969.542343541663</v>
      </c>
      <c r="AK47" s="65">
        <f t="shared" si="87"/>
        <v>227634.50812249989</v>
      </c>
      <c r="AL47" s="65">
        <f t="shared" si="87"/>
        <v>122792.10473291663</v>
      </c>
      <c r="AM47" s="65">
        <f t="shared" si="87"/>
        <v>1473505.2567949996</v>
      </c>
      <c r="AN47" s="65">
        <f t="shared" si="87"/>
        <v>389962.99255205609</v>
      </c>
      <c r="AO47" s="68">
        <f t="shared" si="87"/>
        <v>8603713.0966164079</v>
      </c>
    </row>
    <row r="48" spans="1:49" ht="15" thickTop="1" x14ac:dyDescent="0.3"/>
    <row r="49" spans="1:44" x14ac:dyDescent="0.3">
      <c r="C49" s="147"/>
    </row>
    <row r="50" spans="1:44" ht="18" x14ac:dyDescent="0.35">
      <c r="A50" s="412" t="s">
        <v>221</v>
      </c>
      <c r="B50" s="413"/>
      <c r="C50" s="413"/>
      <c r="D50" s="413"/>
      <c r="E50" s="413"/>
      <c r="F50" s="413"/>
      <c r="G50" s="413"/>
      <c r="H50" s="413"/>
      <c r="I50" s="414"/>
      <c r="J50" s="379" t="s">
        <v>222</v>
      </c>
      <c r="K50" s="379"/>
      <c r="L50" s="379"/>
      <c r="M50" s="379"/>
      <c r="N50" s="379"/>
      <c r="O50" s="379"/>
      <c r="P50" s="379"/>
      <c r="Q50" s="379"/>
      <c r="R50" s="379" t="s">
        <v>223</v>
      </c>
      <c r="S50" s="379"/>
      <c r="T50" s="379"/>
      <c r="U50" s="379"/>
      <c r="V50" s="379"/>
      <c r="W50" s="379"/>
      <c r="X50" s="379"/>
      <c r="Y50" s="379"/>
      <c r="Z50" s="379" t="s">
        <v>224</v>
      </c>
      <c r="AA50" s="379"/>
      <c r="AB50" s="379"/>
      <c r="AC50" s="379"/>
      <c r="AD50" s="379"/>
      <c r="AE50" s="379"/>
      <c r="AF50" s="379"/>
      <c r="AG50" s="379"/>
      <c r="AH50" s="379" t="s">
        <v>225</v>
      </c>
      <c r="AI50" s="379"/>
      <c r="AJ50" s="379"/>
      <c r="AK50" s="379"/>
      <c r="AL50" s="379"/>
      <c r="AM50" s="379"/>
      <c r="AN50" s="379"/>
      <c r="AO50" s="379"/>
    </row>
    <row r="51" spans="1:44" x14ac:dyDescent="0.3">
      <c r="A51" s="32" t="s">
        <v>226</v>
      </c>
      <c r="B51" s="30"/>
      <c r="C51" s="23"/>
      <c r="D51" s="23"/>
      <c r="E51" s="23"/>
      <c r="F51" s="23"/>
      <c r="G51" s="23"/>
      <c r="H51" s="31"/>
      <c r="I51" s="36">
        <f>+I47</f>
        <v>3974948.2</v>
      </c>
      <c r="J51" s="46"/>
      <c r="K51" s="46"/>
      <c r="L51" s="46"/>
      <c r="M51" s="46"/>
      <c r="N51" s="46"/>
      <c r="O51" s="217" t="s">
        <v>227</v>
      </c>
      <c r="P51" s="31">
        <f>+P47</f>
        <v>285677.52851666673</v>
      </c>
      <c r="Q51" s="47">
        <f>+Q47</f>
        <v>4924008.8869999992</v>
      </c>
      <c r="R51" s="46"/>
      <c r="S51" s="46"/>
      <c r="T51" s="46"/>
      <c r="U51" s="46"/>
      <c r="V51" s="46"/>
      <c r="W51" s="217" t="s">
        <v>227</v>
      </c>
      <c r="X51" s="31">
        <f>+X47</f>
        <v>312036.31382291659</v>
      </c>
      <c r="Y51" s="47">
        <f>+Y47</f>
        <v>5934697.9655449986</v>
      </c>
      <c r="Z51" s="46"/>
      <c r="AA51" s="46"/>
      <c r="AB51" s="46"/>
      <c r="AC51" s="46"/>
      <c r="AD51" s="46"/>
      <c r="AE51" s="217" t="s">
        <v>227</v>
      </c>
      <c r="AF51" s="31">
        <f>+AF47</f>
        <v>345591.89556865528</v>
      </c>
      <c r="AG51" s="47">
        <f>+AG47</f>
        <v>7010166.8237015735</v>
      </c>
      <c r="AH51" s="46"/>
      <c r="AI51" s="46"/>
      <c r="AJ51" s="46"/>
      <c r="AK51" s="46"/>
      <c r="AL51" s="46"/>
      <c r="AM51" s="217" t="s">
        <v>227</v>
      </c>
      <c r="AN51" s="31">
        <f>+AN47</f>
        <v>389962.99255205609</v>
      </c>
      <c r="AO51" s="47">
        <f>+AO47</f>
        <v>8603713.0966164079</v>
      </c>
    </row>
    <row r="52" spans="1:44" x14ac:dyDescent="0.3">
      <c r="A52" s="2" t="s">
        <v>228</v>
      </c>
      <c r="B52" s="217"/>
      <c r="C52" s="46"/>
      <c r="D52" s="46"/>
      <c r="E52" s="46"/>
      <c r="F52" s="46"/>
      <c r="G52" s="46"/>
      <c r="H52" s="46"/>
      <c r="I52" s="166">
        <f>+I51/'Plan de producción'!B4</f>
        <v>1987474.1</v>
      </c>
      <c r="J52" s="46"/>
      <c r="K52" s="46"/>
      <c r="L52" s="217"/>
      <c r="M52" s="218"/>
      <c r="N52" s="218"/>
      <c r="O52" s="218"/>
      <c r="P52" s="46"/>
      <c r="Q52" s="166">
        <f>+Q51/'Plan de producción'!C4</f>
        <v>1231002.2217499998</v>
      </c>
      <c r="R52" s="46"/>
      <c r="S52" s="46"/>
      <c r="T52" s="217"/>
      <c r="U52" s="218"/>
      <c r="V52" s="218"/>
      <c r="W52" s="218"/>
      <c r="X52" s="46"/>
      <c r="Y52" s="166">
        <f>+Y51/'Plan de producción'!D4</f>
        <v>989116.32759083307</v>
      </c>
      <c r="Z52" s="46"/>
      <c r="AA52" s="46"/>
      <c r="AB52" s="217"/>
      <c r="AC52" s="218"/>
      <c r="AD52" s="218"/>
      <c r="AE52" s="218"/>
      <c r="AF52" s="46"/>
      <c r="AG52" s="166">
        <f>+AG51/'Plan de producción'!E4</f>
        <v>876270.85296269669</v>
      </c>
      <c r="AH52" s="46"/>
      <c r="AI52" s="46"/>
      <c r="AJ52" s="217"/>
      <c r="AK52" s="218"/>
      <c r="AL52" s="218"/>
      <c r="AM52" s="218"/>
      <c r="AN52" s="46"/>
      <c r="AO52" s="166">
        <f>+AO51/'Plan de producción'!F4</f>
        <v>782155.73605603713</v>
      </c>
    </row>
    <row r="53" spans="1:44" x14ac:dyDescent="0.3">
      <c r="A53" s="2" t="s">
        <v>229</v>
      </c>
      <c r="B53" s="217"/>
      <c r="C53" s="46"/>
      <c r="D53" s="46"/>
      <c r="E53" s="46"/>
      <c r="F53" s="46"/>
      <c r="G53" s="46"/>
      <c r="H53" s="168"/>
      <c r="I53" s="167">
        <v>0.5</v>
      </c>
      <c r="J53" s="46"/>
      <c r="K53" s="217"/>
      <c r="L53" s="46"/>
      <c r="M53" s="46"/>
      <c r="N53" s="46"/>
      <c r="O53" s="46"/>
      <c r="P53" s="168"/>
      <c r="Q53" s="167">
        <v>0.5</v>
      </c>
      <c r="R53" s="46"/>
      <c r="S53" s="217"/>
      <c r="T53" s="46"/>
      <c r="U53" s="46"/>
      <c r="V53" s="46"/>
      <c r="W53" s="46"/>
      <c r="X53" s="168"/>
      <c r="Y53" s="167">
        <v>0.5</v>
      </c>
      <c r="Z53" s="46"/>
      <c r="AA53" s="217"/>
      <c r="AB53" s="46"/>
      <c r="AC53" s="46"/>
      <c r="AD53" s="46"/>
      <c r="AE53" s="46"/>
      <c r="AF53" s="168"/>
      <c r="AG53" s="167">
        <v>0.5</v>
      </c>
      <c r="AH53" s="46"/>
      <c r="AI53" s="217"/>
      <c r="AJ53" s="46"/>
      <c r="AK53" s="46"/>
      <c r="AL53" s="46"/>
      <c r="AM53" s="46"/>
      <c r="AN53" s="168"/>
      <c r="AO53" s="167">
        <v>0.5</v>
      </c>
    </row>
    <row r="54" spans="1:44" x14ac:dyDescent="0.3">
      <c r="A54" s="33" t="s">
        <v>230</v>
      </c>
      <c r="B54" s="34"/>
      <c r="C54" s="24"/>
      <c r="D54" s="24"/>
      <c r="E54" s="24"/>
      <c r="F54" s="24"/>
      <c r="G54" s="24"/>
      <c r="H54" s="35"/>
      <c r="I54" s="228">
        <f>MROUND(+I52*(1+I53),500000)</f>
        <v>3000000</v>
      </c>
      <c r="J54" s="34"/>
      <c r="K54" s="34"/>
      <c r="L54" s="24"/>
      <c r="M54" s="24"/>
      <c r="N54" s="24"/>
      <c r="O54" s="34"/>
      <c r="P54" s="24"/>
      <c r="Q54" s="228">
        <f>MROUND(+Q52*(1+Q53),500000)</f>
        <v>2000000</v>
      </c>
      <c r="R54" s="34"/>
      <c r="S54" s="34"/>
      <c r="T54" s="24"/>
      <c r="U54" s="24"/>
      <c r="V54" s="24"/>
      <c r="W54" s="34"/>
      <c r="X54" s="24"/>
      <c r="Y54" s="228">
        <f>MROUND(+Y52*(1+Y53),500000)</f>
        <v>1500000</v>
      </c>
      <c r="Z54" s="34"/>
      <c r="AA54" s="34"/>
      <c r="AB54" s="24"/>
      <c r="AC54" s="24"/>
      <c r="AD54" s="24"/>
      <c r="AE54" s="34"/>
      <c r="AF54" s="24"/>
      <c r="AG54" s="228">
        <f>MROUND(+AG52*(1+AG53),500000)</f>
        <v>1500000</v>
      </c>
      <c r="AH54" s="34"/>
      <c r="AI54" s="34"/>
      <c r="AJ54" s="24"/>
      <c r="AK54" s="24"/>
      <c r="AL54" s="24"/>
      <c r="AM54" s="34"/>
      <c r="AN54" s="24"/>
      <c r="AO54" s="228">
        <f>MROUND(+AO52*(1+AO53),500000)</f>
        <v>1000000</v>
      </c>
    </row>
    <row r="58" spans="1:44" ht="18" x14ac:dyDescent="0.35">
      <c r="A58" s="379" t="s">
        <v>231</v>
      </c>
      <c r="B58" s="379"/>
      <c r="C58" s="379"/>
      <c r="D58" s="379"/>
      <c r="E58" s="379"/>
      <c r="F58" s="379"/>
      <c r="G58" s="379"/>
    </row>
    <row r="59" spans="1:44" ht="18" x14ac:dyDescent="0.35">
      <c r="A59" s="291" t="s">
        <v>166</v>
      </c>
      <c r="B59" s="291">
        <v>2018</v>
      </c>
      <c r="C59" s="291">
        <v>2019</v>
      </c>
      <c r="D59" s="291">
        <v>2020</v>
      </c>
      <c r="E59" s="291">
        <v>2021</v>
      </c>
      <c r="F59" s="291">
        <v>2022</v>
      </c>
      <c r="G59" s="291">
        <v>2023</v>
      </c>
      <c r="L59" s="147"/>
      <c r="T59" s="147"/>
      <c r="AB59" s="147"/>
      <c r="AJ59" s="147"/>
      <c r="AR59" s="147"/>
    </row>
    <row r="60" spans="1:44" x14ac:dyDescent="0.3">
      <c r="A60" s="7" t="s">
        <v>232</v>
      </c>
      <c r="B60" s="9">
        <f>SUM('Tabla de Amortización'!I12:I14)</f>
        <v>7661.47917296164</v>
      </c>
      <c r="C60" s="7">
        <f>SUM('Tabla de Amortización'!I15:I26)</f>
        <v>25064.693408791525</v>
      </c>
      <c r="D60" s="7">
        <f>SUM('Tabla de Amortización'!I27:I38)</f>
        <v>15105.673424852668</v>
      </c>
      <c r="E60" s="7">
        <f>SUM('Tabla de Amortización'!I39:I47)</f>
        <v>3873.5056263020492</v>
      </c>
      <c r="F60" s="7"/>
      <c r="G60" s="7"/>
    </row>
  </sheetData>
  <mergeCells count="41">
    <mergeCell ref="J50:Q50"/>
    <mergeCell ref="J23:Q23"/>
    <mergeCell ref="J24:K24"/>
    <mergeCell ref="L24:M24"/>
    <mergeCell ref="N24:O24"/>
    <mergeCell ref="P24:P25"/>
    <mergeCell ref="Q24:Q25"/>
    <mergeCell ref="I24:I25"/>
    <mergeCell ref="B23:I23"/>
    <mergeCell ref="A22:I22"/>
    <mergeCell ref="A50:I50"/>
    <mergeCell ref="A2:E2"/>
    <mergeCell ref="A58:G58"/>
    <mergeCell ref="H24:H25"/>
    <mergeCell ref="A4:A5"/>
    <mergeCell ref="A3:E3"/>
    <mergeCell ref="B24:C24"/>
    <mergeCell ref="D24:E24"/>
    <mergeCell ref="F24:G24"/>
    <mergeCell ref="A24:A25"/>
    <mergeCell ref="R50:Y50"/>
    <mergeCell ref="Z23:AG23"/>
    <mergeCell ref="Z24:AA24"/>
    <mergeCell ref="AB24:AC24"/>
    <mergeCell ref="AD24:AE24"/>
    <mergeCell ref="AF24:AF25"/>
    <mergeCell ref="AG24:AG25"/>
    <mergeCell ref="Z50:AG50"/>
    <mergeCell ref="R23:Y23"/>
    <mergeCell ref="R24:S24"/>
    <mergeCell ref="T24:U24"/>
    <mergeCell ref="V24:W24"/>
    <mergeCell ref="X24:X25"/>
    <mergeCell ref="Y24:Y25"/>
    <mergeCell ref="AH50:AO50"/>
    <mergeCell ref="AH23:AO23"/>
    <mergeCell ref="AH24:AI24"/>
    <mergeCell ref="AJ24:AK24"/>
    <mergeCell ref="AL24:AM24"/>
    <mergeCell ref="AN24:AN25"/>
    <mergeCell ref="AO24:AO25"/>
  </mergeCells>
  <pageMargins left="0.7" right="0.7" top="0.75" bottom="0.75" header="0.3" footer="0.3"/>
  <pageSetup scale="8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17</vt:i4>
      </vt:variant>
    </vt:vector>
  </HeadingPairs>
  <TitlesOfParts>
    <vt:vector size="33" baseType="lpstr">
      <vt:lpstr>Capital Social</vt:lpstr>
      <vt:lpstr>Remuneraciones</vt:lpstr>
      <vt:lpstr>InversionTotal</vt:lpstr>
      <vt:lpstr>Amortización de Préstamo</vt:lpstr>
      <vt:lpstr>Tabla de Amortización</vt:lpstr>
      <vt:lpstr>Depreciación</vt:lpstr>
      <vt:lpstr>Plan de producción</vt:lpstr>
      <vt:lpstr>Valores de Producción</vt:lpstr>
      <vt:lpstr>Costos, Gastos, Precio</vt:lpstr>
      <vt:lpstr>Ventas, Ingresos</vt:lpstr>
      <vt:lpstr>Punto de Equilibrio</vt:lpstr>
      <vt:lpstr>Flujo de Efectivo</vt:lpstr>
      <vt:lpstr>Estado de Resultados</vt:lpstr>
      <vt:lpstr>Balance General</vt:lpstr>
      <vt:lpstr>Razones Financieras</vt:lpstr>
      <vt:lpstr>Evaluación del Proyecto</vt:lpstr>
      <vt:lpstr>'Costos, Gastos, Precio'!Área_de_impresión</vt:lpstr>
      <vt:lpstr>ColumnTitle1</vt:lpstr>
      <vt:lpstr>End_Bal</vt:lpstr>
      <vt:lpstr>Fecha_De_Inicio_Del_Prestamo</vt:lpstr>
      <vt:lpstr>Importe_Del_Prestamo</vt:lpstr>
      <vt:lpstr>Nombre_De_La_Entidad_De_Crédito</vt:lpstr>
      <vt:lpstr>Numero_De_Pagos_Por_Año</vt:lpstr>
      <vt:lpstr>Numero_De_Pagos_Programados</vt:lpstr>
      <vt:lpstr>Pago_Programado</vt:lpstr>
      <vt:lpstr>Pagos_Extra_Opcionales</vt:lpstr>
      <vt:lpstr>Periodo_Del_Prestamo_En_Años</vt:lpstr>
      <vt:lpstr>RowTitleRegion1..E9</vt:lpstr>
      <vt:lpstr>RowTitleRegion2..I7</vt:lpstr>
      <vt:lpstr>RowTitleRegion3..E9</vt:lpstr>
      <vt:lpstr>RowTitleRegion4..H9</vt:lpstr>
      <vt:lpstr>Tasa_De_Interes_Anual</vt:lpstr>
      <vt:lpstr>'Tabla de Amortización'!Títulos_a_imprimir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MANUEL CALVA HERNANDEZ</dc:creator>
  <cp:keywords/>
  <dc:description/>
  <cp:lastModifiedBy>Manuel Calva</cp:lastModifiedBy>
  <cp:revision/>
  <cp:lastPrinted>2018-06-18T02:42:14Z</cp:lastPrinted>
  <dcterms:created xsi:type="dcterms:W3CDTF">2017-05-28T16:36:15Z</dcterms:created>
  <dcterms:modified xsi:type="dcterms:W3CDTF">2018-06-18T02:42:49Z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69c4b429-ae9d-4273-88d8-860f4ab9490d</vt:lpwstr>
  </property>
</Properties>
</file>