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Hugh_MyDocuments_Backup_12-28-2021\Fire trends\"/>
    </mc:Choice>
  </mc:AlternateContent>
  <xr:revisionPtr revIDLastSave="0" documentId="13_ncr:1_{765D7D74-6891-461B-A657-0A7F8442A42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C54" i="1"/>
  <c r="D54" i="1" s="1"/>
  <c r="B57" i="1"/>
  <c r="L30" i="1"/>
  <c r="C43" i="2"/>
  <c r="C42" i="2"/>
  <c r="E46" i="1"/>
  <c r="G46" i="1"/>
  <c r="H46" i="1"/>
  <c r="I46" i="1"/>
  <c r="C46" i="1"/>
  <c r="E44" i="1"/>
  <c r="G44" i="1"/>
  <c r="H44" i="1"/>
  <c r="I44" i="1"/>
  <c r="C44" i="1"/>
  <c r="B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5" i="1"/>
  <c r="D2" i="1"/>
  <c r="D46" i="1" l="1"/>
  <c r="D44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5" i="1"/>
  <c r="F26" i="1"/>
  <c r="I43" i="1"/>
  <c r="H43" i="1"/>
  <c r="C43" i="1"/>
  <c r="D43" i="1" s="1"/>
  <c r="F46" i="1" l="1"/>
  <c r="F44" i="1"/>
  <c r="L31" i="1"/>
  <c r="F43" i="1"/>
  <c r="E43" i="1" l="1"/>
</calcChain>
</file>

<file path=xl/sharedStrings.xml><?xml version="1.0" encoding="utf-8"?>
<sst xmlns="http://schemas.openxmlformats.org/spreadsheetml/2006/main" count="39" uniqueCount="36">
  <si>
    <t>year</t>
  </si>
  <si>
    <t>deaths</t>
  </si>
  <si>
    <t>cost+damage $billions</t>
  </si>
  <si>
    <t>area sq km</t>
  </si>
  <si>
    <t>mean</t>
  </si>
  <si>
    <t>median</t>
  </si>
  <si>
    <t>max</t>
  </si>
  <si>
    <t>totals</t>
  </si>
  <si>
    <t>Notes</t>
  </si>
  <si>
    <t>SoCal Santa Ana</t>
  </si>
  <si>
    <t>Dry Sierra Nevada + SoCal Santa Ana</t>
  </si>
  <si>
    <t>Huge lightning bust in June</t>
  </si>
  <si>
    <t>NorCal lightning (other big years 1987 and 1999)</t>
  </si>
  <si>
    <t>Station Fire</t>
  </si>
  <si>
    <t>Rim Fire</t>
  </si>
  <si>
    <t>North Bay fires, Thomas Fire; Diablo and Santa Ana winds</t>
  </si>
  <si>
    <t>"Super El Nino" didn't materialize; Soberanes</t>
  </si>
  <si>
    <t>Butte, Rocky, Valley Fires; Rough Fire</t>
  </si>
  <si>
    <t>May Santa Anas, King Fire, Happy Camp</t>
  </si>
  <si>
    <t>Chips, Rush</t>
  </si>
  <si>
    <t>Ranch, Carr, Ferguson, Camp, Woolsey</t>
  </si>
  <si>
    <t>structures</t>
  </si>
  <si>
    <t>August, SCU, Hennessy, North, Creek, Castle; lightning outbreak</t>
  </si>
  <si>
    <t>2019 estimated</t>
  </si>
  <si>
    <t>2020 estimated</t>
  </si>
  <si>
    <t>inflation</t>
  </si>
  <si>
    <t>https://www.usinflationcalculator.com/</t>
  </si>
  <si>
    <t>cost inflation adjusted (2020 $s)</t>
  </si>
  <si>
    <t>area acres</t>
  </si>
  <si>
    <t>https://www.fire.ca.gov/stats-events/ (only to 2008)</t>
  </si>
  <si>
    <t>https://www.nifc.gov/safety/safety_documents/Fatalities-by-Year.pdf (only fire fighter deaths) and news reports and other govt docs</t>
  </si>
  <si>
    <t>http://iii.org</t>
  </si>
  <si>
    <t>1980-1986: Estimated by dividing area from Cal fire perimeter dataset by 0.875 (long term relationshp between perimeter dataset and final Cal Fire statewide numbers 1987-2019)</t>
  </si>
  <si>
    <t>Ln area</t>
  </si>
  <si>
    <t>https://www.fire.ca.gov/stats-events/</t>
  </si>
  <si>
    <t>Since 2013: data from FRAP (Sapsis pers comm)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</si>
</sst>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1" fillId="0" borderId="0" xfId="0" applyFont="1" applyFill="1" applyBorder="1"/>
    <xf numFmtId="0" fontId="2" fillId="0" borderId="0" xfId="0" applyFont="1"/>
    <xf numFmtId="0" fontId="3" fillId="0" borderId="0" xfId="0" applyFont="1" applyFill="1" applyBorder="1"/>
    <xf numFmtId="1" fontId="2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1" fillId="0" borderId="0" xfId="42"/>
    <xf numFmtId="0" fontId="0" fillId="0" borderId="0" xfId="0" applyFont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165" fontId="0" fillId="0" borderId="0" xfId="0" applyNumberFormat="1"/>
    <xf numFmtId="165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Area </a:t>
            </a:r>
            <a:r>
              <a:rPr lang="en-US" sz="1600" baseline="0"/>
              <a:t>burned in wildfires 2000-2020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area sq 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93940815159481"/>
                  <c:y val="-0.1742660922299448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Sheet1!$A$22:$A$42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Sheet1!$C$22:$C$42</c:f>
              <c:numCache>
                <c:formatCode>0</c:formatCode>
                <c:ptCount val="21"/>
                <c:pt idx="0">
                  <c:v>1193.9538648320517</c:v>
                </c:pt>
                <c:pt idx="1">
                  <c:v>1527.0740590853904</c:v>
                </c:pt>
                <c:pt idx="2">
                  <c:v>2178.1303116147305</c:v>
                </c:pt>
                <c:pt idx="3">
                  <c:v>3908.4176446782676</c:v>
                </c:pt>
                <c:pt idx="4">
                  <c:v>1258.6968838526911</c:v>
                </c:pt>
                <c:pt idx="5">
                  <c:v>1129.9635774989881</c:v>
                </c:pt>
                <c:pt idx="6">
                  <c:v>3493.9093484419263</c:v>
                </c:pt>
                <c:pt idx="7">
                  <c:v>6152.8207203561315</c:v>
                </c:pt>
                <c:pt idx="8">
                  <c:v>6449.5750708215301</c:v>
                </c:pt>
                <c:pt idx="9">
                  <c:v>1841.234318089842</c:v>
                </c:pt>
                <c:pt idx="10">
                  <c:v>544.16025900445163</c:v>
                </c:pt>
                <c:pt idx="11">
                  <c:v>925.12747875354103</c:v>
                </c:pt>
                <c:pt idx="12">
                  <c:v>3355.8235532173208</c:v>
                </c:pt>
                <c:pt idx="13">
                  <c:v>2434.7834884662079</c:v>
                </c:pt>
                <c:pt idx="14">
                  <c:v>2531.5256980979361</c:v>
                </c:pt>
                <c:pt idx="15">
                  <c:v>3564.9494131930392</c:v>
                </c:pt>
                <c:pt idx="16">
                  <c:v>2709.9716713881021</c:v>
                </c:pt>
                <c:pt idx="17">
                  <c:v>6266.4063132335086</c:v>
                </c:pt>
                <c:pt idx="18">
                  <c:v>7993.0635370295422</c:v>
                </c:pt>
                <c:pt idx="19">
                  <c:v>1022.5536220153783</c:v>
                </c:pt>
                <c:pt idx="20">
                  <c:v>17314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1-4528-A05E-CDC143C90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39032"/>
        <c:axId val="358540600"/>
      </c:scatterChart>
      <c:valAx>
        <c:axId val="358539032"/>
        <c:scaling>
          <c:orientation val="minMax"/>
          <c:max val="2022"/>
          <c:min val="1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40600"/>
        <c:crosses val="autoZero"/>
        <c:crossBetween val="midCat"/>
        <c:majorUnit val="4"/>
      </c:valAx>
      <c:valAx>
        <c:axId val="35854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Square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3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Economic cost of wildfires 2003-2020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cost+damage $billions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5520622033567474E-2"/>
                  <c:y val="1.374064386760153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Sheet1!$A$25:$A$42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Sheet1!$E$25:$E$42</c:f>
              <c:numCache>
                <c:formatCode>General</c:formatCode>
                <c:ptCount val="18"/>
                <c:pt idx="0">
                  <c:v>2.8</c:v>
                </c:pt>
                <c:pt idx="1">
                  <c:v>0.3</c:v>
                </c:pt>
                <c:pt idx="2">
                  <c:v>0.16600000000000001</c:v>
                </c:pt>
                <c:pt idx="3">
                  <c:v>0.26600000000000001</c:v>
                </c:pt>
                <c:pt idx="4">
                  <c:v>2.7</c:v>
                </c:pt>
                <c:pt idx="5">
                  <c:v>0.5</c:v>
                </c:pt>
                <c:pt idx="6">
                  <c:v>0.31</c:v>
                </c:pt>
                <c:pt idx="7">
                  <c:v>5.6000000000000001E-2</c:v>
                </c:pt>
                <c:pt idx="8">
                  <c:v>0.14000000000000001</c:v>
                </c:pt>
                <c:pt idx="9">
                  <c:v>0.34</c:v>
                </c:pt>
                <c:pt idx="10">
                  <c:v>0.22</c:v>
                </c:pt>
                <c:pt idx="11">
                  <c:v>0.21</c:v>
                </c:pt>
                <c:pt idx="12">
                  <c:v>4.8</c:v>
                </c:pt>
                <c:pt idx="13">
                  <c:v>0.48</c:v>
                </c:pt>
                <c:pt idx="14">
                  <c:v>18</c:v>
                </c:pt>
                <c:pt idx="15">
                  <c:v>15</c:v>
                </c:pt>
                <c:pt idx="16">
                  <c:v>0.5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D-4D72-9762-EA48B1E1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33936"/>
        <c:axId val="358534720"/>
      </c:scatterChart>
      <c:valAx>
        <c:axId val="358533936"/>
        <c:scaling>
          <c:orientation val="minMax"/>
          <c:min val="1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34720"/>
        <c:crosses val="autoZero"/>
        <c:crossBetween val="midCat"/>
        <c:majorUnit val="4"/>
      </c:valAx>
      <c:valAx>
        <c:axId val="35853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$ billions (insured loss)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3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Structures destroyed by </a:t>
            </a:r>
            <a:r>
              <a:rPr lang="en-US" sz="1600" baseline="0"/>
              <a:t>wildfires 2003-2020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structures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806607301763774"/>
                  <c:y val="-8.606815023688772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Sheet1!$A$25:$A$42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Sheet1!$I$25:$I$42</c:f>
              <c:numCache>
                <c:formatCode>General</c:formatCode>
                <c:ptCount val="18"/>
                <c:pt idx="0">
                  <c:v>3800</c:v>
                </c:pt>
                <c:pt idx="1">
                  <c:v>380</c:v>
                </c:pt>
                <c:pt idx="2">
                  <c:v>100</c:v>
                </c:pt>
                <c:pt idx="3">
                  <c:v>400</c:v>
                </c:pt>
                <c:pt idx="4">
                  <c:v>4000</c:v>
                </c:pt>
                <c:pt idx="5">
                  <c:v>400</c:v>
                </c:pt>
                <c:pt idx="6">
                  <c:v>400</c:v>
                </c:pt>
                <c:pt idx="7">
                  <c:v>80</c:v>
                </c:pt>
                <c:pt idx="8">
                  <c:v>150</c:v>
                </c:pt>
                <c:pt idx="9">
                  <c:v>260</c:v>
                </c:pt>
                <c:pt idx="10">
                  <c:v>274</c:v>
                </c:pt>
                <c:pt idx="11">
                  <c:v>310</c:v>
                </c:pt>
                <c:pt idx="12">
                  <c:v>3134</c:v>
                </c:pt>
                <c:pt idx="13">
                  <c:v>915</c:v>
                </c:pt>
                <c:pt idx="14">
                  <c:v>11368</c:v>
                </c:pt>
                <c:pt idx="15">
                  <c:v>23076</c:v>
                </c:pt>
                <c:pt idx="16">
                  <c:v>632</c:v>
                </c:pt>
                <c:pt idx="17">
                  <c:v>11116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7-4172-B800-CD5905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0760"/>
        <c:axId val="328688016"/>
      </c:scatterChart>
      <c:valAx>
        <c:axId val="328690760"/>
        <c:scaling>
          <c:orientation val="minMax"/>
          <c:max val="2022"/>
          <c:min val="1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8016"/>
        <c:crosses val="autoZero"/>
        <c:crossBetween val="midCat"/>
        <c:majorUnit val="4"/>
      </c:valAx>
      <c:valAx>
        <c:axId val="32868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California area </a:t>
            </a:r>
            <a:r>
              <a:rPr lang="en-US" sz="1600" b="1" baseline="0"/>
              <a:t>burned by wildfires 1980-2020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area sq 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AA-4177-8994-BCB68AB2DDE1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7AA-4177-8994-BCB68AB2DDE1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7AA-4177-8994-BCB68AB2DDE1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7AA-4177-8994-BCB68AB2DDE1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7AA-4177-8994-BCB68AB2DDE1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7AA-4177-8994-BCB68AB2DDE1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15083465264939"/>
                  <c:y val="-0.265326757076735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0.039(ln[x]) - 70.616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0.272, P = 0.0005</a:t>
                    </a:r>
                    <a:endParaRPr lang="en-US" sz="1200" b="1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xVal>
          <c:yVal>
            <c:numRef>
              <c:f>Sheet1!$C$2:$C$42</c:f>
              <c:numCache>
                <c:formatCode>0</c:formatCode>
                <c:ptCount val="41"/>
                <c:pt idx="0">
                  <c:v>1759.4567607310585</c:v>
                </c:pt>
                <c:pt idx="1">
                  <c:v>1452.077978706767</c:v>
                </c:pt>
                <c:pt idx="2">
                  <c:v>659.70034524927712</c:v>
                </c:pt>
                <c:pt idx="3">
                  <c:v>397.65216797732785</c:v>
                </c:pt>
                <c:pt idx="4">
                  <c:v>958.8969707530365</c:v>
                </c:pt>
                <c:pt idx="5">
                  <c:v>2629.929846759977</c:v>
                </c:pt>
                <c:pt idx="6">
                  <c:v>504.70308109196066</c:v>
                </c:pt>
                <c:pt idx="7">
                  <c:v>3532.9825981384056</c:v>
                </c:pt>
                <c:pt idx="8">
                  <c:v>1396.195872116552</c:v>
                </c:pt>
                <c:pt idx="9">
                  <c:v>701.74018615944965</c:v>
                </c:pt>
                <c:pt idx="10">
                  <c:v>1477.9441521651152</c:v>
                </c:pt>
                <c:pt idx="11">
                  <c:v>178.87494941319304</c:v>
                </c:pt>
                <c:pt idx="12">
                  <c:v>1144.2533387292594</c:v>
                </c:pt>
                <c:pt idx="13">
                  <c:v>1253.6584378794009</c:v>
                </c:pt>
                <c:pt idx="14">
                  <c:v>2129.5791177660863</c:v>
                </c:pt>
                <c:pt idx="15">
                  <c:v>849.10967219749091</c:v>
                </c:pt>
                <c:pt idx="16">
                  <c:v>3044.8077701335492</c:v>
                </c:pt>
                <c:pt idx="17">
                  <c:v>1148.8668555240793</c:v>
                </c:pt>
                <c:pt idx="18">
                  <c:v>871.76042088223392</c:v>
                </c:pt>
                <c:pt idx="19">
                  <c:v>4746.4589235127478</c:v>
                </c:pt>
                <c:pt idx="20">
                  <c:v>1193.9538648320517</c:v>
                </c:pt>
                <c:pt idx="21">
                  <c:v>1527.0740590853904</c:v>
                </c:pt>
                <c:pt idx="22">
                  <c:v>2178.1303116147305</c:v>
                </c:pt>
                <c:pt idx="23">
                  <c:v>3908.4176446782676</c:v>
                </c:pt>
                <c:pt idx="24">
                  <c:v>1258.6968838526911</c:v>
                </c:pt>
                <c:pt idx="25">
                  <c:v>1129.9635774989881</c:v>
                </c:pt>
                <c:pt idx="26">
                  <c:v>3493.9093484419263</c:v>
                </c:pt>
                <c:pt idx="27">
                  <c:v>6152.8207203561315</c:v>
                </c:pt>
                <c:pt idx="28">
                  <c:v>6449.5750708215301</c:v>
                </c:pt>
                <c:pt idx="29">
                  <c:v>1841.234318089842</c:v>
                </c:pt>
                <c:pt idx="30">
                  <c:v>544.16025900445163</c:v>
                </c:pt>
                <c:pt idx="31">
                  <c:v>925.12747875354103</c:v>
                </c:pt>
                <c:pt idx="32">
                  <c:v>3355.8235532173208</c:v>
                </c:pt>
                <c:pt idx="33">
                  <c:v>2434.7834884662079</c:v>
                </c:pt>
                <c:pt idx="34">
                  <c:v>2531.5256980979361</c:v>
                </c:pt>
                <c:pt idx="35">
                  <c:v>3564.9494131930392</c:v>
                </c:pt>
                <c:pt idx="36">
                  <c:v>2709.9716713881021</c:v>
                </c:pt>
                <c:pt idx="37">
                  <c:v>6266.4063132335086</c:v>
                </c:pt>
                <c:pt idx="38">
                  <c:v>7993.0635370295422</c:v>
                </c:pt>
                <c:pt idx="39">
                  <c:v>1022.5536220153783</c:v>
                </c:pt>
                <c:pt idx="40">
                  <c:v>17314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AA-4177-8994-BCB68AB2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96832"/>
        <c:axId val="466900360"/>
      </c:scatterChart>
      <c:valAx>
        <c:axId val="466896832"/>
        <c:scaling>
          <c:orientation val="minMax"/>
          <c:max val="2025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0360"/>
        <c:crosses val="autoZero"/>
        <c:crossBetween val="midCat"/>
        <c:majorUnit val="5"/>
      </c:valAx>
      <c:valAx>
        <c:axId val="46690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Square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area sq 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Sheet2!$B$2:$B$43</c:f>
              <c:numCache>
                <c:formatCode>0</c:formatCode>
                <c:ptCount val="42"/>
                <c:pt idx="0">
                  <c:v>1759.4567607310585</c:v>
                </c:pt>
                <c:pt idx="1">
                  <c:v>1452.077978706767</c:v>
                </c:pt>
                <c:pt idx="2">
                  <c:v>659.70034524927712</c:v>
                </c:pt>
                <c:pt idx="3">
                  <c:v>397.65216797732785</c:v>
                </c:pt>
                <c:pt idx="4">
                  <c:v>958.8969707530365</c:v>
                </c:pt>
                <c:pt idx="5">
                  <c:v>2629.929846759977</c:v>
                </c:pt>
                <c:pt idx="6">
                  <c:v>504.70308109196066</c:v>
                </c:pt>
                <c:pt idx="7">
                  <c:v>3532.9825981384056</c:v>
                </c:pt>
                <c:pt idx="8">
                  <c:v>1396.195872116552</c:v>
                </c:pt>
                <c:pt idx="9">
                  <c:v>701.74018615944965</c:v>
                </c:pt>
                <c:pt idx="10">
                  <c:v>1477.9441521651152</c:v>
                </c:pt>
                <c:pt idx="11">
                  <c:v>178.87494941319304</c:v>
                </c:pt>
                <c:pt idx="12">
                  <c:v>1144.2533387292594</c:v>
                </c:pt>
                <c:pt idx="13">
                  <c:v>1253.6584378794009</c:v>
                </c:pt>
                <c:pt idx="14">
                  <c:v>2129.5791177660863</c:v>
                </c:pt>
                <c:pt idx="15">
                  <c:v>849.10967219749091</c:v>
                </c:pt>
                <c:pt idx="16">
                  <c:v>3044.8077701335492</c:v>
                </c:pt>
                <c:pt idx="17">
                  <c:v>1148.8668555240793</c:v>
                </c:pt>
                <c:pt idx="18">
                  <c:v>871.76042088223392</c:v>
                </c:pt>
                <c:pt idx="19">
                  <c:v>4746.4589235127478</c:v>
                </c:pt>
                <c:pt idx="20">
                  <c:v>1193.9538648320517</c:v>
                </c:pt>
                <c:pt idx="21">
                  <c:v>1527.0740590853904</c:v>
                </c:pt>
                <c:pt idx="22">
                  <c:v>2178.1303116147305</c:v>
                </c:pt>
                <c:pt idx="23">
                  <c:v>3908.4176446782676</c:v>
                </c:pt>
                <c:pt idx="24">
                  <c:v>1258.6968838526911</c:v>
                </c:pt>
                <c:pt idx="25">
                  <c:v>1129.9635774989881</c:v>
                </c:pt>
                <c:pt idx="26">
                  <c:v>3493.9093484419263</c:v>
                </c:pt>
                <c:pt idx="27">
                  <c:v>6152.8207203561315</c:v>
                </c:pt>
                <c:pt idx="28">
                  <c:v>6449.5750708215301</c:v>
                </c:pt>
                <c:pt idx="29">
                  <c:v>1841.234318089842</c:v>
                </c:pt>
                <c:pt idx="30">
                  <c:v>544.16025900445163</c:v>
                </c:pt>
                <c:pt idx="31">
                  <c:v>925.12747875354103</c:v>
                </c:pt>
                <c:pt idx="32">
                  <c:v>3355.8235532173208</c:v>
                </c:pt>
                <c:pt idx="33">
                  <c:v>2434.7834884662079</c:v>
                </c:pt>
                <c:pt idx="34">
                  <c:v>2531.5256980979361</c:v>
                </c:pt>
                <c:pt idx="35">
                  <c:v>3564.9494131930392</c:v>
                </c:pt>
                <c:pt idx="36">
                  <c:v>2709.9716713881021</c:v>
                </c:pt>
                <c:pt idx="37">
                  <c:v>6266.4063132335086</c:v>
                </c:pt>
                <c:pt idx="38">
                  <c:v>7993.0635370295422</c:v>
                </c:pt>
                <c:pt idx="39">
                  <c:v>1022.5536220153783</c:v>
                </c:pt>
                <c:pt idx="40">
                  <c:v>17314</c:v>
                </c:pt>
                <c:pt idx="41">
                  <c:v>10068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8-4B48-8F12-5C6745C4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28032"/>
        <c:axId val="815431312"/>
      </c:scatterChart>
      <c:valAx>
        <c:axId val="815428032"/>
        <c:scaling>
          <c:orientation val="minMax"/>
          <c:min val="19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31312"/>
        <c:crosses val="autoZero"/>
        <c:crossBetween val="midCat"/>
      </c:valAx>
      <c:valAx>
        <c:axId val="8154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2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4534</xdr:colOff>
      <xdr:row>24</xdr:row>
      <xdr:rowOff>11087</xdr:rowOff>
    </xdr:from>
    <xdr:to>
      <xdr:col>20</xdr:col>
      <xdr:colOff>598714</xdr:colOff>
      <xdr:row>39</xdr:row>
      <xdr:rowOff>155020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9070</xdr:colOff>
      <xdr:row>40</xdr:row>
      <xdr:rowOff>36287</xdr:rowOff>
    </xdr:from>
    <xdr:to>
      <xdr:col>20</xdr:col>
      <xdr:colOff>598714</xdr:colOff>
      <xdr:row>55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8064</xdr:colOff>
      <xdr:row>56</xdr:row>
      <xdr:rowOff>8063</xdr:rowOff>
    </xdr:from>
    <xdr:to>
      <xdr:col>20</xdr:col>
      <xdr:colOff>598714</xdr:colOff>
      <xdr:row>72</xdr:row>
      <xdr:rowOff>106839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0</xdr:colOff>
      <xdr:row>23</xdr:row>
      <xdr:rowOff>181426</xdr:rowOff>
    </xdr:from>
    <xdr:ext cx="324512" cy="374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98857" y="1279069"/>
          <a:ext cx="32451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A</a:t>
          </a:r>
        </a:p>
      </xdr:txBody>
    </xdr:sp>
    <xdr:clientData/>
  </xdr:oneCellAnchor>
  <xdr:oneCellAnchor>
    <xdr:from>
      <xdr:col>13</xdr:col>
      <xdr:colOff>9071</xdr:colOff>
      <xdr:row>40</xdr:row>
      <xdr:rowOff>16327</xdr:rowOff>
    </xdr:from>
    <xdr:ext cx="324512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674428" y="3472541"/>
          <a:ext cx="32451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B</a:t>
          </a:r>
        </a:p>
      </xdr:txBody>
    </xdr:sp>
    <xdr:clientData/>
  </xdr:oneCellAnchor>
  <xdr:oneCellAnchor>
    <xdr:from>
      <xdr:col>13</xdr:col>
      <xdr:colOff>26768</xdr:colOff>
      <xdr:row>55</xdr:row>
      <xdr:rowOff>177799</xdr:rowOff>
    </xdr:from>
    <xdr:ext cx="306815" cy="374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692125" y="6355442"/>
          <a:ext cx="30681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C</a:t>
          </a:r>
        </a:p>
      </xdr:txBody>
    </xdr:sp>
    <xdr:clientData/>
  </xdr:oneCellAnchor>
  <xdr:twoCellAnchor>
    <xdr:from>
      <xdr:col>12</xdr:col>
      <xdr:colOff>610259</xdr:colOff>
      <xdr:row>1</xdr:row>
      <xdr:rowOff>255649</xdr:rowOff>
    </xdr:from>
    <xdr:to>
      <xdr:col>22</xdr:col>
      <xdr:colOff>536038</xdr:colOff>
      <xdr:row>17</xdr:row>
      <xdr:rowOff>143933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67468</xdr:colOff>
      <xdr:row>9</xdr:row>
      <xdr:rowOff>29368</xdr:rowOff>
    </xdr:from>
    <xdr:to>
      <xdr:col>15</xdr:col>
      <xdr:colOff>361156</xdr:colOff>
      <xdr:row>24</xdr:row>
      <xdr:rowOff>34131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162D0-6F45-4ED6-AF49-3114CB658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ifc.gov/safety/safety_documents/Fatalities-by-Year.pdf%20(only%20fire%20fighter%20deaths)%20and%20news%20reports%20and%20other%20govt%20doc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fire.ca.gov/stats-events/%20(only%20to%202008)" TargetMode="External"/><Relationship Id="rId1" Type="http://schemas.openxmlformats.org/officeDocument/2006/relationships/hyperlink" Target="https://www.usinflationcalculator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fire.ca.gov/stats-events/" TargetMode="External"/><Relationship Id="rId4" Type="http://schemas.openxmlformats.org/officeDocument/2006/relationships/hyperlink" Target="http://iii.or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5" x14ac:dyDescent="0.25"/>
  <cols>
    <col min="1" max="1" width="7.28515625" customWidth="1"/>
    <col min="3" max="3" width="10.42578125" bestFit="1" customWidth="1"/>
    <col min="4" max="4" width="10.42578125" customWidth="1"/>
    <col min="5" max="5" width="12.140625" bestFit="1" customWidth="1"/>
    <col min="10" max="10" width="31.42578125" bestFit="1" customWidth="1"/>
    <col min="13" max="13" width="2.28515625" customWidth="1"/>
  </cols>
  <sheetData>
    <row r="1" spans="1:10" s="1" customFormat="1" ht="60" x14ac:dyDescent="0.25">
      <c r="A1" s="1" t="s">
        <v>0</v>
      </c>
      <c r="B1" s="1" t="s">
        <v>28</v>
      </c>
      <c r="C1" s="1" t="s">
        <v>3</v>
      </c>
      <c r="D1" s="1" t="s">
        <v>33</v>
      </c>
      <c r="E1" s="1" t="s">
        <v>2</v>
      </c>
      <c r="F1" s="1" t="s">
        <v>27</v>
      </c>
      <c r="G1" s="1" t="s">
        <v>25</v>
      </c>
      <c r="H1" s="1" t="s">
        <v>1</v>
      </c>
      <c r="I1" s="1" t="s">
        <v>21</v>
      </c>
      <c r="J1" s="1" t="s">
        <v>8</v>
      </c>
    </row>
    <row r="2" spans="1:10" s="1" customFormat="1" ht="90" x14ac:dyDescent="0.25">
      <c r="A2" s="1">
        <v>1980</v>
      </c>
      <c r="C2" s="13">
        <v>1759.4567607310585</v>
      </c>
      <c r="D2" s="14">
        <f>LN(C2)</f>
        <v>7.4727603817117689</v>
      </c>
      <c r="J2" s="1" t="s">
        <v>32</v>
      </c>
    </row>
    <row r="3" spans="1:10" s="1" customFormat="1" x14ac:dyDescent="0.25">
      <c r="A3" s="1">
        <v>1981</v>
      </c>
      <c r="C3" s="13">
        <v>1452.077978706767</v>
      </c>
      <c r="D3" s="14">
        <f t="shared" ref="D3:D45" si="0">LN(C3)</f>
        <v>7.2807508982862181</v>
      </c>
    </row>
    <row r="4" spans="1:10" s="1" customFormat="1" x14ac:dyDescent="0.25">
      <c r="A4" s="1">
        <v>1982</v>
      </c>
      <c r="C4" s="13">
        <v>659.70034524927712</v>
      </c>
      <c r="D4" s="14">
        <f t="shared" si="0"/>
        <v>6.4917857095715368</v>
      </c>
    </row>
    <row r="5" spans="1:10" s="1" customFormat="1" x14ac:dyDescent="0.25">
      <c r="A5" s="1">
        <v>1983</v>
      </c>
      <c r="C5" s="13">
        <v>397.65216797732785</v>
      </c>
      <c r="D5" s="14">
        <f t="shared" si="0"/>
        <v>5.9855776733619468</v>
      </c>
    </row>
    <row r="6" spans="1:10" s="1" customFormat="1" x14ac:dyDescent="0.25">
      <c r="A6" s="1">
        <v>1984</v>
      </c>
      <c r="C6" s="13">
        <v>958.8969707530365</v>
      </c>
      <c r="D6" s="14">
        <f t="shared" si="0"/>
        <v>6.8657836350692731</v>
      </c>
    </row>
    <row r="7" spans="1:10" s="1" customFormat="1" x14ac:dyDescent="0.25">
      <c r="A7" s="1">
        <v>1985</v>
      </c>
      <c r="C7" s="13">
        <v>2629.929846759977</v>
      </c>
      <c r="D7" s="14">
        <f t="shared" si="0"/>
        <v>7.8747124505802963</v>
      </c>
    </row>
    <row r="8" spans="1:10" s="1" customFormat="1" x14ac:dyDescent="0.25">
      <c r="A8" s="1">
        <v>1986</v>
      </c>
      <c r="C8" s="13">
        <v>504.70308109196066</v>
      </c>
      <c r="D8" s="14">
        <f t="shared" si="0"/>
        <v>6.2239702981263951</v>
      </c>
    </row>
    <row r="9" spans="1:10" s="1" customFormat="1" x14ac:dyDescent="0.25">
      <c r="A9" s="1">
        <v>1987</v>
      </c>
      <c r="B9" s="1">
        <v>873000</v>
      </c>
      <c r="C9" s="12">
        <v>3532.9825981384056</v>
      </c>
      <c r="D9" s="14">
        <f t="shared" si="0"/>
        <v>8.1698977218271747</v>
      </c>
      <c r="J9" s="12"/>
    </row>
    <row r="10" spans="1:10" s="1" customFormat="1" x14ac:dyDescent="0.25">
      <c r="A10" s="1">
        <v>1988</v>
      </c>
      <c r="B10" s="1">
        <v>345000</v>
      </c>
      <c r="C10" s="12">
        <v>1396.195872116552</v>
      </c>
      <c r="D10" s="14">
        <f t="shared" si="0"/>
        <v>7.241506583018932</v>
      </c>
      <c r="J10" s="12"/>
    </row>
    <row r="11" spans="1:10" s="1" customFormat="1" x14ac:dyDescent="0.25">
      <c r="A11" s="1">
        <v>1989</v>
      </c>
      <c r="B11" s="1">
        <v>173400</v>
      </c>
      <c r="C11" s="12">
        <v>701.74018615944965</v>
      </c>
      <c r="D11" s="14">
        <f t="shared" si="0"/>
        <v>6.5535632303340146</v>
      </c>
      <c r="J11" s="12"/>
    </row>
    <row r="12" spans="1:10" s="1" customFormat="1" x14ac:dyDescent="0.25">
      <c r="A12" s="1">
        <v>1990</v>
      </c>
      <c r="B12" s="1">
        <v>365200</v>
      </c>
      <c r="C12" s="12">
        <v>1477.9441521651152</v>
      </c>
      <c r="D12" s="14">
        <f t="shared" si="0"/>
        <v>7.2984073147083857</v>
      </c>
      <c r="J12" s="12"/>
    </row>
    <row r="13" spans="1:10" s="1" customFormat="1" x14ac:dyDescent="0.25">
      <c r="A13" s="1">
        <v>1991</v>
      </c>
      <c r="B13" s="1">
        <v>44200</v>
      </c>
      <c r="C13" s="12">
        <v>178.87494941319304</v>
      </c>
      <c r="D13" s="14">
        <f t="shared" si="0"/>
        <v>5.1866869550712247</v>
      </c>
      <c r="J13" s="12"/>
    </row>
    <row r="14" spans="1:10" s="1" customFormat="1" x14ac:dyDescent="0.25">
      <c r="A14" s="1">
        <v>1992</v>
      </c>
      <c r="B14" s="1">
        <v>282745</v>
      </c>
      <c r="C14" s="12">
        <v>1144.2533387292594</v>
      </c>
      <c r="D14" s="14">
        <f t="shared" si="0"/>
        <v>7.0425075973614888</v>
      </c>
      <c r="J14" s="12"/>
    </row>
    <row r="15" spans="1:10" s="1" customFormat="1" x14ac:dyDescent="0.25">
      <c r="A15" s="1">
        <v>1993</v>
      </c>
      <c r="B15" s="1">
        <v>309779</v>
      </c>
      <c r="C15" s="12">
        <v>1253.6584378794009</v>
      </c>
      <c r="D15" s="14">
        <f t="shared" si="0"/>
        <v>7.1338213060046156</v>
      </c>
      <c r="J15" s="12"/>
    </row>
    <row r="16" spans="1:10" s="1" customFormat="1" x14ac:dyDescent="0.25">
      <c r="A16" s="1">
        <v>1994</v>
      </c>
      <c r="B16" s="1">
        <v>526219</v>
      </c>
      <c r="C16" s="12">
        <v>2129.5791177660863</v>
      </c>
      <c r="D16" s="14">
        <f t="shared" si="0"/>
        <v>7.6636796418856363</v>
      </c>
      <c r="J16" s="12"/>
    </row>
    <row r="17" spans="1:12" s="1" customFormat="1" x14ac:dyDescent="0.25">
      <c r="A17" s="1">
        <v>1995</v>
      </c>
      <c r="B17" s="1">
        <v>209815</v>
      </c>
      <c r="C17" s="12">
        <v>849.10967219749091</v>
      </c>
      <c r="D17" s="14">
        <f t="shared" si="0"/>
        <v>6.744188356057494</v>
      </c>
      <c r="J17" s="12"/>
    </row>
    <row r="18" spans="1:12" s="1" customFormat="1" x14ac:dyDescent="0.25">
      <c r="A18" s="1">
        <v>1996</v>
      </c>
      <c r="B18" s="1">
        <v>752372</v>
      </c>
      <c r="C18" s="12">
        <v>3044.8077701335492</v>
      </c>
      <c r="D18" s="14">
        <f t="shared" si="0"/>
        <v>8.02119304847424</v>
      </c>
      <c r="J18" s="12"/>
    </row>
    <row r="19" spans="1:12" s="1" customFormat="1" x14ac:dyDescent="0.25">
      <c r="A19" s="1">
        <v>1997</v>
      </c>
      <c r="B19" s="1">
        <v>283885</v>
      </c>
      <c r="C19" s="12">
        <v>1148.8668555240793</v>
      </c>
      <c r="D19" s="14">
        <f t="shared" si="0"/>
        <v>7.0465313925651936</v>
      </c>
      <c r="J19" s="12"/>
    </row>
    <row r="20" spans="1:12" s="1" customFormat="1" x14ac:dyDescent="0.25">
      <c r="A20" s="1">
        <v>1998</v>
      </c>
      <c r="B20" s="1">
        <v>215412</v>
      </c>
      <c r="C20" s="12">
        <v>871.76042088223392</v>
      </c>
      <c r="D20" s="14">
        <f t="shared" si="0"/>
        <v>6.7705146394645057</v>
      </c>
      <c r="J20" s="12"/>
    </row>
    <row r="21" spans="1:12" s="1" customFormat="1" x14ac:dyDescent="0.25">
      <c r="A21" s="1">
        <v>1999</v>
      </c>
      <c r="B21" s="1">
        <v>1172850</v>
      </c>
      <c r="C21" s="12">
        <v>4746.4589235127478</v>
      </c>
      <c r="D21" s="14">
        <f t="shared" si="0"/>
        <v>8.4651541292262049</v>
      </c>
      <c r="J21" s="12"/>
    </row>
    <row r="22" spans="1:12" s="1" customFormat="1" x14ac:dyDescent="0.25">
      <c r="A22" s="1">
        <v>2000</v>
      </c>
      <c r="B22" s="1">
        <v>295026</v>
      </c>
      <c r="C22" s="12">
        <v>1193.9538648320517</v>
      </c>
      <c r="D22" s="14">
        <f t="shared" si="0"/>
        <v>7.0850256540368992</v>
      </c>
      <c r="G22" s="1">
        <v>6.9000000000000006E-2</v>
      </c>
      <c r="H22" s="1">
        <v>0</v>
      </c>
    </row>
    <row r="23" spans="1:12" s="1" customFormat="1" x14ac:dyDescent="0.25">
      <c r="A23" s="1">
        <v>2001</v>
      </c>
      <c r="B23" s="1">
        <v>377340</v>
      </c>
      <c r="C23" s="12">
        <v>1527.0740590853904</v>
      </c>
      <c r="D23" s="14">
        <f t="shared" si="0"/>
        <v>7.3311088037710395</v>
      </c>
      <c r="G23" s="1">
        <v>1.6E-2</v>
      </c>
      <c r="H23" s="1">
        <v>3</v>
      </c>
    </row>
    <row r="24" spans="1:12" s="1" customFormat="1" x14ac:dyDescent="0.25">
      <c r="A24" s="1">
        <v>2002</v>
      </c>
      <c r="B24" s="1">
        <v>538216</v>
      </c>
      <c r="C24" s="12">
        <v>2178.1303116147305</v>
      </c>
      <c r="D24" s="14">
        <f t="shared" si="0"/>
        <v>7.6862221325638691</v>
      </c>
      <c r="G24" s="1">
        <v>1.2999999999999999E-2</v>
      </c>
      <c r="H24" s="1">
        <v>7</v>
      </c>
    </row>
    <row r="25" spans="1:12" x14ac:dyDescent="0.25">
      <c r="A25">
        <v>2003</v>
      </c>
      <c r="B25" s="1">
        <v>965770</v>
      </c>
      <c r="C25" s="3">
        <v>3908.4176446782676</v>
      </c>
      <c r="D25" s="14">
        <f t="shared" si="0"/>
        <v>8.2708878766128233</v>
      </c>
      <c r="E25">
        <v>2.8</v>
      </c>
      <c r="F25" s="4">
        <f>E25*1.378</f>
        <v>3.8583999999999996</v>
      </c>
      <c r="G25" s="4">
        <v>2.7E-2</v>
      </c>
      <c r="H25">
        <v>37</v>
      </c>
      <c r="I25">
        <v>3800</v>
      </c>
      <c r="J25" t="s">
        <v>9</v>
      </c>
    </row>
    <row r="26" spans="1:12" x14ac:dyDescent="0.25">
      <c r="A26">
        <v>2004</v>
      </c>
      <c r="B26" s="1">
        <v>311024</v>
      </c>
      <c r="C26" s="3">
        <v>1258.6968838526911</v>
      </c>
      <c r="D26" s="14">
        <f t="shared" si="0"/>
        <v>7.1378322456073295</v>
      </c>
      <c r="E26">
        <v>0.3</v>
      </c>
      <c r="F26" s="4">
        <f>E26*1.415</f>
        <v>0.42449999999999999</v>
      </c>
      <c r="G26" s="4">
        <v>3.4000000000000002E-2</v>
      </c>
      <c r="H26">
        <v>2</v>
      </c>
      <c r="I26">
        <v>380</v>
      </c>
    </row>
    <row r="27" spans="1:12" x14ac:dyDescent="0.25">
      <c r="A27">
        <v>2005</v>
      </c>
      <c r="B27" s="1">
        <v>279214</v>
      </c>
      <c r="C27" s="3">
        <v>1129.9635774989881</v>
      </c>
      <c r="D27" s="14">
        <f t="shared" si="0"/>
        <v>7.0299406788851337</v>
      </c>
      <c r="E27">
        <v>0.16600000000000001</v>
      </c>
      <c r="F27" s="4">
        <f>E27*1.333</f>
        <v>0.221278</v>
      </c>
      <c r="G27" s="4">
        <v>3.2000000000000001E-2</v>
      </c>
      <c r="H27">
        <v>1</v>
      </c>
      <c r="I27">
        <v>100</v>
      </c>
    </row>
    <row r="28" spans="1:12" x14ac:dyDescent="0.25">
      <c r="A28">
        <v>2006</v>
      </c>
      <c r="B28" s="1">
        <v>863345</v>
      </c>
      <c r="C28" s="3">
        <v>3493.9093484419263</v>
      </c>
      <c r="D28" s="14">
        <f t="shared" si="0"/>
        <v>8.1587765454352539</v>
      </c>
      <c r="E28">
        <v>0.26600000000000001</v>
      </c>
      <c r="F28" s="4">
        <f>E28*1.291</f>
        <v>0.34340599999999999</v>
      </c>
      <c r="G28" s="4">
        <v>2.8000000000000001E-2</v>
      </c>
      <c r="H28">
        <v>9</v>
      </c>
      <c r="I28">
        <v>400</v>
      </c>
      <c r="J28" t="s">
        <v>12</v>
      </c>
    </row>
    <row r="29" spans="1:12" x14ac:dyDescent="0.25">
      <c r="A29">
        <v>2007</v>
      </c>
      <c r="B29" s="1">
        <v>1520362</v>
      </c>
      <c r="C29" s="3">
        <v>6152.8207203561315</v>
      </c>
      <c r="D29" s="14">
        <f t="shared" si="0"/>
        <v>8.7246659093675429</v>
      </c>
      <c r="E29">
        <v>2.7</v>
      </c>
      <c r="F29" s="4">
        <f>E29*1.255</f>
        <v>3.3885000000000001</v>
      </c>
      <c r="G29" s="4">
        <v>3.7999999999999999E-2</v>
      </c>
      <c r="H29">
        <v>17</v>
      </c>
      <c r="I29">
        <v>4000</v>
      </c>
      <c r="J29" t="s">
        <v>10</v>
      </c>
    </row>
    <row r="30" spans="1:12" x14ac:dyDescent="0.25">
      <c r="A30">
        <v>2008</v>
      </c>
      <c r="B30" s="1">
        <v>1593690</v>
      </c>
      <c r="C30" s="3">
        <v>6449.5750708215301</v>
      </c>
      <c r="D30" s="14">
        <f t="shared" si="0"/>
        <v>8.7717695271268177</v>
      </c>
      <c r="E30">
        <v>0.5</v>
      </c>
      <c r="F30" s="4">
        <f>E30*1.209</f>
        <v>0.60450000000000004</v>
      </c>
      <c r="G30" s="4">
        <v>-4.0000000000000001E-3</v>
      </c>
      <c r="H30">
        <v>32</v>
      </c>
      <c r="I30">
        <v>400</v>
      </c>
      <c r="J30" t="s">
        <v>11</v>
      </c>
      <c r="L30">
        <f>AVERAGE(I37:I42)</f>
        <v>8373.5</v>
      </c>
    </row>
    <row r="31" spans="1:12" x14ac:dyDescent="0.25">
      <c r="A31">
        <v>2009</v>
      </c>
      <c r="B31" s="1">
        <v>454969</v>
      </c>
      <c r="C31" s="3">
        <v>1841.234318089842</v>
      </c>
      <c r="D31" s="14">
        <f t="shared" si="0"/>
        <v>7.5181914507493097</v>
      </c>
      <c r="E31">
        <v>0.31</v>
      </c>
      <c r="F31" s="4">
        <f>E31*1.213</f>
        <v>0.37603000000000003</v>
      </c>
      <c r="G31" s="4">
        <v>1.6E-2</v>
      </c>
      <c r="H31">
        <v>4</v>
      </c>
      <c r="I31">
        <v>400</v>
      </c>
      <c r="J31" t="s">
        <v>13</v>
      </c>
      <c r="L31">
        <f>AVERAGE(F37:F42)</f>
        <v>8.49512</v>
      </c>
    </row>
    <row r="32" spans="1:12" x14ac:dyDescent="0.25">
      <c r="A32">
        <v>2010</v>
      </c>
      <c r="B32" s="1">
        <v>134462</v>
      </c>
      <c r="C32" s="3">
        <v>544.16025900445163</v>
      </c>
      <c r="D32" s="14">
        <f t="shared" si="0"/>
        <v>6.2992437972299049</v>
      </c>
      <c r="E32">
        <v>5.6000000000000001E-2</v>
      </c>
      <c r="F32" s="4">
        <f>E32*1.194</f>
        <v>6.6863999999999993E-2</v>
      </c>
      <c r="G32" s="4">
        <v>3.2000000000000001E-2</v>
      </c>
      <c r="H32">
        <v>0</v>
      </c>
      <c r="I32">
        <v>80</v>
      </c>
    </row>
    <row r="33" spans="1:10" x14ac:dyDescent="0.25">
      <c r="A33">
        <v>2011</v>
      </c>
      <c r="B33" s="1">
        <v>228599</v>
      </c>
      <c r="C33" s="3">
        <v>925.12747875354103</v>
      </c>
      <c r="D33" s="14">
        <f t="shared" si="0"/>
        <v>6.8299315428855216</v>
      </c>
      <c r="E33">
        <v>0.14000000000000001</v>
      </c>
      <c r="F33" s="4">
        <f>E33*1.157</f>
        <v>0.16198000000000001</v>
      </c>
      <c r="G33" s="4">
        <v>2.1000000000000001E-2</v>
      </c>
      <c r="H33">
        <v>0</v>
      </c>
      <c r="I33">
        <v>150</v>
      </c>
    </row>
    <row r="34" spans="1:10" x14ac:dyDescent="0.25">
      <c r="A34">
        <v>2012</v>
      </c>
      <c r="B34" s="1">
        <v>829224</v>
      </c>
      <c r="C34" s="3">
        <v>3355.8235532173208</v>
      </c>
      <c r="D34" s="14">
        <f t="shared" si="0"/>
        <v>8.118452489690398</v>
      </c>
      <c r="E34">
        <v>0.34</v>
      </c>
      <c r="F34" s="4">
        <f>E34*1.134</f>
        <v>0.38556000000000001</v>
      </c>
      <c r="G34" s="4">
        <v>1.4999999999999999E-2</v>
      </c>
      <c r="H34">
        <v>1</v>
      </c>
      <c r="I34">
        <v>260</v>
      </c>
      <c r="J34" t="s">
        <v>19</v>
      </c>
    </row>
    <row r="35" spans="1:10" x14ac:dyDescent="0.25">
      <c r="A35">
        <v>2013</v>
      </c>
      <c r="B35" s="1">
        <v>601635</v>
      </c>
      <c r="C35" s="3">
        <v>2434.7834884662079</v>
      </c>
      <c r="D35" s="14">
        <f t="shared" si="0"/>
        <v>7.7976131151224068</v>
      </c>
      <c r="E35">
        <v>0.22</v>
      </c>
      <c r="F35" s="4">
        <f>E35*1.117</f>
        <v>0.24573999999999999</v>
      </c>
      <c r="G35" s="4">
        <v>1.6E-2</v>
      </c>
      <c r="H35">
        <v>1</v>
      </c>
      <c r="I35">
        <v>274</v>
      </c>
      <c r="J35" t="s">
        <v>14</v>
      </c>
    </row>
    <row r="36" spans="1:10" x14ac:dyDescent="0.25">
      <c r="A36">
        <v>2014</v>
      </c>
      <c r="B36" s="1">
        <v>625540</v>
      </c>
      <c r="C36" s="3">
        <v>2531.5256980979361</v>
      </c>
      <c r="D36" s="14">
        <f t="shared" si="0"/>
        <v>7.8365774426908255</v>
      </c>
      <c r="E36">
        <v>0.21</v>
      </c>
      <c r="F36" s="4">
        <f>E36*1.099</f>
        <v>0.23079</v>
      </c>
      <c r="G36" s="4">
        <v>1E-3</v>
      </c>
      <c r="H36">
        <v>2</v>
      </c>
      <c r="I36">
        <v>310</v>
      </c>
      <c r="J36" t="s">
        <v>18</v>
      </c>
    </row>
    <row r="37" spans="1:10" x14ac:dyDescent="0.25">
      <c r="A37">
        <v>2015</v>
      </c>
      <c r="B37" s="1">
        <v>880899</v>
      </c>
      <c r="C37" s="3">
        <v>3564.9494131930392</v>
      </c>
      <c r="D37" s="14">
        <f t="shared" si="0"/>
        <v>8.1789051429000441</v>
      </c>
      <c r="E37">
        <v>4.8</v>
      </c>
      <c r="F37" s="4">
        <f>E37*1.098</f>
        <v>5.2704000000000004</v>
      </c>
      <c r="G37" s="4">
        <v>1.2999999999999999E-2</v>
      </c>
      <c r="H37">
        <v>7</v>
      </c>
      <c r="I37">
        <v>3134</v>
      </c>
      <c r="J37" t="s">
        <v>17</v>
      </c>
    </row>
    <row r="38" spans="1:10" x14ac:dyDescent="0.25">
      <c r="A38">
        <v>2016</v>
      </c>
      <c r="B38" s="1">
        <v>669634</v>
      </c>
      <c r="C38" s="3">
        <v>2709.9716713881021</v>
      </c>
      <c r="D38" s="14">
        <f t="shared" si="0"/>
        <v>7.9046934604567856</v>
      </c>
      <c r="E38">
        <v>0.48</v>
      </c>
      <c r="F38" s="4">
        <f>E38*1.084</f>
        <v>0.52032</v>
      </c>
      <c r="G38" s="4">
        <v>2.1000000000000001E-2</v>
      </c>
      <c r="H38">
        <v>6</v>
      </c>
      <c r="I38">
        <v>915</v>
      </c>
      <c r="J38" t="s">
        <v>16</v>
      </c>
    </row>
    <row r="39" spans="1:10" x14ac:dyDescent="0.25">
      <c r="A39">
        <v>2017</v>
      </c>
      <c r="B39" s="1">
        <v>1548429</v>
      </c>
      <c r="C39" s="3">
        <v>6266.4063132335086</v>
      </c>
      <c r="D39" s="14">
        <f t="shared" si="0"/>
        <v>8.7429583135262714</v>
      </c>
      <c r="E39">
        <v>18</v>
      </c>
      <c r="F39" s="4">
        <f>E39*1.062</f>
        <v>19.116</v>
      </c>
      <c r="G39" s="4">
        <v>2.4E-2</v>
      </c>
      <c r="H39">
        <v>47</v>
      </c>
      <c r="I39">
        <v>11368</v>
      </c>
      <c r="J39" t="s">
        <v>15</v>
      </c>
    </row>
    <row r="40" spans="1:10" x14ac:dyDescent="0.25">
      <c r="A40" s="9">
        <v>2018</v>
      </c>
      <c r="B40" s="11">
        <v>1975086</v>
      </c>
      <c r="C40" s="8">
        <v>7993.0635370295422</v>
      </c>
      <c r="D40" s="14">
        <f t="shared" si="0"/>
        <v>8.9863293866785661</v>
      </c>
      <c r="E40" s="9">
        <v>15</v>
      </c>
      <c r="F40" s="4">
        <f>E40*1.037</f>
        <v>15.555</v>
      </c>
      <c r="G40" s="4">
        <v>1.7999999999999999E-2</v>
      </c>
      <c r="H40" s="9">
        <v>100</v>
      </c>
      <c r="I40">
        <v>23076</v>
      </c>
      <c r="J40" s="9" t="s">
        <v>20</v>
      </c>
    </row>
    <row r="41" spans="1:10" x14ac:dyDescent="0.25">
      <c r="A41">
        <v>2019</v>
      </c>
      <c r="B41" s="11">
        <v>252673</v>
      </c>
      <c r="C41" s="3">
        <v>1022.5536220153783</v>
      </c>
      <c r="D41" s="14">
        <f t="shared" si="0"/>
        <v>6.9300583286107491</v>
      </c>
      <c r="E41" s="9">
        <v>0.5</v>
      </c>
      <c r="F41" s="4">
        <f>E41*1.018</f>
        <v>0.50900000000000001</v>
      </c>
      <c r="G41" s="4">
        <v>1.7999999999999999E-2</v>
      </c>
      <c r="H41" s="9">
        <v>3</v>
      </c>
      <c r="I41" s="9">
        <v>632</v>
      </c>
    </row>
    <row r="42" spans="1:10" x14ac:dyDescent="0.25">
      <c r="A42" s="5">
        <v>2020</v>
      </c>
      <c r="B42" s="5">
        <v>4278400</v>
      </c>
      <c r="C42" s="7">
        <v>17314</v>
      </c>
      <c r="D42" s="14">
        <f t="shared" si="0"/>
        <v>9.7592707017757192</v>
      </c>
      <c r="E42" s="5">
        <v>10</v>
      </c>
      <c r="F42" s="4">
        <v>10</v>
      </c>
      <c r="G42" s="5"/>
      <c r="H42" s="5">
        <v>33</v>
      </c>
      <c r="I42" s="5">
        <v>11116</v>
      </c>
      <c r="J42" s="5" t="s">
        <v>22</v>
      </c>
    </row>
    <row r="43" spans="1:10" x14ac:dyDescent="0.25">
      <c r="A43" t="s">
        <v>4</v>
      </c>
      <c r="B43" s="13">
        <f>AVERAGE(B9:B42)</f>
        <v>728747.4705882353</v>
      </c>
      <c r="C43" s="3">
        <f>AVERAGE(C25:C42)</f>
        <v>4049.8323665632447</v>
      </c>
      <c r="D43" s="14">
        <f t="shared" si="0"/>
        <v>8.3064307682719161</v>
      </c>
      <c r="E43" s="2">
        <f>AVERAGE(E25:E40)</f>
        <v>2.8929999999999998</v>
      </c>
      <c r="F43" s="2">
        <f>AVERAGE(F25:F42)</f>
        <v>3.4043482222222226</v>
      </c>
      <c r="G43" s="2"/>
      <c r="H43" s="3">
        <f>AVERAGE(H25:H42)</f>
        <v>16.777777777777779</v>
      </c>
      <c r="I43" s="3">
        <f>AVERAGE(I25:I42)</f>
        <v>3377.5</v>
      </c>
    </row>
    <row r="44" spans="1:10" x14ac:dyDescent="0.25">
      <c r="A44" t="s">
        <v>5</v>
      </c>
      <c r="C44" s="13">
        <f>MEDIAN(C25:C42)</f>
        <v>3032.8976123027114</v>
      </c>
      <c r="D44" s="13">
        <f t="shared" ref="D44:I44" si="1">MEDIAN(D25:D42)</f>
        <v>8.0115729750735909</v>
      </c>
      <c r="E44" s="13">
        <f t="shared" si="1"/>
        <v>0.41000000000000003</v>
      </c>
      <c r="F44" s="13">
        <f t="shared" si="1"/>
        <v>0.46675</v>
      </c>
      <c r="G44" s="13">
        <f t="shared" si="1"/>
        <v>2.1000000000000001E-2</v>
      </c>
      <c r="H44" s="13">
        <f t="shared" si="1"/>
        <v>5</v>
      </c>
      <c r="I44" s="13">
        <f t="shared" si="1"/>
        <v>400</v>
      </c>
    </row>
    <row r="45" spans="1:10" x14ac:dyDescent="0.25">
      <c r="A45" t="s">
        <v>6</v>
      </c>
      <c r="C45">
        <v>6450</v>
      </c>
      <c r="D45" s="14">
        <f t="shared" si="0"/>
        <v>8.7718354097898175</v>
      </c>
      <c r="E45">
        <v>18</v>
      </c>
      <c r="F45">
        <v>18</v>
      </c>
      <c r="H45">
        <v>47</v>
      </c>
      <c r="I45">
        <v>10000</v>
      </c>
    </row>
    <row r="46" spans="1:10" x14ac:dyDescent="0.25">
      <c r="A46" t="s">
        <v>7</v>
      </c>
      <c r="C46" s="13">
        <f>SUM(C25:C42)</f>
        <v>72896.982598138406</v>
      </c>
      <c r="D46" s="13">
        <f t="shared" ref="D46:I46" si="2">SUM(D25:D42)</f>
        <v>142.99609795535139</v>
      </c>
      <c r="E46" s="13">
        <f t="shared" si="2"/>
        <v>56.787999999999997</v>
      </c>
      <c r="F46" s="13">
        <f t="shared" si="2"/>
        <v>61.278268000000004</v>
      </c>
      <c r="G46" s="13">
        <f t="shared" si="2"/>
        <v>0.35000000000000009</v>
      </c>
      <c r="H46" s="13">
        <f t="shared" si="2"/>
        <v>302</v>
      </c>
      <c r="I46" s="13">
        <f t="shared" si="2"/>
        <v>60795</v>
      </c>
    </row>
    <row r="47" spans="1:10" x14ac:dyDescent="0.25">
      <c r="D47" s="14"/>
    </row>
    <row r="48" spans="1:10" x14ac:dyDescent="0.25">
      <c r="D48" s="14"/>
      <c r="E48" t="s">
        <v>23</v>
      </c>
    </row>
    <row r="49" spans="1:9" x14ac:dyDescent="0.25">
      <c r="D49" s="14"/>
      <c r="E49" t="s">
        <v>24</v>
      </c>
    </row>
    <row r="50" spans="1:9" x14ac:dyDescent="0.25">
      <c r="B50" s="10" t="s">
        <v>34</v>
      </c>
      <c r="D50" s="14"/>
      <c r="E50" s="10" t="s">
        <v>31</v>
      </c>
      <c r="G50" s="10" t="s">
        <v>26</v>
      </c>
      <c r="H50" s="10" t="s">
        <v>30</v>
      </c>
      <c r="I50" s="10" t="s">
        <v>29</v>
      </c>
    </row>
    <row r="51" spans="1:9" x14ac:dyDescent="0.25">
      <c r="I51" t="s">
        <v>35</v>
      </c>
    </row>
    <row r="54" spans="1:9" x14ac:dyDescent="0.25">
      <c r="A54">
        <v>2021</v>
      </c>
      <c r="B54">
        <v>2569009</v>
      </c>
      <c r="C54" s="7">
        <f>B54/247.105</f>
        <v>10396.426620262642</v>
      </c>
      <c r="D54" s="14">
        <f t="shared" ref="D54" si="3">LN(C54)</f>
        <v>9.2492174318819345</v>
      </c>
    </row>
    <row r="57" spans="1:9" x14ac:dyDescent="0.25">
      <c r="B57">
        <f>SUM(B39:B42,B54)</f>
        <v>10623597</v>
      </c>
      <c r="C57">
        <f>(SUM(C39:C42,C54))/5</f>
        <v>8598.4900185082133</v>
      </c>
    </row>
  </sheetData>
  <hyperlinks>
    <hyperlink ref="G50" r:id="rId1" xr:uid="{00000000-0004-0000-0000-000000000000}"/>
    <hyperlink ref="I50" r:id="rId2" xr:uid="{00000000-0004-0000-0000-000001000000}"/>
    <hyperlink ref="H50" r:id="rId3" xr:uid="{00000000-0004-0000-0000-000002000000}"/>
    <hyperlink ref="E50" r:id="rId4" xr:uid="{00000000-0004-0000-0000-000003000000}"/>
    <hyperlink ref="B50" r:id="rId5" xr:uid="{00000000-0004-0000-0000-000004000000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zoomScale="80" zoomScaleNormal="80" workbookViewId="0">
      <selection activeCell="R19" sqref="R19"/>
    </sheetView>
  </sheetViews>
  <sheetFormatPr defaultRowHeight="15" x14ac:dyDescent="0.25"/>
  <cols>
    <col min="1" max="1" width="7.28515625" customWidth="1"/>
    <col min="2" max="2" width="10.42578125" bestFit="1" customWidth="1"/>
    <col min="3" max="3" width="10.42578125" customWidth="1"/>
  </cols>
  <sheetData>
    <row r="1" spans="1:9" x14ac:dyDescent="0.25">
      <c r="A1" s="1" t="s">
        <v>0</v>
      </c>
      <c r="B1" s="1" t="s">
        <v>3</v>
      </c>
      <c r="C1" s="1" t="s">
        <v>33</v>
      </c>
      <c r="D1" s="1"/>
      <c r="E1" s="1"/>
      <c r="F1" s="1"/>
      <c r="G1" s="1"/>
      <c r="H1" s="1"/>
      <c r="I1" s="1"/>
    </row>
    <row r="2" spans="1:9" x14ac:dyDescent="0.25">
      <c r="A2" s="1">
        <v>1980</v>
      </c>
      <c r="B2" s="13">
        <v>1759.4567607310585</v>
      </c>
      <c r="C2" s="14">
        <v>7.4727603817117689</v>
      </c>
      <c r="D2" s="4"/>
      <c r="F2" s="1"/>
      <c r="G2" s="1"/>
      <c r="H2" s="13"/>
      <c r="I2" s="14"/>
    </row>
    <row r="3" spans="1:9" x14ac:dyDescent="0.25">
      <c r="A3" s="1">
        <v>1981</v>
      </c>
      <c r="B3" s="13">
        <v>1452.077978706767</v>
      </c>
      <c r="C3" s="14">
        <v>7.2807508982862181</v>
      </c>
      <c r="D3" s="4"/>
      <c r="F3" s="1"/>
      <c r="G3" s="1"/>
      <c r="H3" s="13"/>
      <c r="I3" s="14"/>
    </row>
    <row r="4" spans="1:9" x14ac:dyDescent="0.25">
      <c r="A4" s="1">
        <v>1982</v>
      </c>
      <c r="B4" s="13">
        <v>659.70034524927712</v>
      </c>
      <c r="C4" s="14">
        <v>6.4917857095715368</v>
      </c>
      <c r="D4" s="4"/>
      <c r="F4" s="1"/>
      <c r="G4" s="1"/>
      <c r="H4" s="13"/>
      <c r="I4" s="14"/>
    </row>
    <row r="5" spans="1:9" x14ac:dyDescent="0.25">
      <c r="A5" s="1">
        <v>1983</v>
      </c>
      <c r="B5" s="13">
        <v>397.65216797732785</v>
      </c>
      <c r="C5" s="14">
        <v>5.9855776733619468</v>
      </c>
      <c r="D5" s="4"/>
      <c r="F5" s="1"/>
      <c r="G5" s="1"/>
      <c r="H5" s="13"/>
      <c r="I5" s="14"/>
    </row>
    <row r="6" spans="1:9" x14ac:dyDescent="0.25">
      <c r="A6" s="1">
        <v>1984</v>
      </c>
      <c r="B6" s="13">
        <v>958.8969707530365</v>
      </c>
      <c r="C6" s="14">
        <v>6.8657836350692731</v>
      </c>
      <c r="D6" s="4"/>
      <c r="F6" s="1"/>
      <c r="G6" s="1"/>
      <c r="H6" s="13"/>
      <c r="I6" s="14"/>
    </row>
    <row r="7" spans="1:9" x14ac:dyDescent="0.25">
      <c r="A7" s="1">
        <v>1985</v>
      </c>
      <c r="B7" s="13">
        <v>2629.929846759977</v>
      </c>
      <c r="C7" s="14">
        <v>7.8747124505802963</v>
      </c>
      <c r="D7" s="4"/>
      <c r="F7" s="1"/>
      <c r="G7" s="1"/>
      <c r="H7" s="13"/>
      <c r="I7" s="14"/>
    </row>
    <row r="8" spans="1:9" x14ac:dyDescent="0.25">
      <c r="A8" s="1">
        <v>1986</v>
      </c>
      <c r="B8" s="13">
        <v>504.70308109196066</v>
      </c>
      <c r="C8" s="14">
        <v>6.2239702981263951</v>
      </c>
      <c r="D8" s="4"/>
      <c r="F8" s="1"/>
      <c r="G8" s="1"/>
      <c r="H8" s="13"/>
      <c r="I8" s="14"/>
    </row>
    <row r="9" spans="1:9" x14ac:dyDescent="0.25">
      <c r="A9" s="1">
        <v>1987</v>
      </c>
      <c r="B9" s="12">
        <v>3532.9825981384056</v>
      </c>
      <c r="C9" s="14">
        <v>8.1698977218271747</v>
      </c>
      <c r="D9" s="4"/>
      <c r="F9" s="1"/>
      <c r="G9" s="1"/>
      <c r="H9" s="12"/>
      <c r="I9" s="14"/>
    </row>
    <row r="10" spans="1:9" x14ac:dyDescent="0.25">
      <c r="A10" s="1">
        <v>1988</v>
      </c>
      <c r="B10" s="12">
        <v>1396.195872116552</v>
      </c>
      <c r="C10" s="14">
        <v>7.241506583018932</v>
      </c>
      <c r="D10" s="4"/>
      <c r="F10" s="1"/>
      <c r="G10" s="1"/>
      <c r="H10" s="12"/>
      <c r="I10" s="14"/>
    </row>
    <row r="11" spans="1:9" x14ac:dyDescent="0.25">
      <c r="A11" s="1">
        <v>1989</v>
      </c>
      <c r="B11" s="12">
        <v>701.74018615944965</v>
      </c>
      <c r="C11" s="14">
        <v>6.5535632303340146</v>
      </c>
      <c r="D11" s="4"/>
      <c r="F11" s="1"/>
      <c r="G11" s="1"/>
      <c r="H11" s="12"/>
      <c r="I11" s="14"/>
    </row>
    <row r="12" spans="1:9" x14ac:dyDescent="0.25">
      <c r="A12" s="1">
        <v>1990</v>
      </c>
      <c r="B12" s="12">
        <v>1477.9441521651152</v>
      </c>
      <c r="C12" s="14">
        <v>7.2984073147083857</v>
      </c>
      <c r="D12" s="4"/>
      <c r="F12" s="1"/>
      <c r="G12" s="1"/>
      <c r="H12" s="12"/>
      <c r="I12" s="14"/>
    </row>
    <row r="13" spans="1:9" x14ac:dyDescent="0.25">
      <c r="A13" s="1">
        <v>1991</v>
      </c>
      <c r="B13" s="12">
        <v>178.87494941319304</v>
      </c>
      <c r="C13" s="14">
        <v>5.1866869550712247</v>
      </c>
      <c r="D13" s="4"/>
      <c r="F13" s="1"/>
      <c r="G13" s="1"/>
      <c r="H13" s="12"/>
      <c r="I13" s="14"/>
    </row>
    <row r="14" spans="1:9" x14ac:dyDescent="0.25">
      <c r="A14" s="1">
        <v>1992</v>
      </c>
      <c r="B14" s="12">
        <v>1144.2533387292594</v>
      </c>
      <c r="C14" s="14">
        <v>7.0425075973614888</v>
      </c>
      <c r="D14" s="4"/>
      <c r="F14" s="1"/>
      <c r="G14" s="1"/>
      <c r="H14" s="12"/>
      <c r="I14" s="14"/>
    </row>
    <row r="15" spans="1:9" x14ac:dyDescent="0.25">
      <c r="A15" s="1">
        <v>1993</v>
      </c>
      <c r="B15" s="12">
        <v>1253.6584378794009</v>
      </c>
      <c r="C15" s="14">
        <v>7.1338213060046156</v>
      </c>
      <c r="D15" s="4"/>
      <c r="F15" s="1"/>
      <c r="G15" s="1"/>
      <c r="H15" s="12"/>
      <c r="I15" s="14"/>
    </row>
    <row r="16" spans="1:9" x14ac:dyDescent="0.25">
      <c r="A16" s="1">
        <v>1994</v>
      </c>
      <c r="B16" s="12">
        <v>2129.5791177660863</v>
      </c>
      <c r="C16" s="14">
        <v>7.6636796418856363</v>
      </c>
      <c r="D16" s="4"/>
      <c r="F16" s="1"/>
      <c r="G16" s="1"/>
      <c r="H16" s="12"/>
      <c r="I16" s="14"/>
    </row>
    <row r="17" spans="1:9" x14ac:dyDescent="0.25">
      <c r="A17" s="1">
        <v>1995</v>
      </c>
      <c r="B17" s="12">
        <v>849.10967219749091</v>
      </c>
      <c r="C17" s="14">
        <v>6.744188356057494</v>
      </c>
      <c r="D17" s="6"/>
      <c r="E17" s="5"/>
      <c r="F17" s="1"/>
      <c r="G17" s="1"/>
      <c r="H17" s="12"/>
      <c r="I17" s="14"/>
    </row>
    <row r="18" spans="1:9" x14ac:dyDescent="0.25">
      <c r="A18" s="1">
        <v>1996</v>
      </c>
      <c r="B18" s="12">
        <v>3044.8077701335492</v>
      </c>
      <c r="C18" s="14">
        <v>8.02119304847424</v>
      </c>
      <c r="D18" s="2"/>
      <c r="E18" s="3"/>
      <c r="F18" s="1"/>
      <c r="G18" s="1"/>
      <c r="H18" s="12"/>
      <c r="I18" s="14"/>
    </row>
    <row r="19" spans="1:9" x14ac:dyDescent="0.25">
      <c r="A19" s="1">
        <v>1997</v>
      </c>
      <c r="B19" s="12">
        <v>1148.8668555240793</v>
      </c>
      <c r="C19" s="14">
        <v>7.0465313925651936</v>
      </c>
      <c r="F19" s="1"/>
      <c r="G19" s="1"/>
      <c r="H19" s="12"/>
      <c r="I19" s="14"/>
    </row>
    <row r="20" spans="1:9" x14ac:dyDescent="0.25">
      <c r="A20" s="1">
        <v>1998</v>
      </c>
      <c r="B20" s="12">
        <v>871.76042088223392</v>
      </c>
      <c r="C20" s="14">
        <v>6.7705146394645057</v>
      </c>
      <c r="F20" s="1"/>
      <c r="G20" s="1"/>
      <c r="H20" s="12"/>
      <c r="I20" s="14"/>
    </row>
    <row r="21" spans="1:9" x14ac:dyDescent="0.25">
      <c r="A21" s="1">
        <v>1999</v>
      </c>
      <c r="B21" s="12">
        <v>4746.4589235127478</v>
      </c>
      <c r="C21" s="14">
        <v>8.4651541292262049</v>
      </c>
      <c r="F21" s="1"/>
      <c r="G21" s="1"/>
      <c r="H21" s="12"/>
      <c r="I21" s="14"/>
    </row>
    <row r="22" spans="1:9" x14ac:dyDescent="0.25">
      <c r="A22" s="1">
        <v>2000</v>
      </c>
      <c r="B22" s="12">
        <v>1193.9538648320517</v>
      </c>
      <c r="C22" s="14">
        <v>7.0850256540368992</v>
      </c>
      <c r="F22" s="1"/>
      <c r="G22" s="1"/>
      <c r="H22" s="12"/>
      <c r="I22" s="14"/>
    </row>
    <row r="23" spans="1:9" x14ac:dyDescent="0.25">
      <c r="A23" s="1">
        <v>2001</v>
      </c>
      <c r="B23" s="12">
        <v>1527.0740590853904</v>
      </c>
      <c r="C23" s="14">
        <v>7.3311088037710395</v>
      </c>
      <c r="F23" s="1"/>
      <c r="G23" s="1"/>
      <c r="H23" s="12"/>
      <c r="I23" s="14"/>
    </row>
    <row r="24" spans="1:9" x14ac:dyDescent="0.25">
      <c r="A24" s="1">
        <v>2002</v>
      </c>
      <c r="B24" s="12">
        <v>2178.1303116147305</v>
      </c>
      <c r="C24" s="14">
        <v>7.6862221325638691</v>
      </c>
      <c r="F24" s="1"/>
      <c r="G24" s="1"/>
      <c r="H24" s="12"/>
      <c r="I24" s="14"/>
    </row>
    <row r="25" spans="1:9" x14ac:dyDescent="0.25">
      <c r="A25">
        <v>2003</v>
      </c>
      <c r="B25" s="13">
        <v>3908.4176446782676</v>
      </c>
      <c r="C25" s="14">
        <v>8.2708878766128233</v>
      </c>
      <c r="G25" s="1"/>
      <c r="H25" s="13"/>
      <c r="I25" s="14"/>
    </row>
    <row r="26" spans="1:9" x14ac:dyDescent="0.25">
      <c r="A26">
        <v>2004</v>
      </c>
      <c r="B26" s="13">
        <v>1258.6968838526911</v>
      </c>
      <c r="C26" s="14">
        <v>7.1378322456073295</v>
      </c>
      <c r="G26" s="1"/>
      <c r="H26" s="13"/>
      <c r="I26" s="14"/>
    </row>
    <row r="27" spans="1:9" x14ac:dyDescent="0.25">
      <c r="A27">
        <v>2005</v>
      </c>
      <c r="B27" s="13">
        <v>1129.9635774989881</v>
      </c>
      <c r="C27" s="14">
        <v>7.0299406788851337</v>
      </c>
      <c r="G27" s="1"/>
      <c r="H27" s="13"/>
      <c r="I27" s="14"/>
    </row>
    <row r="28" spans="1:9" x14ac:dyDescent="0.25">
      <c r="A28">
        <v>2006</v>
      </c>
      <c r="B28" s="13">
        <v>3493.9093484419263</v>
      </c>
      <c r="C28" s="14">
        <v>8.1587765454352539</v>
      </c>
      <c r="G28" s="1"/>
      <c r="H28" s="13"/>
      <c r="I28" s="14"/>
    </row>
    <row r="29" spans="1:9" x14ac:dyDescent="0.25">
      <c r="A29">
        <v>2007</v>
      </c>
      <c r="B29" s="13">
        <v>6152.8207203561315</v>
      </c>
      <c r="C29" s="14">
        <v>8.7246659093675429</v>
      </c>
      <c r="G29" s="1"/>
      <c r="H29" s="13"/>
      <c r="I29" s="14"/>
    </row>
    <row r="30" spans="1:9" x14ac:dyDescent="0.25">
      <c r="A30">
        <v>2008</v>
      </c>
      <c r="B30" s="13">
        <v>6449.5750708215301</v>
      </c>
      <c r="C30" s="14">
        <v>8.7717695271268177</v>
      </c>
      <c r="G30" s="1"/>
      <c r="H30" s="13"/>
      <c r="I30" s="14"/>
    </row>
    <row r="31" spans="1:9" x14ac:dyDescent="0.25">
      <c r="A31">
        <v>2009</v>
      </c>
      <c r="B31" s="13">
        <v>1841.234318089842</v>
      </c>
      <c r="C31" s="14">
        <v>7.5181914507493097</v>
      </c>
      <c r="G31" s="1"/>
      <c r="H31" s="13"/>
      <c r="I31" s="14"/>
    </row>
    <row r="32" spans="1:9" x14ac:dyDescent="0.25">
      <c r="A32">
        <v>2010</v>
      </c>
      <c r="B32" s="13">
        <v>544.16025900445163</v>
      </c>
      <c r="C32" s="14">
        <v>6.2992437972299049</v>
      </c>
      <c r="G32" s="1"/>
      <c r="H32" s="13"/>
      <c r="I32" s="14"/>
    </row>
    <row r="33" spans="1:9" x14ac:dyDescent="0.25">
      <c r="A33">
        <v>2011</v>
      </c>
      <c r="B33" s="13">
        <v>925.12747875354103</v>
      </c>
      <c r="C33" s="14">
        <v>6.8299315428855216</v>
      </c>
      <c r="G33" s="1"/>
      <c r="H33" s="13"/>
      <c r="I33" s="14"/>
    </row>
    <row r="34" spans="1:9" x14ac:dyDescent="0.25">
      <c r="A34">
        <v>2012</v>
      </c>
      <c r="B34" s="13">
        <v>3355.8235532173208</v>
      </c>
      <c r="C34" s="14">
        <v>8.118452489690398</v>
      </c>
      <c r="G34" s="1"/>
      <c r="H34" s="13"/>
      <c r="I34" s="14"/>
    </row>
    <row r="35" spans="1:9" x14ac:dyDescent="0.25">
      <c r="A35">
        <v>2013</v>
      </c>
      <c r="B35" s="13">
        <v>2434.7834884662079</v>
      </c>
      <c r="C35" s="14">
        <v>7.7976131151224068</v>
      </c>
      <c r="G35" s="1"/>
      <c r="H35" s="13"/>
      <c r="I35" s="14"/>
    </row>
    <row r="36" spans="1:9" x14ac:dyDescent="0.25">
      <c r="A36">
        <v>2014</v>
      </c>
      <c r="B36" s="13">
        <v>2531.5256980979361</v>
      </c>
      <c r="C36" s="14">
        <v>7.8365774426908255</v>
      </c>
      <c r="G36" s="1"/>
      <c r="H36" s="13"/>
      <c r="I36" s="14"/>
    </row>
    <row r="37" spans="1:9" x14ac:dyDescent="0.25">
      <c r="A37">
        <v>2015</v>
      </c>
      <c r="B37" s="13">
        <v>3564.9494131930392</v>
      </c>
      <c r="C37" s="14">
        <v>8.1789051429000441</v>
      </c>
      <c r="G37" s="1"/>
      <c r="H37" s="13"/>
      <c r="I37" s="14"/>
    </row>
    <row r="38" spans="1:9" x14ac:dyDescent="0.25">
      <c r="A38">
        <v>2016</v>
      </c>
      <c r="B38" s="13">
        <v>2709.9716713881021</v>
      </c>
      <c r="C38" s="14">
        <v>7.9046934604567856</v>
      </c>
      <c r="G38" s="1"/>
      <c r="H38" s="13"/>
      <c r="I38" s="14"/>
    </row>
    <row r="39" spans="1:9" x14ac:dyDescent="0.25">
      <c r="A39">
        <v>2017</v>
      </c>
      <c r="B39" s="13">
        <v>6266.4063132335086</v>
      </c>
      <c r="C39" s="14">
        <v>8.7429583135262714</v>
      </c>
      <c r="G39" s="1"/>
      <c r="H39" s="13"/>
      <c r="I39" s="14"/>
    </row>
    <row r="40" spans="1:9" x14ac:dyDescent="0.25">
      <c r="A40" s="9">
        <v>2018</v>
      </c>
      <c r="B40" s="8">
        <v>7993.0635370295422</v>
      </c>
      <c r="C40" s="14">
        <v>8.9863293866785661</v>
      </c>
      <c r="F40" s="9"/>
      <c r="G40" s="11"/>
      <c r="H40" s="8"/>
      <c r="I40" s="14"/>
    </row>
    <row r="41" spans="1:9" x14ac:dyDescent="0.25">
      <c r="A41">
        <v>2019</v>
      </c>
      <c r="B41" s="13">
        <v>1022.5536220153783</v>
      </c>
      <c r="C41" s="14">
        <v>6.9300583286107491</v>
      </c>
      <c r="G41" s="11"/>
      <c r="H41" s="13"/>
      <c r="I41" s="14"/>
    </row>
    <row r="42" spans="1:9" x14ac:dyDescent="0.25">
      <c r="A42" s="9">
        <v>2020</v>
      </c>
      <c r="B42" s="8">
        <v>17314</v>
      </c>
      <c r="C42" s="15">
        <f>LN(B42)</f>
        <v>9.7592707017757192</v>
      </c>
      <c r="F42" s="5"/>
      <c r="G42" s="5"/>
      <c r="H42" s="7"/>
      <c r="I42" s="14"/>
    </row>
    <row r="43" spans="1:9" x14ac:dyDescent="0.25">
      <c r="A43" s="9">
        <v>2021</v>
      </c>
      <c r="B43" s="13">
        <v>10068</v>
      </c>
      <c r="C43" s="15">
        <f>LN(B43)</f>
        <v>9.2171173562552067</v>
      </c>
    </row>
    <row r="44" spans="1:9" x14ac:dyDescent="0.25">
      <c r="C44" s="14"/>
    </row>
    <row r="45" spans="1:9" x14ac:dyDescent="0.25">
      <c r="C45" s="14"/>
    </row>
    <row r="46" spans="1:9" x14ac:dyDescent="0.25">
      <c r="C46" s="14"/>
    </row>
    <row r="47" spans="1:9" x14ac:dyDescent="0.25">
      <c r="C47" s="14"/>
    </row>
    <row r="48" spans="1:9" x14ac:dyDescent="0.25">
      <c r="C48" s="14"/>
    </row>
    <row r="49" spans="3:3" x14ac:dyDescent="0.25">
      <c r="C49" s="14"/>
    </row>
    <row r="50" spans="3:3" x14ac:dyDescent="0.25">
      <c r="C50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U. S.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Safford, Hugh D -FS</dc:creator>
  <cp:lastModifiedBy>Hugh Safford</cp:lastModifiedBy>
  <dcterms:created xsi:type="dcterms:W3CDTF">2018-09-18T13:21:00Z</dcterms:created>
  <dcterms:modified xsi:type="dcterms:W3CDTF">2021-12-30T21:40:46Z</dcterms:modified>
</cp:coreProperties>
</file>