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g_\Documents\"/>
    </mc:Choice>
  </mc:AlternateContent>
  <xr:revisionPtr revIDLastSave="0" documentId="13_ncr:1_{534858BD-3728-48AC-9756-F1382C153E63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Pivot Table by Category" sheetId="2" r:id="rId2"/>
    <sheet name="Pivot Table by Sub-Category" sheetId="3" r:id="rId3"/>
    <sheet name="Pivot Table by State" sheetId="4" r:id="rId4"/>
    <sheet name="Percentage of State" sheetId="5" r:id="rId5"/>
    <sheet name="Backers" sheetId="6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6" l="1"/>
  <c r="I15" i="6"/>
  <c r="I14" i="6"/>
  <c r="I13" i="6"/>
  <c r="I12" i="6"/>
  <c r="I11" i="6"/>
  <c r="I7" i="6"/>
  <c r="I6" i="6"/>
  <c r="I5" i="6"/>
  <c r="I4" i="6"/>
  <c r="I3" i="6"/>
  <c r="I2" i="6"/>
  <c r="D13" i="5"/>
  <c r="B13" i="5"/>
  <c r="D12" i="5"/>
  <c r="B12" i="5"/>
  <c r="D11" i="5"/>
  <c r="B11" i="5"/>
  <c r="D10" i="5"/>
  <c r="B10" i="5"/>
  <c r="D9" i="5"/>
  <c r="B9" i="5"/>
  <c r="D8" i="5"/>
  <c r="B8" i="5"/>
  <c r="D7" i="5"/>
  <c r="B7" i="5"/>
  <c r="D6" i="5"/>
  <c r="B6" i="5"/>
  <c r="D5" i="5"/>
  <c r="B5" i="5"/>
  <c r="B4" i="5"/>
  <c r="D4" i="5"/>
  <c r="D3" i="5"/>
  <c r="B3" i="5"/>
  <c r="D2" i="5"/>
  <c r="B2" i="5"/>
  <c r="C13" i="5"/>
  <c r="C12" i="5"/>
  <c r="C11" i="5"/>
  <c r="C10" i="5"/>
  <c r="C9" i="5"/>
  <c r="C8" i="5"/>
  <c r="C7" i="5"/>
  <c r="C6" i="5"/>
  <c r="C5" i="5"/>
  <c r="C4" i="5"/>
  <c r="C2" i="5"/>
  <c r="C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5" l="1"/>
  <c r="H10" i="5" s="1"/>
  <c r="E7" i="5"/>
  <c r="G7" i="5" s="1"/>
  <c r="E8" i="5"/>
  <c r="G8" i="5" s="1"/>
  <c r="E9" i="5"/>
  <c r="G9" i="5" s="1"/>
  <c r="E2" i="5"/>
  <c r="H2" i="5" s="1"/>
  <c r="E6" i="5"/>
  <c r="H6" i="5" s="1"/>
  <c r="E13" i="5"/>
  <c r="H13" i="5" s="1"/>
  <c r="E5" i="5"/>
  <c r="G5" i="5" s="1"/>
  <c r="E12" i="5"/>
  <c r="H12" i="5" s="1"/>
  <c r="E4" i="5"/>
  <c r="F4" i="5" s="1"/>
  <c r="E11" i="5"/>
  <c r="G11" i="5" s="1"/>
  <c r="E3" i="5"/>
  <c r="H3" i="5" s="1"/>
  <c r="F10" i="5" l="1"/>
  <c r="F5" i="5"/>
  <c r="H4" i="5"/>
  <c r="F9" i="5"/>
  <c r="G10" i="5"/>
  <c r="F8" i="5"/>
  <c r="G13" i="5"/>
  <c r="F2" i="5"/>
  <c r="F13" i="5"/>
  <c r="F7" i="5"/>
  <c r="F12" i="5"/>
  <c r="H8" i="5"/>
  <c r="H7" i="5"/>
  <c r="H9" i="5"/>
  <c r="G6" i="5"/>
  <c r="G12" i="5"/>
  <c r="F11" i="5"/>
  <c r="G4" i="5"/>
  <c r="G3" i="5"/>
  <c r="F3" i="5"/>
  <c r="F6" i="5"/>
  <c r="H5" i="5"/>
  <c r="H11" i="5"/>
  <c r="G2" i="5"/>
</calcChain>
</file>

<file path=xl/sharedStrings.xml><?xml version="1.0" encoding="utf-8"?>
<sst xmlns="http://schemas.openxmlformats.org/spreadsheetml/2006/main" count="28552" uniqueCount="8412">
  <si>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</si>
  <si>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</si>
  <si>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</si>
  <si>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</si>
  <si>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</si>
  <si>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</si>
  <si>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</si>
  <si>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</si>
  <si>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</si>
  <si>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</si>
  <si>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</si>
  <si>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</si>
  <si>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</si>
  <si>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</si>
  <si>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</si>
  <si>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</si>
  <si>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</si>
  <si>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</si>
  <si>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</si>
  <si>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</si>
  <si>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</si>
  <si>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</si>
  <si>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</si>
  <si>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</si>
  <si>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</si>
  <si>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</si>
  <si>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</si>
  <si>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</si>
  <si>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</si>
  <si>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</si>
  <si>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</si>
  <si>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</si>
  <si>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</si>
  <si>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</si>
  <si>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</si>
  <si>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</si>
  <si>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</si>
  <si>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</si>
  <si>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</si>
  <si>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</si>
  <si>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</si>
  <si>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</si>
  <si>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</si>
  <si>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</si>
  <si>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</si>
  <si>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</si>
  <si>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</si>
  <si>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</si>
  <si>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</si>
  <si>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</si>
  <si>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</si>
  <si>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</si>
  <si>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</si>
  <si>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</si>
  <si>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</si>
  <si>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</si>
  <si>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</si>
  <si>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</si>
  <si>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</si>
  <si>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</si>
  <si>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</si>
  <si>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</si>
  <si>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</si>
  <si>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</si>
  <si>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</si>
  <si>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</si>
  <si>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</si>
  <si>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</si>
  <si>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</si>
  <si>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</si>
  <si>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</si>
  <si>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</si>
  <si>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</si>
  <si>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</si>
  <si>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</si>
  <si>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</si>
  <si>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</si>
  <si>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</si>
  <si>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</si>
  <si>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</si>
  <si>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</si>
  <si>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</si>
  <si>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</si>
  <si>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</si>
  <si>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</si>
  <si>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</si>
  <si>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</si>
  <si>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</si>
  <si>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</si>
  <si>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</si>
  <si>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</si>
  <si>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</si>
  <si>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</si>
  <si>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</si>
  <si>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</si>
  <si>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</si>
  <si>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</si>
  <si>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</si>
  <si>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</si>
  <si>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</si>
  <si>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</si>
  <si>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</si>
  <si>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</si>
  <si>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</si>
  <si>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</si>
  <si>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</si>
  <si>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</si>
  <si>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</si>
  <si>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</si>
  <si>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</si>
  <si>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</si>
  <si>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</si>
  <si>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</si>
  <si>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</si>
  <si>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</si>
  <si>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</si>
  <si>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</si>
  <si>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</si>
  <si>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</si>
  <si>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</si>
  <si>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</si>
  <si>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</si>
  <si>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</si>
  <si>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</si>
  <si>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</si>
  <si>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</si>
  <si>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</si>
  <si>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</si>
  <si>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</si>
  <si>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</si>
  <si>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</si>
  <si>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</si>
  <si>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</si>
  <si>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</si>
  <si>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</si>
  <si>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</si>
  <si>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</si>
  <si>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</si>
  <si>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</si>
  <si>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</si>
  <si>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</si>
  <si>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</si>
  <si>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</si>
  <si>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</si>
  <si>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</si>
  <si>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</si>
  <si>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</si>
  <si>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</si>
  <si>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</si>
  <si>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</si>
  <si>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</si>
  <si>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</si>
  <si>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</si>
  <si>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</si>
  <si>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</si>
  <si>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</si>
  <si>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</si>
  <si>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</si>
  <si>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</si>
  <si>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</si>
  <si>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</si>
  <si>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</si>
  <si>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</si>
  <si>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</si>
  <si>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</si>
  <si>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</si>
  <si>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</si>
  <si>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</si>
  <si>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</si>
  <si>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</si>
  <si>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</si>
  <si>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</si>
  <si>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</si>
  <si>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</si>
  <si>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</si>
  <si>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</si>
  <si>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</si>
  <si>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</si>
  <si>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</si>
  <si>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</si>
  <si>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</si>
  <si>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</si>
  <si>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</si>
  <si>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</si>
  <si>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</si>
  <si>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</si>
  <si>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</si>
  <si>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</si>
  <si>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</si>
  <si>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</si>
  <si>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</si>
  <si>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</si>
  <si>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</si>
  <si>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</si>
  <si>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</si>
  <si>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</si>
  <si>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</si>
  <si>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</si>
  <si>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</si>
  <si>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</si>
  <si>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</si>
  <si>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</si>
  <si>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</si>
  <si>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</si>
  <si>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</si>
  <si>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</si>
  <si>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</si>
  <si>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</si>
  <si>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</si>
  <si>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</si>
  <si>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</si>
  <si>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</si>
  <si>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</si>
  <si>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</si>
  <si>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</si>
  <si>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</si>
  <si>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</si>
  <si>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</si>
  <si>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</si>
  <si>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</si>
  <si>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</si>
  <si>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</si>
  <si>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</si>
  <si>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</si>
  <si>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</si>
  <si>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</si>
  <si>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</si>
  <si>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</si>
  <si>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</si>
  <si>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</si>
  <si>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</si>
  <si>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</si>
  <si>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</si>
  <si>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</si>
  <si>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</si>
  <si>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</si>
  <si>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</si>
  <si>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</si>
  <si>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</si>
  <si>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</si>
  <si>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</si>
  <si>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</si>
  <si>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</si>
  <si>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</si>
  <si>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</si>
  <si>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</si>
  <si>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</si>
  <si>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</si>
  <si>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</si>
  <si>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</si>
  <si>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</si>
  <si>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</si>
  <si>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</si>
  <si>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</si>
  <si>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</si>
  <si>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</si>
  <si>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</si>
  <si>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</si>
  <si>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</si>
  <si>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</si>
  <si>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</si>
  <si>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</si>
  <si>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</si>
  <si>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</si>
  <si>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</si>
  <si>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</si>
  <si>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</si>
  <si>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</si>
  <si>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</si>
  <si>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</si>
  <si>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</si>
  <si>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</si>
  <si>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</si>
  <si>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</si>
  <si>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</si>
  <si>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</si>
  <si>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</si>
  <si>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</si>
  <si>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</si>
  <si>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</si>
  <si>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</si>
  <si>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</si>
  <si>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</si>
  <si>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</si>
  <si>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</si>
  <si>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</si>
  <si>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</si>
  <si>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</si>
  <si>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</si>
  <si>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</si>
  <si>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</si>
  <si>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</si>
  <si>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</si>
  <si>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</si>
  <si>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</si>
  <si>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</si>
  <si>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</si>
  <si>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</si>
  <si>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</si>
  <si>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</si>
  <si>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</si>
  <si>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</si>
  <si>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</si>
  <si>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</si>
  <si>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</si>
  <si>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</si>
  <si>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</si>
  <si>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</si>
  <si>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</si>
  <si>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</si>
  <si>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</si>
  <si>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</si>
  <si>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</si>
  <si>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</si>
  <si>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</si>
  <si>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</si>
  <si>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</si>
  <si>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</si>
  <si>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</si>
  <si>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</si>
  <si>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</si>
  <si>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</si>
  <si>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</si>
  <si>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</si>
  <si>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</si>
  <si>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</si>
  <si>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</si>
  <si>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</si>
  <si>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</si>
  <si>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</si>
  <si>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</si>
  <si>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</si>
  <si>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</si>
  <si>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</si>
  <si>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</si>
  <si>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</si>
  <si>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</si>
  <si>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</si>
  <si>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</si>
  <si>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</si>
  <si>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</si>
  <si>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</si>
  <si>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</si>
  <si>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</si>
  <si>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</si>
  <si>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</si>
  <si>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</si>
  <si>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</si>
  <si>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</si>
  <si>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</si>
  <si>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</si>
  <si>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</si>
  <si>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</si>
  <si>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</si>
  <si>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</si>
  <si>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</si>
  <si>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</si>
  <si>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</si>
  <si>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</si>
  <si>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</si>
  <si>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</si>
  <si>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</si>
  <si>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</si>
  <si>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</si>
  <si>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</si>
  <si>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</si>
  <si>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</si>
  <si>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</si>
  <si>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</si>
  <si>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</si>
  <si>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</si>
  <si>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</si>
  <si>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</si>
  <si>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</si>
  <si>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</si>
  <si>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</si>
  <si>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</si>
  <si>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</si>
  <si>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</si>
  <si>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</si>
  <si>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</si>
  <si>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</si>
  <si>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</si>
  <si>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</si>
  <si>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</si>
  <si>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</si>
  <si>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</si>
  <si>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</si>
  <si>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</si>
  <si>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</si>
  <si>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</si>
  <si>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</si>
  <si>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</si>
  <si>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</si>
  <si>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</si>
  <si>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</si>
  <si>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</si>
  <si>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</si>
  <si>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</si>
  <si>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</si>
  <si>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</si>
  <si>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</si>
  <si>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</si>
  <si>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</si>
  <si>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</si>
  <si>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</si>
  <si>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</si>
  <si>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</si>
  <si>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</si>
  <si>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</si>
  <si>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</si>
  <si>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</si>
  <si>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</si>
  <si>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</si>
  <si>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</si>
  <si>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</si>
  <si>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</si>
  <si>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</si>
  <si>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</si>
  <si>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</si>
  <si>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</si>
  <si>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</si>
  <si>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</si>
  <si>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</si>
  <si>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</si>
  <si>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</si>
  <si>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</si>
  <si>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</si>
  <si>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</si>
  <si>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</si>
  <si>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</si>
  <si>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</si>
  <si>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</si>
  <si>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</si>
  <si>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</si>
  <si>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</si>
  <si>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</si>
  <si>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</si>
  <si>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</si>
  <si>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</si>
  <si>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</si>
  <si>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</si>
  <si>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</si>
  <si>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</si>
  <si>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</si>
  <si>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</si>
  <si>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</si>
  <si>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</si>
  <si>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</si>
  <si>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</si>
  <si>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</si>
  <si>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</si>
  <si>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</si>
  <si>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</si>
  <si>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</si>
  <si>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</si>
  <si>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</si>
  <si>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</si>
  <si>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</si>
  <si>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</si>
  <si>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</si>
  <si>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</si>
  <si>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</si>
  <si>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</si>
  <si>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</si>
  <si>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</si>
  <si>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</si>
  <si>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</si>
  <si>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</si>
  <si>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</si>
  <si>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</si>
  <si>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</si>
  <si>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</si>
  <si>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</si>
  <si>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</si>
  <si>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</si>
  <si>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</si>
  <si>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</si>
  <si>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</si>
  <si>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</si>
  <si>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</si>
  <si>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</si>
  <si>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</si>
  <si>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</si>
  <si>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</si>
  <si>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</si>
  <si>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</si>
  <si>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</si>
  <si>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</si>
  <si>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</si>
  <si>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</si>
  <si>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</si>
  <si>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</si>
  <si>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</si>
  <si>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</si>
  <si>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</si>
  <si>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</si>
  <si>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</si>
  <si>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</si>
  <si>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</si>
  <si>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</si>
  <si>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</si>
  <si>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</si>
  <si>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</si>
  <si>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</si>
  <si>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</si>
  <si>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</si>
  <si>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</si>
  <si>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</si>
  <si>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</si>
  <si>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</si>
  <si>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</si>
  <si>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</si>
  <si>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</si>
  <si>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</si>
  <si>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</si>
  <si>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</si>
  <si>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</si>
  <si>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</si>
  <si>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</si>
  <si>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</si>
  <si>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</si>
  <si>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</si>
  <si>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</si>
  <si>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</si>
  <si>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</si>
  <si>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</si>
  <si>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</si>
  <si>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</si>
  <si>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</si>
  <si>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</si>
  <si>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</si>
  <si>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</si>
  <si>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</si>
  <si>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</si>
  <si>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</si>
  <si>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</si>
  <si>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</si>
  <si>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</si>
  <si>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</si>
  <si>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</si>
  <si>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</si>
  <si>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</si>
  <si>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</si>
  <si>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</si>
  <si>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</si>
  <si>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</si>
  <si>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</si>
  <si>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</si>
  <si>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</si>
  <si>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</si>
  <si>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</si>
  <si>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</si>
  <si>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</si>
  <si>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</si>
  <si>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</si>
  <si>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</si>
  <si>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</si>
  <si>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</si>
  <si>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</si>
  <si>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</si>
  <si>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</si>
  <si>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</si>
  <si>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</si>
  <si>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</si>
  <si>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</si>
  <si>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</si>
  <si>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</si>
  <si>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</si>
  <si>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</si>
  <si>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</si>
  <si>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</si>
  <si>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</si>
  <si>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</si>
  <si>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</si>
  <si>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</si>
  <si>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</si>
  <si>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</si>
  <si>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</si>
  <si>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</si>
  <si>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</si>
  <si>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</si>
  <si>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</si>
  <si>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</si>
  <si>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</si>
  <si>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</si>
  <si>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</si>
  <si>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</si>
  <si>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</si>
  <si>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</si>
  <si>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</si>
  <si>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</si>
  <si>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</si>
  <si>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</si>
  <si>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</si>
  <si>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</si>
  <si>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</si>
  <si>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</si>
  <si>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</si>
  <si>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</si>
  <si>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</si>
  <si>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</si>
  <si>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</si>
  <si>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</si>
  <si>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</si>
  <si>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</si>
  <si>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</si>
  <si>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</si>
  <si>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</si>
  <si>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</si>
  <si>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</si>
  <si>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</si>
  <si>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</si>
  <si>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</si>
  <si>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</si>
  <si>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</si>
  <si>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</si>
  <si>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</si>
  <si>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</si>
  <si>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</si>
  <si>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</si>
  <si>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</si>
  <si>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</si>
  <si>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</si>
  <si>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</si>
  <si>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</si>
  <si>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</si>
  <si>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</si>
  <si>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</si>
  <si>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</si>
  <si>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</si>
  <si>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</si>
  <si>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</si>
  <si>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</si>
  <si>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</si>
  <si>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</si>
  <si>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</si>
  <si>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</si>
  <si>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</si>
  <si>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</si>
  <si>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</si>
  <si>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</si>
  <si>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</si>
  <si>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</si>
  <si>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</si>
  <si>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</si>
  <si>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</si>
  <si>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</si>
  <si>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</si>
  <si>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</si>
  <si>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</si>
  <si>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</si>
  <si>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</si>
  <si>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</si>
  <si>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</si>
  <si>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</si>
  <si>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</si>
  <si>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</si>
  <si>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</si>
  <si>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</si>
  <si>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</si>
  <si>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</si>
  <si>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</si>
  <si>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</si>
  <si>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</si>
  <si>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</si>
  <si>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</si>
  <si>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</si>
  <si>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</si>
  <si>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</si>
  <si>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</si>
  <si>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</si>
  <si>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</si>
  <si>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</si>
  <si>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</si>
  <si>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</si>
  <si>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</si>
  <si>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</si>
  <si>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</si>
  <si>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</si>
  <si>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</si>
  <si>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</si>
  <si>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</si>
  <si>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</si>
  <si>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</si>
  <si>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</si>
  <si>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</si>
  <si>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</si>
  <si>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</si>
  <si>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</si>
  <si>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</si>
  <si>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</si>
  <si>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</si>
  <si>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</si>
  <si>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</si>
  <si>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</si>
  <si>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</si>
  <si>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</si>
  <si>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</si>
  <si>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</si>
  <si>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</si>
  <si>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</si>
  <si>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</si>
  <si>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</si>
  <si>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</si>
  <si>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</si>
  <si>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</si>
  <si>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</si>
  <si>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</si>
  <si>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</si>
  <si>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</si>
  <si>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</si>
  <si>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</si>
  <si>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</si>
  <si>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</si>
  <si>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</si>
  <si>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</si>
  <si>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</si>
  <si>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</si>
  <si>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</si>
  <si>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</si>
  <si>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</si>
  <si>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</si>
  <si>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</si>
  <si>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</si>
  <si>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</si>
  <si>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</si>
  <si>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</si>
  <si>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</si>
  <si>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</si>
  <si>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</si>
  <si>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</si>
  <si>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</si>
  <si>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</si>
  <si>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</si>
  <si>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</si>
  <si>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</si>
  <si>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</si>
  <si>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</si>
  <si>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</si>
  <si>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</si>
  <si>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</si>
  <si>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</si>
  <si>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</si>
  <si>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</si>
  <si>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</si>
  <si>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</si>
  <si>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</si>
  <si>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</si>
  <si>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</si>
  <si>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</si>
  <si>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</si>
  <si>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</si>
  <si>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</si>
  <si>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</si>
  <si>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</si>
  <si>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</si>
  <si>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</si>
  <si>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</si>
  <si>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</si>
  <si>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</si>
  <si>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</si>
  <si>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</si>
  <si>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</si>
  <si>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</si>
  <si>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</si>
  <si>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</si>
  <si>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</si>
  <si>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</si>
  <si>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</si>
  <si>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</si>
  <si>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</si>
  <si>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</si>
  <si>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</si>
  <si>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</si>
  <si>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</si>
  <si>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</si>
  <si>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</si>
  <si>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</si>
  <si>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</si>
  <si>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</si>
  <si>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</si>
  <si>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</si>
  <si>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</si>
  <si>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</si>
  <si>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</si>
  <si>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</si>
  <si>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</si>
  <si>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</si>
  <si>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</si>
  <si>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</si>
  <si>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</si>
  <si>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</si>
  <si>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</si>
  <si>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</si>
  <si>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</si>
  <si>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</si>
  <si>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</si>
  <si>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</si>
  <si>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</si>
  <si>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</si>
  <si>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</si>
  <si>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</si>
  <si>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</si>
  <si>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</si>
  <si>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</si>
  <si>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</si>
  <si>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</si>
  <si>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</si>
  <si>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</si>
  <si>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</si>
  <si>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</si>
  <si>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</si>
  <si>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</si>
  <si>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</si>
  <si>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</si>
  <si>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</si>
  <si>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</si>
  <si>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</si>
  <si>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</si>
  <si>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</si>
  <si>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</si>
  <si>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</si>
  <si>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</si>
  <si>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</si>
  <si>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</si>
  <si>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</si>
  <si>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</si>
  <si>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</si>
  <si>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</si>
  <si>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</si>
  <si>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</si>
  <si>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</si>
  <si>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</si>
  <si>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</si>
  <si>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</si>
  <si>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</si>
  <si>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</si>
  <si>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</si>
  <si>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</si>
  <si>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</si>
  <si>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</si>
  <si>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</si>
  <si>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</si>
  <si>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</si>
  <si>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</si>
  <si>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</si>
  <si>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</si>
  <si>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</si>
  <si>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</si>
  <si>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</si>
  <si>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</si>
  <si>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</si>
  <si>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</si>
  <si>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</si>
  <si>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</si>
  <si>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</si>
  <si>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</si>
  <si>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</si>
  <si>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</si>
  <si>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</si>
  <si>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</si>
  <si>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</si>
  <si>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</si>
  <si>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</si>
  <si>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</si>
  <si>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</si>
  <si>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</si>
  <si>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</si>
  <si>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</si>
  <si>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</si>
  <si>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</si>
  <si>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</si>
  <si>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</si>
  <si>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</si>
  <si>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</si>
  <si>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</si>
  <si>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</si>
  <si>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</si>
  <si>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</si>
  <si>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</si>
  <si>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</si>
  <si>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</si>
  <si>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</si>
  <si>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</si>
  <si>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</si>
  <si>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</si>
  <si>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</si>
  <si>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</si>
  <si>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</si>
  <si>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</si>
  <si>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</si>
  <si>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</si>
  <si>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</si>
  <si>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</si>
  <si>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</si>
  <si>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</si>
  <si>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</si>
  <si>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</si>
  <si>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</si>
  <si>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</si>
  <si>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</si>
  <si>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</si>
  <si>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</si>
  <si>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</si>
  <si>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</si>
  <si>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</si>
  <si>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</si>
  <si>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</si>
  <si>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</si>
  <si>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</si>
  <si>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</si>
  <si>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</si>
  <si>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</si>
  <si>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</si>
  <si>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</si>
  <si>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</si>
  <si>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</si>
  <si>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</si>
  <si>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</si>
  <si>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</si>
  <si>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</si>
  <si>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</si>
  <si>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</si>
  <si>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</si>
  <si>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</si>
  <si>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</si>
  <si>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</si>
  <si>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</si>
  <si>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</si>
  <si>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</si>
  <si>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</si>
  <si>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</si>
  <si>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</si>
  <si>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</si>
  <si>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</si>
  <si>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</si>
  <si>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</si>
  <si>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</si>
  <si>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</si>
  <si>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</si>
  <si>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</si>
  <si>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</si>
  <si>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</si>
  <si>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</si>
  <si>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</si>
  <si>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</si>
  <si>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</si>
  <si>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</si>
  <si>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</si>
  <si>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</si>
  <si>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</si>
  <si>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</si>
  <si>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</si>
  <si>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</si>
  <si>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</si>
  <si>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</si>
  <si>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</si>
  <si>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</si>
  <si>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</si>
  <si>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</si>
  <si>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</si>
  <si>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</si>
  <si>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</si>
  <si>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</si>
  <si>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</si>
  <si>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</si>
  <si>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</si>
  <si>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</si>
  <si>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</si>
  <si>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</si>
  <si>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</si>
  <si>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</si>
  <si>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</si>
  <si>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</si>
  <si>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</si>
  <si>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</si>
  <si>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</si>
  <si>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</si>
  <si>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</si>
  <si>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</si>
  <si>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</si>
  <si>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</si>
  <si>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</si>
  <si>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</si>
  <si>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</si>
  <si>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</si>
  <si>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</si>
  <si>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</si>
  <si>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</si>
  <si>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</si>
  <si>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</si>
  <si>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</si>
  <si>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</si>
  <si>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</si>
  <si>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</si>
  <si>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</si>
  <si>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</si>
  <si>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</si>
  <si>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</si>
  <si>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</si>
  <si>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</si>
  <si>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</si>
  <si>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</si>
  <si>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</si>
  <si>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</si>
  <si>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</si>
  <si>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</si>
  <si>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</si>
  <si>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</si>
  <si>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</si>
  <si>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</si>
  <si>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</si>
  <si>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</si>
  <si>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</si>
  <si>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</si>
  <si>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</si>
  <si>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</si>
  <si>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</si>
  <si>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</si>
  <si>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</si>
  <si>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</si>
  <si>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</si>
  <si>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</si>
  <si>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</si>
  <si>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</si>
  <si>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</si>
  <si>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</si>
  <si>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</si>
  <si>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</si>
  <si>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</si>
  <si>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</si>
  <si>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</si>
  <si>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</si>
  <si>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</si>
  <si>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</si>
  <si>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</si>
  <si>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</si>
  <si>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</si>
  <si>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</si>
  <si>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</si>
  <si>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</si>
  <si>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</si>
  <si>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</si>
  <si>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</si>
  <si>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</si>
  <si>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</si>
  <si>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</si>
  <si>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</si>
  <si>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</si>
  <si>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</si>
  <si>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</si>
  <si>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</si>
  <si>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</si>
  <si>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</si>
  <si>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</si>
  <si>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</si>
  <si>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</si>
  <si>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</si>
  <si>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</si>
  <si>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</si>
  <si>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</si>
  <si>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</si>
  <si>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</si>
  <si>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</si>
  <si>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</si>
  <si>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</si>
  <si>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</si>
  <si>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</si>
  <si>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</si>
  <si>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</si>
  <si>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</si>
  <si>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</si>
  <si>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</si>
  <si>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</si>
  <si>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</si>
  <si>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</si>
  <si>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</si>
  <si>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</si>
  <si>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</si>
  <si>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</si>
  <si>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</si>
  <si>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</si>
  <si>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</si>
  <si>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</si>
  <si>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</si>
  <si>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</si>
  <si>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</si>
  <si>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</si>
  <si>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</si>
  <si>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</si>
  <si>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</si>
  <si>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</si>
  <si>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</si>
  <si>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</si>
  <si>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</si>
  <si>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</si>
  <si>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</si>
  <si>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</si>
  <si>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</si>
  <si>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</si>
  <si>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</si>
  <si>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</si>
  <si>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</si>
  <si>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</si>
  <si>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</si>
  <si>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</si>
  <si>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</si>
  <si>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</si>
  <si>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</si>
  <si>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</si>
  <si>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</si>
  <si>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</si>
  <si>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</si>
  <si>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</si>
  <si>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</si>
  <si>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</si>
  <si>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</si>
  <si>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</si>
  <si>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</si>
  <si>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</si>
  <si>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</si>
  <si>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</si>
  <si>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</si>
  <si>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</si>
  <si>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</si>
  <si>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</si>
  <si>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</si>
  <si>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</si>
  <si>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</si>
  <si>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</si>
  <si>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</si>
  <si>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</si>
  <si>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</si>
  <si>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</si>
  <si>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</si>
  <si>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</si>
  <si>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</si>
  <si>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</si>
  <si>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</si>
  <si>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</si>
  <si>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</si>
  <si>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</si>
  <si>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</si>
  <si>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</si>
  <si>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</si>
  <si>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</si>
  <si>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</si>
  <si>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</si>
  <si>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</si>
  <si>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</si>
  <si>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</si>
  <si>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</si>
  <si>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</si>
  <si>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</si>
  <si>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</si>
  <si>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</si>
  <si>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</si>
  <si>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</si>
  <si>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</si>
  <si>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</si>
  <si>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</si>
  <si>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</si>
  <si>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</si>
  <si>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</si>
  <si>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</si>
  <si>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</si>
  <si>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</si>
  <si>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</si>
  <si>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</si>
  <si>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</si>
  <si>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</si>
  <si>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</si>
  <si>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</si>
  <si>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</si>
  <si>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</si>
  <si>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</si>
  <si>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</si>
  <si>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</si>
  <si>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</si>
  <si>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</si>
  <si>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</si>
  <si>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</si>
  <si>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</si>
  <si>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</si>
  <si>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</si>
  <si>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</si>
  <si>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</si>
  <si>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</si>
  <si>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</si>
  <si>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</si>
  <si>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</si>
  <si>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</si>
  <si>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</si>
  <si>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</si>
  <si>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</si>
  <si>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</si>
  <si>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</si>
  <si>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</si>
  <si>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</si>
  <si>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</si>
  <si>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</si>
  <si>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</si>
  <si>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</si>
  <si>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</si>
  <si>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</si>
  <si>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</si>
  <si>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</si>
  <si>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</si>
  <si>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</si>
  <si>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</si>
  <si>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</si>
  <si>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</si>
  <si>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</si>
  <si>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</si>
  <si>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</si>
  <si>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</si>
  <si>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</si>
  <si>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</si>
  <si>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</si>
  <si>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</si>
  <si>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</si>
  <si>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</si>
  <si>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</si>
  <si>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</si>
  <si>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</si>
  <si>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</si>
  <si>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</si>
  <si>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</si>
  <si>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</si>
  <si>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</si>
  <si>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</si>
  <si>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</si>
  <si>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</si>
  <si>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</si>
  <si>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</si>
  <si>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</si>
  <si>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</si>
  <si>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</si>
  <si>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</si>
  <si>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</si>
  <si>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</si>
  <si>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</si>
  <si>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</si>
  <si>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</si>
  <si>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</si>
  <si>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</si>
  <si>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</si>
  <si>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</si>
  <si>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</si>
  <si>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</si>
  <si>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</si>
  <si>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</si>
  <si>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</si>
  <si>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</si>
  <si>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</si>
  <si>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</si>
  <si>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</si>
  <si>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</si>
  <si>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</si>
  <si>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</si>
  <si>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</si>
  <si>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</si>
  <si>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</si>
  <si>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</si>
  <si>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</si>
  <si>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</si>
  <si>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</si>
  <si>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</si>
  <si>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</si>
  <si>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</si>
  <si>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</si>
  <si>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</si>
  <si>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</si>
  <si>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</si>
  <si>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</si>
  <si>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</si>
  <si>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</si>
  <si>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</si>
  <si>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</si>
  <si>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</si>
  <si>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</si>
  <si>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</si>
  <si>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</si>
  <si>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</si>
  <si>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</si>
  <si>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</si>
  <si>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</si>
  <si>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</si>
  <si>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</si>
  <si>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</si>
  <si>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</si>
  <si>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</si>
  <si>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</si>
  <si>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</si>
  <si>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</si>
  <si>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</si>
  <si>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</si>
  <si>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</si>
  <si>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</si>
  <si>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</si>
  <si>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</si>
  <si>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</si>
  <si>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</si>
  <si>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</si>
  <si>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</si>
  <si>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</si>
  <si>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</si>
  <si>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</si>
  <si>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</si>
  <si>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</si>
  <si>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</si>
  <si>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</si>
  <si>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</si>
  <si>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</si>
  <si>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</si>
  <si>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</si>
  <si>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</si>
  <si>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</si>
  <si>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</si>
  <si>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</si>
  <si>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</si>
  <si>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</si>
  <si>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</si>
  <si>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</si>
  <si>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</si>
  <si>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</si>
  <si>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</si>
  <si>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</si>
  <si>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</si>
  <si>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</si>
  <si>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</si>
  <si>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</si>
  <si>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</si>
  <si>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</si>
  <si>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</si>
  <si>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</si>
  <si>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</si>
  <si>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</si>
  <si>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</si>
  <si>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</si>
  <si>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</si>
  <si>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</si>
  <si>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</si>
  <si>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</si>
  <si>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</si>
  <si>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</si>
  <si>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</si>
  <si>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</si>
  <si>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</si>
  <si>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</si>
  <si>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</si>
  <si>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</si>
  <si>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</si>
  <si>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</si>
  <si>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</si>
  <si>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</si>
  <si>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</si>
  <si>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</si>
  <si>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</si>
  <si>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</si>
  <si>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</si>
  <si>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</si>
  <si>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</si>
  <si>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</si>
  <si>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</si>
  <si>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</si>
  <si>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</si>
  <si>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</si>
  <si>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</si>
  <si>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</si>
  <si>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</si>
  <si>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</si>
  <si>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</si>
  <si>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</si>
  <si>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</si>
  <si>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</si>
  <si>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</si>
  <si>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</si>
  <si>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</si>
  <si>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</si>
  <si>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</si>
  <si>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</si>
  <si>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</si>
  <si>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</si>
  <si>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</si>
  <si>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</si>
  <si>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</si>
  <si>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</si>
  <si>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</si>
  <si>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</si>
  <si>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</si>
  <si>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</si>
  <si>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</si>
  <si>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</si>
  <si>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</si>
  <si>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</si>
  <si>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</si>
  <si>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</si>
  <si>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</si>
  <si>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</si>
  <si>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</si>
  <si>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</si>
  <si>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</si>
  <si>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</si>
  <si>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</si>
  <si>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</si>
  <si>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</si>
  <si>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</si>
  <si>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</si>
  <si>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</si>
  <si>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</si>
  <si>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</si>
  <si>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</si>
  <si>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</si>
  <si>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</si>
  <si>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</si>
  <si>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</si>
  <si>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</si>
  <si>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</si>
  <si>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</si>
  <si>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</si>
  <si>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</si>
  <si>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</si>
  <si>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</si>
  <si>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</si>
  <si>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</si>
  <si>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</si>
  <si>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</si>
  <si>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</si>
  <si>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</si>
  <si>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</si>
  <si>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</si>
  <si>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</si>
  <si>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</si>
  <si>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</si>
  <si>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</si>
  <si>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</si>
  <si>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</si>
  <si>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</si>
  <si>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</si>
  <si>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</si>
  <si>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</si>
  <si>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</si>
  <si>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</si>
  <si>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</si>
  <si>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</si>
  <si>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</si>
  <si>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</si>
  <si>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</si>
  <si>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</si>
  <si>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</si>
  <si>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</si>
  <si>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</si>
  <si>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</si>
  <si>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</si>
  <si>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</si>
  <si>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</si>
  <si>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</si>
  <si>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</si>
  <si>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</si>
  <si>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</si>
  <si>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</si>
  <si>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</si>
  <si>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</si>
  <si>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</si>
  <si>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</si>
  <si>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</si>
  <si>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</si>
  <si>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</si>
  <si>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</si>
  <si>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</si>
  <si>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</si>
  <si>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</si>
  <si>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</si>
  <si>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</si>
  <si>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</si>
  <si>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</si>
  <si>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</si>
  <si>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</si>
  <si>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</si>
  <si>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</si>
  <si>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</si>
  <si>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</si>
  <si>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</si>
  <si>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</si>
  <si>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</si>
  <si>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</si>
  <si>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</si>
  <si>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</si>
  <si>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</si>
  <si>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</si>
  <si>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</si>
  <si>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</si>
  <si>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</si>
  <si>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</si>
  <si>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</si>
  <si>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</si>
  <si>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</si>
  <si>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</si>
  <si>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</si>
  <si>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</si>
  <si>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</si>
  <si>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</si>
  <si>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</si>
  <si>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</si>
  <si>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</si>
  <si>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</si>
  <si>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</si>
  <si>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</si>
  <si>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</si>
  <si>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</si>
  <si>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</si>
  <si>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</si>
  <si>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</si>
  <si>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</si>
  <si>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</si>
  <si>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</si>
  <si>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</si>
  <si>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</si>
  <si>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</si>
  <si>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</si>
  <si>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</si>
  <si>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</si>
  <si>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</si>
  <si>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</si>
  <si>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</si>
  <si>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</si>
  <si>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</si>
  <si>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</si>
  <si>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</si>
  <si>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</si>
  <si>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</si>
  <si>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</si>
  <si>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</si>
  <si>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</si>
  <si>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</si>
  <si>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</si>
  <si>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</si>
  <si>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</si>
  <si>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</si>
  <si>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</si>
  <si>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</si>
  <si>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</si>
  <si>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</si>
  <si>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</si>
  <si>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</si>
  <si>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</si>
  <si>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</si>
  <si>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</si>
  <si>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</si>
  <si>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</si>
  <si>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</si>
  <si>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</si>
  <si>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</si>
  <si>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</si>
  <si>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</si>
  <si>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</si>
  <si>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</si>
  <si>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</si>
  <si>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</si>
  <si>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</si>
  <si>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</si>
  <si>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</si>
  <si>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</si>
  <si>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</si>
  <si>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</si>
  <si>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</si>
  <si>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</si>
  <si>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</si>
  <si>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</si>
  <si>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</si>
  <si>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</si>
  <si>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</si>
  <si>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</si>
  <si>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</si>
  <si>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</si>
  <si>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</si>
  <si>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</si>
  <si>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</si>
  <si>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</si>
  <si>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</si>
  <si>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</si>
  <si>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</si>
  <si>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</si>
  <si>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</si>
  <si>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</si>
  <si>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</si>
  <si>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</si>
  <si>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</si>
  <si>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</si>
  <si>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</si>
  <si>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</si>
  <si>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</si>
  <si>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</si>
  <si>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</si>
  <si>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</si>
  <si>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</si>
  <si>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</si>
  <si>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</si>
  <si>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</si>
  <si>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</si>
  <si>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</si>
  <si>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</si>
  <si>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</si>
  <si>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</si>
  <si>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</si>
  <si>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</si>
  <si>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</si>
  <si>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</si>
  <si>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</si>
  <si>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</si>
  <si>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</si>
  <si>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</si>
  <si>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</si>
  <si>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</si>
  <si>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</si>
  <si>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</si>
  <si>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</si>
  <si>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</si>
  <si>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</si>
  <si>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</si>
  <si>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</si>
  <si>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</si>
  <si>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</si>
  <si>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</si>
  <si>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</si>
  <si>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</si>
  <si>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</si>
  <si>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</si>
  <si>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</si>
  <si>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</si>
  <si>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</si>
  <si>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</si>
  <si>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</si>
  <si>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</si>
  <si>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</si>
  <si>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</si>
  <si>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</si>
  <si>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</si>
  <si>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</si>
  <si>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</si>
  <si>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</si>
  <si>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</si>
  <si>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</si>
  <si>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</si>
  <si>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</si>
  <si>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</si>
  <si>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</si>
  <si>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</si>
  <si>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</si>
  <si>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</si>
  <si>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</si>
  <si>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</si>
  <si>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</si>
  <si>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</si>
  <si>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</si>
  <si>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</si>
  <si>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</si>
  <si>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</si>
  <si>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</si>
  <si>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</si>
  <si>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</si>
  <si>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</si>
  <si>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</si>
  <si>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</si>
  <si>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</si>
  <si>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</si>
  <si>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</si>
  <si>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</si>
  <si>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</si>
  <si>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</si>
  <si>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</si>
  <si>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</si>
  <si>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</si>
  <si>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</si>
  <si>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</si>
  <si>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</si>
  <si>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</si>
  <si>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</si>
  <si>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</si>
  <si>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</si>
  <si>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</si>
  <si>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</si>
  <si>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</si>
  <si>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</si>
  <si>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</si>
  <si>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</si>
  <si>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</si>
  <si>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</si>
  <si>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</si>
  <si>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</si>
  <si>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</si>
  <si>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</si>
  <si>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</si>
  <si>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</si>
  <si>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</si>
  <si>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</si>
  <si>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</si>
  <si>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</si>
  <si>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</si>
  <si>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</si>
  <si>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</si>
  <si>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</si>
  <si>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</si>
  <si>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</si>
  <si>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</si>
  <si>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</si>
  <si>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</si>
  <si>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</si>
  <si>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</si>
  <si>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</si>
  <si>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</si>
  <si>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</si>
  <si>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</si>
  <si>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</si>
  <si>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</si>
  <si>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</si>
  <si>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</si>
  <si>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</si>
  <si>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</si>
  <si>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</si>
  <si>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</si>
  <si>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</si>
  <si>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</si>
  <si>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</si>
  <si>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</si>
  <si>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</si>
  <si>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</si>
  <si>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</si>
  <si>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</si>
  <si>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</si>
  <si>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</si>
  <si>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</si>
  <si>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</si>
  <si>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</si>
  <si>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</si>
  <si>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</si>
  <si>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</si>
  <si>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</si>
  <si>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</si>
  <si>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</si>
  <si>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</si>
  <si>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</si>
  <si>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</si>
  <si>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</si>
  <si>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</si>
  <si>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</si>
  <si>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</si>
  <si>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</si>
  <si>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</si>
  <si>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</si>
  <si>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</si>
  <si>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</si>
  <si>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</si>
  <si>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</si>
  <si>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</si>
  <si>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</si>
  <si>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</si>
  <si>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</si>
  <si>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</si>
  <si>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</si>
  <si>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</si>
  <si>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</si>
  <si>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</si>
  <si>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</si>
  <si>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</si>
  <si>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</si>
  <si>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</si>
  <si>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</si>
  <si>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</si>
  <si>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</si>
  <si>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</si>
  <si>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</si>
  <si>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</si>
  <si>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</si>
  <si>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</si>
  <si>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</si>
  <si>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</si>
  <si>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</si>
  <si>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</si>
  <si>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</si>
  <si>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</si>
  <si>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</si>
  <si>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</si>
  <si>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</si>
  <si>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</si>
  <si>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</si>
  <si>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</si>
  <si>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</si>
  <si>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</si>
  <si>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</si>
  <si>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</si>
  <si>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</si>
  <si>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</si>
  <si>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</si>
  <si>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</si>
  <si>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</si>
  <si>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</si>
  <si>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</si>
  <si>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</si>
  <si>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</si>
  <si>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</si>
  <si>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</si>
  <si>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</si>
  <si>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</si>
  <si>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</si>
  <si>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</si>
  <si>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</si>
  <si>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</si>
  <si>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</si>
  <si>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</si>
  <si>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</si>
  <si>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</si>
  <si>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</si>
  <si>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</si>
  <si>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</si>
  <si>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</si>
  <si>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</si>
  <si>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</si>
  <si>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</si>
  <si>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</si>
  <si>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</si>
  <si>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</si>
  <si>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</si>
  <si>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</si>
  <si>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</si>
  <si>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</si>
  <si>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</si>
  <si>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</si>
  <si>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</si>
  <si>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</si>
  <si>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</si>
  <si>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</si>
  <si>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</si>
  <si>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</si>
  <si>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</si>
  <si>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</si>
  <si>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</si>
  <si>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</si>
  <si>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</si>
  <si>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</si>
  <si>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</si>
  <si>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</si>
  <si>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</si>
  <si>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</si>
  <si>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</si>
  <si>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</si>
  <si>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</si>
  <si>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</si>
  <si>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</si>
  <si>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</si>
  <si>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</si>
  <si>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</si>
  <si>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</si>
  <si>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</si>
  <si>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</si>
  <si>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</si>
  <si>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</si>
  <si>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</si>
  <si>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</si>
  <si>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</si>
  <si>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</si>
  <si>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</si>
  <si>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</si>
  <si>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</si>
  <si>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</si>
  <si>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</si>
  <si>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</si>
  <si>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</si>
  <si>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</si>
  <si>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</si>
  <si>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</si>
  <si>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</si>
  <si>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</si>
  <si>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</si>
  <si>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</si>
  <si>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</si>
  <si>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</si>
  <si>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</si>
  <si>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</si>
  <si>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</si>
  <si>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</si>
  <si>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</si>
  <si>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</si>
  <si>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</si>
  <si>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</si>
  <si>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</si>
  <si>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</si>
  <si>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</si>
  <si>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</si>
  <si>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</si>
  <si>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</si>
  <si>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</si>
  <si>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</si>
  <si>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</si>
  <si>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</si>
  <si>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</si>
  <si>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</si>
  <si>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</si>
  <si>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</si>
  <si>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</si>
  <si>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</si>
  <si>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</si>
  <si>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</si>
  <si>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</si>
  <si>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</si>
  <si>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</si>
  <si>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</si>
  <si>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</si>
  <si>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</si>
  <si>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</si>
  <si>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</si>
  <si>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</si>
  <si>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</si>
  <si>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</si>
  <si>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</si>
  <si>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</si>
  <si>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</si>
  <si>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</si>
  <si>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</si>
  <si>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</si>
  <si>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</si>
  <si>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</si>
  <si>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</si>
  <si>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</si>
  <si>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</si>
  <si>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</si>
  <si>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</si>
  <si>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</si>
  <si>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</si>
  <si>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</si>
  <si>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</si>
  <si>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</si>
  <si>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</si>
  <si>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</si>
  <si>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</si>
  <si>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</si>
  <si>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</si>
  <si>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</si>
  <si>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</si>
  <si>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</si>
  <si>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</si>
  <si>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</si>
  <si>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</si>
  <si>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</si>
  <si>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</si>
  <si>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</si>
  <si>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</si>
  <si>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</si>
  <si>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</si>
  <si>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</si>
  <si>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</si>
  <si>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</si>
  <si>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</si>
  <si>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</si>
  <si>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</si>
  <si>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</si>
  <si>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</si>
  <si>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</si>
  <si>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</si>
  <si>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</si>
  <si>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</si>
  <si>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</si>
  <si>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</si>
  <si>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</si>
  <si>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</si>
  <si>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</si>
  <si>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</si>
  <si>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</si>
  <si>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</si>
  <si>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</si>
  <si>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</si>
  <si>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</si>
  <si>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</si>
  <si>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</si>
  <si>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</si>
  <si>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</si>
  <si>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</si>
  <si>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</si>
  <si>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</si>
  <si>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</si>
  <si>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</si>
  <si>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</si>
  <si>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</si>
  <si>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</si>
  <si>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</si>
  <si>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</si>
  <si>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</si>
  <si>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</si>
  <si>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</si>
  <si>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</si>
  <si>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</si>
  <si>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</si>
  <si>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</si>
  <si>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</si>
  <si>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</si>
  <si>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</si>
  <si>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</si>
  <si>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</si>
  <si>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</si>
  <si>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</si>
  <si>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</si>
  <si>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</si>
  <si>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</si>
  <si>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</si>
  <si>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</si>
  <si>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</si>
  <si>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</si>
  <si>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</si>
  <si>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</si>
  <si>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</si>
  <si>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</si>
  <si>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</si>
  <si>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</si>
  <si>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</si>
  <si>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</si>
  <si>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</si>
  <si>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</si>
  <si>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</si>
  <si>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</si>
  <si>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</si>
  <si>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</si>
  <si>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</si>
  <si>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</si>
  <si>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</si>
  <si>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</si>
  <si>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</si>
  <si>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</si>
  <si>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</si>
  <si>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</si>
  <si>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</si>
  <si>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</si>
  <si>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</si>
  <si>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</si>
  <si>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</si>
  <si>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</si>
  <si>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</si>
  <si>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</si>
  <si>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</si>
  <si>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</si>
  <si>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</si>
  <si>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</si>
  <si>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</si>
  <si>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</si>
  <si>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</si>
  <si>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</si>
  <si>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</si>
  <si>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</si>
  <si>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</si>
  <si>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</si>
  <si>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</si>
  <si>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</si>
  <si>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</si>
  <si>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</si>
  <si>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</si>
  <si>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</si>
  <si>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</si>
  <si>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</si>
  <si>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</si>
  <si>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</si>
  <si>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</si>
  <si>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</si>
  <si>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</si>
  <si>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</si>
  <si>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</si>
  <si>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</si>
  <si>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</si>
  <si>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</si>
  <si>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</si>
  <si>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</si>
  <si>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</si>
  <si>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</si>
  <si>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</si>
  <si>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</si>
  <si>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</si>
  <si>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</si>
  <si>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</si>
  <si>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</si>
  <si>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</si>
  <si>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</si>
  <si>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</si>
  <si>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</si>
  <si>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</si>
  <si>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</si>
  <si>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</si>
  <si>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</si>
  <si>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</si>
  <si>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</si>
  <si>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</si>
  <si>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</si>
  <si>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</si>
  <si>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</si>
  <si>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</si>
  <si>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</si>
  <si>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</si>
  <si>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</si>
  <si>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</si>
  <si>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</si>
  <si>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</si>
  <si>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</si>
  <si>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</si>
  <si>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</si>
  <si>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</si>
  <si>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</si>
  <si>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</si>
  <si>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</si>
  <si>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</si>
  <si>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</si>
  <si>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</si>
  <si>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</si>
  <si>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</si>
  <si>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</si>
  <si>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</si>
  <si>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</si>
  <si>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</si>
  <si>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</si>
  <si>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</si>
  <si>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</si>
  <si>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</si>
  <si>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</si>
  <si>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</si>
  <si>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</si>
  <si>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</si>
  <si>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</si>
  <si>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</si>
  <si>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</si>
  <si>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</si>
  <si>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</si>
  <si>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</si>
  <si>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</si>
  <si>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</si>
  <si>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</si>
  <si>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</si>
  <si>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</si>
  <si>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</si>
  <si>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</si>
  <si>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</si>
  <si>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</si>
  <si>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</si>
  <si>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</si>
  <si>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</si>
  <si>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</si>
  <si>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</si>
  <si>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</si>
  <si>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</si>
  <si>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</si>
  <si>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</si>
  <si>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</si>
  <si>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</si>
  <si>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</si>
  <si>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</si>
  <si>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</si>
  <si>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</si>
  <si>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</si>
  <si>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</si>
  <si>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</si>
  <si>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</si>
  <si>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</si>
  <si>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</si>
  <si>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</si>
  <si>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</si>
  <si>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</si>
  <si>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</si>
  <si>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</si>
  <si>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</si>
  <si>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</si>
  <si>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</si>
  <si>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</si>
  <si>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</si>
  <si>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</si>
  <si>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</si>
  <si>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</si>
  <si>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</si>
  <si>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</si>
  <si>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</si>
  <si>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</si>
  <si>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</si>
  <si>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</si>
  <si>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</si>
  <si>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</si>
  <si>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</si>
  <si>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</si>
  <si>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</si>
  <si>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</si>
  <si>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</si>
  <si>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</si>
  <si>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</si>
  <si>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</si>
  <si>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</si>
  <si>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</si>
  <si>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</si>
  <si>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</si>
  <si>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</si>
  <si>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</si>
  <si>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</si>
  <si>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</si>
  <si>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</si>
  <si>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</si>
  <si>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</si>
  <si>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</si>
  <si>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</si>
  <si>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</si>
  <si>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</si>
  <si>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</si>
  <si>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</si>
  <si>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</si>
  <si>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</si>
  <si>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</si>
  <si>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</si>
  <si>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</si>
  <si>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</si>
  <si>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</si>
  <si>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</si>
  <si>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</si>
  <si>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</si>
  <si>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</si>
  <si>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</si>
  <si>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</si>
  <si>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</si>
  <si>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</si>
  <si>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</si>
  <si>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</si>
  <si>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</si>
  <si>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</si>
  <si>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</si>
  <si>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</si>
  <si>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</si>
  <si>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</si>
  <si>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</si>
  <si>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</si>
  <si>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</si>
  <si>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</si>
  <si>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</si>
  <si>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</si>
  <si>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</si>
  <si>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</si>
  <si>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</si>
  <si>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</si>
  <si>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</si>
  <si>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</si>
  <si>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</si>
  <si>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</si>
  <si>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</si>
  <si>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</si>
  <si>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</si>
  <si>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</si>
  <si>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</si>
  <si>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</si>
  <si>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</si>
  <si>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</si>
  <si>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</si>
  <si>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</si>
  <si>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</si>
  <si>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</si>
  <si>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</si>
  <si>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</si>
  <si>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</si>
  <si>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</si>
  <si>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</si>
  <si>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</si>
  <si>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</si>
  <si>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</si>
  <si>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</si>
  <si>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</si>
  <si>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</si>
  <si>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</si>
  <si>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</si>
  <si>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</si>
  <si>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</si>
  <si>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</si>
  <si>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</si>
  <si>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</si>
  <si>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</si>
  <si>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</si>
  <si>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</si>
  <si>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</si>
  <si>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</si>
  <si>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</si>
  <si>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</si>
  <si>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</si>
  <si>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</si>
  <si>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</si>
  <si>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</si>
  <si>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</si>
  <si>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</si>
  <si>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</si>
  <si>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</si>
  <si>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</si>
  <si>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</si>
  <si>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</si>
  <si>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</si>
  <si>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</si>
  <si>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</si>
  <si>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</si>
  <si>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</si>
  <si>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</si>
  <si>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</si>
  <si>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</si>
  <si>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</si>
  <si>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</si>
  <si>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</si>
  <si>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</si>
  <si>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</si>
  <si>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</si>
  <si>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</si>
  <si>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</si>
  <si>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</si>
  <si>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</si>
  <si>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</si>
  <si>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</si>
  <si>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</si>
  <si>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</si>
  <si>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</si>
  <si>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</si>
  <si>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</si>
  <si>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</si>
  <si>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</si>
  <si>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</si>
  <si>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</si>
  <si>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</si>
  <si>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</si>
  <si>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</si>
  <si>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</si>
  <si>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</si>
  <si>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</si>
  <si>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</si>
  <si>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</si>
  <si>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</si>
  <si>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</si>
  <si>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</si>
  <si>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</si>
  <si>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</si>
  <si>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</si>
  <si>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</si>
  <si>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</si>
  <si>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</si>
  <si>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</si>
  <si>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</si>
  <si>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</si>
  <si>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</si>
  <si>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</si>
  <si>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</si>
  <si>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</si>
  <si>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</si>
  <si>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</si>
  <si>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</si>
  <si>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</si>
  <si>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</si>
  <si>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</si>
  <si>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</si>
  <si>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</si>
  <si>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</si>
  <si>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</si>
  <si>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</si>
  <si>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</si>
  <si>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</si>
  <si>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</si>
  <si>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</si>
  <si>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</si>
  <si>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</si>
  <si>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</si>
  <si>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</si>
  <si>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</si>
  <si>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</si>
  <si>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</si>
  <si>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</si>
  <si>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</si>
  <si>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</si>
  <si>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</si>
  <si>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</si>
  <si>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</si>
  <si>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</si>
  <si>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</si>
  <si>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</si>
  <si>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</si>
  <si>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</si>
  <si>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</si>
  <si>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</si>
  <si>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</si>
  <si>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</si>
  <si>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</si>
  <si>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</si>
  <si>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</si>
  <si>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</si>
  <si>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</si>
  <si>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</si>
  <si>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</si>
  <si>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</si>
  <si>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</si>
  <si>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</si>
  <si>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</si>
  <si>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</si>
  <si>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</si>
  <si>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</si>
  <si>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</si>
  <si>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</si>
  <si>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</si>
  <si>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</si>
  <si>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</si>
  <si>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</si>
  <si>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</si>
  <si>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</si>
  <si>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</si>
  <si>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</si>
  <si>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</si>
  <si>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</si>
  <si>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</si>
  <si>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</si>
  <si>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</si>
  <si>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</si>
  <si>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</si>
  <si>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</si>
  <si>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</si>
  <si>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</si>
  <si>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</si>
  <si>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</si>
  <si>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</si>
  <si>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</si>
  <si>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</si>
  <si>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</si>
  <si>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</si>
  <si>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</si>
  <si>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</si>
  <si>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</si>
  <si>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</si>
  <si>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</si>
  <si>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</si>
  <si>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</si>
  <si>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</si>
  <si>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</si>
  <si>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</si>
  <si>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</si>
  <si>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</si>
  <si>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</si>
  <si>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</si>
  <si>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</si>
  <si>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</si>
  <si>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</si>
  <si>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</si>
  <si>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</si>
  <si>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</si>
  <si>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</si>
  <si>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</si>
  <si>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</si>
  <si>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</si>
  <si>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</si>
  <si>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</si>
  <si>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</si>
  <si>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</si>
  <si>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</si>
  <si>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</si>
  <si>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</si>
  <si>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</si>
  <si>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</si>
  <si>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</si>
  <si>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</si>
  <si>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</si>
  <si>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</si>
  <si>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</si>
  <si>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</si>
  <si>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</si>
  <si>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</si>
  <si>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</si>
  <si>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</si>
  <si>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</si>
  <si>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</si>
  <si>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</si>
  <si>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</si>
  <si>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</si>
  <si>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</si>
  <si>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</si>
  <si>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</si>
  <si>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</si>
  <si>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</si>
  <si>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</si>
  <si>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</si>
  <si>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</si>
  <si>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</si>
  <si>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</si>
  <si>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</si>
  <si>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</si>
  <si>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</si>
  <si>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</si>
  <si>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</si>
  <si>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</si>
  <si>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</si>
  <si>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</si>
  <si>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</si>
  <si>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</si>
  <si>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</si>
  <si>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</si>
  <si>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</si>
  <si>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</si>
  <si>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</si>
  <si>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</si>
  <si>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</si>
  <si>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</si>
  <si>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</si>
  <si>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</si>
  <si>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</si>
  <si>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</si>
  <si>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</si>
  <si>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</si>
  <si>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</si>
  <si>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</si>
  <si>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</si>
  <si>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</si>
  <si>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</si>
  <si>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</si>
  <si>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</si>
  <si>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</si>
  <si>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</si>
  <si>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</si>
  <si>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</si>
  <si>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</si>
  <si>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</si>
  <si>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</si>
  <si>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</si>
  <si>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</si>
  <si>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</si>
  <si>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</si>
  <si>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</si>
  <si>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</si>
  <si>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</si>
  <si>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</si>
  <si>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</si>
  <si>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</si>
  <si>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</si>
  <si>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</si>
  <si>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</si>
  <si>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</si>
  <si>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</si>
  <si>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</si>
  <si>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</si>
  <si>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</si>
  <si>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</si>
  <si>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</si>
  <si>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</si>
  <si>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</si>
  <si>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</si>
  <si>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</si>
  <si>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</si>
  <si>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</si>
  <si>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</si>
  <si>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</si>
  <si>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</si>
  <si>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</si>
  <si>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</si>
  <si>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</si>
  <si>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</si>
  <si>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</si>
  <si>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</si>
  <si>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</si>
  <si>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</si>
  <si>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</si>
  <si>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</si>
  <si>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</si>
  <si>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</si>
  <si>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</si>
  <si>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</si>
  <si>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</si>
  <si>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</si>
  <si>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</si>
  <si>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</si>
  <si>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</si>
  <si>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</si>
  <si>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</si>
  <si>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</si>
  <si>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</si>
  <si>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</si>
  <si>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</si>
  <si>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</si>
  <si>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</si>
  <si>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</si>
  <si>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</si>
  <si>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</si>
  <si>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</si>
  <si>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</si>
  <si>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</si>
  <si>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</si>
  <si>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</si>
  <si>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</si>
  <si>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</si>
  <si>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</si>
  <si>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</si>
  <si>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</si>
  <si>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</si>
  <si>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</si>
  <si>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</si>
  <si>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</si>
  <si>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</si>
  <si>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</si>
  <si>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</si>
  <si>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</si>
  <si>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</si>
  <si>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</si>
  <si>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</si>
  <si>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</si>
  <si>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</si>
  <si>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</si>
  <si>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</si>
  <si>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</si>
  <si>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</si>
  <si>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</si>
  <si>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</si>
  <si>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</si>
  <si>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</si>
  <si>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</si>
  <si>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</si>
  <si>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</si>
  <si>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</si>
  <si>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</si>
  <si>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</si>
  <si>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</si>
  <si>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</si>
  <si>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</si>
  <si>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</si>
  <si>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</si>
  <si>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</si>
  <si>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</si>
  <si>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</si>
  <si>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</si>
  <si>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</si>
  <si>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</si>
  <si>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</si>
  <si>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</si>
  <si>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</si>
  <si>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</si>
  <si>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</si>
  <si>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</si>
  <si>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</si>
  <si>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</si>
  <si>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</si>
  <si>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</si>
  <si>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</si>
  <si>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</si>
  <si>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</si>
  <si>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</si>
  <si>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</si>
  <si>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</si>
  <si>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</si>
  <si>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</si>
  <si>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</si>
  <si>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</si>
  <si>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</si>
  <si>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</si>
  <si>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</si>
  <si>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</si>
  <si>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</si>
  <si>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</si>
  <si>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</si>
  <si>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</si>
  <si>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</si>
  <si>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</si>
  <si>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</si>
  <si>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</si>
  <si>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</si>
  <si>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</si>
  <si>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</si>
  <si>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</si>
  <si>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</si>
  <si>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</si>
  <si>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</si>
  <si>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</si>
  <si>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</si>
  <si>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</si>
  <si>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</si>
  <si>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</si>
  <si>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</si>
  <si>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</si>
  <si>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</si>
  <si>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</si>
  <si>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</si>
  <si>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</si>
  <si>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</si>
  <si>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</si>
  <si>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</si>
  <si>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</si>
  <si>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</si>
  <si>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</si>
  <si>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</si>
  <si>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</si>
  <si>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</si>
  <si>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</si>
  <si>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</si>
  <si>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</si>
  <si>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</si>
  <si>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</si>
  <si>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</si>
  <si>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</si>
  <si>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</si>
  <si>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</si>
  <si>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</si>
  <si>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</si>
  <si>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</si>
  <si>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</si>
  <si>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</si>
  <si>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</si>
  <si>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</si>
  <si>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</si>
  <si>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</si>
  <si>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</si>
  <si>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</si>
  <si>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</si>
  <si>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</si>
  <si>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</si>
  <si>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</si>
  <si>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</si>
  <si>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</si>
  <si>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</si>
  <si>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</si>
  <si>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</si>
  <si>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</si>
  <si>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</si>
  <si>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</si>
  <si>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</si>
  <si>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</si>
  <si>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</si>
  <si>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</si>
  <si>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</si>
  <si>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</si>
  <si>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</si>
  <si>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</si>
  <si>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</si>
  <si>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</si>
  <si>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</si>
  <si>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</si>
  <si>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</si>
  <si>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</si>
  <si>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</si>
  <si>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</si>
  <si>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</si>
  <si>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</si>
  <si>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</si>
  <si>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</si>
  <si>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</si>
  <si>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</si>
  <si>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</si>
  <si>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</si>
  <si>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</si>
  <si>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</si>
  <si>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</si>
  <si>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</si>
  <si>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</si>
  <si>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</si>
  <si>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</si>
  <si>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</si>
  <si>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</si>
  <si>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</si>
  <si>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</si>
  <si>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</si>
  <si>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</si>
  <si>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</si>
  <si>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</si>
  <si>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</si>
  <si>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</si>
  <si>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</si>
  <si>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</si>
  <si>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</si>
  <si>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</si>
  <si>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</si>
  <si>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</si>
  <si>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</si>
  <si>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</si>
  <si>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</si>
  <si>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</si>
  <si>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</si>
  <si>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</si>
  <si>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</si>
  <si>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</si>
  <si>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</si>
  <si>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</si>
  <si>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</si>
  <si>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</si>
  <si>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</si>
  <si>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</si>
  <si>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</si>
  <si>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</si>
  <si>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</si>
  <si>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</si>
  <si>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</si>
  <si>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</si>
  <si>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</si>
  <si>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</si>
  <si>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</si>
  <si>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</si>
  <si>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</si>
  <si>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</si>
  <si>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</si>
  <si>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</si>
  <si>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</si>
  <si>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</si>
  <si>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</si>
  <si>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</si>
  <si>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</si>
  <si>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</si>
  <si>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</si>
  <si>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</si>
  <si>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</si>
  <si>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</si>
  <si>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</si>
  <si>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</si>
  <si>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</si>
  <si>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</si>
  <si>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</si>
  <si>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</si>
  <si>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</si>
  <si>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</si>
  <si>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</si>
  <si>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</si>
  <si>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</si>
  <si>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</si>
  <si>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</si>
  <si>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</si>
  <si>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</si>
  <si>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</si>
  <si>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</si>
  <si>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</si>
  <si>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</si>
  <si>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</si>
  <si>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</si>
  <si>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</si>
  <si>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</si>
  <si>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</si>
  <si>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</si>
  <si>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</si>
  <si>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</si>
  <si>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</si>
  <si>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</si>
  <si>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</si>
  <si>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</si>
  <si>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</si>
  <si>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</si>
  <si>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</si>
  <si>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</si>
  <si>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</si>
  <si>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</si>
  <si>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</si>
  <si>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</si>
  <si>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</si>
  <si>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</si>
  <si>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</si>
  <si>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</si>
  <si>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</si>
  <si>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</si>
  <si>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</si>
  <si>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</si>
  <si>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</si>
  <si>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</si>
  <si>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</si>
  <si>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</si>
  <si>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</si>
  <si>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</si>
  <si>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</si>
  <si>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</si>
  <si>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</si>
  <si>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</si>
  <si>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</si>
  <si>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</si>
  <si>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</si>
  <si>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</si>
  <si>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</si>
  <si>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</si>
  <si>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</si>
  <si>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</si>
  <si>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</si>
  <si>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</si>
  <si>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</si>
  <si>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</si>
  <si>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</si>
  <si>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</si>
  <si>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</si>
  <si>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</si>
  <si>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</si>
  <si>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</si>
  <si>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</si>
  <si>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</si>
  <si>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</si>
  <si>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</si>
  <si>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</si>
  <si>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</si>
  <si>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</si>
  <si>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</si>
  <si>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</si>
  <si>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</si>
  <si>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</si>
  <si>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</si>
  <si>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</si>
  <si>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</si>
  <si>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</si>
  <si>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</si>
  <si>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</si>
  <si>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</si>
  <si>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</si>
  <si>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</si>
  <si>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</si>
  <si>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</si>
  <si>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</si>
  <si>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</si>
  <si>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</si>
  <si>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</si>
  <si>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</si>
  <si>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</si>
  <si>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</si>
  <si>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</si>
  <si>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</si>
  <si>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</si>
  <si>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</si>
  <si>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</si>
  <si>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</si>
  <si>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</si>
  <si>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</si>
  <si>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</si>
  <si>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</si>
  <si>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</si>
  <si>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</si>
  <si>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</si>
  <si>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</si>
  <si>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</si>
  <si>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</si>
  <si>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</si>
  <si>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</si>
  <si>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</si>
  <si>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</si>
  <si>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</si>
  <si>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</si>
  <si>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</si>
  <si>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</si>
  <si>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</si>
  <si>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</si>
  <si>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</si>
  <si>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</si>
  <si>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</si>
  <si>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</si>
  <si>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</si>
  <si>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</si>
  <si>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</si>
  <si>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</si>
  <si>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</si>
  <si>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</si>
  <si>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</si>
  <si>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</si>
  <si>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</si>
  <si>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</si>
  <si>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</si>
  <si>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</si>
  <si>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</si>
  <si>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</si>
  <si>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</si>
  <si>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</si>
  <si>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</si>
  <si>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</si>
  <si>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</si>
  <si>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</si>
  <si>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</si>
  <si>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</si>
  <si>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</si>
  <si>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</si>
  <si>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</si>
  <si>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</si>
  <si>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</si>
  <si>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</si>
  <si>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</si>
  <si>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</si>
  <si>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</si>
  <si>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</si>
  <si>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</si>
  <si>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</si>
  <si>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</si>
  <si>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</si>
  <si>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</si>
  <si>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</si>
  <si>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</si>
  <si>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</si>
  <si>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</si>
  <si>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</si>
  <si>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</si>
  <si>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</si>
  <si>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</si>
  <si>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</si>
  <si>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</si>
  <si>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</si>
  <si>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</si>
  <si>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</si>
  <si>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</si>
  <si>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</si>
  <si>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</si>
  <si>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</si>
  <si>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</si>
  <si>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</si>
  <si>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</si>
  <si>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</si>
  <si>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</si>
  <si>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</si>
  <si>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</si>
  <si>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</si>
  <si>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</si>
  <si>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</si>
  <si>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</si>
  <si>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</si>
  <si>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</si>
  <si>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</si>
  <si>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</si>
  <si>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</si>
  <si>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</si>
  <si>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</si>
  <si>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</si>
  <si>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</si>
  <si>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</si>
  <si>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</si>
  <si>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</si>
  <si>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</si>
  <si>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</si>
  <si>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</si>
  <si>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</si>
  <si>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</si>
  <si>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</si>
  <si>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</si>
  <si>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</si>
  <si>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</si>
  <si>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</si>
  <si>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</si>
  <si>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</si>
  <si>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</si>
  <si>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</si>
  <si>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</si>
  <si>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</si>
  <si>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</si>
  <si>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</si>
  <si>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</si>
  <si>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</si>
  <si>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</si>
  <si>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</si>
  <si>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</si>
  <si>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</si>
  <si>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</si>
  <si>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</si>
  <si>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</si>
  <si>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</si>
  <si>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</si>
  <si>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</si>
  <si>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</si>
  <si>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</si>
  <si>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</si>
  <si>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</si>
  <si>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</si>
  <si>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</si>
  <si>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</si>
  <si>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</si>
  <si>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</si>
  <si>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</si>
  <si>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</si>
  <si>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</si>
  <si>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</si>
  <si>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</si>
  <si>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</si>
  <si>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</si>
  <si>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</si>
  <si>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</si>
  <si>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</si>
  <si>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</si>
  <si>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</si>
  <si>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</si>
  <si>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</si>
  <si>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</si>
  <si>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</si>
  <si>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</si>
  <si>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</si>
  <si>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</si>
  <si>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</si>
  <si>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</si>
  <si>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</si>
  <si>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</si>
  <si>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</si>
  <si>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</si>
  <si>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</si>
  <si>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</si>
  <si>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</si>
  <si>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</si>
  <si>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</si>
  <si>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</si>
  <si>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</si>
  <si>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</si>
  <si>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</si>
  <si>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</si>
  <si>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</si>
  <si>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</si>
  <si>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</si>
  <si>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</si>
  <si>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</si>
  <si>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</si>
  <si>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</si>
  <si>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</si>
  <si>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</si>
  <si>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</si>
  <si>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</si>
  <si>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</si>
  <si>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</si>
  <si>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</si>
  <si>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</si>
  <si>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</si>
  <si>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</si>
  <si>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</si>
  <si>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</si>
  <si>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</si>
  <si>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</si>
  <si>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</si>
  <si>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</si>
  <si>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</si>
  <si>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</si>
  <si>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</si>
  <si>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</si>
  <si>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</si>
  <si>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</si>
  <si>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</si>
  <si>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</si>
  <si>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</si>
  <si>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</si>
  <si>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</si>
  <si>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</si>
  <si>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</si>
  <si>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</si>
  <si>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</si>
  <si>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</si>
  <si>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</si>
  <si>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</si>
  <si>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</si>
  <si>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</si>
  <si>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</si>
  <si>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</si>
  <si>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</si>
  <si>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</si>
  <si>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</si>
  <si>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</si>
  <si>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</si>
  <si>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</si>
  <si>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</si>
  <si>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</si>
  <si>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</si>
  <si>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</si>
  <si>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</si>
  <si>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</si>
  <si>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</si>
  <si>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</si>
  <si>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</si>
  <si>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</si>
  <si>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</si>
  <si>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</si>
  <si>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</si>
  <si>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</si>
  <si>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</si>
  <si>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</si>
  <si>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</si>
  <si>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</si>
  <si>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</si>
  <si>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</si>
  <si>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</si>
  <si>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</si>
  <si>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</si>
  <si>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</si>
  <si>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</si>
  <si>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</si>
  <si>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</si>
  <si>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</si>
  <si>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</si>
  <si>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</si>
  <si>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</si>
  <si>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</si>
  <si>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</si>
  <si>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</si>
  <si>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</si>
  <si>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</si>
  <si>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</si>
  <si>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</si>
  <si>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</si>
  <si>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</si>
  <si>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</si>
  <si>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</si>
  <si>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</si>
  <si>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</si>
  <si>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</si>
  <si>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</si>
  <si>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</si>
  <si>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</si>
  <si>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</si>
  <si>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</si>
  <si>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</si>
  <si>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</si>
  <si>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</si>
  <si>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</si>
  <si>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</si>
  <si>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</si>
  <si>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</si>
  <si>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</si>
  <si>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</si>
  <si>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</si>
  <si>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</si>
  <si>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</si>
  <si>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</si>
  <si>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</si>
  <si>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</si>
  <si>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</si>
  <si>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</si>
  <si>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</si>
  <si>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</si>
  <si>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</si>
  <si>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</si>
  <si>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</si>
  <si>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</si>
  <si>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</si>
  <si>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</si>
  <si>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</si>
  <si>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</si>
  <si>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</si>
  <si>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</si>
  <si>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</si>
  <si>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</si>
  <si>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</si>
  <si>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</si>
  <si>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</si>
  <si>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</si>
  <si>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</si>
  <si>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</si>
  <si>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</si>
  <si>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</si>
  <si>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</si>
  <si>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</si>
  <si>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</si>
  <si>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</si>
  <si>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</si>
  <si>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</si>
  <si>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</si>
  <si>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</si>
  <si>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</si>
  <si>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</si>
  <si>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</si>
  <si>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</si>
  <si>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</si>
  <si>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</si>
  <si>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</si>
  <si>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</si>
  <si>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</si>
  <si>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</si>
  <si>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</si>
  <si>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</si>
  <si>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</si>
  <si>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</si>
  <si>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</si>
  <si>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</si>
  <si>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</si>
  <si>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</si>
  <si>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</si>
  <si>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</si>
  <si>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</si>
  <si>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</si>
  <si>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</si>
  <si>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</si>
  <si>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</si>
  <si>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</si>
  <si>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</si>
  <si>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</si>
  <si>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</si>
  <si>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</si>
  <si>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</si>
  <si>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</si>
  <si>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</si>
  <si>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</si>
  <si>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</si>
  <si>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</si>
  <si>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</si>
  <si>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</si>
  <si>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</si>
  <si>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</si>
  <si>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</si>
  <si>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</si>
  <si>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</si>
  <si>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</si>
  <si>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</si>
  <si>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</si>
  <si>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</si>
  <si>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</si>
  <si>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</si>
  <si>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</si>
  <si>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</si>
  <si>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</si>
  <si>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</si>
  <si>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</si>
  <si>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</si>
  <si>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</si>
  <si>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</si>
  <si>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</si>
  <si>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</si>
  <si>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</si>
  <si>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</si>
  <si>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</si>
  <si>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</si>
  <si>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</si>
  <si>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</si>
  <si>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</si>
  <si>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</si>
  <si>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</si>
  <si>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</si>
  <si>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</si>
  <si>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</si>
  <si>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</si>
  <si>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</si>
  <si>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</si>
  <si>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</si>
  <si>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</si>
  <si>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</si>
  <si>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</si>
  <si>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</si>
  <si>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</si>
  <si>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</si>
  <si>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</si>
  <si>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</si>
  <si>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</si>
  <si>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</si>
  <si>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</si>
  <si>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</si>
  <si>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</si>
  <si>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</si>
  <si>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</si>
  <si>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</si>
  <si>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</si>
  <si>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</si>
  <si>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</si>
  <si>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</si>
  <si>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</si>
  <si>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</si>
  <si>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</si>
  <si>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</si>
  <si>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</si>
  <si>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</si>
  <si>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</si>
  <si>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</si>
  <si>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</si>
  <si>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</si>
  <si>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</si>
  <si>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</si>
  <si>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</si>
  <si>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</si>
  <si>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</si>
  <si>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</si>
  <si>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</si>
  <si>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</si>
  <si>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</si>
  <si>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</si>
  <si>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</si>
  <si>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</si>
  <si>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</si>
  <si>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</si>
  <si>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</si>
  <si>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</si>
  <si>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</si>
  <si>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</si>
  <si>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</si>
  <si>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</si>
  <si>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</si>
  <si>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</si>
  <si>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</si>
  <si>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</si>
  <si>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</si>
  <si>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</si>
  <si>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</si>
  <si>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</si>
  <si>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</si>
  <si>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</si>
  <si>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</si>
  <si>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</si>
  <si>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</si>
  <si>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</si>
  <si>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</si>
  <si>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</si>
  <si>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</si>
  <si>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</si>
  <si>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</si>
  <si>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</si>
  <si>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</si>
  <si>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</si>
  <si>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</si>
  <si>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</si>
  <si>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</si>
  <si>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</si>
  <si>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</si>
  <si>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</si>
  <si>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</si>
  <si>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</si>
  <si>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</si>
  <si>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</si>
  <si>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</si>
  <si>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</si>
  <si>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</si>
  <si>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</si>
  <si>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</si>
  <si>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</si>
  <si>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</si>
  <si>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</si>
  <si>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</si>
  <si>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</si>
  <si>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</si>
  <si>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</si>
  <si>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</si>
  <si>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</si>
  <si>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</si>
  <si>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</si>
  <si>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</si>
  <si>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</si>
  <si>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</si>
  <si>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</si>
  <si>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</si>
  <si>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</si>
  <si>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</si>
  <si>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</si>
  <si>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</si>
  <si>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</si>
  <si>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</si>
  <si>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</si>
  <si>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</si>
  <si>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</si>
  <si>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</si>
  <si>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</si>
  <si>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</si>
  <si>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</si>
  <si>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</si>
  <si>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</si>
  <si>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</si>
  <si>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</si>
  <si>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</si>
  <si>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</si>
  <si>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</si>
  <si>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</si>
  <si>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</si>
  <si>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</si>
  <si>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</si>
  <si>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</si>
  <si>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</si>
  <si>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</si>
  <si>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</si>
  <si>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</si>
  <si>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</si>
  <si>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</si>
  <si>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</si>
  <si>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</si>
  <si>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</si>
  <si>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</si>
  <si>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</si>
  <si>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</si>
  <si>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</si>
  <si>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</si>
  <si>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</si>
  <si>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</si>
  <si>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</si>
  <si>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</si>
  <si>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</si>
  <si>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</si>
  <si>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</si>
  <si>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</si>
  <si>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</si>
  <si>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</si>
  <si>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</si>
  <si>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</si>
  <si>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</si>
  <si>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</si>
  <si>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</si>
  <si>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</si>
  <si>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</si>
  <si>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</si>
  <si>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</si>
  <si>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</si>
  <si>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</si>
  <si>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</si>
  <si>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</si>
  <si>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</si>
  <si>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</si>
  <si>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</si>
  <si>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</si>
  <si>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</si>
  <si>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</si>
  <si>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</si>
  <si>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</si>
  <si>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</si>
  <si>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</si>
  <si>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</si>
  <si>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</si>
  <si>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</si>
  <si>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</si>
  <si>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</si>
  <si>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</si>
  <si>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</si>
  <si>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</si>
  <si>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</si>
  <si>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</si>
  <si>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</si>
  <si>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</si>
  <si>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</si>
  <si>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</si>
  <si>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</si>
  <si>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</si>
  <si>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</si>
  <si>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</si>
  <si>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</si>
  <si>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</si>
  <si>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</si>
  <si>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</si>
  <si>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</si>
  <si>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</si>
  <si>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</si>
  <si>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</si>
  <si>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</si>
  <si>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</si>
  <si>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</si>
  <si>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</si>
  <si>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</si>
  <si>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</si>
  <si>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</si>
  <si>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</si>
  <si>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</si>
  <si>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</si>
  <si>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</si>
  <si>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</si>
  <si>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</si>
  <si>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</si>
  <si>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</si>
  <si>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</si>
  <si>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</si>
  <si>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</si>
  <si>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</si>
  <si>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</si>
  <si>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</si>
  <si>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</si>
  <si>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</si>
  <si>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</si>
  <si>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</si>
  <si>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</si>
  <si>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</si>
  <si>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</si>
  <si>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</si>
  <si>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</si>
  <si>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</si>
  <si>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</si>
  <si>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</si>
  <si>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</si>
  <si>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</si>
  <si>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</si>
  <si>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</si>
  <si>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</si>
  <si>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</si>
  <si>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</si>
  <si>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</si>
  <si>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</si>
  <si>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</si>
  <si>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</si>
  <si>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</si>
  <si>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</si>
  <si>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</si>
  <si>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</si>
  <si>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</si>
  <si>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</si>
  <si>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</si>
  <si>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</si>
  <si>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</si>
  <si>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</si>
  <si>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</si>
  <si>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</si>
  <si>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</si>
  <si>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</si>
  <si>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</si>
  <si>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</si>
  <si>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</si>
  <si>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</si>
  <si>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</si>
  <si>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</si>
  <si>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</si>
  <si>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</si>
  <si>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</si>
  <si>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</si>
  <si>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</si>
  <si>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</si>
  <si>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</si>
  <si>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</si>
  <si>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</si>
  <si>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</si>
  <si>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</si>
  <si>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</si>
  <si>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</si>
  <si>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</si>
  <si>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</si>
  <si>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</si>
  <si>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</si>
  <si>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</si>
  <si>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</si>
  <si>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</si>
  <si>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</si>
  <si>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</si>
  <si>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</si>
  <si>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</si>
  <si>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</si>
  <si>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</si>
  <si>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</si>
  <si>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</si>
  <si>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</si>
  <si>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</si>
  <si>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</si>
  <si>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</si>
  <si>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</si>
  <si>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</si>
  <si>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</si>
  <si>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</si>
  <si>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</si>
  <si>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</si>
  <si>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</si>
  <si>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</si>
  <si>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</si>
  <si>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</si>
  <si>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</si>
  <si>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</si>
  <si>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</si>
  <si>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</si>
  <si>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</si>
  <si>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</si>
  <si>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</si>
  <si>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</si>
  <si>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</si>
  <si>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</si>
  <si>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</si>
  <si>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</si>
  <si>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</si>
  <si>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</si>
  <si>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</si>
  <si>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</si>
  <si>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</si>
  <si>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</si>
  <si>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</si>
  <si>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</si>
  <si>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</si>
  <si>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</si>
  <si>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</si>
  <si>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</si>
  <si>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</si>
  <si>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</si>
  <si>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</si>
  <si>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</si>
  <si>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</si>
  <si>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</si>
  <si>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</si>
  <si>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</si>
  <si>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</si>
  <si>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</si>
  <si>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</si>
  <si>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</si>
  <si>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</si>
  <si>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</si>
  <si>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</si>
  <si>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</si>
  <si>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</si>
  <si>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</si>
  <si>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</si>
  <si>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</si>
  <si>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</si>
  <si>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</si>
  <si>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</si>
  <si>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</si>
  <si>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</si>
  <si>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</si>
  <si>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</si>
  <si>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</si>
  <si>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</si>
  <si>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</si>
  <si>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</si>
  <si>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</si>
  <si>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</si>
  <si>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</si>
  <si>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</si>
  <si>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</si>
  <si>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</si>
  <si>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</si>
  <si>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</si>
  <si>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</si>
  <si>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</si>
  <si>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</si>
  <si>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</si>
  <si>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</si>
  <si>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</si>
  <si>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</si>
  <si>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</si>
  <si>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</si>
  <si>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</si>
  <si>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</si>
  <si>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</si>
  <si>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</si>
  <si>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</si>
  <si>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</si>
  <si>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</si>
  <si>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</si>
  <si>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</si>
  <si>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</si>
  <si>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</si>
  <si>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</si>
  <si>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</si>
  <si>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</si>
  <si>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</si>
  <si>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</si>
  <si>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</si>
  <si>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</si>
  <si>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</si>
  <si>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</si>
  <si>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</si>
  <si>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</si>
  <si>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</si>
  <si>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</si>
  <si>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</si>
  <si>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</si>
  <si>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</si>
  <si>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</si>
  <si>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</si>
  <si>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</si>
  <si>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</si>
  <si>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</si>
  <si>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</si>
  <si>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</si>
  <si>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</si>
  <si>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</si>
  <si>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</si>
  <si>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</si>
  <si>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</si>
  <si>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</si>
  <si>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</si>
  <si>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</si>
  <si>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</si>
  <si>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</si>
  <si>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</si>
  <si>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</si>
  <si>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</si>
  <si>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</si>
  <si>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</si>
  <si>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</si>
  <si>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</si>
  <si>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</si>
  <si>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</si>
  <si>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</si>
  <si>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</si>
  <si>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</si>
  <si>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</si>
  <si>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</si>
  <si>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</si>
  <si>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</si>
  <si>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</si>
  <si>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</si>
  <si>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</si>
  <si>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</si>
  <si>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</si>
  <si>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</si>
  <si>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</si>
  <si>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</si>
  <si>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</si>
  <si>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</si>
  <si>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</si>
  <si>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</si>
  <si>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</si>
  <si>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</si>
  <si>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</si>
  <si>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</si>
  <si>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</si>
  <si>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</si>
  <si>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</si>
  <si>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</si>
  <si>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</si>
  <si>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</si>
  <si>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</si>
  <si>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</si>
  <si>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</si>
  <si>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</si>
  <si>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</si>
  <si>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</si>
  <si>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</si>
  <si>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</si>
  <si>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</si>
  <si>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</si>
  <si>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</si>
  <si>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</si>
  <si>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</si>
  <si>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</si>
  <si>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</si>
  <si>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</si>
  <si>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</si>
  <si>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</si>
  <si>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</si>
  <si>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</si>
  <si>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</si>
  <si>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</si>
  <si>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</si>
  <si>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</si>
  <si>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</si>
  <si>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</si>
  <si>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</si>
  <si>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</si>
  <si>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</si>
  <si>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</si>
  <si>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</si>
  <si>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</si>
  <si>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</si>
  <si>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</si>
  <si>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</si>
  <si>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</si>
  <si>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</si>
  <si>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</si>
  <si>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</si>
  <si>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</si>
  <si>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</si>
  <si>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</si>
  <si>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</si>
  <si>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</si>
  <si>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</si>
  <si>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</si>
  <si>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</si>
  <si>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</si>
  <si>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</si>
  <si>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</si>
  <si>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</si>
  <si>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</si>
  <si>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</si>
  <si>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</si>
  <si>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</si>
  <si>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</si>
  <si>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</si>
  <si>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</si>
  <si>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</si>
  <si>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</si>
  <si>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</si>
  <si>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</si>
  <si>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</si>
  <si>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</si>
  <si>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</si>
  <si>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</si>
  <si>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</si>
  <si>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</si>
  <si>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</si>
  <si>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</si>
  <si>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</si>
  <si>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</si>
  <si>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</si>
  <si>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</si>
  <si>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</si>
  <si>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</si>
  <si>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</si>
  <si>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</si>
  <si>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</si>
  <si>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</si>
  <si>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</si>
  <si>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</si>
  <si>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</si>
  <si>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</si>
  <si>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</si>
  <si>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</si>
  <si>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</si>
  <si>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</si>
  <si>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</si>
  <si>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</si>
  <si>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</si>
  <si>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</si>
  <si>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</si>
  <si>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</si>
  <si>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</si>
  <si>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</si>
  <si>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</si>
  <si>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</si>
  <si>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</si>
  <si>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</si>
  <si>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</si>
  <si>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</si>
  <si>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</si>
  <si>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</si>
  <si>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</si>
  <si>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</si>
  <si>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</si>
  <si>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</si>
  <si>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</si>
  <si>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</si>
  <si>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</si>
  <si>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</si>
  <si>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</si>
  <si>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</si>
  <si>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</si>
  <si>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</si>
  <si>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</si>
  <si>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</si>
  <si>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</si>
  <si>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</si>
  <si>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</si>
  <si>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</si>
  <si>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</si>
  <si>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</si>
  <si>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</si>
  <si>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</si>
  <si>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</si>
  <si>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</si>
  <si>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</si>
  <si>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</si>
  <si>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</si>
  <si>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</si>
  <si>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</si>
  <si>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</si>
  <si>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</si>
  <si>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</si>
  <si>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</si>
  <si>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</si>
  <si>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</si>
  <si>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</si>
  <si>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</si>
  <si>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</si>
  <si>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</si>
  <si>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</si>
  <si>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</si>
  <si>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</si>
  <si>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</si>
  <si>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</si>
  <si>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</si>
  <si>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</si>
  <si>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</si>
  <si>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</si>
  <si>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</si>
  <si>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</si>
  <si>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</si>
  <si>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</si>
  <si>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</si>
  <si>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</si>
  <si>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</si>
  <si>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</si>
  <si>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</si>
  <si>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</si>
  <si>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</si>
  <si>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</si>
  <si>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</si>
  <si>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</si>
  <si>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</si>
  <si>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</si>
  <si>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</si>
  <si>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</si>
  <si>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</si>
  <si>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</si>
  <si>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</si>
  <si>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</si>
  <si>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</si>
  <si>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</si>
  <si>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</si>
  <si>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</si>
  <si>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</si>
  <si>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</si>
  <si>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</si>
  <si>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</si>
  <si>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</si>
  <si>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</si>
  <si>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</si>
  <si>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</si>
  <si>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</si>
  <si>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</si>
  <si>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</si>
  <si>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</si>
  <si>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</si>
  <si>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</si>
  <si>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</si>
  <si>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</si>
  <si>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</si>
  <si>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</si>
  <si>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</si>
  <si>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</si>
  <si>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</si>
  <si>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</si>
  <si>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</si>
  <si>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</si>
  <si>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</si>
  <si>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</si>
  <si>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</si>
  <si>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</si>
  <si>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</si>
  <si>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</si>
  <si>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</si>
  <si>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</si>
  <si>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</si>
  <si>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</si>
  <si>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</si>
  <si>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</si>
  <si>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</si>
  <si>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</si>
  <si>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</si>
  <si>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</si>
  <si>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</si>
  <si>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</si>
  <si>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</si>
  <si>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</si>
  <si>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</si>
  <si>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</si>
  <si>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</si>
  <si>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</si>
  <si>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</si>
  <si>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</si>
  <si>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</si>
  <si>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</si>
  <si>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</si>
  <si>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</si>
  <si>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</si>
  <si>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</si>
  <si>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</si>
  <si>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</si>
  <si>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</si>
  <si>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</si>
  <si>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</si>
  <si>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</si>
  <si>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</si>
  <si>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</si>
  <si>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</si>
  <si>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</si>
  <si>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</si>
  <si>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</si>
  <si>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</si>
  <si>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</si>
  <si>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</si>
  <si>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</si>
  <si>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</si>
  <si>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</si>
  <si>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</si>
  <si>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</si>
  <si>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</si>
  <si>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</si>
  <si>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</si>
  <si>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</si>
  <si>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</si>
  <si>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</si>
  <si>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</si>
  <si>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</si>
  <si>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</si>
  <si>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</si>
  <si>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</si>
  <si>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</si>
  <si>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</si>
  <si>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</si>
  <si>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</si>
  <si>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</si>
  <si>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</si>
  <si>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</si>
  <si>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</si>
  <si>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</si>
  <si>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</si>
  <si>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</si>
  <si>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</si>
  <si>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</si>
  <si>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</si>
  <si>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</si>
  <si>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</si>
  <si>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</si>
  <si>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</si>
  <si>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</si>
  <si>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</si>
  <si>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</si>
  <si>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</si>
  <si>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</si>
  <si>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</si>
  <si>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</si>
  <si>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</si>
  <si>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</si>
  <si>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</si>
  <si>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</si>
  <si>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</si>
  <si>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</si>
  <si>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</si>
  <si>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</si>
  <si>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</si>
  <si>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</si>
  <si>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</si>
  <si>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</si>
  <si>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</si>
  <si>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</si>
  <si>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</si>
  <si>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</si>
  <si>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</si>
  <si>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</si>
  <si>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</si>
  <si>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</si>
  <si>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</si>
  <si>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</si>
  <si>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</si>
  <si>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</si>
  <si>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</si>
  <si>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</si>
  <si>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</si>
  <si>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</si>
  <si>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</si>
  <si>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</si>
  <si>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</si>
  <si>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</si>
  <si>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</si>
  <si>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</si>
  <si>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</si>
  <si>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</si>
  <si>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</si>
  <si>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</si>
  <si>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</si>
  <si>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</si>
  <si>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</si>
  <si>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</si>
  <si>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</si>
  <si>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</si>
  <si>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</si>
  <si>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</si>
  <si>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</si>
  <si>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</si>
  <si>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</si>
  <si>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</si>
  <si>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</si>
  <si>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</si>
  <si>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</si>
  <si>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</si>
  <si>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</si>
  <si>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</si>
  <si>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</si>
  <si>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</si>
  <si>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</si>
  <si>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</si>
  <si>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</si>
  <si>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</si>
  <si>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</si>
  <si>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</si>
  <si>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</si>
  <si>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</si>
  <si>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</si>
  <si>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</si>
  <si>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</si>
  <si>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</si>
  <si>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</si>
  <si>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</si>
  <si>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</si>
  <si>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</si>
  <si>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</si>
  <si>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</si>
  <si>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</si>
  <si>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</si>
  <si>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</si>
  <si>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</si>
  <si>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</si>
  <si>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</si>
  <si>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</si>
  <si>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</si>
  <si>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</si>
  <si>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</si>
  <si>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</si>
  <si>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</si>
  <si>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</si>
  <si>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</si>
  <si>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</si>
  <si>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</si>
  <si>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</si>
  <si>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</si>
  <si>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</si>
  <si>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</si>
  <si>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</si>
  <si>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</si>
  <si>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</si>
  <si>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</si>
  <si>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</si>
  <si>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</si>
  <si>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</si>
  <si>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</si>
  <si>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</si>
  <si>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</si>
  <si>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</si>
  <si>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</si>
  <si>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</si>
  <si>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</si>
  <si>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</si>
  <si>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</si>
  <si>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</si>
  <si>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</si>
  <si>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</si>
  <si>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</si>
  <si>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</si>
  <si>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</si>
  <si>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</si>
  <si>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</si>
  <si>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</si>
  <si>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</si>
  <si>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</si>
  <si>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</si>
  <si>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</si>
  <si>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</si>
  <si>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</si>
  <si>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</si>
  <si>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</si>
  <si>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</si>
  <si>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</si>
  <si>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</si>
  <si>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</si>
  <si>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</si>
  <si>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</si>
  <si>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</si>
  <si>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</si>
  <si>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</si>
  <si>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</si>
  <si>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</si>
  <si>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</si>
  <si>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</si>
  <si>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</si>
  <si>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</si>
  <si>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</si>
  <si>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</si>
  <si>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</si>
  <si>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</si>
  <si>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</si>
  <si>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</si>
  <si>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</si>
  <si>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</si>
  <si>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</si>
  <si>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</si>
  <si>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</si>
  <si>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</si>
  <si>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</si>
  <si>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</si>
  <si>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</si>
  <si>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</si>
  <si>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</si>
  <si>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</si>
  <si>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</si>
  <si>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</si>
  <si>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</si>
  <si>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</si>
  <si>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</si>
  <si>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</si>
  <si>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</si>
  <si>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</si>
  <si>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</si>
  <si>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</si>
  <si>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</si>
  <si>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</si>
  <si>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</si>
  <si>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</si>
  <si>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</si>
  <si>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</si>
  <si>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</si>
  <si>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</si>
  <si>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</si>
  <si>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</si>
  <si>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</si>
  <si>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</si>
  <si>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</si>
  <si>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</si>
  <si>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</si>
  <si>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</si>
  <si>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</si>
  <si>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</si>
  <si>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</si>
  <si>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</si>
  <si>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</si>
  <si>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</si>
  <si>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</si>
  <si>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</si>
  <si>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</si>
  <si>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</si>
  <si>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</si>
  <si>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</si>
  <si>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</si>
  <si>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</si>
  <si>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</si>
  <si>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</si>
  <si>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</si>
  <si>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</si>
  <si>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</si>
  <si>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</si>
  <si>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</si>
  <si>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</si>
  <si>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</si>
  <si>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</si>
  <si>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</si>
  <si>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</si>
  <si>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</si>
  <si>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</si>
  <si>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</si>
  <si>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</si>
  <si>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</si>
  <si>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</si>
  <si>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</si>
  <si>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</si>
  <si>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</si>
  <si>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</si>
  <si>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</si>
  <si>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</si>
  <si>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</si>
  <si>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</si>
  <si>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</si>
  <si>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</si>
  <si>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</si>
  <si>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</si>
  <si>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</si>
  <si>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</si>
  <si>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</si>
  <si>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</si>
  <si>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</si>
  <si>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</si>
  <si>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</si>
  <si>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</si>
  <si>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</si>
  <si>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</si>
  <si>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</si>
  <si>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</si>
  <si>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</si>
  <si>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</si>
  <si>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</si>
  <si>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</si>
  <si>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</si>
  <si>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</si>
  <si>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</si>
  <si>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</si>
  <si>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</si>
  <si>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</si>
  <si>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</si>
  <si>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</si>
  <si>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</si>
  <si>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</si>
  <si>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</si>
  <si>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</si>
  <si>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</si>
  <si>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</si>
  <si>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</si>
  <si>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</si>
  <si>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</si>
  <si>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</si>
  <si>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</si>
  <si>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</si>
  <si>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</si>
  <si>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</si>
  <si>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</si>
  <si>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</si>
  <si>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</si>
  <si>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</si>
  <si>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</si>
  <si>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</si>
  <si>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</si>
  <si>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</si>
  <si>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</si>
  <si>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</si>
  <si>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</si>
  <si>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</si>
  <si>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</si>
  <si>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</si>
  <si>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</si>
  <si>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</si>
  <si>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</si>
  <si>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</si>
  <si>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</si>
  <si>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</si>
  <si>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</si>
  <si>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</si>
  <si>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</si>
  <si>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</si>
  <si>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</si>
  <si>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</si>
  <si>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</si>
  <si>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</si>
  <si>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</si>
  <si>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</si>
  <si>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</si>
  <si>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</si>
  <si>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</si>
  <si>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</si>
  <si>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</si>
  <si>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</si>
  <si>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</si>
  <si>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</si>
  <si>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</si>
  <si>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</si>
  <si>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</si>
  <si>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</si>
  <si>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</si>
  <si>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</si>
  <si>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</si>
  <si>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</si>
  <si>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</si>
  <si>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</si>
  <si>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</si>
  <si>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</si>
  <si>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</si>
  <si>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</si>
  <si>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</si>
  <si>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</si>
  <si>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</si>
  <si>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</si>
  <si>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</si>
  <si>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</si>
  <si>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</si>
  <si>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</si>
  <si>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</si>
  <si>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</si>
  <si>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</si>
  <si>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</si>
  <si>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</si>
  <si>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</si>
  <si>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</si>
  <si>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</si>
  <si>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</si>
  <si>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</si>
  <si>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</si>
  <si>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</si>
  <si>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</si>
  <si>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</si>
  <si>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</si>
  <si>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</si>
  <si>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</si>
  <si>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</si>
  <si>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</si>
  <si>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</si>
  <si>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</si>
  <si>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</si>
  <si>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</si>
  <si>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</si>
  <si>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</si>
  <si>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</si>
  <si>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</si>
  <si>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</si>
  <si>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</si>
  <si>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</si>
  <si>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</si>
  <si>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</si>
  <si>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</si>
  <si>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</si>
  <si>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</si>
  <si>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</si>
  <si>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</si>
  <si>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</si>
  <si>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</si>
  <si>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</si>
  <si>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</si>
  <si>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</si>
  <si>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</si>
  <si>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</si>
  <si>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</si>
  <si>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</si>
  <si>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</si>
  <si>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</si>
  <si>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</si>
  <si>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</si>
  <si>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</si>
  <si>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</si>
  <si>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</si>
  <si>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</si>
  <si>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</si>
  <si>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</si>
  <si>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</si>
  <si>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</si>
  <si>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</si>
  <si>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</si>
  <si>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</si>
  <si>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</si>
  <si>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</si>
  <si>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</si>
  <si>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</si>
  <si>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</si>
  <si>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</si>
  <si>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</si>
  <si>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</si>
  <si>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</si>
  <si>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</si>
  <si>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</si>
  <si>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</si>
  <si>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</si>
  <si>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</si>
  <si>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</si>
  <si>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</si>
  <si>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</si>
  <si>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</si>
  <si>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</si>
  <si>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</si>
  <si>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</si>
  <si>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</si>
  <si>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</si>
  <si>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</si>
  <si>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</si>
  <si>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</si>
  <si>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</si>
  <si>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</si>
  <si>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</si>
  <si>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</si>
  <si>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</si>
  <si>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</si>
  <si>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</si>
  <si>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</si>
  <si>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</si>
  <si>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</si>
  <si>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</si>
  <si>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</si>
  <si>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</si>
  <si>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</si>
  <si>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</si>
  <si>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</si>
  <si>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</si>
  <si>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</si>
  <si>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</si>
  <si>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</si>
  <si>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</si>
  <si>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</si>
  <si>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</si>
  <si>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</si>
  <si>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</si>
  <si>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</si>
  <si>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</si>
  <si>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</si>
  <si>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</si>
  <si>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</si>
  <si>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</si>
  <si>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</si>
  <si>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</si>
  <si>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</si>
  <si>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</si>
  <si>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</si>
  <si>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</si>
  <si>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</si>
  <si>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</si>
  <si>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</si>
  <si>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</si>
  <si>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</si>
  <si>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</si>
  <si>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</si>
  <si>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</si>
  <si>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</si>
  <si>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</si>
  <si>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</si>
  <si>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</si>
  <si>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</si>
  <si>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</si>
  <si>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</si>
  <si>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</si>
  <si>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</si>
  <si>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</si>
  <si>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</si>
  <si>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</si>
  <si>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</si>
  <si>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</si>
  <si>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</si>
  <si>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</si>
  <si>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</si>
  <si>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</si>
  <si>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</si>
  <si>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</si>
  <si>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</si>
  <si>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</si>
  <si>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</si>
  <si>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</si>
  <si>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</si>
  <si>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</si>
  <si>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</si>
  <si>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</si>
  <si>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</si>
  <si>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</si>
  <si>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</si>
  <si>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</si>
  <si>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</si>
  <si>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</si>
  <si>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</si>
  <si>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</si>
  <si>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</si>
  <si>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</si>
  <si>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</si>
  <si>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</si>
  <si>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</si>
  <si>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</si>
  <si>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</si>
  <si>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</si>
  <si>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</si>
  <si>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</si>
  <si>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</si>
  <si>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</si>
  <si>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</si>
  <si>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</si>
  <si>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</si>
  <si>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</si>
  <si>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</si>
  <si>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</si>
  <si>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</si>
  <si>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</si>
  <si>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</si>
  <si>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</si>
  <si>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</si>
  <si>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</si>
  <si>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</si>
  <si>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</si>
  <si>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</si>
  <si>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</si>
  <si>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</si>
  <si>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</si>
  <si>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</si>
  <si>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</si>
  <si>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</si>
  <si>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</si>
  <si>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</si>
  <si>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</si>
  <si>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</si>
  <si>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</si>
  <si>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</si>
  <si>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</si>
  <si>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</si>
  <si>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</si>
  <si>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</si>
  <si>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</si>
  <si>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</si>
  <si>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</si>
  <si>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</si>
  <si>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</si>
  <si>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</si>
  <si>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</si>
  <si>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</si>
  <si>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</si>
  <si>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</si>
  <si>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</si>
  <si>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</si>
  <si>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</si>
  <si>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</si>
  <si>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</si>
  <si>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</si>
  <si>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</si>
  <si>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</si>
  <si>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</si>
  <si>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</si>
  <si>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</si>
  <si>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</si>
  <si>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</si>
  <si>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</si>
  <si>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</si>
  <si>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</si>
  <si>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</si>
  <si>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</si>
  <si>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</si>
  <si>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</si>
  <si>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</si>
  <si>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</si>
  <si>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</si>
  <si>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</si>
  <si>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</si>
  <si>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</si>
  <si>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</si>
  <si>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</si>
  <si>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</si>
  <si>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</si>
  <si>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</si>
  <si>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</si>
  <si>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</si>
  <si>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</si>
  <si>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</si>
  <si>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</si>
  <si>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</si>
  <si>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</si>
  <si>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</si>
  <si>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</si>
  <si>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</si>
  <si>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</si>
  <si>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</si>
  <si>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</si>
  <si>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</si>
  <si>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</si>
  <si>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</si>
  <si>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</si>
  <si>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</si>
  <si>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</si>
  <si>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</si>
  <si>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</si>
  <si>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</si>
  <si>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</si>
  <si>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</si>
  <si>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</si>
  <si>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</si>
  <si>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</si>
  <si>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</si>
  <si>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</si>
  <si>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</si>
  <si>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</si>
  <si>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</si>
  <si>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</si>
  <si>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</si>
  <si>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</si>
  <si>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</si>
  <si>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</si>
  <si>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</si>
  <si>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</si>
  <si>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</si>
  <si>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</si>
  <si>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</si>
  <si>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</si>
  <si>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</si>
  <si>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</si>
  <si>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</si>
  <si>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</si>
  <si>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</si>
  <si>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</si>
  <si>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</si>
  <si>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</si>
  <si>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</si>
  <si>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</si>
  <si>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</si>
  <si>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</si>
  <si>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</si>
  <si>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</si>
  <si>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</si>
  <si>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</si>
  <si>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</si>
  <si>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</si>
  <si>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</si>
  <si>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</si>
  <si>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</si>
  <si>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</si>
  <si>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</si>
  <si>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</si>
  <si>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</si>
  <si>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</si>
  <si>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</si>
  <si>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</si>
  <si>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</si>
  <si>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</si>
  <si>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</si>
  <si>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</si>
  <si>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</si>
  <si>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</si>
  <si>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</si>
  <si>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</si>
  <si>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</si>
  <si>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</si>
  <si>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</si>
  <si>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</si>
  <si>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</si>
  <si>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</si>
  <si>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</si>
  <si>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</si>
  <si>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</si>
  <si>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</si>
  <si>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</si>
  <si>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</si>
  <si>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</si>
  <si>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</si>
  <si>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</si>
  <si>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</si>
  <si>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</si>
  <si>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</si>
  <si>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</si>
  <si>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</si>
  <si>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</si>
  <si>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</si>
  <si>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</si>
  <si>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</si>
  <si>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</si>
  <si>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</si>
  <si>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</si>
  <si>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</si>
  <si>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</si>
  <si>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</si>
  <si>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</si>
  <si>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</si>
  <si>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</si>
  <si>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</si>
  <si>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</si>
  <si>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</si>
  <si>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</si>
  <si>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</si>
  <si>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</si>
  <si>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</si>
  <si>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</si>
  <si>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</si>
  <si>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</si>
  <si>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</si>
  <si>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</si>
  <si>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</si>
  <si>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</si>
  <si>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</si>
  <si>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</si>
  <si>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</si>
  <si>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</si>
  <si>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</si>
  <si>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</si>
  <si>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</si>
  <si>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</si>
  <si>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</si>
  <si>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</si>
  <si>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</si>
  <si>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</si>
  <si>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</si>
  <si>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</si>
  <si>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</si>
  <si>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</si>
  <si>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</si>
  <si>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</si>
  <si>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</si>
  <si>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</si>
  <si>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</si>
  <si>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</si>
  <si>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</si>
  <si>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</si>
  <si>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</si>
  <si>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</si>
  <si>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</si>
  <si>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</si>
  <si>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</si>
  <si>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</si>
  <si>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</si>
  <si>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</si>
  <si>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</si>
  <si>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</si>
  <si>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</si>
  <si>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</si>
  <si>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</si>
  <si>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</si>
  <si>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</si>
  <si>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</si>
  <si>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</si>
  <si>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</si>
  <si>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</si>
  <si>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</si>
  <si>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</si>
  <si>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</si>
  <si>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</si>
  <si>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</si>
  <si>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</si>
  <si>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</si>
  <si>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</si>
  <si>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</si>
  <si>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</si>
  <si>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</si>
  <si>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</si>
  <si>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</si>
  <si>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</si>
  <si>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</si>
  <si>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</si>
  <si>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</si>
  <si>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</si>
  <si>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</si>
  <si>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</si>
  <si>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</si>
  <si>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</si>
  <si>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</si>
  <si>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</si>
  <si>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</si>
  <si>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</si>
  <si>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</si>
  <si>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</si>
  <si>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</si>
  <si>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</si>
  <si>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</si>
  <si>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</si>
  <si>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</si>
  <si>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</si>
  <si>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</si>
  <si>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</si>
  <si>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</si>
  <si>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</si>
  <si>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</si>
  <si>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</si>
  <si>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</si>
  <si>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</si>
  <si>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</si>
  <si>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</si>
  <si>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</si>
  <si>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</si>
  <si>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</si>
  <si>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</si>
  <si>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</si>
  <si>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</si>
  <si>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</si>
  <si>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</si>
  <si>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</si>
  <si>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</si>
  <si>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</si>
  <si>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</si>
  <si>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</si>
  <si>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</si>
  <si>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</si>
  <si>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</si>
  <si>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</si>
  <si>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</si>
  <si>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</si>
  <si>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</si>
  <si>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</si>
  <si>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</si>
  <si>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</si>
  <si>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</si>
  <si>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</si>
  <si>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</si>
  <si>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</si>
  <si>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</si>
  <si>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</si>
  <si>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</si>
  <si>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</si>
  <si>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</si>
  <si>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</si>
  <si>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</si>
  <si>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</si>
  <si>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</si>
  <si>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</si>
  <si>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</si>
  <si>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</si>
  <si>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</si>
  <si>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</si>
  <si>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</si>
  <si>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</si>
  <si>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</si>
  <si>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</si>
  <si>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</si>
  <si>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</si>
  <si>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</si>
  <si>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</si>
  <si>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</si>
  <si>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</si>
  <si>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</si>
  <si>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</si>
  <si>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</si>
  <si>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</si>
  <si>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</si>
  <si>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</si>
  <si>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</si>
  <si>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</si>
  <si>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</si>
  <si>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</si>
  <si>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</si>
  <si>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</si>
  <si>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</si>
  <si>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</si>
  <si>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</si>
  <si>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</si>
  <si>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</si>
  <si>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</si>
  <si>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</si>
  <si>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</si>
  <si>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</si>
  <si>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</si>
  <si>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</si>
  <si>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</si>
  <si>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</si>
  <si>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</si>
  <si>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</si>
  <si>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</si>
  <si>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</si>
  <si>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</si>
  <si>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</si>
  <si>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</si>
  <si>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</si>
  <si>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</si>
  <si>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</si>
  <si>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</si>
  <si>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</si>
  <si>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</si>
  <si>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</si>
  <si>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</si>
  <si>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</si>
  <si>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</si>
  <si>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</si>
  <si>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</si>
  <si>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</si>
  <si>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</si>
  <si>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</si>
  <si>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</si>
  <si>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</si>
  <si>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</si>
  <si>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</si>
  <si>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</si>
  <si>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</si>
  <si>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</si>
  <si>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</si>
  <si>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</si>
  <si>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</si>
  <si>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</si>
  <si>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</si>
  <si>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</si>
  <si>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</si>
  <si>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</si>
  <si>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</si>
  <si>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</si>
  <si>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</si>
  <si>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</si>
  <si>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</si>
  <si>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</si>
  <si>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</si>
  <si>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</si>
  <si>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</si>
  <si>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</si>
  <si>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</si>
  <si>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</si>
  <si>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</si>
  <si>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</si>
  <si>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</si>
  <si>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</si>
  <si>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</si>
  <si>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</si>
  <si>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</si>
  <si>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</si>
  <si>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</si>
  <si>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</si>
  <si>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</si>
  <si>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</si>
  <si>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</si>
  <si>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</si>
  <si>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</si>
  <si>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</si>
  <si>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</si>
  <si>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</si>
  <si>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</si>
  <si>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</si>
  <si>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</si>
  <si>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</si>
  <si>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</si>
  <si>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</si>
  <si>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</si>
  <si>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</si>
  <si>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</si>
  <si>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</si>
  <si>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</si>
  <si>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</si>
  <si>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</si>
  <si>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</si>
  <si>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</si>
  <si>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</si>
  <si>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</si>
  <si>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</si>
  <si>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</si>
  <si>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</si>
  <si>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</si>
  <si>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</si>
  <si>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</si>
  <si>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</si>
  <si>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</si>
  <si>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</si>
  <si>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</si>
  <si>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</si>
  <si>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</si>
  <si>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</si>
  <si>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</si>
  <si>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</si>
  <si>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</si>
  <si>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</si>
  <si>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</si>
  <si>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</si>
  <si>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</si>
  <si>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</si>
  <si>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</si>
  <si>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</si>
  <si>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</si>
  <si>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</si>
  <si>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</si>
  <si>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</si>
  <si>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</si>
  <si>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</si>
  <si>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</si>
  <si>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</si>
  <si>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</si>
  <si>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</si>
  <si>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</si>
  <si>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</si>
  <si>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</si>
  <si>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</si>
  <si>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</si>
  <si>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</si>
  <si>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</si>
  <si>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</si>
  <si>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</si>
  <si>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</si>
  <si>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</si>
  <si>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</si>
  <si>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</si>
  <si>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</si>
  <si>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</si>
  <si>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</si>
  <si>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</si>
  <si>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</si>
  <si>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</si>
  <si>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</si>
  <si>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</si>
  <si>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</si>
  <si>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</si>
  <si>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</si>
  <si>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</si>
  <si>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</si>
  <si>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</si>
  <si>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</si>
  <si>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</si>
  <si>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</si>
  <si>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</si>
  <si>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</si>
  <si>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</si>
  <si>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</si>
  <si>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</si>
  <si>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</si>
  <si>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</si>
  <si>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</si>
  <si>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</si>
  <si>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</si>
  <si>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</si>
  <si>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</si>
  <si>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</si>
  <si>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</si>
  <si>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</si>
  <si>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</si>
  <si>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</si>
  <si>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</si>
  <si>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</si>
  <si>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</si>
  <si>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</si>
  <si>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</si>
  <si>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</si>
  <si>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</si>
  <si>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</si>
  <si>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</si>
  <si>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</si>
  <si>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</si>
  <si>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</si>
  <si>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</si>
  <si>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</si>
  <si>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</si>
  <si>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</si>
  <si>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</si>
  <si>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</si>
  <si>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</si>
  <si>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</si>
  <si>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</si>
  <si>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</si>
  <si>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</si>
  <si>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</si>
  <si>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</si>
  <si>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</si>
  <si>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</si>
  <si>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</si>
  <si>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</si>
  <si>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</si>
  <si>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</si>
  <si>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</si>
  <si>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</si>
  <si>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</si>
  <si>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</si>
  <si>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</si>
  <si>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</si>
  <si>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</si>
  <si>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</si>
  <si>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</si>
  <si>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</si>
  <si>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</si>
  <si>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</si>
  <si>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</si>
  <si>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</si>
  <si>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</si>
  <si>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</si>
  <si>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</si>
  <si>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</si>
  <si>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</si>
  <si>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</si>
  <si>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</si>
  <si>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</si>
  <si>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</si>
  <si>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</si>
  <si>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</si>
  <si>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</si>
  <si>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</si>
  <si>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</si>
  <si>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</si>
  <si>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</si>
  <si>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</si>
  <si>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</si>
  <si>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</si>
  <si>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</si>
  <si>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</si>
  <si>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</si>
  <si>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</si>
  <si>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</si>
  <si>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</si>
  <si>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</si>
  <si>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</si>
  <si>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</si>
  <si>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</si>
  <si>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</si>
  <si>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</si>
  <si>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</si>
  <si>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</si>
  <si>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</si>
  <si>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</si>
  <si>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</si>
  <si>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</si>
  <si>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</si>
  <si>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</si>
  <si>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</si>
  <si>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</si>
  <si>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</si>
  <si>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</si>
  <si>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</si>
  <si>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</si>
  <si>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</si>
  <si>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</si>
  <si>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</si>
  <si>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</si>
  <si>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</si>
  <si>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</si>
  <si>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</si>
  <si>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</si>
  <si>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</si>
  <si>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</si>
  <si>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</si>
  <si>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</si>
  <si>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</si>
  <si>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</si>
  <si>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</si>
  <si>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</si>
  <si>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</si>
  <si>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</si>
  <si>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</si>
  <si>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</si>
  <si>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</si>
  <si>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</si>
  <si>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</si>
  <si>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</si>
  <si>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</si>
  <si>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</si>
  <si>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</si>
  <si>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</si>
  <si>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</si>
  <si>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</si>
  <si>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</si>
  <si>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</si>
  <si>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</si>
  <si>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</si>
  <si>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</si>
  <si>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</si>
  <si>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</si>
  <si>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</si>
  <si>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</si>
  <si>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</si>
  <si>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</si>
  <si>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</si>
  <si>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</si>
  <si>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</si>
  <si>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</si>
  <si>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</si>
  <si>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</si>
  <si>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</si>
  <si>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</si>
  <si>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</si>
  <si>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</si>
  <si>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</si>
  <si>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</si>
  <si>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</si>
  <si>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</si>
  <si>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</si>
  <si>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</si>
  <si>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</si>
  <si>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</si>
  <si>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</si>
  <si>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</si>
  <si>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</si>
  <si>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</si>
  <si>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</si>
  <si>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</si>
  <si>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</si>
  <si>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</si>
  <si>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</si>
  <si>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</si>
  <si>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</si>
  <si>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</si>
  <si>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</si>
  <si>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</si>
  <si>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</si>
  <si>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</si>
  <si>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</si>
  <si>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</si>
  <si>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</si>
  <si>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</si>
  <si>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</si>
  <si>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</si>
  <si>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</si>
  <si>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</si>
  <si>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</si>
  <si>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</si>
  <si>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</si>
  <si>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</si>
  <si>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</si>
  <si>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</si>
  <si>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</si>
  <si>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</si>
  <si>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</si>
  <si>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</si>
  <si>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</si>
  <si>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</si>
  <si>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</si>
  <si>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</si>
  <si>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</si>
  <si>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</si>
  <si>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</si>
  <si>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</si>
  <si>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</si>
  <si>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</si>
  <si>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</si>
  <si>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</si>
  <si>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</si>
  <si>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</si>
  <si>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</si>
  <si>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</si>
  <si>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</si>
  <si>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</si>
  <si>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</si>
  <si>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</si>
  <si>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</si>
  <si>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</si>
  <si>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</si>
  <si>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</si>
  <si>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</si>
  <si>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</si>
  <si>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</si>
  <si>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</si>
  <si>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</si>
  <si>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</si>
  <si>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</si>
  <si>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</si>
  <si>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</si>
  <si>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</si>
  <si>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</si>
  <si>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</si>
  <si>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</si>
  <si>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</si>
  <si>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</si>
  <si>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</si>
  <si>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</si>
  <si>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</si>
  <si>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</si>
  <si>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</si>
  <si>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</si>
  <si>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</si>
  <si>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</si>
  <si>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</si>
  <si>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</si>
  <si>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</si>
  <si>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</si>
  <si>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</si>
  <si>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</si>
  <si>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</si>
  <si>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</si>
  <si>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</si>
  <si>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</si>
  <si>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</si>
  <si>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</si>
  <si>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</si>
  <si>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</si>
  <si>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</si>
  <si>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</si>
  <si>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</si>
  <si>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</si>
  <si>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</si>
  <si>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</si>
  <si>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</si>
  <si>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</si>
  <si>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</si>
  <si>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</si>
  <si>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</si>
  <si>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</si>
  <si>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</si>
  <si>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</si>
  <si>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</si>
  <si>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</si>
  <si>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</si>
  <si>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</si>
  <si>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</si>
  <si>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</si>
  <si>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</si>
  <si>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</si>
  <si>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</si>
  <si>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</si>
  <si>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</si>
  <si>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</si>
  <si>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</si>
  <si>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</si>
  <si>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</si>
  <si>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</si>
  <si>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</si>
  <si>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</si>
  <si>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</si>
  <si>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</si>
  <si>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</si>
  <si>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</si>
  <si>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</si>
  <si>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</si>
  <si>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</si>
  <si>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</si>
  <si>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</si>
  <si>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</si>
  <si>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</si>
  <si>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</si>
  <si>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</si>
  <si>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</si>
  <si>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</si>
  <si>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</si>
  <si>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</si>
  <si>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</si>
  <si>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</si>
  <si>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</si>
  <si>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</si>
  <si>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</si>
  <si>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</si>
  <si>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</si>
  <si>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</si>
  <si>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</si>
  <si>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</si>
  <si>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</si>
  <si>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</si>
  <si>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</si>
  <si>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</si>
  <si>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</si>
  <si>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</si>
  <si>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</si>
  <si>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</si>
  <si>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</si>
  <si>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</si>
  <si>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</si>
  <si>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</si>
  <si>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</si>
  <si>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</si>
  <si>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</si>
  <si>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</si>
  <si>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</si>
  <si>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</si>
  <si>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</si>
  <si>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</si>
  <si>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</si>
  <si>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</si>
  <si>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</si>
  <si>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</si>
  <si>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</si>
  <si>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</si>
  <si>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</si>
  <si>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</si>
  <si>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</si>
  <si>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</si>
  <si>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</si>
  <si>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</si>
  <si>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</si>
  <si>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</si>
  <si>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</si>
  <si>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</si>
  <si>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</si>
  <si>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</si>
  <si>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</si>
  <si>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</si>
  <si>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</si>
  <si>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</si>
  <si>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</si>
  <si>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</si>
  <si>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</si>
  <si>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</si>
  <si>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</si>
  <si>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</si>
  <si>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</si>
  <si>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</si>
  <si>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</si>
  <si>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</si>
  <si>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</si>
  <si>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</si>
  <si>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</si>
  <si>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</si>
  <si>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</si>
  <si>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</si>
  <si>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</si>
  <si>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</si>
  <si>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</si>
  <si>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</si>
  <si>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</si>
  <si>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</si>
  <si>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</si>
  <si>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</si>
  <si>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</si>
  <si>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</si>
  <si>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</si>
  <si>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</si>
  <si>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</si>
  <si>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</si>
  <si>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</si>
  <si>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</si>
  <si>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</si>
  <si>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</si>
  <si>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</si>
  <si>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</si>
  <si>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</si>
  <si>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</si>
  <si>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</si>
  <si>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</si>
  <si>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</si>
  <si>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</si>
  <si>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</si>
  <si>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</si>
  <si>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</si>
  <si>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</si>
  <si>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</si>
  <si>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</si>
  <si>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</si>
  <si>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</si>
  <si>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</si>
  <si>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</si>
  <si>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</si>
  <si>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</si>
  <si>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</si>
  <si>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</si>
  <si>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</si>
  <si>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</si>
  <si>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</si>
  <si>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</si>
  <si>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</si>
  <si>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</si>
  <si>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</si>
  <si>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</si>
  <si>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</si>
  <si>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</si>
  <si>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</si>
  <si>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</si>
  <si>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</si>
  <si>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</si>
  <si>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</si>
  <si>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</si>
  <si>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</si>
  <si>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</si>
  <si>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</si>
  <si>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</si>
  <si>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</si>
  <si>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</si>
  <si>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</si>
  <si>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</si>
  <si>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</si>
  <si>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</si>
  <si>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</si>
  <si>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</si>
  <si>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</si>
  <si>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</si>
  <si>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</si>
  <si>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</si>
  <si>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</si>
  <si>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</si>
  <si>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</si>
  <si>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</si>
  <si>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</si>
  <si>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</si>
  <si>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</si>
  <si>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</si>
  <si>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</si>
  <si>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</si>
  <si>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</si>
  <si>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</si>
  <si>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</si>
  <si>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</si>
  <si>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</si>
  <si>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</si>
  <si>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</si>
  <si>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</si>
  <si>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</si>
  <si>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</si>
  <si>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</si>
  <si>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</si>
  <si>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</si>
  <si>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</si>
  <si>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</si>
  <si>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</si>
  <si>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</si>
  <si>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</si>
  <si>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</si>
  <si>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</si>
  <si>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</si>
  <si>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</si>
  <si>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</si>
  <si>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</si>
  <si>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</si>
  <si>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</si>
  <si>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</si>
  <si>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</si>
  <si>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</si>
  <si>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</si>
  <si>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</si>
  <si>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</si>
  <si>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</si>
  <si>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</si>
  <si>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</si>
  <si>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</si>
  <si>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</si>
  <si>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</si>
  <si>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</si>
  <si>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</si>
  <si>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</si>
  <si>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</si>
  <si>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</si>
  <si>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</si>
  <si>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</si>
  <si>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</si>
  <si>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</si>
  <si>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</si>
  <si>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</si>
  <si>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</si>
  <si>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</si>
  <si>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</si>
  <si>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</si>
  <si>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</si>
  <si>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</si>
  <si>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</si>
  <si>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</si>
  <si>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</si>
  <si>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</si>
  <si>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</si>
  <si>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</si>
  <si>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</si>
  <si>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</si>
  <si>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</si>
  <si>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</si>
  <si>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</si>
  <si>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</si>
  <si>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</si>
  <si>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</si>
  <si>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</si>
  <si>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</si>
  <si>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</si>
  <si>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</si>
  <si>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</si>
  <si>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</si>
  <si>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</si>
  <si>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</si>
  <si>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</si>
  <si>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</si>
  <si>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</si>
  <si>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</si>
  <si>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</si>
  <si>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</si>
  <si>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</si>
  <si>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</si>
  <si>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</si>
  <si>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</si>
  <si>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</si>
  <si>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</si>
  <si>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</si>
  <si>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</si>
  <si>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</si>
  <si>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</si>
  <si>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</si>
  <si>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</si>
  <si>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</si>
  <si>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</si>
  <si>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</si>
  <si>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</si>
  <si>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</si>
  <si>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</si>
  <si>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</si>
  <si>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</si>
  <si>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</si>
  <si>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</si>
  <si>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</si>
  <si>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</si>
  <si>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</si>
  <si>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</si>
  <si>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</si>
  <si>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</si>
  <si>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</si>
  <si>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</si>
  <si>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</si>
  <si>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</si>
  <si>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</si>
  <si>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</si>
  <si>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</si>
  <si>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</si>
  <si>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</si>
  <si>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</si>
  <si>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</si>
  <si>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</si>
  <si>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</si>
  <si>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</si>
  <si>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</si>
  <si>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</si>
  <si>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</si>
  <si>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</si>
  <si>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</si>
  <si>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</si>
  <si>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</si>
  <si>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</si>
  <si>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</si>
  <si>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</si>
  <si>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</si>
  <si>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</si>
  <si>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</si>
  <si>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</si>
  <si>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</si>
  <si>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</si>
  <si>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</si>
  <si>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</si>
  <si>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</si>
  <si>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</si>
  <si>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</si>
  <si>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</si>
  <si>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</si>
  <si>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</si>
  <si>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</si>
  <si>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</si>
  <si>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</si>
  <si>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</si>
  <si>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</si>
  <si>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</si>
  <si>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</si>
  <si>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</si>
  <si>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</si>
  <si>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</si>
  <si>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</si>
  <si>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</si>
  <si>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</si>
  <si>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</si>
  <si>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</si>
  <si>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</si>
  <si>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</si>
  <si>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</si>
  <si>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</si>
  <si>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</si>
  <si>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</si>
  <si>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</si>
  <si>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</si>
  <si>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</si>
  <si>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</si>
  <si>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</si>
  <si>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</si>
  <si>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</si>
  <si>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</si>
  <si>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</si>
  <si>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</si>
  <si>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</si>
  <si>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</si>
  <si>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</si>
  <si>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</si>
  <si>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</si>
  <si>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</si>
  <si>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</si>
  <si>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</si>
  <si>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</si>
  <si>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</si>
  <si>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</si>
  <si>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</si>
  <si>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</si>
  <si>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</si>
  <si>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</si>
  <si>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</si>
  <si>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</si>
  <si>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</si>
  <si>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</si>
  <si>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</si>
  <si>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</si>
  <si>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</si>
  <si>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</si>
  <si>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</si>
  <si>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</si>
  <si>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</si>
  <si>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</si>
  <si>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</si>
  <si>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</si>
  <si>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</si>
  <si>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</si>
  <si>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</si>
  <si>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</si>
  <si>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</si>
  <si>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</si>
  <si>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</si>
  <si>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</si>
  <si>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</si>
  <si>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</si>
  <si>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</si>
  <si>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</si>
  <si>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</si>
  <si>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</si>
  <si>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</si>
  <si>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</si>
  <si>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</si>
  <si>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</si>
  <si>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</si>
  <si>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</si>
  <si>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</si>
  <si>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</si>
  <si>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</si>
  <si>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</si>
  <si>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</si>
  <si>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</si>
  <si>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</si>
  <si>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</si>
  <si>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</si>
  <si>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</si>
  <si>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</si>
  <si>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</si>
  <si>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</si>
  <si>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</si>
  <si>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</si>
  <si>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</si>
  <si>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</si>
  <si>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</si>
  <si>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</si>
  <si>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</si>
  <si>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</si>
  <si>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</si>
  <si>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</si>
  <si>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</si>
  <si>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</si>
  <si>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</si>
  <si>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</si>
  <si>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</si>
  <si>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</si>
  <si>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</si>
  <si>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</si>
  <si>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</si>
  <si>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</si>
  <si>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</si>
  <si>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</si>
  <si>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</si>
  <si>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</si>
  <si>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</si>
  <si>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</si>
  <si>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</si>
  <si>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</si>
  <si>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</si>
  <si>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</si>
  <si>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</si>
  <si>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</si>
  <si>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</si>
  <si>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</si>
  <si>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</si>
  <si>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</si>
  <si>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</si>
  <si>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</si>
  <si>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</si>
  <si>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</si>
  <si>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</si>
  <si>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</si>
  <si>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</si>
  <si>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</si>
  <si>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</si>
  <si>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</si>
  <si>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</si>
  <si>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</si>
  <si>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</si>
  <si>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</si>
  <si>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</si>
  <si>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</si>
  <si>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</si>
  <si>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</si>
  <si>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</si>
  <si>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</si>
  <si>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</si>
  <si>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</si>
  <si>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</si>
  <si>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</si>
  <si>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</si>
  <si>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</si>
  <si>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</si>
  <si>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</si>
  <si>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</si>
  <si>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</si>
  <si>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</si>
  <si>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</si>
  <si>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</si>
  <si>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</si>
  <si>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</si>
  <si>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</si>
  <si>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</si>
  <si>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</si>
  <si>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</si>
  <si>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</si>
  <si>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</si>
  <si>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</si>
  <si>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</si>
  <si>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</si>
  <si>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</si>
  <si>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</si>
  <si>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</si>
  <si>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</si>
  <si>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</si>
  <si>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</si>
  <si>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</si>
  <si>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</si>
  <si>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</si>
  <si>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</si>
  <si>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</si>
  <si>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</si>
  <si>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</si>
  <si>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</si>
  <si>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</si>
  <si>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</si>
  <si>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</si>
  <si>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</si>
  <si>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</si>
  <si>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</si>
  <si>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</si>
  <si>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</si>
  <si>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</si>
  <si>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</si>
  <si>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</si>
  <si>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</si>
  <si>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</si>
  <si>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</si>
  <si>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</si>
  <si>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</si>
  <si>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</si>
  <si>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</si>
  <si>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</si>
  <si>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</si>
  <si>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</si>
  <si>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</si>
  <si>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</si>
  <si>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</si>
  <si>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</si>
  <si>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</si>
  <si>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</si>
  <si>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</si>
  <si>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</si>
  <si>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</si>
  <si>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</si>
  <si>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</si>
  <si>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</si>
  <si>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</si>
  <si>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</si>
  <si>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</si>
  <si>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</si>
  <si>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</si>
  <si>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</si>
  <si>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</si>
  <si>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</si>
  <si>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</si>
  <si>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</si>
  <si>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</si>
  <si>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</si>
  <si>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</si>
  <si>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</si>
  <si>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</si>
  <si>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</si>
  <si>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</si>
  <si>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</si>
  <si>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</si>
  <si>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</si>
  <si>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</si>
  <si>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</si>
  <si>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</si>
  <si>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</si>
  <si>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</si>
  <si>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</si>
  <si>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</si>
  <si>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</si>
  <si>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</si>
  <si>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</si>
  <si>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</si>
  <si>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</si>
  <si>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</si>
  <si>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</si>
  <si>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</si>
  <si>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</si>
  <si>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</si>
  <si>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</si>
  <si>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</si>
  <si>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</si>
  <si>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</si>
  <si>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</si>
  <si>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</si>
  <si>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</si>
  <si>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</si>
  <si>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</si>
  <si>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</si>
  <si>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</si>
  <si>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</si>
  <si>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</si>
  <si>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</si>
  <si>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</si>
  <si>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</si>
  <si>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</si>
  <si>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</si>
  <si>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</si>
  <si>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</si>
  <si>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</si>
  <si>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</si>
  <si>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</si>
  <si>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</si>
  <si>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</si>
  <si>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</si>
  <si>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</si>
  <si>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</si>
  <si>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</si>
  <si>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</si>
  <si>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</si>
  <si>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</si>
  <si>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</si>
  <si>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</si>
  <si>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</si>
  <si>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</si>
  <si>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</si>
  <si>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</si>
  <si>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</si>
  <si>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</si>
  <si>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</si>
  <si>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</si>
  <si>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</si>
  <si>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</si>
  <si>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</si>
  <si>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</si>
  <si>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</si>
  <si>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</si>
  <si>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</si>
  <si>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</si>
  <si>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</si>
  <si>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</si>
  <si>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</si>
  <si>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</si>
  <si>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</si>
  <si>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</si>
  <si>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</si>
  <si>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</si>
  <si>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</si>
  <si>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</si>
  <si>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</si>
  <si>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</si>
  <si>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</si>
  <si>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</si>
  <si>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</si>
  <si>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</si>
  <si>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</si>
  <si>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</si>
  <si>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</si>
  <si>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</si>
  <si>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</si>
  <si>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</si>
  <si>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</si>
  <si>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</si>
  <si>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</si>
  <si>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</si>
  <si>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</si>
  <si>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</si>
  <si>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</si>
  <si>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</si>
  <si>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</si>
  <si>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</si>
  <si>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</si>
  <si>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</si>
  <si>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</si>
  <si>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</si>
  <si>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</si>
  <si>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</si>
  <si>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</si>
  <si>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</si>
  <si>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</si>
  <si>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</si>
  <si>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</si>
  <si>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</si>
  <si>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</si>
  <si>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</si>
  <si>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</si>
  <si>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</si>
  <si>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</si>
  <si>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</si>
  <si>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</si>
  <si>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</si>
  <si>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</si>
  <si>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</si>
  <si>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</si>
  <si>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</si>
  <si>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</si>
  <si>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</si>
  <si>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</si>
  <si>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</si>
  <si>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</si>
  <si>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</si>
  <si>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</si>
  <si>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</si>
  <si>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</si>
  <si>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</si>
  <si>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</si>
  <si>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</si>
  <si>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</si>
  <si>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</si>
  <si>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</si>
  <si>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</si>
  <si>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</si>
  <si>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</si>
  <si>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</si>
  <si>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</si>
  <si>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</si>
  <si>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</si>
  <si>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</si>
  <si>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</si>
  <si>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</si>
  <si>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</si>
  <si>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</si>
  <si>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</si>
  <si>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</si>
  <si>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</si>
  <si>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</si>
  <si>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</si>
  <si>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</si>
  <si>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</si>
  <si>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</si>
  <si>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</si>
  <si>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</si>
  <si>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</si>
  <si>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</si>
  <si>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</si>
  <si>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</si>
  <si>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</si>
  <si>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</si>
  <si>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</si>
  <si>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</si>
  <si>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</si>
  <si>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</si>
  <si>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</si>
  <si>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</si>
  <si>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</si>
  <si>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</si>
  <si>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</si>
  <si>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</si>
  <si>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</si>
  <si>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</si>
  <si>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</si>
  <si>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</si>
  <si>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</si>
  <si>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</si>
  <si>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</si>
  <si>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</si>
  <si>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</si>
  <si>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</si>
  <si>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</si>
  <si>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</si>
  <si>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</si>
  <si>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</si>
  <si>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</si>
  <si>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</si>
  <si>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</si>
  <si>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</si>
  <si>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</si>
  <si>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</si>
  <si>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</si>
  <si>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</si>
  <si>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</si>
  <si>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</si>
  <si>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</si>
  <si>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</si>
  <si>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</si>
  <si>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</si>
  <si>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</si>
  <si>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</si>
  <si>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</si>
  <si>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</si>
  <si>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</si>
  <si>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</si>
  <si>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</si>
  <si>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</si>
  <si>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</si>
  <si>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</si>
  <si>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</si>
  <si>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</si>
  <si>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</si>
  <si>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</si>
  <si>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</si>
  <si>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</si>
  <si>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</si>
  <si>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</si>
  <si>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</si>
  <si>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</si>
  <si>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</si>
  <si>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</si>
  <si>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</si>
  <si>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</si>
  <si>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</si>
  <si>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</si>
  <si>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</si>
  <si>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</si>
  <si>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</si>
  <si>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</si>
  <si>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</si>
  <si>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</si>
  <si>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</si>
  <si>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</si>
  <si>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</si>
  <si>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</si>
  <si>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</si>
  <si>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</si>
  <si>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</si>
  <si>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</si>
  <si>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</si>
  <si>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</si>
  <si>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</si>
  <si>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</si>
  <si>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</si>
  <si>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</si>
  <si>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</si>
  <si>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</si>
  <si>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</si>
  <si>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</si>
  <si>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</si>
  <si>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</si>
  <si>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</si>
  <si>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</si>
  <si>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</si>
  <si>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</si>
  <si>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</si>
  <si>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</si>
  <si>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</si>
  <si>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</si>
  <si>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</si>
  <si>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</si>
  <si>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</si>
  <si>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</si>
  <si>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</si>
  <si>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</si>
  <si>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</si>
  <si>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</si>
  <si>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</si>
  <si>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</si>
  <si>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</si>
  <si>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</si>
  <si>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</si>
  <si>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</si>
  <si>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</si>
  <si>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</si>
  <si>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</si>
  <si>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</si>
  <si>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</si>
  <si>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</si>
  <si>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</si>
  <si>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</si>
  <si>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</si>
  <si>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</si>
  <si>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</si>
  <si>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</si>
  <si>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</si>
  <si>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</si>
  <si>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</si>
  <si>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</si>
  <si>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</si>
  <si>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</si>
  <si>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</si>
  <si>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</si>
  <si>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</si>
  <si>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</si>
  <si>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</si>
  <si>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</si>
  <si>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</si>
  <si>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</si>
  <si>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</si>
  <si>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</si>
  <si>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</si>
  <si>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</si>
  <si>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</si>
  <si>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</si>
  <si>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</si>
  <si>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</si>
  <si>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</si>
  <si>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</si>
  <si>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</si>
  <si>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</si>
  <si>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</si>
  <si>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</si>
  <si>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</si>
  <si>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</si>
  <si>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</si>
  <si>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</si>
  <si>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</si>
  <si>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</si>
  <si>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</si>
  <si>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</si>
  <si>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</si>
  <si>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</si>
  <si>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</si>
  <si>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</si>
  <si>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</si>
  <si>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</si>
  <si>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</si>
  <si>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</si>
  <si>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</si>
  <si>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</si>
  <si>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</si>
  <si>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</si>
  <si>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</si>
  <si>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</si>
  <si>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</si>
  <si>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</si>
  <si>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</si>
  <si>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</si>
  <si>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</si>
  <si>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</si>
  <si>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</si>
  <si>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</si>
  <si>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</si>
  <si>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</si>
  <si>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</si>
  <si>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</si>
  <si>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</si>
  <si>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</si>
  <si>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</si>
  <si>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</si>
  <si>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</si>
  <si>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</si>
  <si>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</si>
  <si>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</si>
  <si>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</si>
  <si>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</si>
  <si>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</si>
  <si>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</si>
  <si>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</si>
  <si>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</si>
  <si>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</si>
  <si>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</si>
  <si>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</si>
  <si>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</si>
  <si>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</si>
  <si>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</si>
  <si>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</si>
  <si>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</si>
  <si>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</si>
  <si>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</si>
  <si>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</si>
  <si>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</si>
  <si>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</si>
  <si>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</si>
  <si>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</si>
  <si>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</si>
  <si>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</si>
  <si>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</si>
  <si>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</si>
  <si>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</si>
  <si>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</si>
  <si>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</si>
  <si>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</si>
  <si>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</si>
  <si>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</si>
  <si>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</si>
  <si>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</si>
  <si>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</si>
  <si>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</si>
  <si>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</si>
  <si>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</si>
  <si>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</si>
  <si>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</si>
  <si>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</si>
  <si>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</si>
  <si>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</si>
  <si>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</si>
  <si>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</si>
  <si>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</si>
  <si>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</si>
  <si>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</si>
  <si>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</si>
  <si>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</si>
  <si>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</si>
  <si>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</si>
  <si>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</si>
  <si>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</si>
  <si>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</si>
  <si>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</si>
  <si>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</si>
  <si>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</si>
  <si>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</si>
  <si>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</si>
  <si>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</si>
  <si>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</si>
  <si>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</si>
  <si>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</si>
  <si>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</si>
  <si>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</si>
  <si>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</si>
  <si>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</si>
  <si>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</si>
  <si>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</si>
  <si>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</si>
  <si>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</si>
  <si>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</si>
  <si>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</si>
  <si>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</si>
  <si>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</si>
  <si>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</si>
  <si>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</si>
  <si>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</si>
  <si>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</si>
  <si>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</si>
  <si>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</si>
  <si>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</si>
  <si>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</si>
  <si>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</si>
  <si>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</si>
  <si>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</si>
  <si>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</si>
  <si>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</si>
  <si>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</si>
  <si>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</si>
  <si>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</si>
  <si>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</si>
  <si>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</si>
  <si>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</si>
  <si>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</si>
  <si>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</si>
  <si>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</si>
  <si>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</si>
  <si>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</si>
  <si>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</si>
  <si>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</si>
  <si>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</si>
  <si>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</si>
  <si>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</si>
  <si>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</si>
  <si>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</si>
  <si>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</si>
  <si>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</si>
  <si>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</si>
  <si>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</si>
  <si>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</si>
  <si>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</si>
  <si>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</si>
  <si>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</si>
  <si>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</si>
  <si>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</si>
  <si>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</si>
  <si>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</si>
  <si>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</si>
  <si>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</si>
  <si>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</si>
  <si>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</si>
  <si>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</si>
  <si>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</si>
  <si>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</si>
  <si>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</si>
  <si>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</si>
  <si>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</si>
  <si>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</si>
  <si>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</si>
  <si>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</si>
  <si>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</si>
  <si>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</si>
  <si>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</si>
  <si>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</si>
  <si>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</si>
  <si>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</si>
  <si>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</si>
  <si>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</si>
  <si>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</si>
  <si>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</si>
  <si>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</si>
  <si>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</si>
  <si>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</si>
  <si>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</si>
  <si>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</si>
  <si>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</si>
  <si>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</si>
  <si>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</si>
  <si>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</si>
  <si>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</si>
  <si>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</si>
  <si>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</si>
  <si>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</si>
  <si>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</si>
  <si>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</si>
  <si>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</si>
  <si>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</si>
  <si>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</si>
  <si>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</si>
  <si>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</si>
  <si>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</si>
  <si>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</si>
  <si>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</si>
  <si>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</si>
  <si>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</si>
  <si>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</si>
  <si>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</si>
  <si>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</si>
  <si>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</si>
  <si>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</si>
  <si>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</si>
  <si>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</si>
  <si>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</si>
  <si>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</si>
  <si>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</si>
  <si>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</si>
  <si>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</si>
  <si>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</si>
  <si>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</si>
  <si>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</si>
  <si>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</si>
  <si>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</si>
  <si>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</si>
  <si>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</si>
  <si>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</si>
  <si>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</si>
  <si>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</si>
  <si>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</si>
  <si>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</si>
  <si>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</si>
  <si>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</si>
  <si>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</si>
  <si>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</si>
  <si>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</si>
  <si>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</si>
  <si>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</si>
  <si>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</si>
  <si>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</si>
  <si>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</si>
  <si>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</si>
  <si>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</si>
  <si>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</si>
  <si>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</si>
  <si>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</si>
  <si>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</si>
  <si>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</si>
  <si>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</si>
  <si>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</si>
  <si>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</si>
  <si>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</si>
  <si>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</si>
  <si>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</si>
  <si>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</si>
  <si>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</si>
  <si>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</si>
  <si>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</si>
  <si>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</si>
  <si>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</si>
  <si>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</si>
  <si>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</si>
  <si>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</si>
  <si>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</si>
  <si>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</si>
  <si>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</si>
  <si>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</si>
  <si>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</si>
  <si>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</si>
  <si>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</si>
  <si>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</si>
  <si>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</si>
  <si>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</si>
  <si>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</si>
  <si>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</si>
  <si>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</si>
  <si>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</si>
  <si>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</si>
  <si>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</si>
  <si>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</si>
  <si>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</si>
  <si>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</si>
  <si>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</si>
  <si>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</si>
  <si>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</si>
  <si>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</si>
  <si>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</si>
  <si>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</si>
  <si>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</si>
  <si>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</si>
  <si>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</si>
  <si>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</si>
  <si>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</si>
  <si>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</si>
  <si>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</si>
  <si>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</si>
  <si>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</si>
  <si>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</si>
  <si>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</si>
  <si>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</si>
  <si>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</si>
  <si>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</si>
  <si>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</si>
  <si>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</si>
  <si>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</si>
  <si>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</si>
  <si>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</si>
  <si>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</si>
  <si>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</si>
  <si>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</si>
  <si>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</si>
  <si>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</si>
  <si>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</si>
  <si>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</si>
  <si>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</si>
  <si>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</si>
  <si>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</si>
  <si>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</si>
  <si>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</si>
  <si>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</si>
  <si>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</si>
  <si>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</si>
  <si>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</si>
  <si>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</si>
  <si>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</si>
  <si>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</si>
  <si>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</si>
  <si>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</si>
  <si>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</si>
  <si>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</si>
  <si>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</si>
  <si>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</si>
  <si>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</si>
  <si>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</si>
  <si>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</si>
  <si>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</si>
  <si>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</si>
  <si>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</si>
  <si>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</si>
  <si>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</si>
  <si>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</si>
  <si>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</si>
  <si>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</si>
  <si>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</si>
  <si>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</si>
  <si>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</si>
  <si>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</si>
  <si>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</si>
  <si>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</si>
  <si>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</si>
  <si>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</si>
  <si>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</si>
  <si>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</si>
  <si>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</si>
  <si>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</si>
  <si>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</si>
  <si>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</si>
  <si>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</si>
  <si>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</si>
  <si>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</si>
  <si>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</si>
  <si>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</si>
  <si>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</si>
  <si>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</si>
  <si>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</si>
  <si>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</si>
  <si>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</si>
  <si>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</si>
  <si>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</si>
  <si>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</si>
  <si>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</si>
  <si>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</si>
  <si>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</si>
  <si>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</si>
  <si>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</si>
  <si>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</si>
  <si>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</si>
  <si>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</si>
  <si>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</si>
  <si>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</si>
  <si>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</si>
  <si>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</si>
  <si>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</si>
  <si>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</si>
  <si>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</si>
  <si>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</si>
  <si>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</si>
  <si>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</si>
  <si>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</si>
  <si>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</si>
  <si>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</si>
  <si>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</si>
  <si>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</si>
  <si>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</si>
  <si>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</si>
  <si>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</si>
  <si>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</si>
  <si>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</si>
  <si>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</si>
  <si>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</si>
  <si>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</si>
  <si>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</si>
  <si>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</si>
  <si>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</si>
  <si>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</si>
  <si>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</si>
  <si>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</si>
  <si>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</si>
  <si>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</si>
  <si>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</si>
  <si>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</si>
  <si>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</si>
  <si>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</si>
  <si>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</si>
  <si>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</si>
  <si>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</si>
  <si>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</si>
  <si>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</si>
  <si>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</si>
  <si>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</si>
  <si>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</si>
  <si>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</si>
  <si>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</si>
  <si>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</si>
  <si>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</si>
  <si>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</si>
  <si>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</si>
  <si>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</si>
  <si>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</si>
  <si>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</si>
  <si>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</si>
  <si>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</si>
  <si>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</si>
  <si>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</si>
  <si>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</si>
  <si>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</si>
  <si>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</si>
  <si>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</si>
  <si>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</si>
  <si>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</si>
  <si>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</si>
  <si>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</si>
  <si>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</si>
  <si>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</si>
  <si>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</si>
  <si>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</si>
  <si>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</si>
  <si>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</si>
  <si>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</si>
  <si>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</si>
  <si>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</si>
  <si>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</si>
  <si>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</si>
  <si>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</si>
  <si>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</si>
  <si>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</si>
  <si>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</si>
  <si>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</si>
  <si>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</si>
  <si>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</si>
  <si>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</si>
  <si>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</si>
  <si>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</si>
  <si>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</si>
  <si>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</si>
  <si>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</si>
  <si>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</si>
  <si>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</si>
  <si>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</si>
  <si>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</si>
  <si>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</si>
  <si>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</si>
  <si>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</si>
  <si>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</si>
  <si>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</si>
  <si>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</si>
  <si>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</si>
  <si>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</si>
  <si>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</si>
  <si>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</si>
  <si>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</si>
  <si>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</si>
  <si>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</si>
  <si>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</si>
  <si>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</si>
  <si>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</si>
  <si>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</si>
  <si>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</si>
  <si>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</si>
  <si>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</si>
  <si>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</si>
  <si>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</si>
  <si>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</si>
  <si>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</si>
  <si>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</si>
  <si>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</si>
  <si>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</si>
  <si>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</si>
  <si>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</si>
  <si>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</si>
  <si>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</si>
  <si>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</si>
  <si>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</si>
  <si>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</si>
  <si>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</si>
  <si>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</si>
  <si>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</si>
  <si>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</si>
  <si>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</si>
  <si>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</si>
  <si>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</si>
  <si>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</si>
  <si>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</si>
  <si>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</si>
  <si>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</si>
  <si>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</si>
  <si>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</si>
  <si>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</si>
  <si>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</si>
  <si>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</si>
  <si>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</si>
  <si>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</si>
  <si>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</si>
  <si>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</si>
  <si>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</si>
  <si>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</si>
  <si>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</si>
  <si>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</si>
  <si>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</si>
  <si>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</si>
  <si>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</si>
  <si>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</si>
  <si>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</si>
  <si>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</si>
  <si>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</si>
  <si>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</si>
  <si>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</si>
  <si>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</si>
  <si>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</si>
  <si>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</si>
  <si>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</si>
  <si>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</si>
  <si>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</si>
  <si>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</si>
  <si>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</si>
  <si>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</si>
  <si>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</si>
  <si>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</si>
  <si>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</si>
  <si>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</si>
  <si>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</si>
  <si>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</si>
  <si>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</si>
  <si>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</si>
  <si>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</si>
  <si>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</si>
  <si>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</si>
  <si>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</si>
  <si>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</si>
  <si>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</si>
  <si>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</si>
  <si>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</si>
  <si>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</si>
  <si>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</si>
  <si>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</si>
  <si>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</si>
  <si>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</si>
  <si>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</si>
  <si>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</si>
  <si>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</si>
  <si>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</si>
  <si>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</si>
  <si>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</si>
  <si>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</si>
  <si>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</si>
  <si>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</si>
  <si>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</si>
  <si>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</si>
  <si>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</si>
  <si>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</si>
  <si>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</si>
  <si>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</si>
  <si>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</si>
  <si>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</si>
  <si>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</si>
  <si>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</si>
  <si>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</si>
  <si>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</si>
  <si>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</si>
  <si>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</si>
  <si>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</si>
  <si>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</si>
  <si>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</si>
  <si>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</si>
  <si>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</si>
  <si>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</si>
  <si>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</si>
  <si>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</si>
  <si>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</si>
  <si>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</si>
  <si>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</si>
  <si>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</si>
  <si>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</si>
  <si>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</si>
  <si>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</si>
  <si>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</si>
  <si>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</si>
  <si>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</si>
  <si>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</si>
  <si>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</si>
  <si>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</si>
  <si>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</si>
  <si>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</si>
  <si>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</si>
  <si>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</si>
  <si>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</si>
  <si>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</si>
  <si>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</si>
  <si>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</si>
  <si>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</si>
  <si>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</si>
  <si>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</si>
  <si>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</si>
  <si>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</si>
  <si>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</si>
  <si>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</si>
  <si>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</si>
  <si>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</si>
  <si>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</si>
  <si>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</si>
  <si>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</si>
  <si>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</si>
  <si>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</si>
  <si>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</si>
  <si>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</si>
  <si>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</si>
  <si>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</si>
  <si>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</si>
  <si>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</si>
  <si>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</si>
  <si>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</si>
  <si>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</si>
  <si>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</si>
  <si>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</si>
  <si>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</si>
  <si>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</si>
  <si>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</si>
  <si>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</si>
  <si>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</si>
  <si>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</si>
  <si>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</si>
  <si>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</si>
  <si>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</si>
  <si>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</si>
  <si>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</si>
  <si>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</si>
  <si>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</si>
  <si>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</si>
  <si>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</si>
  <si>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</si>
  <si>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</si>
  <si>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</si>
  <si>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</si>
  <si>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</si>
  <si>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</si>
  <si>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</si>
  <si>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</si>
  <si>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</si>
  <si>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</si>
  <si>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</si>
  <si>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</si>
  <si>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</si>
  <si>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</si>
  <si>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</si>
  <si>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</si>
  <si>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</si>
  <si>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</si>
  <si>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</si>
  <si>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</si>
  <si>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</si>
  <si>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</si>
  <si>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</si>
  <si>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</si>
  <si>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</si>
  <si>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</si>
  <si>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</si>
  <si>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</si>
  <si>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</si>
  <si>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</si>
  <si>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</si>
  <si>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</si>
  <si>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</si>
  <si>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</si>
  <si>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</si>
  <si>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</si>
  <si>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</si>
  <si>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</si>
  <si>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</si>
  <si>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</si>
  <si>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</si>
  <si>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</si>
  <si>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</si>
  <si>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</si>
  <si>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</si>
  <si>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</si>
  <si>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</si>
  <si>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</si>
  <si>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</si>
  <si>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</si>
  <si>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</si>
  <si>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</si>
  <si>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</si>
  <si>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</si>
  <si>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</si>
  <si>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</si>
  <si>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</si>
  <si>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</si>
  <si>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</si>
  <si>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</si>
  <si>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</si>
  <si>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</si>
  <si>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</si>
  <si>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</si>
  <si>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</si>
  <si>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</si>
  <si>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</si>
  <si>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</si>
  <si>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</si>
  <si>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</si>
  <si>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</si>
  <si>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</si>
  <si>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</si>
  <si>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</si>
  <si>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</si>
  <si>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</si>
  <si>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</si>
  <si>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</si>
  <si>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</si>
  <si>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</si>
  <si>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</si>
  <si>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</si>
  <si>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</si>
  <si>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</si>
  <si>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</si>
  <si>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</si>
  <si>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</si>
  <si>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</si>
  <si>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</si>
  <si>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</si>
  <si>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</si>
  <si>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</si>
  <si>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</si>
  <si>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</si>
  <si>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</si>
  <si>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</si>
  <si>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</si>
  <si>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</si>
  <si>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</si>
  <si>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</si>
  <si>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</si>
  <si>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</si>
  <si>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</si>
  <si>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</si>
  <si>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</si>
  <si>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</si>
  <si>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</si>
  <si>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</si>
  <si>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</si>
  <si>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</si>
  <si>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</si>
  <si>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</si>
  <si>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</si>
  <si>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</si>
  <si>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</si>
  <si>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</si>
  <si>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</si>
  <si>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</si>
  <si>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</si>
  <si>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</si>
  <si>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</si>
  <si>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</si>
  <si>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</si>
  <si>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</si>
  <si>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</si>
  <si>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</si>
  <si>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</si>
  <si>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</si>
  <si>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</si>
  <si>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</si>
  <si>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</si>
  <si>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</si>
  <si>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</si>
  <si>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</si>
  <si>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</si>
  <si>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</si>
  <si>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</si>
  <si>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</si>
  <si>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</si>
  <si>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</si>
  <si>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</si>
  <si>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</si>
  <si>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</si>
  <si>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</si>
  <si>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</si>
  <si>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</si>
  <si>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</si>
  <si>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</si>
  <si>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</si>
  <si>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</si>
  <si>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</si>
  <si>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</si>
  <si>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</si>
  <si>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</si>
  <si>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</si>
  <si>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</si>
  <si>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</si>
  <si>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</si>
  <si>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</si>
  <si>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</si>
  <si>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</si>
  <si>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</si>
  <si>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</si>
  <si>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</si>
  <si>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</si>
  <si>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</si>
  <si>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</si>
  <si>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</si>
  <si>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</si>
  <si>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</si>
  <si>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</si>
  <si>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</si>
  <si>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</si>
  <si>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</si>
  <si>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</si>
  <si>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</si>
  <si>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</si>
  <si>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</si>
  <si>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</si>
  <si>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</si>
  <si>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</si>
  <si>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</si>
  <si>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</si>
  <si>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</si>
  <si>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</si>
  <si>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</si>
  <si>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</si>
  <si>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</si>
  <si>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</si>
  <si>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</si>
  <si>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</si>
  <si>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</si>
  <si>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</si>
  <si>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</si>
  <si>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</si>
  <si>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</si>
  <si>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</si>
  <si>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</si>
  <si>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</si>
  <si>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</si>
  <si>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</si>
  <si>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</si>
  <si>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</si>
  <si>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</si>
  <si>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</si>
  <si>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</si>
  <si>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</si>
  <si>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</si>
  <si>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</si>
  <si>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</si>
  <si>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</si>
  <si>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</si>
  <si>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</si>
  <si>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</si>
  <si>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</si>
  <si>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</si>
  <si>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</si>
  <si>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</si>
  <si>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</si>
  <si>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</si>
  <si>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</si>
  <si>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</si>
  <si>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</si>
  <si>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</si>
  <si>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</si>
  <si>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</si>
  <si>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</si>
  <si>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</si>
  <si>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</si>
  <si>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</si>
  <si>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</si>
  <si>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</si>
  <si>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</si>
  <si>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</si>
  <si>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</si>
  <si>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</si>
  <si>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</si>
  <si>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</si>
  <si>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</si>
  <si>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</si>
  <si>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</si>
  <si>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</si>
  <si>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</si>
  <si>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</si>
  <si>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</si>
  <si>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</si>
  <si>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</si>
  <si>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</si>
  <si>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</si>
  <si>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</si>
  <si>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</si>
  <si>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</si>
  <si>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</si>
  <si>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</si>
  <si>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</si>
  <si>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</si>
  <si>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</si>
  <si>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</si>
  <si>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</si>
  <si>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</si>
  <si>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</si>
  <si>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</si>
  <si>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</si>
  <si>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</si>
  <si>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</si>
  <si>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</si>
  <si>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</si>
  <si>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</si>
  <si>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</si>
  <si>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</si>
  <si>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</si>
  <si>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</si>
  <si>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</si>
  <si>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</si>
  <si>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</si>
  <si>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</si>
  <si>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</si>
  <si>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</si>
  <si>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</si>
  <si>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</si>
  <si>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</si>
  <si>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</si>
  <si>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</si>
  <si>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</si>
  <si>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</si>
  <si>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</si>
  <si>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</si>
  <si>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</si>
  <si>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</si>
  <si>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</si>
  <si>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</si>
  <si>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</si>
  <si>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</si>
  <si>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</si>
  <si>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</si>
  <si>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</si>
  <si>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</si>
  <si>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</si>
  <si>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</si>
  <si>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</si>
  <si>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</si>
  <si>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</si>
  <si>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</si>
  <si>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</si>
  <si>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</si>
  <si>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</si>
  <si>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</si>
  <si>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</si>
  <si>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</si>
  <si>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</si>
  <si>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</si>
  <si>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</si>
  <si>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</si>
  <si>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</si>
  <si>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</si>
  <si>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</si>
  <si>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</si>
  <si>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</si>
  <si>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</si>
  <si>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</si>
  <si>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</si>
  <si>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</si>
  <si>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</si>
  <si>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</si>
  <si>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</si>
  <si>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</si>
  <si>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</si>
  <si>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</si>
  <si>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</si>
  <si>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</si>
  <si>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</si>
  <si>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</si>
  <si>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</si>
  <si>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</si>
  <si>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</si>
  <si>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</si>
  <si>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</si>
  <si>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</si>
  <si>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</si>
  <si>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</si>
  <si>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</si>
  <si>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</si>
  <si>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</si>
  <si>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</si>
  <si>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</si>
  <si>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</si>
  <si>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</si>
  <si>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</si>
  <si>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</si>
  <si>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</si>
  <si>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</si>
  <si>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</si>
  <si>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</si>
  <si>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</si>
  <si>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</si>
  <si>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</si>
  <si>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</si>
  <si>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</si>
  <si>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</si>
  <si>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</si>
  <si>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</si>
  <si>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</si>
  <si>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</si>
  <si>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</si>
  <si>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</si>
  <si>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</si>
  <si>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</si>
  <si>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</si>
  <si>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</si>
  <si>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</si>
  <si>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</si>
  <si>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</si>
  <si>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</si>
  <si>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</si>
  <si>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</si>
  <si>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</si>
  <si>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</si>
  <si>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</si>
  <si>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</si>
  <si>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</si>
  <si>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</si>
  <si>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</si>
  <si>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</si>
  <si>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</si>
  <si>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</si>
  <si>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</si>
  <si>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</si>
  <si>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</si>
  <si>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</si>
  <si>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</si>
  <si>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</si>
  <si>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</si>
  <si>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</si>
  <si>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</si>
  <si>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</si>
  <si>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</si>
  <si>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</si>
  <si>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</si>
  <si>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</si>
  <si>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</si>
  <si>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</si>
  <si>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</si>
  <si>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</si>
  <si>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</si>
  <si>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</si>
  <si>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</si>
  <si>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</si>
  <si>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</si>
  <si>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</si>
  <si>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</si>
  <si>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</si>
  <si>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</si>
  <si>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</si>
  <si>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</si>
  <si>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</si>
  <si>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</si>
  <si>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</si>
  <si>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</si>
  <si>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</si>
  <si>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</si>
  <si>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</si>
  <si>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</si>
  <si>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</si>
  <si>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</si>
  <si>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</si>
  <si>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</si>
  <si>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</si>
  <si>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</si>
  <si>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</si>
  <si>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</si>
  <si>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</si>
  <si>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</si>
  <si>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</si>
  <si>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</si>
  <si>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</si>
  <si>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</si>
  <si>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</si>
  <si>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</si>
  <si>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</si>
  <si>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</si>
  <si>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</si>
  <si>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</si>
  <si>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</si>
  <si>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</si>
  <si>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</si>
  <si>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</si>
  <si>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</si>
  <si>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</si>
  <si>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</si>
  <si>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</si>
  <si>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</si>
  <si>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</si>
  <si>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</si>
  <si>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</si>
  <si>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</si>
  <si>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</si>
  <si>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</si>
  <si>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</si>
  <si>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</si>
  <si>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</si>
  <si>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</si>
  <si>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</si>
  <si>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</si>
  <si>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</si>
  <si>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</si>
  <si>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</si>
  <si>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</si>
  <si>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</si>
  <si>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</si>
  <si>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</si>
  <si>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</si>
  <si>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</si>
  <si>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</si>
  <si>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</si>
  <si>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</si>
  <si>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</si>
  <si>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</si>
  <si>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</si>
  <si>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</si>
  <si>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</si>
  <si>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</si>
  <si>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</si>
  <si>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</si>
  <si>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</si>
  <si>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</si>
  <si>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</si>
  <si>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</si>
  <si>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</si>
  <si>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</si>
  <si>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</si>
  <si>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</si>
  <si>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</si>
  <si>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</si>
  <si>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</si>
  <si>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</si>
  <si>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</si>
  <si>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</si>
  <si>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</si>
  <si>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</si>
  <si>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</si>
  <si>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</si>
  <si>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</si>
  <si>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</si>
  <si>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</si>
  <si>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</si>
  <si>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</si>
  <si>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</si>
  <si>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</si>
  <si>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</si>
  <si>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</si>
  <si>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</si>
  <si>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</si>
  <si>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</si>
  <si>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</si>
  <si>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</si>
  <si>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</si>
  <si>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</si>
  <si>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</si>
  <si>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</si>
  <si>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</si>
  <si>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</si>
  <si>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</si>
  <si>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</si>
  <si>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</si>
  <si>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</si>
  <si>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</si>
  <si>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</si>
  <si>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</si>
  <si>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</si>
  <si>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</si>
  <si>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</si>
  <si>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</si>
  <si>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</si>
  <si>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</si>
  <si>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</si>
  <si>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</si>
  <si>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</si>
  <si>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</si>
  <si>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</si>
  <si>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</si>
  <si>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</si>
  <si>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</si>
  <si>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</si>
  <si>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</si>
  <si>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</si>
  <si>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</si>
  <si>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</si>
  <si>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</si>
  <si>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</si>
  <si>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</si>
  <si>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</si>
  <si>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</si>
  <si>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</si>
  <si>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</si>
  <si>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</si>
  <si>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</si>
  <si>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</si>
  <si>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</si>
  <si>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</si>
  <si>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</si>
  <si>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</si>
  <si>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</si>
  <si>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</si>
  <si>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</si>
  <si>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</si>
  <si>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</si>
  <si>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</si>
  <si>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</si>
  <si>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</si>
  <si>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</si>
  <si>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</si>
  <si>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</si>
  <si>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</si>
  <si>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</si>
  <si>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</si>
  <si>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</si>
  <si>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</si>
  <si>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</si>
  <si>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</si>
  <si>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</si>
  <si>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</si>
  <si>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</si>
  <si>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</si>
  <si>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</si>
  <si>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</si>
  <si>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</si>
  <si>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</si>
  <si>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</si>
  <si>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</si>
  <si>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</si>
  <si>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</si>
  <si>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</si>
  <si>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</si>
  <si>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</si>
  <si>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</si>
  <si>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</si>
  <si>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</si>
  <si>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</si>
  <si>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</si>
  <si>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</si>
  <si>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</si>
  <si>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</si>
  <si>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</si>
  <si>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</si>
  <si>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</si>
  <si>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</si>
  <si>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</si>
  <si>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</si>
  <si>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</si>
  <si>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</si>
  <si>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</si>
  <si>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</si>
  <si>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</si>
  <si>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</si>
  <si>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</si>
  <si>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</si>
  <si>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</si>
  <si>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</si>
  <si>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</si>
  <si>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</si>
  <si>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</si>
  <si>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</si>
  <si>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</si>
  <si>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</si>
  <si>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</si>
  <si>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</si>
  <si>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</si>
  <si>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</si>
  <si>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</si>
  <si>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</si>
  <si>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</si>
  <si>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</si>
  <si>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</si>
  <si>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</si>
  <si>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</si>
  <si>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</si>
  <si>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</si>
  <si>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</si>
  <si>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</si>
  <si>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</si>
  <si>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</si>
  <si>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</si>
  <si>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</si>
  <si>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</si>
  <si>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</si>
  <si>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</si>
  <si>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</si>
  <si>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</si>
  <si>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</si>
  <si>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</si>
  <si>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</si>
  <si>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</si>
  <si>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</si>
  <si>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</si>
  <si>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</si>
  <si>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</si>
  <si>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</si>
  <si>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</si>
  <si>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</si>
  <si>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</si>
  <si>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</si>
  <si>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</si>
  <si>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</si>
  <si>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</si>
  <si>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</si>
  <si>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</si>
  <si>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</si>
  <si>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</si>
  <si>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</si>
  <si>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</si>
  <si>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</si>
  <si>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</si>
  <si>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</si>
  <si>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</si>
  <si>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</si>
  <si>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</si>
  <si>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</si>
  <si>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</si>
  <si>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</si>
  <si>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</si>
  <si>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</si>
  <si>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</si>
  <si>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</si>
  <si>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</si>
  <si>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</si>
  <si>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</si>
  <si>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</si>
  <si>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</si>
  <si>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</si>
  <si>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</si>
  <si>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</si>
  <si>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</si>
  <si>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</si>
  <si>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</si>
  <si>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</si>
  <si>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</si>
  <si>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</si>
  <si>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</si>
  <si>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</si>
  <si>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</si>
  <si>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</si>
  <si>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</si>
  <si>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</si>
  <si>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</si>
  <si>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</si>
  <si>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</si>
  <si>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</si>
  <si>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</si>
  <si>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</si>
  <si>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</si>
  <si>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</si>
  <si>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</si>
  <si>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</si>
  <si>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</si>
  <si>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</si>
  <si>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</si>
  <si>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</si>
  <si>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</si>
  <si>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</si>
  <si>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</si>
  <si>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</si>
  <si>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</si>
  <si>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</si>
  <si>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</si>
  <si>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</si>
  <si>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</si>
  <si>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</si>
  <si>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</si>
  <si>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</si>
  <si>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</si>
  <si>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</si>
  <si>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</si>
  <si>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</si>
  <si>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</si>
  <si>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</si>
  <si>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</si>
  <si>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</si>
  <si>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</si>
  <si>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</si>
  <si>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</si>
  <si>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</si>
  <si>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</si>
  <si>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</si>
  <si>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</si>
  <si>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</si>
  <si>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</si>
  <si>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</si>
  <si>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</si>
  <si>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</si>
  <si>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</si>
  <si>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</si>
  <si>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</si>
  <si>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</si>
  <si>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</si>
  <si>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</si>
  <si>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</si>
  <si>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</si>
  <si>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</si>
  <si>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</si>
  <si>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</si>
  <si>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</si>
  <si>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</si>
  <si>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</si>
  <si>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</si>
  <si>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</si>
  <si>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</si>
  <si>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</si>
  <si>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</si>
  <si>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</si>
  <si>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</si>
  <si>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</si>
  <si>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</si>
  <si>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</si>
  <si>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</si>
  <si>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</si>
  <si>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</si>
  <si>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</si>
  <si>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</si>
  <si>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</si>
  <si>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</si>
  <si>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</si>
  <si>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</si>
  <si>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</si>
  <si>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</si>
  <si>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</si>
  <si>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</si>
  <si>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</si>
  <si>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</si>
  <si>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</si>
  <si>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</si>
  <si>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</si>
  <si>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</si>
  <si>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</si>
  <si>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</si>
  <si>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</si>
  <si>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</si>
  <si>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</si>
  <si>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</si>
  <si>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</si>
  <si>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</si>
  <si>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</si>
  <si>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</si>
  <si>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</si>
  <si>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</si>
  <si>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</si>
  <si>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</si>
  <si>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</si>
  <si>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</si>
  <si>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</si>
  <si>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</si>
  <si>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</si>
  <si>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</si>
  <si>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</si>
  <si>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</si>
  <si>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</si>
  <si>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</si>
  <si>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</si>
  <si>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</si>
  <si>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</si>
  <si>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</si>
  <si>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</si>
  <si>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</si>
  <si>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</si>
  <si>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</si>
  <si>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</si>
  <si>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</si>
  <si>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</si>
  <si>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</si>
  <si>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</si>
  <si>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</si>
  <si>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</si>
  <si>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</si>
  <si>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</si>
  <si>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</si>
  <si>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</si>
  <si>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</si>
  <si>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</si>
  <si>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</si>
  <si>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</si>
  <si>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</si>
  <si>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</si>
  <si>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</si>
  <si>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</si>
  <si>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</si>
  <si>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</si>
  <si>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</si>
  <si>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</si>
  <si>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</si>
  <si>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</si>
  <si>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</si>
  <si>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</si>
  <si>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</si>
  <si>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</si>
  <si>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</si>
  <si>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</si>
  <si>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</si>
  <si>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</si>
  <si>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</si>
  <si>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</si>
  <si>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</si>
  <si>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</si>
  <si>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</si>
  <si>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</si>
  <si>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</si>
  <si>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</si>
  <si>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</si>
  <si>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</si>
  <si>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</si>
  <si>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</si>
  <si>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</si>
  <si>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</si>
  <si>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</si>
  <si>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</si>
  <si>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</si>
  <si>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</si>
  <si>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</si>
  <si>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</si>
  <si>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</si>
  <si>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</si>
  <si>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</si>
  <si>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</si>
  <si>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</si>
  <si>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</si>
  <si>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</si>
  <si>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</si>
  <si>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</si>
  <si>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</si>
  <si>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</si>
  <si>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</si>
  <si>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</si>
  <si>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</si>
  <si>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</si>
  <si>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</si>
  <si>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</si>
  <si>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</si>
  <si>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</si>
  <si>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</si>
  <si>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</si>
  <si>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</si>
  <si>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</si>
  <si>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</si>
  <si>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</si>
  <si>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</si>
  <si>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</si>
  <si>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</si>
  <si>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</si>
  <si>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</si>
  <si>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</si>
  <si>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</si>
  <si>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</si>
  <si>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</si>
  <si>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</si>
  <si>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</si>
  <si>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</si>
  <si>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</si>
  <si>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</si>
  <si>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</si>
  <si>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</si>
  <si>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</si>
  <si>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</si>
  <si>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</si>
  <si>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</si>
  <si>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</si>
  <si>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</si>
  <si>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</si>
  <si>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</si>
  <si>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</si>
  <si>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</si>
  <si>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</si>
  <si>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</si>
  <si>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</si>
  <si>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</si>
  <si>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</si>
  <si>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</si>
  <si>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</si>
  <si>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</si>
  <si>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</si>
  <si>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</si>
  <si>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</si>
  <si>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</si>
  <si>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</si>
  <si>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</si>
  <si>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</si>
  <si>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</si>
  <si>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</si>
  <si>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</si>
  <si>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</si>
  <si>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</si>
  <si>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</si>
  <si>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</si>
  <si>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</si>
  <si>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</si>
  <si>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</si>
  <si>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</si>
  <si>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</si>
  <si>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</si>
  <si>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</si>
  <si>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</si>
  <si>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</si>
  <si>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</si>
  <si>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</si>
  <si>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</si>
  <si>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</si>
  <si>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</si>
  <si>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</si>
  <si>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</si>
  <si>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</si>
  <si>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</si>
  <si>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</si>
  <si>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</si>
  <si>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</si>
  <si>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</si>
  <si>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</si>
  <si>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</si>
  <si>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</si>
  <si>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</si>
  <si>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</si>
  <si>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</si>
  <si>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</si>
  <si>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</si>
  <si>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</si>
  <si>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</si>
  <si>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</si>
  <si>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</si>
  <si>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</si>
  <si>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</si>
  <si>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</si>
  <si>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</si>
  <si>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</si>
  <si>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</si>
  <si>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</si>
  <si>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</si>
  <si>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</si>
  <si>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</si>
  <si>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</si>
  <si>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</si>
  <si>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</si>
  <si>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</si>
  <si>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</si>
  <si>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</si>
  <si>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</si>
  <si>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</si>
  <si>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</si>
  <si>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</si>
  <si>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</si>
  <si>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</si>
  <si>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</si>
  <si>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</si>
  <si>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</si>
  <si>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</si>
  <si>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</si>
  <si>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</si>
  <si>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</si>
  <si>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</si>
  <si>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</si>
  <si>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</si>
  <si>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</si>
  <si>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</si>
  <si>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</si>
  <si>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</si>
  <si>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</si>
  <si>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</si>
  <si>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</si>
  <si>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</si>
  <si>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</si>
  <si>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</si>
  <si>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</si>
  <si>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</si>
  <si>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</si>
  <si>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</si>
  <si>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</si>
  <si>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</si>
  <si>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</si>
  <si>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</si>
  <si>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</si>
  <si>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</si>
  <si>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</si>
  <si>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</si>
  <si>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</si>
  <si>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</si>
  <si>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</si>
  <si>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</si>
  <si>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</si>
  <si>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</si>
  <si>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</si>
  <si>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</si>
  <si>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</si>
  <si>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</si>
  <si>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</si>
  <si>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</si>
  <si>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</si>
  <si>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</si>
  <si>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</si>
  <si>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</si>
  <si>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</si>
  <si>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</si>
  <si>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</si>
  <si>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</si>
  <si>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</si>
  <si>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</si>
  <si>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</si>
  <si>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</si>
  <si>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</si>
  <si>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</si>
  <si>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</si>
  <si>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</si>
  <si>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</si>
  <si>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</si>
  <si>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</si>
  <si>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</si>
  <si>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</si>
  <si>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</si>
  <si>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</si>
  <si>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</si>
  <si>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</si>
  <si>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</si>
  <si>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</si>
  <si>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</si>
  <si>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</si>
  <si>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</si>
  <si>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</si>
  <si>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</si>
  <si>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</si>
  <si>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</si>
  <si>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</si>
  <si>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</si>
  <si>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</si>
  <si>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</si>
  <si>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</si>
  <si>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</si>
  <si>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</si>
  <si>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</si>
  <si>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</si>
  <si>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</si>
  <si>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</si>
  <si>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</si>
  <si>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</si>
  <si>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</si>
  <si>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</si>
  <si>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</si>
  <si>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</si>
  <si>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</si>
  <si>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</si>
  <si>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</si>
  <si>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</si>
  <si>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</si>
  <si>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</si>
  <si>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</si>
  <si>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</si>
  <si>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</si>
  <si>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</si>
  <si>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</si>
  <si>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</si>
  <si>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</si>
  <si>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</si>
  <si>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</si>
  <si>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</si>
  <si>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</si>
  <si>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</si>
  <si>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</si>
  <si>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</si>
  <si>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</si>
  <si>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</si>
  <si>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</si>
  <si>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</si>
  <si>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</si>
  <si>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</si>
  <si>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</si>
  <si>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</si>
  <si>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</si>
  <si>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</si>
  <si>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</si>
  <si>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</si>
  <si>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</si>
  <si>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</si>
  <si>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</si>
  <si>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</si>
  <si>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</si>
  <si>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</si>
  <si>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</si>
  <si>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</si>
  <si>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</si>
  <si>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</si>
  <si>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</si>
  <si>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</si>
  <si>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</si>
  <si>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</si>
  <si>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</si>
  <si>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</si>
  <si>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</si>
  <si>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</si>
  <si>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</si>
  <si>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</si>
  <si>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</si>
  <si>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</si>
  <si>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</si>
  <si>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</si>
  <si>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</si>
  <si>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</si>
  <si>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</si>
  <si>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</si>
  <si>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</si>
  <si>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</si>
  <si>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</si>
  <si>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</si>
  <si>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</si>
  <si>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</si>
  <si>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</si>
  <si>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</si>
  <si>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</si>
  <si>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</si>
  <si>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</si>
  <si>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</si>
  <si>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</si>
  <si>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</si>
  <si>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</si>
  <si>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</si>
  <si>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</si>
  <si>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</si>
  <si>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</si>
  <si>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</si>
  <si>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</si>
  <si>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</si>
  <si>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</si>
  <si>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</si>
  <si>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</si>
  <si>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</si>
  <si>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</si>
  <si>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</si>
  <si>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</si>
  <si>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</si>
  <si>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</si>
  <si>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</si>
  <si>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</si>
  <si>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</si>
  <si>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</si>
  <si>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</si>
  <si>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</si>
  <si>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</si>
  <si>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</si>
  <si>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</si>
  <si>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</si>
  <si>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</si>
  <si>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</si>
  <si>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</si>
  <si>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</si>
  <si>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</si>
  <si>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</si>
  <si>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</si>
  <si>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</si>
  <si>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</si>
  <si>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</si>
  <si>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</si>
  <si>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</si>
  <si>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</si>
  <si>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</si>
  <si>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</si>
  <si>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</si>
  <si>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</si>
  <si>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</si>
  <si>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</si>
  <si>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</si>
  <si>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</si>
  <si>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</si>
  <si>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</si>
  <si>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</si>
  <si>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</si>
  <si>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</si>
  <si>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</si>
  <si>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</si>
  <si>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</si>
  <si>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</si>
  <si>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</si>
  <si>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</si>
  <si>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</si>
  <si>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</si>
  <si>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</si>
  <si>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</si>
  <si>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</si>
  <si>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</si>
  <si>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</si>
  <si>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</si>
  <si>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</si>
  <si>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</si>
  <si>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</si>
  <si>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</si>
  <si>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</si>
  <si>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</si>
  <si>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</si>
  <si>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</si>
  <si>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</si>
  <si>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</si>
  <si>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</si>
  <si>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</si>
  <si>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</si>
  <si>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</si>
  <si>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</si>
  <si>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</si>
  <si>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</si>
  <si>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</si>
  <si>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</si>
  <si>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</si>
  <si>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</si>
  <si>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</si>
  <si>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</si>
  <si>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</si>
  <si>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</si>
  <si>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</si>
  <si>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</si>
  <si>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</si>
  <si>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</si>
  <si>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</si>
  <si>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</si>
  <si>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</si>
  <si>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</si>
  <si>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</si>
  <si>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</si>
  <si>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</si>
  <si>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</si>
  <si>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</si>
  <si>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</si>
  <si>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</si>
  <si>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</si>
  <si>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</si>
  <si>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</si>
  <si>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</si>
  <si>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</si>
  <si>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</si>
  <si>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</si>
  <si>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</si>
  <si>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</si>
  <si>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</si>
  <si>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</si>
  <si>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</si>
  <si>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</si>
  <si>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</si>
  <si>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</si>
  <si>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</si>
  <si>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</si>
  <si>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</si>
  <si>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</si>
  <si>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</si>
  <si>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</si>
  <si>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</si>
  <si>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</si>
  <si>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</si>
  <si>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</si>
  <si>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</si>
  <si>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</si>
  <si>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</si>
  <si>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</si>
  <si>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</si>
  <si>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</si>
  <si>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</si>
  <si>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</si>
  <si>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</si>
  <si>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</si>
  <si>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</si>
  <si>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</si>
  <si>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</si>
  <si>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</si>
  <si>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</si>
  <si>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</si>
  <si>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</si>
  <si>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</si>
  <si>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</si>
  <si>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</si>
  <si>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</si>
  <si>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</si>
  <si>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</si>
  <si>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</si>
  <si>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</si>
  <si>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</si>
  <si>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</si>
  <si>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</si>
  <si>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</si>
  <si>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</si>
  <si>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</si>
  <si>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</si>
  <si>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</si>
  <si>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</si>
  <si>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</si>
  <si>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</si>
  <si>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</si>
  <si>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</si>
  <si>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</si>
  <si>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</si>
  <si>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</si>
  <si>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</si>
  <si>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</si>
  <si>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</si>
  <si>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</si>
  <si>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</si>
  <si>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</si>
  <si>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</si>
  <si>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</si>
  <si>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</si>
  <si>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</si>
  <si>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</si>
  <si>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</si>
  <si>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</si>
  <si>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</si>
  <si>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</si>
  <si>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</si>
  <si>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</si>
  <si>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</si>
  <si>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</si>
  <si>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</si>
  <si>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</si>
  <si>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</si>
  <si>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</si>
  <si>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</si>
  <si>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</si>
  <si>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</si>
  <si>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</si>
  <si>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</si>
  <si>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</si>
  <si>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</si>
  <si>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</si>
  <si>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</si>
  <si>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</si>
  <si>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</si>
  <si>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</si>
  <si>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</si>
  <si>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</si>
  <si>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</si>
  <si>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</si>
  <si>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</si>
  <si>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</si>
  <si>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</si>
  <si>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</si>
  <si>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</si>
  <si>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</si>
  <si>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</si>
  <si>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</si>
  <si>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</si>
  <si>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</si>
  <si>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</si>
  <si>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</si>
  <si>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</si>
  <si>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</si>
  <si>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</si>
  <si>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</si>
  <si>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</si>
  <si>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</si>
  <si>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</si>
  <si>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</si>
  <si>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</si>
  <si>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</si>
  <si>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</si>
  <si>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</si>
  <si>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</si>
  <si>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</si>
  <si>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</si>
  <si>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</si>
  <si>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</si>
  <si>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</si>
  <si>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</si>
  <si>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</si>
  <si>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</si>
  <si>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</si>
  <si>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</si>
  <si>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</si>
  <si>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</si>
  <si>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</si>
  <si>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</si>
  <si>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</si>
  <si>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</si>
  <si>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</si>
  <si>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</si>
  <si>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</si>
  <si>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</si>
  <si>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</si>
  <si>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</si>
  <si>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</si>
  <si>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</si>
  <si>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</si>
  <si>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</si>
  <si>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</si>
  <si>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</si>
  <si>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</si>
  <si>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</si>
  <si>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</si>
  <si>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</si>
  <si>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</si>
  <si>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</si>
  <si>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</si>
  <si>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</si>
  <si>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</si>
  <si>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</si>
  <si>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</si>
  <si>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</si>
  <si>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</si>
  <si>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</si>
  <si>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</si>
  <si>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</si>
  <si>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</si>
  <si>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</si>
  <si>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</si>
  <si>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</si>
  <si>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</si>
  <si>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</si>
  <si>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</si>
  <si>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</si>
  <si>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</si>
  <si>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</si>
  <si>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</si>
  <si>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</si>
  <si>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</si>
  <si>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</si>
  <si>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</si>
  <si>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</si>
  <si>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</si>
  <si>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</si>
  <si>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</si>
  <si>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</si>
  <si>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</si>
  <si>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</si>
  <si>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</si>
  <si>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</si>
  <si>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</si>
  <si>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</si>
  <si>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</si>
  <si>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</si>
  <si>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</si>
  <si>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</si>
  <si>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</si>
  <si>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</si>
  <si>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</si>
  <si>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</si>
  <si>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</si>
  <si>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</si>
  <si>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</si>
  <si>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</si>
  <si>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</si>
  <si>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Mean of Successful</t>
  </si>
  <si>
    <t>Median of Successful</t>
  </si>
  <si>
    <t>Minimum of Successful</t>
  </si>
  <si>
    <t>Maximum of Successful</t>
  </si>
  <si>
    <t>Variance of Successful</t>
  </si>
  <si>
    <t>Standard Dev of Successful</t>
  </si>
  <si>
    <t>Mean of Failed</t>
  </si>
  <si>
    <t>Median of Failed</t>
  </si>
  <si>
    <t>Minimum of Failed</t>
  </si>
  <si>
    <t>Maximum of Failed</t>
  </si>
  <si>
    <t>Variance of Failed</t>
  </si>
  <si>
    <t>Standard Dev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</si>
</sst>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4-4F0B-8B76-15F55A2EF827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4-4F0B-8B76-15F55A2EF827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4-4F0B-8B76-15F55A2EF827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A4-4F0B-8B76-15F55A2EF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419728"/>
        <c:axId val="2011416400"/>
      </c:barChart>
      <c:catAx>
        <c:axId val="20114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6400"/>
        <c:crosses val="autoZero"/>
        <c:auto val="1"/>
        <c:lblAlgn val="ctr"/>
        <c:lblOffset val="100"/>
        <c:noMultiLvlLbl val="0"/>
      </c:catAx>
      <c:valAx>
        <c:axId val="2011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B-4542-9117-CCBE46570322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4-4714-B0CF-9F5246ADE118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4-4714-B0CF-9F5246ADE118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4-4714-B0CF-9F5246ADE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938592"/>
        <c:axId val="1998945248"/>
      </c:barChart>
      <c:catAx>
        <c:axId val="19989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5248"/>
        <c:crosses val="autoZero"/>
        <c:auto val="1"/>
        <c:lblAlgn val="ctr"/>
        <c:lblOffset val="100"/>
        <c:noMultiLvlLbl val="0"/>
      </c:catAx>
      <c:valAx>
        <c:axId val="19989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State!PivotTable3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Data by State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6-429E-8379-C0B257A84254}"/>
            </c:ext>
          </c:extLst>
        </c:ser>
        <c:ser>
          <c:idx val="1"/>
          <c:order val="1"/>
          <c:tx>
            <c:strRef>
              <c:f>'Pivot Table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E-4DC1-A7F0-6352DC0609D9}"/>
            </c:ext>
          </c:extLst>
        </c:ser>
        <c:ser>
          <c:idx val="2"/>
          <c:order val="2"/>
          <c:tx>
            <c:strRef>
              <c:f>'Pivot Table by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E-4DC1-A7F0-6352DC0609D9}"/>
            </c:ext>
          </c:extLst>
        </c:ser>
        <c:ser>
          <c:idx val="3"/>
          <c:order val="3"/>
          <c:tx>
            <c:strRef>
              <c:f>'Pivot Table by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3E-4DC1-A7F0-6352DC060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945664"/>
        <c:axId val="1998942752"/>
      </c:lineChart>
      <c:catAx>
        <c:axId val="19989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2752"/>
        <c:crosses val="autoZero"/>
        <c:auto val="1"/>
        <c:lblAlgn val="ctr"/>
        <c:lblOffset val="100"/>
        <c:noMultiLvlLbl val="0"/>
      </c:catAx>
      <c:valAx>
        <c:axId val="19989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per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of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of State'!$F$2:$F$13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3-4F27-82E7-C9313DE5CE73}"/>
            </c:ext>
          </c:extLst>
        </c:ser>
        <c:ser>
          <c:idx val="1"/>
          <c:order val="1"/>
          <c:tx>
            <c:strRef>
              <c:f>'Percentage of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of State'!$G$2:$G$13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3-4F27-82E7-C9313DE5CE73}"/>
            </c:ext>
          </c:extLst>
        </c:ser>
        <c:ser>
          <c:idx val="2"/>
          <c:order val="2"/>
          <c:tx>
            <c:strRef>
              <c:f>'Percentage of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of State'!$H$2:$H$13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3-4F27-82E7-C9313DE5C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201808"/>
        <c:axId val="1562204720"/>
      </c:lineChart>
      <c:catAx>
        <c:axId val="156220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04720"/>
        <c:crosses val="autoZero"/>
        <c:auto val="1"/>
        <c:lblAlgn val="ctr"/>
        <c:lblOffset val="100"/>
        <c:noMultiLvlLbl val="0"/>
      </c:catAx>
      <c:valAx>
        <c:axId val="15622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7</xdr:row>
      <xdr:rowOff>13334</xdr:rowOff>
    </xdr:from>
    <xdr:to>
      <xdr:col>15</xdr:col>
      <xdr:colOff>579119</xdr:colOff>
      <xdr:row>26</xdr:row>
      <xdr:rowOff>148589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42BBE-5A40-4B69-93A1-DFD1E64F4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</xdr:colOff>
      <xdr:row>7</xdr:row>
      <xdr:rowOff>112395</xdr:rowOff>
    </xdr:from>
    <xdr:to>
      <xdr:col>15</xdr:col>
      <xdr:colOff>154305</xdr:colOff>
      <xdr:row>22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EFA85-D5DC-47E0-9821-1EC83FAC0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456383</xdr:colOff>
      <xdr:row>6</xdr:row>
      <xdr:rowOff>165917</xdr:rowOff>
    </xdr:from>
    <xdr:to>
      <xdr:col>14</xdr:col>
      <xdr:colOff>550363</xdr:colOff>
      <xdr:row>21</xdr:row>
      <xdr:rowOff>165917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9E216-5685-4A80-9CAA-A64E1DF46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110490</xdr:colOff>
      <xdr:row>2</xdr:row>
      <xdr:rowOff>34290</xdr:rowOff>
    </xdr:from>
    <xdr:to>
      <xdr:col>12</xdr:col>
      <xdr:colOff>582930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FC182-3A13-48DF-B6D3-E62E83DAB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Garcia" refreshedDate="44370.482146064816" createdVersion="7" refreshedVersion="7" minRefreshableVersion="3" recordCount="4114" xr:uid="{8D5A87F6-FD1B-42B5-92F0-6D81D19C84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Garcia" refreshedDate="44370.506600000001" createdVersion="7" refreshedVersion="7" minRefreshableVersion="3" recordCount="4114" xr:uid="{0020D304-CEC2-4FE0-A8BF-844529E3831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4D82E-D205-45E5-9ECE-A8BB80E376E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0565-B86A-413F-924B-A6B5C77A77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369E5-272A-425C-BFD1-066F3FD0E32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58" zoomScaleNormal="55" workbookViewId="0">
      <selection activeCell="F1" sqref="F1:F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7" bestFit="1" customWidth="1"/>
    <col min="16" max="16" width="15.3671875" style="8" bestFit="1" customWidth="1"/>
    <col min="17" max="17" width="15.9453125" bestFit="1" customWidth="1"/>
    <col min="18" max="18" width="11.578125" bestFit="1" customWidth="1"/>
    <col min="19" max="19" width="21.20703125" style="13" bestFit="1" customWidth="1"/>
    <col min="20" max="20" width="27.89453125" style="13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6" t="s">
        <v>8308</v>
      </c>
      <c r="R1" s="6" t="s">
        <v>8309</v>
      </c>
      <c r="S1" s="12" t="s">
        <v>8365</v>
      </c>
      <c r="T1" s="12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(E66/D66)*100</f>
        <v>173.33333333333334</v>
      </c>
      <c r="P66" s="8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8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(E130/D130)*100</f>
        <v>1.867</v>
      </c>
      <c r="P130" s="8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(E194/D194)*100</f>
        <v>1.6999999999999999E-3</v>
      </c>
      <c r="P194" s="8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(E258/D258)*100</f>
        <v>139.1</v>
      </c>
      <c r="P258" s="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8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(E322/D322)*100</f>
        <v>106.58000000000001</v>
      </c>
      <c r="P322" s="8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8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(E386/D386)*100</f>
        <v>112.105</v>
      </c>
      <c r="P386" s="8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8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(E450/D450)*100</f>
        <v>3.2804000000000002</v>
      </c>
      <c r="P450" s="8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8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(E514/D514)*100</f>
        <v>0.13749999999999998</v>
      </c>
      <c r="P514" s="8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8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(E578/D578)*100</f>
        <v>1.25E-3</v>
      </c>
      <c r="P578" s="8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8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(E642/D642)*100</f>
        <v>144.28571428571428</v>
      </c>
      <c r="P642" s="8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8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(E706/D706)*100</f>
        <v>0.87454545454545463</v>
      </c>
      <c r="P706" s="8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8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(E770/D770)*100</f>
        <v>0</v>
      </c>
      <c r="P770" s="8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8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(E834/D834)*100</f>
        <v>100.60706666666665</v>
      </c>
      <c r="P834" s="8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8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(E898/D898)*100</f>
        <v>40</v>
      </c>
      <c r="P898" s="8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(E962/D962)*100</f>
        <v>46.100628930817614</v>
      </c>
      <c r="P962" s="8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8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(E1026/D1026)*100</f>
        <v>118.63774999999998</v>
      </c>
      <c r="P1026" s="8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8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(E1090/D1090)*100</f>
        <v>14.182977777777777</v>
      </c>
      <c r="P1090" s="8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8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(E1154/D1154)*100</f>
        <v>5.6937500000000005</v>
      </c>
      <c r="P1154" s="8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8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(E1218/D1218)*100</f>
        <v>145.70000000000002</v>
      </c>
      <c r="P1218" s="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8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(E1282/D1282)*100</f>
        <v>110.91186666666665</v>
      </c>
      <c r="P1282" s="8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8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(E1346/D1346)*100</f>
        <v>377.73333333333335</v>
      </c>
      <c r="P1346" s="8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8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(E1410/D1410)*100</f>
        <v>7.1999999999999993</v>
      </c>
      <c r="P1410" s="8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(E1474/D1474)*100</f>
        <v>138.70400000000001</v>
      </c>
      <c r="P1474" s="8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8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(E1538/D1538)*100</f>
        <v>250.30841666666666</v>
      </c>
      <c r="P1538" s="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8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(E1602/D1602)*100</f>
        <v>7.3400000000000007</v>
      </c>
      <c r="P1602" s="8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8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(E1666/D1666)*100</f>
        <v>122.40879999999999</v>
      </c>
      <c r="P1666" s="8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8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(E1730/D1730)*100</f>
        <v>68.400000000000006</v>
      </c>
      <c r="P1730" s="8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(E1794/D1794)*100</f>
        <v>61.124000000000002</v>
      </c>
      <c r="P1794" s="8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8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(E1858/D1858)*100</f>
        <v>101.25</v>
      </c>
      <c r="P1858" s="8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8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(E1922/D1922)*100</f>
        <v>43.03</v>
      </c>
      <c r="P1922" s="8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8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(E1986/D1986)*100</f>
        <v>21.146666666666665</v>
      </c>
      <c r="P1986" s="8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8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(E2050/D2050)*100</f>
        <v>148.33229411764705</v>
      </c>
      <c r="P2050" s="8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8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(E2114/D2114)*100</f>
        <v>100</v>
      </c>
      <c r="P2114" s="8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8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(E2178/D2178)*100</f>
        <v>126.02</v>
      </c>
      <c r="P2178" s="8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8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(E2242/D2242)*100</f>
        <v>270.68</v>
      </c>
      <c r="P2242" s="8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8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(E2306/D2306)*100</f>
        <v>100.70033333333335</v>
      </c>
      <c r="P2306" s="8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8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(E2370/D2370)*100</f>
        <v>0.25</v>
      </c>
      <c r="P2370" s="8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(E2434/D2434)*100</f>
        <v>1.4285714285714287E-2</v>
      </c>
      <c r="P2434" s="8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(E2498/D2498)*100</f>
        <v>100</v>
      </c>
      <c r="P2498" s="8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8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(E2562/D2562)*100</f>
        <v>100.1</v>
      </c>
      <c r="P2562" s="8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(E2626/D2626)*100</f>
        <v>1379.4206249999997</v>
      </c>
      <c r="P2626" s="8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8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(E2690/D2690)*100</f>
        <v>0.14799999999999999</v>
      </c>
      <c r="P2690" s="8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8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(E2754/D2754)*100</f>
        <v>11.458333333333332</v>
      </c>
      <c r="P2754" s="8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8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(E2818/D2818)*100</f>
        <v>141.56666666666666</v>
      </c>
      <c r="P2818" s="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8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(E2882/D2882)*100</f>
        <v>23.333333333333332</v>
      </c>
      <c r="P2882" s="8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(E2946/D2946)*100</f>
        <v>1</v>
      </c>
      <c r="P2946" s="8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(E3010/D3010)*100</f>
        <v>101.16666666666667</v>
      </c>
      <c r="P3010" s="8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8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(E3074/D3074)*100</f>
        <v>1.6666666666666666E-2</v>
      </c>
      <c r="P3074" s="8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8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(E3138/D3138)*100</f>
        <v>127.8</v>
      </c>
      <c r="P3138" s="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8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(E3202/D3202)*100</f>
        <v>2E-3</v>
      </c>
      <c r="P3202" s="8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8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(E3266/D3266)*100</f>
        <v>103</v>
      </c>
      <c r="P3266" s="8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8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(E3330/D3330)*100</f>
        <v>146.38888888888889</v>
      </c>
      <c r="P3330" s="8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8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(E3394/D3394)*100</f>
        <v>100</v>
      </c>
      <c r="P3394" s="8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8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(E3458/D3458)*100</f>
        <v>191.3</v>
      </c>
      <c r="P3458" s="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8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(E3522/D3522)*100</f>
        <v>100.75</v>
      </c>
      <c r="P3522" s="8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8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(E3586/D3586)*100</f>
        <v>115.5</v>
      </c>
      <c r="P3586" s="8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8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(E3650/D3650)*100</f>
        <v>100.38249999999999</v>
      </c>
      <c r="P3650" s="8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8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(E3714/D3714)*100</f>
        <v>153.73333333333335</v>
      </c>
      <c r="P3714" s="8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8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(E3778/D3778)*100</f>
        <v>106.71250000000001</v>
      </c>
      <c r="P3778" s="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8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(E3842/D3842)*100</f>
        <v>6500</v>
      </c>
      <c r="P3842" s="8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8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(E3906/D3906)*100</f>
        <v>0.03</v>
      </c>
      <c r="P3906" s="8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8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(E3970/D3970)*100</f>
        <v>10.54</v>
      </c>
      <c r="P3970" s="8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8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(E4034/D4034)*100</f>
        <v>6.8287037037037033</v>
      </c>
      <c r="P4034" s="8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8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(E4098/D4098)*100</f>
        <v>11.428571428571429</v>
      </c>
      <c r="P4098" s="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0000000-0001-0000-0000-000000000000}"/>
  <conditionalFormatting sqref="O1:O1048576">
    <cfRule type="colorScale" priority="7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F1:F1048576">
    <cfRule type="cellIs" dxfId="15" priority="14" operator="equal">
      <formula>"failed"</formula>
    </cfRule>
    <cfRule type="cellIs" dxfId="14" priority="15" operator="equal">
      <formula>"live"</formula>
    </cfRule>
    <cfRule type="cellIs" dxfId="13" priority="16" operator="equal">
      <formula>"canceled"</formula>
    </cfRule>
    <cfRule type="cellIs" dxfId="12" priority="17" operator="equal">
      <formula>"successful"</formula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4E966-8DE1-46E4-8DF9-C261BEA215D8}">
  <dimension ref="A1:F14"/>
  <sheetViews>
    <sheetView workbookViewId="0">
      <selection activeCell="O13" sqref="O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55000000000000004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55000000000000004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55000000000000004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55000000000000004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55000000000000004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55000000000000004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55000000000000004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55000000000000004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569-8859-4E7D-A1A7-548E9672B34B}">
  <dimension ref="A1:F47"/>
  <sheetViews>
    <sheetView workbookViewId="0">
      <selection activeCell="H28" sqref="H2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55000000000000004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55000000000000004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55000000000000004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55000000000000004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55000000000000004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55000000000000004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55000000000000004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55000000000000004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55000000000000004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55000000000000004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55000000000000004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55000000000000004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55000000000000004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55000000000000004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55000000000000004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55000000000000004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55000000000000004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55000000000000004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55000000000000004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55000000000000004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55000000000000004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55000000000000004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55000000000000004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55000000000000004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55000000000000004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55000000000000004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55000000000000004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55000000000000004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55000000000000004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55000000000000004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55000000000000004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55000000000000004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55000000000000004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55000000000000004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55000000000000004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55000000000000004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55000000000000004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55000000000000004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55000000000000004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55000000000000004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33E20-37FB-41AC-B580-6811E8FB17C3}">
  <dimension ref="A1:F18"/>
  <sheetViews>
    <sheetView zoomScale="105" zoomScaleNormal="105" workbookViewId="0">
      <selection activeCell="J26" sqref="J26"/>
    </sheetView>
  </sheetViews>
  <sheetFormatPr defaultRowHeight="14.4" x14ac:dyDescent="0.55000000000000004"/>
  <cols>
    <col min="1" max="1" width="12.261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9453125" bestFit="1" customWidth="1"/>
    <col min="6" max="6" width="10.26171875" bestFit="1" customWidth="1"/>
  </cols>
  <sheetData>
    <row r="1" spans="1:6" x14ac:dyDescent="0.55000000000000004">
      <c r="A1" s="9" t="s">
        <v>8308</v>
      </c>
      <c r="B1" t="s">
        <v>8364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5000000000000004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5000000000000004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5000000000000004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5000000000000004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5000000000000004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5000000000000004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5000000000000004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5000000000000004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5000000000000004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5000000000000004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5000000000000004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5000000000000004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80F15-6E76-4ADE-AD19-664DC8C6EFAF}">
  <dimension ref="A1:H13"/>
  <sheetViews>
    <sheetView workbookViewId="0">
      <selection activeCell="F1" activeCellId="1" sqref="A1:A1048576 F1:H1048576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5" bestFit="1" customWidth="1"/>
    <col min="7" max="7" width="14.62890625" style="15" bestFit="1" customWidth="1"/>
    <col min="8" max="8" width="17.20703125" style="1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55000000000000004">
      <c r="A2" t="s">
        <v>8388</v>
      </c>
      <c r="B2">
        <f>COUNTIFS(Sheet1!$F:$F, "=successful", Sheet1!$D:$D, "&gt;=0", Sheet1!$D:$D, "&lt;=1000")</f>
        <v>438</v>
      </c>
      <c r="C2">
        <f>COUNTIFS(Sheet1!$F:$F, "=failed", Sheet1!$D:$D, "&gt;=0", Sheet1!$D:$D, "&lt;=1000")</f>
        <v>176</v>
      </c>
      <c r="D2">
        <f>COUNTIFS(Sheet1!$F:$F, "=canceled", Sheet1!$D:$D, "&gt;=0", Sheet1!$D:$D, "&lt;=1000")</f>
        <v>26</v>
      </c>
      <c r="E2">
        <f>SUM(B2, C2, D2)</f>
        <v>640</v>
      </c>
      <c r="F2" s="15">
        <f>(B2/E2)</f>
        <v>0.68437499999999996</v>
      </c>
      <c r="G2" s="15">
        <f>C2/E2</f>
        <v>0.27500000000000002</v>
      </c>
      <c r="H2" s="15">
        <f>D2/E2</f>
        <v>4.0625000000000001E-2</v>
      </c>
    </row>
    <row r="3" spans="1:8" x14ac:dyDescent="0.55000000000000004">
      <c r="A3" t="s">
        <v>8399</v>
      </c>
      <c r="B3">
        <f>COUNTIFS(Sheet1!$F:$F, "=successful", Sheet1!$D:$D, "&gt;=1000", Sheet1!$D:$D, "&lt;=4999")</f>
        <v>932</v>
      </c>
      <c r="C3">
        <f>COUNTIFS(Sheet1!$F:$F, "=failed", Sheet1!$D:$D, "&gt;=1000", Sheet1!$D:$D, "&lt;=4999")</f>
        <v>420</v>
      </c>
      <c r="D3">
        <f>COUNTIFS(Sheet1!$F:$F, "=canceled", Sheet1!$D:$D, "&gt;=1000", Sheet1!$D:$D, "&lt;=4999")</f>
        <v>60</v>
      </c>
      <c r="E3">
        <f t="shared" ref="E3:E13" si="0">SUM(B3, C3, 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55000000000000004">
      <c r="A4" t="s">
        <v>8389</v>
      </c>
      <c r="B4">
        <f>COUNTIFS(Sheet1!$F:$F, "=successful", Sheet1!$D:$D, "&gt;=5000", Sheet1!$D:$D, "&lt;=9999")</f>
        <v>381</v>
      </c>
      <c r="C4">
        <f>COUNTIFS(Sheet1!$F:$F, "=failed", Sheet1!$D:$D, "&gt;=5000", Sheet1!$D:$D, "&lt;=9999")</f>
        <v>283</v>
      </c>
      <c r="D4">
        <f>COUNTIFS(Sheet1!$F:$F, "=canceled", Sheet1!$D:$D, "&gt;=5000", Sheet1!$D:$D,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55000000000000004">
      <c r="A5" t="s">
        <v>8390</v>
      </c>
      <c r="B5">
        <f>COUNTIFS(Sheet1!$F:$F, "=successful", Sheet1!$D:$D, "&gt;=10000", Sheet1!$D:$D, "&lt;=14999")</f>
        <v>168</v>
      </c>
      <c r="C5">
        <f>COUNTIFS(Sheet1!$F:$F, "=failed", Sheet1!$D:$D, "&gt;=10000", Sheet1!$D:$D, "&lt;=14999")</f>
        <v>144</v>
      </c>
      <c r="D5">
        <f>COUNTIFS(Sheet1!$F:$F, "=canceled", Sheet1!$D:$D, "&gt;=10000", Sheet1!$D:$D,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55000000000000004">
      <c r="A6" t="s">
        <v>8391</v>
      </c>
      <c r="B6">
        <f>COUNTIFS(Sheet1!$F:$F, "=successful", Sheet1!$D:$D, "&gt;=15000", Sheet1!$D:$D, "&lt;=19999")</f>
        <v>94</v>
      </c>
      <c r="C6">
        <f>COUNTIFS(Sheet1!$F:$F, "=failed", Sheet1!$D:$D, "&gt;=15000", Sheet1!$D:$D, "&lt;=19999")</f>
        <v>90</v>
      </c>
      <c r="D6">
        <f>COUNTIFS(Sheet1!$F:$F, "=canceled", Sheet1!$D:$D, "&gt;=15000", Sheet1!$D:$D,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55000000000000004">
      <c r="A7" t="s">
        <v>8392</v>
      </c>
      <c r="B7">
        <f>COUNTIFS(Sheet1!$F:$F, "=successful", Sheet1!$D:$D, "&gt;=20000", Sheet1!$D:$D, "&lt;=24999")</f>
        <v>62</v>
      </c>
      <c r="C7">
        <f>COUNTIFS(Sheet1!$F:$F, "=failed", Sheet1!$D:$D, "&gt;=20000", Sheet1!$D:$D, "&lt;=24999")</f>
        <v>72</v>
      </c>
      <c r="D7">
        <f>COUNTIFS(Sheet1!$F:$F, "=canceled", Sheet1!$D:$D, "&gt;=20000", Sheet1!$D:$D,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55000000000000004">
      <c r="A8" t="s">
        <v>8393</v>
      </c>
      <c r="B8">
        <f>COUNTIFS(Sheet1!$F:$F, "=successful", Sheet1!$D:$D, "&gt;=25000", Sheet1!$D:$D, "&lt;=29999")</f>
        <v>55</v>
      </c>
      <c r="C8">
        <f>COUNTIFS(Sheet1!$F:$F, "=failed", Sheet1!$D:$D, "&gt;=25000", Sheet1!$D:$D, "&lt;=29999")</f>
        <v>64</v>
      </c>
      <c r="D8">
        <f>COUNTIFS(Sheet1!$F:$F, "=canceled", Sheet1!$D:$D, "&gt;=25000", Sheet1!$D:$D,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55000000000000004">
      <c r="A9" t="s">
        <v>8394</v>
      </c>
      <c r="B9">
        <f>COUNTIFS(Sheet1!$F:$F, "=successful", Sheet1!$D:$D, "&gt;=30000", Sheet1!$D:$D, "&lt;=34999")</f>
        <v>32</v>
      </c>
      <c r="C9">
        <f>COUNTIFS(Sheet1!$F:$F, "=failed", Sheet1!$D:$D, "&gt;=30000", Sheet1!$D:$D, "&lt;=34999")</f>
        <v>37</v>
      </c>
      <c r="D9">
        <f>COUNTIFS(Sheet1!$F:$F, "=canceled", Sheet1!$D:$D, "&gt;=30000", Sheet1!$D:$D,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55000000000000004">
      <c r="A10" t="s">
        <v>8395</v>
      </c>
      <c r="B10">
        <f>COUNTIFS(Sheet1!$F:$F, "=successful", Sheet1!$D:$D, "&gt;=35000", Sheet1!$D:$D, "&lt;=39999")</f>
        <v>26</v>
      </c>
      <c r="C10">
        <f>COUNTIFS(Sheet1!$F:$F, "=failed", Sheet1!$D:$D, "&gt;=35000", Sheet1!$D:$D, "&lt;=39999")</f>
        <v>22</v>
      </c>
      <c r="D10">
        <f>COUNTIFS(Sheet1!$F:$F, "=canceled", Sheet1!$D:$D, "&gt;=35000", Sheet1!$D:$D,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55000000000000004">
      <c r="A11" t="s">
        <v>8396</v>
      </c>
      <c r="B11">
        <f>COUNTIFS(Sheet1!$F:$F, "=successful", Sheet1!$D:$D, "&gt;=40000", Sheet1!$D:$D, "&lt;=44999")</f>
        <v>21</v>
      </c>
      <c r="C11">
        <f>COUNTIFS(Sheet1!$F:$F, "=failed", Sheet1!$D:$D, "&gt;=40000", Sheet1!$D:$D, "&lt;=44999")</f>
        <v>16</v>
      </c>
      <c r="D11">
        <f>COUNTIFS(Sheet1!$F:$F, "=canceled", Sheet1!$D:$D, "&gt;=40000", Sheet1!$D:$D,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55000000000000004">
      <c r="A12" t="s">
        <v>8397</v>
      </c>
      <c r="B12">
        <f>COUNTIFS(Sheet1!$F:$F, "=successful", Sheet1!$D:$D, "&gt;=45000", Sheet1!$D:$D, "&lt;=49999")</f>
        <v>6</v>
      </c>
      <c r="C12">
        <f>COUNTIFS(Sheet1!$F:$F, "=failed", Sheet1!$D:$D, "&gt;=45000", Sheet1!$D:$D, "&lt;=49999")</f>
        <v>11</v>
      </c>
      <c r="D12">
        <f>COUNTIFS(Sheet1!$F:$F, "=canceled", Sheet1!$D:$D, "&gt;=45000", Sheet1!$D:$D,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55000000000000004">
      <c r="A13" t="s">
        <v>8398</v>
      </c>
      <c r="B13">
        <f>COUNTIFS(Sheet1!$F:$F, "=successful", Sheet1!$D:$D, "&gt;=50000")</f>
        <v>86</v>
      </c>
      <c r="C13">
        <f>COUNTIFS(Sheet1!$F:$F, "=failed", Sheet1!$D:$D, "&gt;=50000")</f>
        <v>258</v>
      </c>
      <c r="D13">
        <f>COUNTIFS(Sheet1!$F:$F, "=canceled", Sheet1!$D:$D,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FF86-771A-499D-A77C-E5F35510F3D0}">
  <dimension ref="A1:I2186"/>
  <sheetViews>
    <sheetView workbookViewId="0">
      <selection activeCell="I17" sqref="I17"/>
    </sheetView>
  </sheetViews>
  <sheetFormatPr defaultRowHeight="14.4" x14ac:dyDescent="0.55000000000000004"/>
  <cols>
    <col min="2" max="2" width="12.47265625" bestFit="1" customWidth="1"/>
    <col min="5" max="5" width="12.47265625" bestFit="1" customWidth="1"/>
    <col min="8" max="8" width="21.89453125" bestFit="1" customWidth="1"/>
  </cols>
  <sheetData>
    <row r="1" spans="1:9" x14ac:dyDescent="0.55000000000000004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H2" t="s">
        <v>8400</v>
      </c>
      <c r="I2">
        <f>AVERAGE($B$2:$B$2186)</f>
        <v>194.42517162471395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H3" t="s">
        <v>8401</v>
      </c>
      <c r="I3">
        <f>MEDIAN($B$2:$B$2186)</f>
        <v>62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H4" t="s">
        <v>8402</v>
      </c>
      <c r="I4">
        <f>MIN($B$2:$B$2186)</f>
        <v>1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H5" t="s">
        <v>8403</v>
      </c>
      <c r="I5">
        <f>MAX($B$2:$B$2186)</f>
        <v>26457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H6" t="s">
        <v>8404</v>
      </c>
      <c r="I6">
        <f>_xlfn.VAR.P($B$2:$B$2186)</f>
        <v>712840.9867348104</v>
      </c>
    </row>
    <row r="7" spans="1:9" x14ac:dyDescent="0.55000000000000004">
      <c r="A7" t="s">
        <v>8219</v>
      </c>
      <c r="B7">
        <v>47</v>
      </c>
      <c r="D7" t="s">
        <v>8221</v>
      </c>
      <c r="E7">
        <v>0</v>
      </c>
      <c r="H7" t="s">
        <v>8405</v>
      </c>
      <c r="I7">
        <f>_xlfn.STDEV.P($B$2:$B$2186)</f>
        <v>844.29910975602149</v>
      </c>
    </row>
    <row r="8" spans="1:9" x14ac:dyDescent="0.55000000000000004">
      <c r="A8" t="s">
        <v>8219</v>
      </c>
      <c r="B8">
        <v>58</v>
      </c>
      <c r="D8" t="s">
        <v>8221</v>
      </c>
      <c r="E8">
        <v>1</v>
      </c>
    </row>
    <row r="9" spans="1:9" x14ac:dyDescent="0.55000000000000004">
      <c r="A9" t="s">
        <v>8219</v>
      </c>
      <c r="B9">
        <v>57</v>
      </c>
      <c r="D9" t="s">
        <v>8221</v>
      </c>
      <c r="E9">
        <v>2</v>
      </c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  <c r="H11" t="s">
        <v>8406</v>
      </c>
      <c r="I11">
        <f>AVERAGE($E$2:$E$1531)</f>
        <v>17.709803921568628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  <c r="H12" t="s">
        <v>8407</v>
      </c>
      <c r="I12">
        <f>MEDIAN($E$2:$E$1531)</f>
        <v>4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  <c r="H13" t="s">
        <v>8408</v>
      </c>
      <c r="I13">
        <f>MIN($E$2:$E$1531)</f>
        <v>0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  <c r="H14" t="s">
        <v>8409</v>
      </c>
      <c r="I14">
        <f>MAX($E$2:$E$1531)</f>
        <v>1293</v>
      </c>
    </row>
    <row r="15" spans="1:9" x14ac:dyDescent="0.55000000000000004">
      <c r="A15" t="s">
        <v>8219</v>
      </c>
      <c r="B15">
        <v>51</v>
      </c>
      <c r="D15" t="s">
        <v>8221</v>
      </c>
      <c r="E15">
        <v>0</v>
      </c>
      <c r="H15" t="s">
        <v>8410</v>
      </c>
      <c r="I15">
        <f>_xlfn.VAR.P($E$2:$E$1531)</f>
        <v>3773.2216685890044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  <c r="H16" t="s">
        <v>8411</v>
      </c>
      <c r="I16">
        <f>_xlfn.STDEV.P($E$2:$E$1531)</f>
        <v>61.426555076684906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1:A1046647">
    <cfRule type="cellIs" dxfId="7" priority="6" operator="equal">
      <formula>"failed"</formula>
    </cfRule>
    <cfRule type="cellIs" dxfId="6" priority="7" operator="equal">
      <formula>"live"</formula>
    </cfRule>
    <cfRule type="cellIs" dxfId="5" priority="8" operator="equal">
      <formula>"canceled"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5992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by Category</vt:lpstr>
      <vt:lpstr>Pivot Table by Sub-Category</vt:lpstr>
      <vt:lpstr>Pivot Table by State</vt:lpstr>
      <vt:lpstr>Percentage of State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Garcia</cp:lastModifiedBy>
  <dcterms:created xsi:type="dcterms:W3CDTF">2017-04-20T15:17:24Z</dcterms:created>
  <dcterms:modified xsi:type="dcterms:W3CDTF">2021-06-26T04:28:08Z</dcterms:modified>
</cp:coreProperties>
</file>