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8acb204d244835/Documents/"/>
    </mc:Choice>
  </mc:AlternateContent>
  <xr:revisionPtr revIDLastSave="12638" documentId="8_{E4602250-6D05-46E5-BB7C-7F1574906509}" xr6:coauthVersionLast="45" xr6:coauthVersionMax="45" xr10:uidLastSave="{1DAAFE9A-F1A9-41F6-881F-9FB90AC1D026}"/>
  <bookViews>
    <workbookView xWindow="-110" yWindow="-110" windowWidth="19420" windowHeight="10420" tabRatio="999" firstSheet="1" activeTab="1" xr2:uid="{9FE2BCC9-518B-40CD-B22F-4073D4254B89}"/>
  </bookViews>
  <sheets>
    <sheet name="Binomial Distribution" sheetId="7" r:id="rId1"/>
    <sheet name="Normal Distribution" sheetId="9" r:id="rId2"/>
    <sheet name="Speakers Optimization" sheetId="2" r:id="rId3"/>
    <sheet name="Scenario Manager Stocks" sheetId="3" r:id="rId4"/>
    <sheet name="Risk and Scenario Manager" sheetId="6" r:id="rId5"/>
    <sheet name="Stargrove Bernoulli" sheetId="10" r:id="rId6"/>
    <sheet name="Stargrove Norm Dist." sheetId="11" r:id="rId7"/>
    <sheet name="Depreciation tax calc" sheetId="20" r:id="rId8"/>
    <sheet name="NPV IRR Calc" sheetId="12" r:id="rId9"/>
    <sheet name="Initial Investment" sheetId="14" r:id="rId10"/>
    <sheet name="Operating Phase" sheetId="15" r:id="rId11"/>
    <sheet name="Terminal Phase" sheetId="16" r:id="rId12"/>
    <sheet name="Balance Sheet Equation" sheetId="21" r:id="rId13"/>
    <sheet name="Master Sheet" sheetId="24" r:id="rId14"/>
    <sheet name="Balance Sheet Parts" sheetId="22" r:id="rId15"/>
    <sheet name="Income Statement" sheetId="23" r:id="rId16"/>
  </sheets>
  <definedNames>
    <definedName name="_xlnm._FilterDatabase" localSheetId="2" hidden="1">'Speakers Optimization'!#REF!</definedName>
    <definedName name="Aec" localSheetId="2">'Speakers Optimization'!$C$9</definedName>
    <definedName name="Aei" localSheetId="2">'Speakers Optimization'!$B$9</definedName>
    <definedName name="Asc" localSheetId="2">'Speakers Optimization'!$C$8</definedName>
    <definedName name="Asi" localSheetId="2">'Speakers Optimization'!$B$8</definedName>
    <definedName name="solver_adj" localSheetId="7" hidden="1">'Depreciation tax calc'!$I$2</definedName>
    <definedName name="solver_adj" localSheetId="8" hidden="1">'NPV IRR Calc'!$I$6</definedName>
    <definedName name="solver_adj" localSheetId="3" hidden="1">'Scenario Manager Stocks'!$C$5:$D$5</definedName>
    <definedName name="solver_adj" localSheetId="2" hidden="1">'Speakers Optimization'!$B$8:$C$9</definedName>
    <definedName name="solver_cvg" localSheetId="7" hidden="1">0.0001</definedName>
    <definedName name="solver_cvg" localSheetId="8" hidden="1">0.0001</definedName>
    <definedName name="solver_cvg" localSheetId="3" hidden="1">0.0001</definedName>
    <definedName name="solver_cvg" localSheetId="2" hidden="1">0.0001</definedName>
    <definedName name="solver_drv" localSheetId="7" hidden="1">1</definedName>
    <definedName name="solver_drv" localSheetId="8" hidden="1">1</definedName>
    <definedName name="solver_drv" localSheetId="3" hidden="1">2</definedName>
    <definedName name="solver_drv" localSheetId="2" hidden="1">1</definedName>
    <definedName name="solver_eng" localSheetId="7" hidden="1">1</definedName>
    <definedName name="solver_eng" localSheetId="8" hidden="1">1</definedName>
    <definedName name="solver_eng" localSheetId="3" hidden="1">1</definedName>
    <definedName name="solver_eng" localSheetId="2" hidden="1">1</definedName>
    <definedName name="solver_est" localSheetId="7" hidden="1">1</definedName>
    <definedName name="solver_est" localSheetId="8" hidden="1">1</definedName>
    <definedName name="solver_est" localSheetId="3" hidden="1">1</definedName>
    <definedName name="solver_est" localSheetId="2" hidden="1">1</definedName>
    <definedName name="solver_itr" localSheetId="7" hidden="1">2147483647</definedName>
    <definedName name="solver_itr" localSheetId="8" hidden="1">2147483647</definedName>
    <definedName name="solver_itr" localSheetId="3" hidden="1">2147483647</definedName>
    <definedName name="solver_itr" localSheetId="2" hidden="1">2147483647</definedName>
    <definedName name="solver_lhs0" localSheetId="3" hidden="1">'Scenario Manager Stocks'!$K$4</definedName>
    <definedName name="solver_lhs1" localSheetId="7" hidden="1">'Depreciation tax calc'!$I$2</definedName>
    <definedName name="solver_lhs1" localSheetId="8" hidden="1">'NPV IRR Calc'!#REF!</definedName>
    <definedName name="solver_lhs1" localSheetId="3" hidden="1">'Scenario Manager Stocks'!$G$5</definedName>
    <definedName name="solver_lhs1" localSheetId="2" hidden="1">'Speakers Optimization'!$F$12</definedName>
    <definedName name="solver_lhs2" localSheetId="7" hidden="1">'Depreciation tax calc'!$I$2</definedName>
    <definedName name="solver_lhs2" localSheetId="3" hidden="1">'Scenario Manager Stocks'!$G$5</definedName>
    <definedName name="solver_lhs2" localSheetId="2" hidden="1">'Speakers Optimization'!$F$8</definedName>
    <definedName name="solver_lhs3" localSheetId="3" hidden="1">'Scenario Manager Stocks'!$C$5:$E$5</definedName>
    <definedName name="solver_lhs3" localSheetId="2" hidden="1">'Speakers Optimization'!$F$9</definedName>
    <definedName name="solver_lhs4" localSheetId="3" hidden="1">'Scenario Manager Stocks'!#REF!</definedName>
    <definedName name="solver_lhs4" localSheetId="2" hidden="1">'Speakers Optimization'!$I$11</definedName>
    <definedName name="solver_mip" localSheetId="7" hidden="1">2147483647</definedName>
    <definedName name="solver_mip" localSheetId="8" hidden="1">2147483647</definedName>
    <definedName name="solver_mip" localSheetId="3" hidden="1">2147483647</definedName>
    <definedName name="solver_mip" localSheetId="2" hidden="1">2147483647</definedName>
    <definedName name="solver_mni" localSheetId="7" hidden="1">30</definedName>
    <definedName name="solver_mni" localSheetId="8" hidden="1">30</definedName>
    <definedName name="solver_mni" localSheetId="3" hidden="1">30</definedName>
    <definedName name="solver_mni" localSheetId="2" hidden="1">30</definedName>
    <definedName name="solver_mrt" localSheetId="7" hidden="1">0.075</definedName>
    <definedName name="solver_mrt" localSheetId="8" hidden="1">0.075</definedName>
    <definedName name="solver_mrt" localSheetId="3" hidden="1">0.075</definedName>
    <definedName name="solver_mrt" localSheetId="2" hidden="1">0.075</definedName>
    <definedName name="solver_msl" localSheetId="7" hidden="1">2</definedName>
    <definedName name="solver_msl" localSheetId="8" hidden="1">2</definedName>
    <definedName name="solver_msl" localSheetId="3" hidden="1">2</definedName>
    <definedName name="solver_msl" localSheetId="2" hidden="1">2</definedName>
    <definedName name="solver_neg" localSheetId="7" hidden="1">2</definedName>
    <definedName name="solver_neg" localSheetId="8" hidden="1">2</definedName>
    <definedName name="solver_neg" localSheetId="3" hidden="1">1</definedName>
    <definedName name="solver_neg" localSheetId="2" hidden="1">1</definedName>
    <definedName name="solver_nod" localSheetId="7" hidden="1">2147483647</definedName>
    <definedName name="solver_nod" localSheetId="8" hidden="1">2147483647</definedName>
    <definedName name="solver_nod" localSheetId="3" hidden="1">2147483647</definedName>
    <definedName name="solver_nod" localSheetId="2" hidden="1">2147483647</definedName>
    <definedName name="solver_num" localSheetId="7" hidden="1">2</definedName>
    <definedName name="solver_num" localSheetId="8" hidden="1">0</definedName>
    <definedName name="solver_num" localSheetId="3" hidden="1">1</definedName>
    <definedName name="solver_num" localSheetId="2" hidden="1">4</definedName>
    <definedName name="solver_nwt" localSheetId="7" hidden="1">1</definedName>
    <definedName name="solver_nwt" localSheetId="8" hidden="1">1</definedName>
    <definedName name="solver_nwt" localSheetId="3" hidden="1">1</definedName>
    <definedName name="solver_nwt" localSheetId="2" hidden="1">1</definedName>
    <definedName name="solver_opt" localSheetId="7" hidden="1">'Depreciation tax calc'!$I$2</definedName>
    <definedName name="solver_opt" localSheetId="8" hidden="1">'NPV IRR Calc'!#REF!</definedName>
    <definedName name="solver_opt" localSheetId="3" hidden="1">'Scenario Manager Stocks'!$J$4</definedName>
    <definedName name="solver_opt" localSheetId="2" hidden="1">'Speakers Optimization'!$F$4</definedName>
    <definedName name="solver_pre" localSheetId="7" hidden="1">0.000001</definedName>
    <definedName name="solver_pre" localSheetId="8" hidden="1">0.000001</definedName>
    <definedName name="solver_pre" localSheetId="3" hidden="1">0.000001</definedName>
    <definedName name="solver_pre" localSheetId="2" hidden="1">0.000001</definedName>
    <definedName name="solver_rbv" localSheetId="7" hidden="1">1</definedName>
    <definedName name="solver_rbv" localSheetId="8" hidden="1">1</definedName>
    <definedName name="solver_rbv" localSheetId="3" hidden="1">2</definedName>
    <definedName name="solver_rbv" localSheetId="2" hidden="1">1</definedName>
    <definedName name="solver_rel0" localSheetId="3" hidden="1">1</definedName>
    <definedName name="solver_rel1" localSheetId="7" hidden="1">1</definedName>
    <definedName name="solver_rel1" localSheetId="8" hidden="1">2</definedName>
    <definedName name="solver_rel1" localSheetId="3" hidden="1">1</definedName>
    <definedName name="solver_rel1" localSheetId="2" hidden="1">3</definedName>
    <definedName name="solver_rel2" localSheetId="7" hidden="1">3</definedName>
    <definedName name="solver_rel2" localSheetId="3" hidden="1">1</definedName>
    <definedName name="solver_rel2" localSheetId="2" hidden="1">3</definedName>
    <definedName name="solver_rel3" localSheetId="3" hidden="1">1</definedName>
    <definedName name="solver_rel3" localSheetId="2" hidden="1">3</definedName>
    <definedName name="solver_rel4" localSheetId="3" hidden="1">1</definedName>
    <definedName name="solver_rel4" localSheetId="2" hidden="1">1</definedName>
    <definedName name="solver_rhs0" localSheetId="3" hidden="1">1000</definedName>
    <definedName name="solver_rhs1" localSheetId="7" hidden="1">-'Depreciation tax calc'!$C$6</definedName>
    <definedName name="solver_rhs1" localSheetId="8" hidden="1">0</definedName>
    <definedName name="solver_rhs1" localSheetId="3" hidden="1">'Scenario Manager Stocks'!$K$4</definedName>
    <definedName name="solver_rhs1" localSheetId="2" hidden="1">'Speakers Optimization'!$I$4</definedName>
    <definedName name="solver_rhs2" localSheetId="7" hidden="1">0</definedName>
    <definedName name="solver_rhs2" localSheetId="3" hidden="1">'Scenario Manager Stocks'!$K$4</definedName>
    <definedName name="solver_rhs2" localSheetId="2" hidden="1">'Speakers Optimization'!$I$6</definedName>
    <definedName name="solver_rhs3" localSheetId="3" hidden="1">500</definedName>
    <definedName name="solver_rhs3" localSheetId="2" hidden="1">'Speakers Optimization'!$I$5</definedName>
    <definedName name="solver_rhs4" localSheetId="3" hidden="1">1000</definedName>
    <definedName name="solver_rhs4" localSheetId="2" hidden="1">'Speakers Optimization'!$I$10</definedName>
    <definedName name="solver_rlx" localSheetId="7" hidden="1">2</definedName>
    <definedName name="solver_rlx" localSheetId="8" hidden="1">2</definedName>
    <definedName name="solver_rlx" localSheetId="3" hidden="1">2</definedName>
    <definedName name="solver_rlx" localSheetId="2" hidden="1">2</definedName>
    <definedName name="solver_rsd" localSheetId="7" hidden="1">0</definedName>
    <definedName name="solver_rsd" localSheetId="8" hidden="1">0</definedName>
    <definedName name="solver_rsd" localSheetId="3" hidden="1">0</definedName>
    <definedName name="solver_rsd" localSheetId="2" hidden="1">0</definedName>
    <definedName name="solver_scl" localSheetId="7" hidden="1">1</definedName>
    <definedName name="solver_scl" localSheetId="8" hidden="1">1</definedName>
    <definedName name="solver_scl" localSheetId="3" hidden="1">2</definedName>
    <definedName name="solver_scl" localSheetId="2" hidden="1">1</definedName>
    <definedName name="solver_sho" localSheetId="7" hidden="1">2</definedName>
    <definedName name="solver_sho" localSheetId="8" hidden="1">2</definedName>
    <definedName name="solver_sho" localSheetId="3" hidden="1">2</definedName>
    <definedName name="solver_sho" localSheetId="2" hidden="1">2</definedName>
    <definedName name="solver_ssz" localSheetId="7" hidden="1">100</definedName>
    <definedName name="solver_ssz" localSheetId="8" hidden="1">100</definedName>
    <definedName name="solver_ssz" localSheetId="3" hidden="1">100</definedName>
    <definedName name="solver_ssz" localSheetId="2" hidden="1">100</definedName>
    <definedName name="solver_tim" localSheetId="7" hidden="1">2147483647</definedName>
    <definedName name="solver_tim" localSheetId="8" hidden="1">2147483647</definedName>
    <definedName name="solver_tim" localSheetId="3" hidden="1">2147483647</definedName>
    <definedName name="solver_tim" localSheetId="2" hidden="1">2147483647</definedName>
    <definedName name="solver_tol" localSheetId="7" hidden="1">0.01</definedName>
    <definedName name="solver_tol" localSheetId="8" hidden="1">0.01</definedName>
    <definedName name="solver_tol" localSheetId="3" hidden="1">0.01</definedName>
    <definedName name="solver_tol" localSheetId="2" hidden="1">0.01</definedName>
    <definedName name="solver_typ" localSheetId="7" hidden="1">1</definedName>
    <definedName name="solver_typ" localSheetId="8" hidden="1">3</definedName>
    <definedName name="solver_typ" localSheetId="3" hidden="1">1</definedName>
    <definedName name="solver_typ" localSheetId="2" hidden="1">1</definedName>
    <definedName name="solver_val" localSheetId="7" hidden="1">0</definedName>
    <definedName name="solver_val" localSheetId="8" hidden="1">0</definedName>
    <definedName name="solver_val" localSheetId="3" hidden="1">0</definedName>
    <definedName name="solver_val" localSheetId="2" hidden="1">0</definedName>
    <definedName name="solver_ver" localSheetId="7" hidden="1">3</definedName>
    <definedName name="solver_ver" localSheetId="8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24" l="1"/>
  <c r="I24" i="24" s="1"/>
  <c r="L24" i="24"/>
  <c r="L23" i="24"/>
  <c r="L22" i="24"/>
  <c r="L19" i="24"/>
  <c r="L14" i="24"/>
  <c r="L15" i="24"/>
  <c r="D17" i="24"/>
  <c r="C24" i="24"/>
  <c r="D24" i="24"/>
  <c r="E24" i="24"/>
  <c r="F24" i="24"/>
  <c r="G2" i="24"/>
  <c r="H12" i="24"/>
  <c r="H11" i="24"/>
  <c r="H24" i="24" s="1"/>
  <c r="L9" i="24"/>
  <c r="F8" i="24"/>
  <c r="K6" i="24"/>
  <c r="K24" i="24" s="1"/>
  <c r="C26" i="24" l="1"/>
  <c r="H26" i="24"/>
  <c r="K26" i="24"/>
  <c r="C11" i="21"/>
  <c r="F10" i="21"/>
  <c r="H9" i="21"/>
  <c r="H10" i="21"/>
  <c r="F8" i="21"/>
  <c r="F11" i="21" s="1"/>
  <c r="F9" i="21"/>
  <c r="H8" i="21"/>
  <c r="H11" i="21" s="1"/>
  <c r="C4" i="21"/>
  <c r="H5" i="21"/>
  <c r="E21" i="23"/>
  <c r="E23" i="23" s="1"/>
  <c r="E25" i="23" s="1"/>
  <c r="E27" i="23" s="1"/>
  <c r="D7" i="20" l="1"/>
  <c r="C22" i="20"/>
  <c r="I7" i="20"/>
  <c r="C9" i="20"/>
  <c r="F21" i="20" l="1"/>
  <c r="F23" i="20" s="1"/>
  <c r="F25" i="20" s="1"/>
  <c r="F22" i="20" s="1"/>
  <c r="G21" i="20"/>
  <c r="G23" i="20" s="1"/>
  <c r="G25" i="20" s="1"/>
  <c r="G22" i="20" s="1"/>
  <c r="H21" i="20"/>
  <c r="H23" i="20" s="1"/>
  <c r="H25" i="20" s="1"/>
  <c r="H22" i="20" s="1"/>
  <c r="E21" i="20"/>
  <c r="E23" i="20" s="1"/>
  <c r="E25" i="20" s="1"/>
  <c r="E22" i="20" s="1"/>
  <c r="D21" i="20"/>
  <c r="D23" i="20" s="1"/>
  <c r="C25" i="20"/>
  <c r="N21" i="20"/>
  <c r="I21" i="20"/>
  <c r="I23" i="20" s="1"/>
  <c r="F7" i="20"/>
  <c r="C11" i="20"/>
  <c r="I25" i="20" l="1"/>
  <c r="I22" i="20" s="1"/>
  <c r="D25" i="20"/>
  <c r="D22" i="20" s="1"/>
  <c r="L21" i="20"/>
  <c r="I9" i="20"/>
  <c r="C8" i="20"/>
  <c r="N7" i="20"/>
  <c r="H7" i="20"/>
  <c r="H9" i="20" s="1"/>
  <c r="H11" i="20" s="1"/>
  <c r="H8" i="20" s="1"/>
  <c r="G7" i="20"/>
  <c r="G9" i="20" s="1"/>
  <c r="G11" i="20" s="1"/>
  <c r="G8" i="20" s="1"/>
  <c r="F9" i="20"/>
  <c r="F11" i="20" s="1"/>
  <c r="F8" i="20" s="1"/>
  <c r="E7" i="20"/>
  <c r="E9" i="20" s="1"/>
  <c r="E11" i="20" s="1"/>
  <c r="E8" i="20" s="1"/>
  <c r="F15" i="15"/>
  <c r="I15" i="15"/>
  <c r="I7" i="12"/>
  <c r="I9" i="12" s="1"/>
  <c r="I11" i="12" s="1"/>
  <c r="I8" i="12" s="1"/>
  <c r="C11" i="12"/>
  <c r="D7" i="12"/>
  <c r="E7" i="12"/>
  <c r="E9" i="12" s="1"/>
  <c r="E11" i="12" s="1"/>
  <c r="E8" i="12" s="1"/>
  <c r="F7" i="12"/>
  <c r="F9" i="12" s="1"/>
  <c r="F11" i="12" s="1"/>
  <c r="F8" i="12" s="1"/>
  <c r="G7" i="12"/>
  <c r="G9" i="12" s="1"/>
  <c r="G11" i="12" s="1"/>
  <c r="G8" i="12" s="1"/>
  <c r="H7" i="12"/>
  <c r="H9" i="12" s="1"/>
  <c r="H11" i="12" s="1"/>
  <c r="H8" i="12" s="1"/>
  <c r="D9" i="20" l="1"/>
  <c r="D11" i="20" s="1"/>
  <c r="D8" i="20" s="1"/>
  <c r="M21" i="20"/>
  <c r="K21" i="20"/>
  <c r="I11" i="20"/>
  <c r="I8" i="20" s="1"/>
  <c r="D9" i="12"/>
  <c r="D11" i="12" s="1"/>
  <c r="I20" i="15"/>
  <c r="K20" i="15" s="1"/>
  <c r="E8" i="15"/>
  <c r="M7" i="20" l="1"/>
  <c r="L7" i="20"/>
  <c r="K7" i="20"/>
  <c r="K7" i="12"/>
  <c r="D8" i="12"/>
  <c r="M7" i="12" s="1"/>
  <c r="L7" i="12"/>
  <c r="N7" i="12"/>
  <c r="C7" i="12" l="1"/>
  <c r="H6" i="15" l="1"/>
  <c r="M6" i="15"/>
  <c r="C8" i="12" l="1"/>
  <c r="G11" i="10" l="1"/>
  <c r="G5" i="10"/>
  <c r="G4" i="10"/>
  <c r="E24" i="11"/>
  <c r="E23" i="11"/>
  <c r="C19" i="11" l="1"/>
  <c r="D19" i="11"/>
  <c r="E19" i="11"/>
  <c r="F19" i="11"/>
  <c r="G19" i="11"/>
  <c r="H19" i="11"/>
  <c r="I19" i="11"/>
  <c r="B19" i="11"/>
  <c r="K4" i="11" l="1"/>
  <c r="I10" i="11"/>
  <c r="I11" i="11"/>
  <c r="I12" i="11"/>
  <c r="I13" i="11"/>
  <c r="I14" i="11"/>
  <c r="I15" i="11"/>
  <c r="I16" i="11"/>
  <c r="I17" i="11"/>
  <c r="I18" i="11"/>
  <c r="I9" i="11"/>
  <c r="D9" i="11" l="1"/>
  <c r="F9" i="11" s="1"/>
  <c r="H9" i="11" s="1"/>
  <c r="H4" i="10" l="1"/>
  <c r="G4" i="11" l="1"/>
  <c r="E9" i="11"/>
  <c r="G9" i="11" s="1"/>
  <c r="E10" i="11"/>
  <c r="G10" i="11" s="1"/>
  <c r="E11" i="11"/>
  <c r="G11" i="11" s="1"/>
  <c r="E12" i="11"/>
  <c r="G12" i="11" s="1"/>
  <c r="E13" i="11"/>
  <c r="G13" i="11" s="1"/>
  <c r="E14" i="11"/>
  <c r="G14" i="11" s="1"/>
  <c r="E15" i="11"/>
  <c r="G15" i="11" s="1"/>
  <c r="E16" i="11"/>
  <c r="G16" i="11" s="1"/>
  <c r="E17" i="11"/>
  <c r="G17" i="11" s="1"/>
  <c r="E18" i="11"/>
  <c r="G18" i="11" s="1"/>
  <c r="D10" i="11"/>
  <c r="F10" i="11" s="1"/>
  <c r="H10" i="11" s="1"/>
  <c r="D11" i="11"/>
  <c r="F11" i="11" s="1"/>
  <c r="H11" i="11" s="1"/>
  <c r="D12" i="11"/>
  <c r="F12" i="11" s="1"/>
  <c r="H12" i="11" s="1"/>
  <c r="D13" i="11"/>
  <c r="F13" i="11" s="1"/>
  <c r="H13" i="11" s="1"/>
  <c r="D14" i="11"/>
  <c r="F14" i="11" s="1"/>
  <c r="H14" i="11" s="1"/>
  <c r="D15" i="11"/>
  <c r="F15" i="11" s="1"/>
  <c r="H15" i="11" s="1"/>
  <c r="D16" i="11"/>
  <c r="F16" i="11" s="1"/>
  <c r="H16" i="11" s="1"/>
  <c r="D17" i="11"/>
  <c r="F17" i="11" s="1"/>
  <c r="H17" i="11" s="1"/>
  <c r="D18" i="11"/>
  <c r="F18" i="11" s="1"/>
  <c r="H18" i="11" s="1"/>
  <c r="G5" i="11"/>
  <c r="E9" i="10"/>
  <c r="D9" i="10"/>
  <c r="F7" i="10"/>
  <c r="B11" i="10"/>
  <c r="D11" i="10" s="1"/>
  <c r="G9" i="10"/>
  <c r="E11" i="10"/>
  <c r="I4" i="10" l="1"/>
  <c r="J5" i="11"/>
  <c r="I5" i="11"/>
  <c r="F11" i="10"/>
  <c r="F9" i="10"/>
  <c r="B3" i="9" l="1"/>
  <c r="A3" i="9" s="1"/>
  <c r="B4" i="9" l="1"/>
  <c r="C4" i="7"/>
  <c r="C3" i="7"/>
  <c r="D17" i="7"/>
  <c r="B5" i="9" l="1"/>
  <c r="A4" i="9"/>
  <c r="D4" i="7"/>
  <c r="D3" i="7"/>
  <c r="B6" i="9" l="1"/>
  <c r="A5" i="9"/>
  <c r="B17" i="7"/>
  <c r="B7" i="9" l="1"/>
  <c r="A6" i="9"/>
  <c r="E3" i="7"/>
  <c r="B5" i="7"/>
  <c r="B8" i="9" l="1"/>
  <c r="A7" i="9"/>
  <c r="C5" i="7"/>
  <c r="D5" i="7" s="1"/>
  <c r="E4" i="7"/>
  <c r="B6" i="7"/>
  <c r="C6" i="7" s="1"/>
  <c r="D6" i="7" s="1"/>
  <c r="B7" i="7"/>
  <c r="C7" i="7" s="1"/>
  <c r="D7" i="7" s="1"/>
  <c r="B9" i="9" l="1"/>
  <c r="A8" i="9"/>
  <c r="E5" i="7"/>
  <c r="E6" i="7" s="1"/>
  <c r="B8" i="7"/>
  <c r="C8" i="7" s="1"/>
  <c r="D8" i="7" s="1"/>
  <c r="C9" i="6"/>
  <c r="C12" i="6" s="1"/>
  <c r="D9" i="6"/>
  <c r="D12" i="6" s="1"/>
  <c r="E9" i="6"/>
  <c r="E12" i="6" s="1"/>
  <c r="B9" i="6"/>
  <c r="B12" i="6" s="1"/>
  <c r="G4" i="3"/>
  <c r="G3" i="3"/>
  <c r="D7" i="3"/>
  <c r="E7" i="3"/>
  <c r="E6" i="3"/>
  <c r="D6" i="3"/>
  <c r="C6" i="3"/>
  <c r="E13" i="3" s="1"/>
  <c r="B10" i="9" l="1"/>
  <c r="A9" i="9"/>
  <c r="E7" i="7"/>
  <c r="B9" i="7"/>
  <c r="C9" i="7" s="1"/>
  <c r="D9" i="7" s="1"/>
  <c r="G6" i="3"/>
  <c r="C12" i="3"/>
  <c r="E12" i="3"/>
  <c r="E14" i="3" s="1"/>
  <c r="E8" i="3" s="1"/>
  <c r="E9" i="3" s="1"/>
  <c r="C7" i="3"/>
  <c r="C13" i="3"/>
  <c r="D13" i="3"/>
  <c r="D12" i="3"/>
  <c r="B11" i="9" l="1"/>
  <c r="A10" i="9"/>
  <c r="E8" i="7"/>
  <c r="B10" i="7"/>
  <c r="C10" i="7" s="1"/>
  <c r="D10" i="7" s="1"/>
  <c r="C14" i="3"/>
  <c r="C8" i="3" s="1"/>
  <c r="D14" i="3"/>
  <c r="D8" i="3" s="1"/>
  <c r="D9" i="3" s="1"/>
  <c r="K4" i="3"/>
  <c r="G5" i="3"/>
  <c r="B12" i="9" l="1"/>
  <c r="A11" i="9"/>
  <c r="E9" i="7"/>
  <c r="B11" i="7"/>
  <c r="C11" i="7" s="1"/>
  <c r="D11" i="7" s="1"/>
  <c r="C9" i="3"/>
  <c r="G8" i="3"/>
  <c r="J4" i="3"/>
  <c r="L4" i="3" s="1"/>
  <c r="B13" i="9" l="1"/>
  <c r="A12" i="9"/>
  <c r="E10" i="7"/>
  <c r="B12" i="7"/>
  <c r="C12" i="7" s="1"/>
  <c r="D12" i="7" s="1"/>
  <c r="C12" i="2"/>
  <c r="I11" i="2"/>
  <c r="I12" i="2" s="1"/>
  <c r="B13" i="2"/>
  <c r="C13" i="2"/>
  <c r="B14" i="9" l="1"/>
  <c r="A13" i="9"/>
  <c r="E11" i="7"/>
  <c r="B13" i="7"/>
  <c r="B12" i="2"/>
  <c r="F4" i="2" s="1"/>
  <c r="F11" i="2"/>
  <c r="F9" i="2"/>
  <c r="B15" i="9" l="1"/>
  <c r="A14" i="9"/>
  <c r="C13" i="7"/>
  <c r="D13" i="7" s="1"/>
  <c r="E12" i="7"/>
  <c r="F8" i="2"/>
  <c r="F10" i="2"/>
  <c r="B16" i="9" l="1"/>
  <c r="A15" i="9"/>
  <c r="E13" i="7"/>
  <c r="F12" i="2"/>
  <c r="B17" i="9" l="1"/>
  <c r="A16" i="9"/>
  <c r="F3" i="7"/>
  <c r="B18" i="9" l="1"/>
  <c r="A17" i="9"/>
  <c r="B19" i="9" l="1"/>
  <c r="A18" i="9"/>
  <c r="B20" i="9" l="1"/>
  <c r="A19" i="9"/>
  <c r="B21" i="9" l="1"/>
  <c r="A20" i="9"/>
  <c r="B22" i="9" l="1"/>
  <c r="A21" i="9"/>
  <c r="B23" i="9" l="1"/>
  <c r="A22" i="9"/>
  <c r="B24" i="9" l="1"/>
  <c r="A23" i="9"/>
  <c r="B25" i="9" l="1"/>
  <c r="A24" i="9"/>
  <c r="B26" i="9" l="1"/>
  <c r="A25" i="9"/>
  <c r="B27" i="9" l="1"/>
  <c r="A26" i="9"/>
  <c r="B28" i="9" l="1"/>
  <c r="A27" i="9"/>
  <c r="B29" i="9" l="1"/>
  <c r="A28" i="9"/>
  <c r="B30" i="9" l="1"/>
  <c r="A29" i="9"/>
  <c r="B31" i="9" l="1"/>
  <c r="A30" i="9"/>
  <c r="B32" i="9" l="1"/>
  <c r="A31" i="9"/>
  <c r="B33" i="9" l="1"/>
  <c r="A32" i="9"/>
  <c r="B34" i="9" l="1"/>
  <c r="A33" i="9"/>
  <c r="B35" i="9" l="1"/>
  <c r="A34" i="9"/>
  <c r="B36" i="9" l="1"/>
  <c r="A35" i="9"/>
  <c r="B37" i="9" l="1"/>
  <c r="A36" i="9"/>
  <c r="B38" i="9" l="1"/>
  <c r="A37" i="9"/>
  <c r="B39" i="9" l="1"/>
  <c r="A38" i="9"/>
  <c r="B40" i="9" l="1"/>
  <c r="A39" i="9"/>
  <c r="B41" i="9" l="1"/>
  <c r="A40" i="9"/>
  <c r="B42" i="9" l="1"/>
  <c r="A41" i="9"/>
  <c r="B43" i="9" l="1"/>
  <c r="A42" i="9"/>
  <c r="B44" i="9" l="1"/>
  <c r="A43" i="9"/>
  <c r="B45" i="9" l="1"/>
  <c r="A44" i="9"/>
  <c r="B46" i="9" l="1"/>
  <c r="A45" i="9"/>
  <c r="B47" i="9" l="1"/>
  <c r="A46" i="9"/>
  <c r="B48" i="9" l="1"/>
  <c r="A47" i="9"/>
  <c r="B49" i="9" l="1"/>
  <c r="A48" i="9"/>
  <c r="B50" i="9" l="1"/>
  <c r="A49" i="9"/>
  <c r="B51" i="9" l="1"/>
  <c r="A50" i="9"/>
  <c r="B52" i="9" l="1"/>
  <c r="A51" i="9"/>
  <c r="B53" i="9" l="1"/>
  <c r="A52" i="9"/>
  <c r="B54" i="9" l="1"/>
  <c r="A53" i="9"/>
  <c r="B55" i="9" l="1"/>
  <c r="A54" i="9"/>
  <c r="B56" i="9" l="1"/>
  <c r="A55" i="9"/>
  <c r="B57" i="9" l="1"/>
  <c r="A56" i="9"/>
  <c r="B58" i="9" l="1"/>
  <c r="A57" i="9"/>
  <c r="B59" i="9" l="1"/>
  <c r="A58" i="9"/>
  <c r="B60" i="9" l="1"/>
  <c r="A59" i="9"/>
  <c r="B61" i="9" l="1"/>
  <c r="A60" i="9"/>
  <c r="B62" i="9" l="1"/>
  <c r="A61" i="9"/>
  <c r="B63" i="9" l="1"/>
  <c r="A62" i="9"/>
  <c r="B64" i="9" l="1"/>
  <c r="A63" i="9"/>
  <c r="B65" i="9" l="1"/>
  <c r="A64" i="9"/>
  <c r="B66" i="9" l="1"/>
  <c r="A65" i="9"/>
  <c r="B67" i="9" l="1"/>
  <c r="A66" i="9"/>
  <c r="B68" i="9" l="1"/>
  <c r="A67" i="9"/>
  <c r="B69" i="9" l="1"/>
  <c r="A68" i="9"/>
  <c r="B70" i="9" l="1"/>
  <c r="A69" i="9"/>
  <c r="B71" i="9" l="1"/>
  <c r="A70" i="9"/>
  <c r="B72" i="9" l="1"/>
  <c r="A71" i="9"/>
  <c r="B73" i="9" l="1"/>
  <c r="A72" i="9"/>
  <c r="B74" i="9" l="1"/>
  <c r="A73" i="9"/>
  <c r="B75" i="9" l="1"/>
  <c r="A74" i="9"/>
  <c r="B76" i="9" l="1"/>
  <c r="A75" i="9"/>
  <c r="B77" i="9" l="1"/>
  <c r="A76" i="9"/>
  <c r="B78" i="9" l="1"/>
  <c r="A77" i="9"/>
  <c r="B79" i="9" l="1"/>
  <c r="A78" i="9"/>
  <c r="B80" i="9" l="1"/>
  <c r="A79" i="9"/>
  <c r="B81" i="9" l="1"/>
  <c r="A80" i="9"/>
  <c r="B82" i="9" l="1"/>
  <c r="A81" i="9"/>
  <c r="B83" i="9" l="1"/>
  <c r="A82" i="9"/>
  <c r="B84" i="9" l="1"/>
  <c r="A83" i="9"/>
  <c r="B85" i="9" l="1"/>
  <c r="A84" i="9"/>
  <c r="B86" i="9" l="1"/>
  <c r="A85" i="9"/>
  <c r="B87" i="9" l="1"/>
  <c r="A86" i="9"/>
  <c r="B88" i="9" l="1"/>
  <c r="A87" i="9"/>
  <c r="B89" i="9" l="1"/>
  <c r="A88" i="9"/>
  <c r="B90" i="9" l="1"/>
  <c r="A89" i="9"/>
  <c r="B91" i="9" l="1"/>
  <c r="A90" i="9"/>
  <c r="B92" i="9" l="1"/>
  <c r="A91" i="9"/>
  <c r="B93" i="9" l="1"/>
  <c r="A92" i="9"/>
  <c r="B94" i="9" l="1"/>
  <c r="A93" i="9"/>
  <c r="B95" i="9" l="1"/>
  <c r="A94" i="9"/>
  <c r="B96" i="9" l="1"/>
  <c r="A95" i="9"/>
  <c r="B97" i="9" l="1"/>
  <c r="A96" i="9"/>
  <c r="B98" i="9" l="1"/>
  <c r="A97" i="9"/>
  <c r="B99" i="9" l="1"/>
  <c r="A98" i="9"/>
  <c r="B100" i="9" l="1"/>
  <c r="A99" i="9"/>
  <c r="B101" i="9" l="1"/>
  <c r="A100" i="9"/>
  <c r="B102" i="9" l="1"/>
  <c r="A101" i="9"/>
  <c r="B103" i="9" l="1"/>
  <c r="A102" i="9"/>
  <c r="B104" i="9" l="1"/>
  <c r="A103" i="9"/>
  <c r="B105" i="9" l="1"/>
  <c r="A104" i="9"/>
  <c r="B106" i="9" l="1"/>
  <c r="A105" i="9"/>
  <c r="B107" i="9" l="1"/>
  <c r="A106" i="9"/>
  <c r="B108" i="9" l="1"/>
  <c r="A107" i="9"/>
  <c r="B109" i="9" l="1"/>
  <c r="A108" i="9"/>
  <c r="B110" i="9" l="1"/>
  <c r="A109" i="9"/>
  <c r="B111" i="9" l="1"/>
  <c r="A110" i="9"/>
  <c r="B112" i="9" l="1"/>
  <c r="A111" i="9"/>
  <c r="B113" i="9" l="1"/>
  <c r="A112" i="9"/>
  <c r="B114" i="9" l="1"/>
  <c r="A113" i="9"/>
  <c r="B115" i="9" l="1"/>
  <c r="A114" i="9"/>
  <c r="B116" i="9" l="1"/>
  <c r="A115" i="9"/>
  <c r="B117" i="9" l="1"/>
  <c r="A116" i="9"/>
  <c r="B118" i="9" l="1"/>
  <c r="A117" i="9"/>
  <c r="B119" i="9" l="1"/>
  <c r="A118" i="9"/>
  <c r="B120" i="9" l="1"/>
  <c r="A119" i="9"/>
  <c r="B121" i="9" l="1"/>
  <c r="A120" i="9"/>
  <c r="B122" i="9" l="1"/>
  <c r="A121" i="9"/>
  <c r="B123" i="9" l="1"/>
  <c r="A122" i="9"/>
  <c r="B124" i="9" l="1"/>
  <c r="A123" i="9"/>
  <c r="B125" i="9" l="1"/>
  <c r="A124" i="9"/>
  <c r="B126" i="9" l="1"/>
  <c r="A125" i="9"/>
  <c r="B127" i="9" l="1"/>
  <c r="A126" i="9"/>
  <c r="B128" i="9" l="1"/>
  <c r="A127" i="9"/>
  <c r="B129" i="9" l="1"/>
  <c r="A128" i="9"/>
  <c r="B130" i="9" l="1"/>
  <c r="A129" i="9"/>
  <c r="B131" i="9" l="1"/>
  <c r="A130" i="9"/>
  <c r="A131" i="9" l="1"/>
</calcChain>
</file>

<file path=xl/sharedStrings.xml><?xml version="1.0" encoding="utf-8"?>
<sst xmlns="http://schemas.openxmlformats.org/spreadsheetml/2006/main" count="308" uniqueCount="209">
  <si>
    <t>Profit</t>
  </si>
  <si>
    <t>India</t>
  </si>
  <si>
    <t>China</t>
  </si>
  <si>
    <t>Standard</t>
  </si>
  <si>
    <t>Enhanced</t>
  </si>
  <si>
    <t>Advertising budget</t>
  </si>
  <si>
    <t>Total profit</t>
  </si>
  <si>
    <t>India profits</t>
  </si>
  <si>
    <t>China profits</t>
  </si>
  <si>
    <t>Standard profits</t>
  </si>
  <si>
    <t>Enhanced profits</t>
  </si>
  <si>
    <t>Money Spent</t>
  </si>
  <si>
    <t>Profit Ratio</t>
  </si>
  <si>
    <t>Rates</t>
  </si>
  <si>
    <t>Spent money</t>
  </si>
  <si>
    <t>Money Left</t>
  </si>
  <si>
    <t>Info</t>
  </si>
  <si>
    <t>Restraints</t>
  </si>
  <si>
    <t>Minimum China profits</t>
  </si>
  <si>
    <t xml:space="preserve"> Minimum Ratio</t>
  </si>
  <si>
    <t>Minimum India profits</t>
  </si>
  <si>
    <t>Money Stats</t>
  </si>
  <si>
    <t>Total Net Profit</t>
  </si>
  <si>
    <t>Outputs</t>
  </si>
  <si>
    <t>Stock X</t>
  </si>
  <si>
    <t>Stock Y</t>
  </si>
  <si>
    <t>Stock Z</t>
  </si>
  <si>
    <t>Scenario 1</t>
  </si>
  <si>
    <t>Scenario 2</t>
  </si>
  <si>
    <t>Probability</t>
  </si>
  <si>
    <t xml:space="preserve">Total Profit / Spent </t>
  </si>
  <si>
    <t>Total 
Profit</t>
  </si>
  <si>
    <t>Total 
Return 
Rate</t>
  </si>
  <si>
    <t>Total
Budget</t>
  </si>
  <si>
    <t>Variance of X</t>
  </si>
  <si>
    <t>Variance of Y</t>
  </si>
  <si>
    <t>Variance of Z</t>
  </si>
  <si>
    <t>Expected R %</t>
  </si>
  <si>
    <t>Expected R $</t>
  </si>
  <si>
    <t>St Dev. R %</t>
  </si>
  <si>
    <t>St Dev. R $</t>
  </si>
  <si>
    <t>Expectation</t>
  </si>
  <si>
    <t>Stock 1</t>
  </si>
  <si>
    <t>Stock 2</t>
  </si>
  <si>
    <t>Stock 3</t>
  </si>
  <si>
    <t>Stock 4</t>
  </si>
  <si>
    <t>St Dev.</t>
  </si>
  <si>
    <t>trial #</t>
  </si>
  <si>
    <t>Trials Failed</t>
  </si>
  <si>
    <t>Success %</t>
  </si>
  <si>
    <t>CDF</t>
  </si>
  <si>
    <t>Trials Passed</t>
  </si>
  <si>
    <t>Expected Value</t>
  </si>
  <si>
    <t>Mean</t>
  </si>
  <si>
    <t>Stdev</t>
  </si>
  <si>
    <t>Scope</t>
  </si>
  <si>
    <t>Demand</t>
  </si>
  <si>
    <t>Normal</t>
  </si>
  <si>
    <t>Luxury</t>
  </si>
  <si>
    <t>Real Estate Price</t>
  </si>
  <si>
    <t>Floors</t>
  </si>
  <si>
    <t>High</t>
  </si>
  <si>
    <t>Low</t>
  </si>
  <si>
    <t>E (R)</t>
  </si>
  <si>
    <t>Fixed</t>
  </si>
  <si>
    <t>Random</t>
  </si>
  <si>
    <t>Apartments</t>
  </si>
  <si>
    <t>DR</t>
  </si>
  <si>
    <t>DL</t>
  </si>
  <si>
    <t>Profit R</t>
  </si>
  <si>
    <t>Profit L</t>
  </si>
  <si>
    <t>Vr</t>
  </si>
  <si>
    <t>Vl</t>
  </si>
  <si>
    <t>Total Profit</t>
  </si>
  <si>
    <t>Normal Dist.</t>
  </si>
  <si>
    <t>Threshold met</t>
  </si>
  <si>
    <t>Risk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</si>
  <si>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</si>
  <si>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</si>
  <si>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</si>
  <si>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</si>
  <si>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</si>
  <si>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</si>
  <si>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</si>
  <si>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</si>
  <si>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</si>
  <si>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</si>
  <si>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</si>
  <si>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</si>
  <si>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</si>
  <si>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</si>
  <si>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Initial Investment</t>
  </si>
  <si>
    <t>Cashflow</t>
  </si>
  <si>
    <t>NPV</t>
  </si>
  <si>
    <t>Cost of Capital</t>
  </si>
  <si>
    <t>IRR</t>
  </si>
  <si>
    <t>Expenses</t>
  </si>
  <si>
    <t>Revenue</t>
  </si>
  <si>
    <t>Assets</t>
  </si>
  <si>
    <t>Liablilities</t>
  </si>
  <si>
    <t>Equity</t>
  </si>
  <si>
    <t>Taxes</t>
  </si>
  <si>
    <t>Wages</t>
  </si>
  <si>
    <t>Maintenance</t>
  </si>
  <si>
    <t>Owner's Equity</t>
  </si>
  <si>
    <t>Shareholder's Equity</t>
  </si>
  <si>
    <t>Capitalized Cost</t>
  </si>
  <si>
    <t>Non-Capitalized</t>
  </si>
  <si>
    <t>Working Capital</t>
  </si>
  <si>
    <t>Depreciation</t>
  </si>
  <si>
    <t>No tax benefit</t>
  </si>
  <si>
    <t>R&amp;D</t>
  </si>
  <si>
    <t>Training</t>
  </si>
  <si>
    <t>Aftertax = Before tax * (1-T)</t>
  </si>
  <si>
    <t>State</t>
  </si>
  <si>
    <t>Local</t>
  </si>
  <si>
    <t>Federal</t>
  </si>
  <si>
    <t>Curr. Assets - Curr. Liabilities</t>
  </si>
  <si>
    <t>CR</t>
  </si>
  <si>
    <t>CE</t>
  </si>
  <si>
    <t>Tax rate</t>
  </si>
  <si>
    <t>Cashflow Amount</t>
  </si>
  <si>
    <t xml:space="preserve"> </t>
  </si>
  <si>
    <t>Cost of goods sold</t>
  </si>
  <si>
    <t>Inventory</t>
  </si>
  <si>
    <t>Accounts receivable</t>
  </si>
  <si>
    <t>=</t>
  </si>
  <si>
    <t>Tax formula</t>
  </si>
  <si>
    <t>Revenue - COGS - D</t>
  </si>
  <si>
    <t>CR-CE-T</t>
  </si>
  <si>
    <t>Include final cashflow from operating phase</t>
  </si>
  <si>
    <t>Salvage value on project</t>
  </si>
  <si>
    <t>Include working capital on terminal phase</t>
  </si>
  <si>
    <t>If perpetual, include perpetuity model</t>
  </si>
  <si>
    <t>Terminal Value</t>
  </si>
  <si>
    <t>Tax Rate</t>
  </si>
  <si>
    <t>Depreciation rate</t>
  </si>
  <si>
    <t>Year 5 End Salvage</t>
  </si>
  <si>
    <t>Years 1-5</t>
  </si>
  <si>
    <t>Year 0</t>
  </si>
  <si>
    <t>Tax</t>
  </si>
  <si>
    <t>Receipts</t>
  </si>
  <si>
    <t>COGS</t>
  </si>
  <si>
    <t>-</t>
  </si>
  <si>
    <t>dRevenue</t>
  </si>
  <si>
    <t>dCE</t>
  </si>
  <si>
    <t>dT</t>
  </si>
  <si>
    <t>Cashflow = CR - CE - T
Taxable Cashflow = Receipts - COGS - D</t>
  </si>
  <si>
    <t>Year 1-Year 5</t>
  </si>
  <si>
    <t>Taxable Income</t>
  </si>
  <si>
    <t>Simple Cashflow Model</t>
  </si>
  <si>
    <t>Cashflow Tax = 0</t>
  </si>
  <si>
    <t>Cashflow with Tax</t>
  </si>
  <si>
    <t>Total Cashflow</t>
  </si>
  <si>
    <t>Balance Sheets</t>
  </si>
  <si>
    <t>Liabilities</t>
  </si>
  <si>
    <t xml:space="preserve"> A = L+O</t>
  </si>
  <si>
    <t>O = A-L</t>
  </si>
  <si>
    <t>Retained Earnings</t>
  </si>
  <si>
    <t>Contributed Capital</t>
  </si>
  <si>
    <t>Cash</t>
  </si>
  <si>
    <t>Non-cash</t>
  </si>
  <si>
    <t>Balance Sheet</t>
  </si>
  <si>
    <t>Income</t>
  </si>
  <si>
    <t>Debt</t>
  </si>
  <si>
    <t>Statement</t>
  </si>
  <si>
    <t>Gross Profit</t>
  </si>
  <si>
    <t>Operating Expense</t>
  </si>
  <si>
    <t>Interest, Other Gains and Losses</t>
  </si>
  <si>
    <t>Income Tax Expenses</t>
  </si>
  <si>
    <t>Pre-Tax Income</t>
  </si>
  <si>
    <t>Operating income</t>
  </si>
  <si>
    <t>Net Income</t>
  </si>
  <si>
    <t>PPE</t>
  </si>
  <si>
    <t>Accts Payable</t>
  </si>
  <si>
    <t>Wages payable</t>
  </si>
  <si>
    <t>Accts Receivable</t>
  </si>
  <si>
    <t>Retained earnings</t>
  </si>
  <si>
    <t>Amount of cash Earned</t>
  </si>
  <si>
    <t>Money that people owe you</t>
  </si>
  <si>
    <t>Amount of goods storage</t>
  </si>
  <si>
    <t>Money that you owe</t>
  </si>
  <si>
    <t>Money you pay to employees</t>
  </si>
  <si>
    <t>Owner's money that was invested</t>
  </si>
  <si>
    <t>Company's money that was reinvested</t>
  </si>
  <si>
    <t>Property Plant and Equipment</t>
  </si>
  <si>
    <t>Purchase</t>
  </si>
  <si>
    <t>Payment</t>
  </si>
  <si>
    <t>Sale</t>
  </si>
  <si>
    <t>End</t>
  </si>
  <si>
    <t>Liablities</t>
  </si>
  <si>
    <t>Transaction or Event</t>
  </si>
  <si>
    <t>Beginning Balance</t>
  </si>
  <si>
    <t>PPE Purchase</t>
  </si>
  <si>
    <t>PPE Depreciation</t>
  </si>
  <si>
    <t>Purchase of Inventory (Credit)</t>
  </si>
  <si>
    <t>Payment of Credit Bills</t>
  </si>
  <si>
    <t>Sales of Inventory</t>
  </si>
  <si>
    <t>Sales Revenue</t>
  </si>
  <si>
    <t>Wages and Benefits Expense</t>
  </si>
  <si>
    <t>Payment for Wages and Benefits</t>
  </si>
  <si>
    <t>Payment of Dividend</t>
  </si>
  <si>
    <t>Payent of Taxes</t>
  </si>
  <si>
    <t>Accounts Receivable</t>
  </si>
  <si>
    <t>Accounts Payable</t>
  </si>
  <si>
    <t>Wages Payable</t>
  </si>
  <si>
    <t>Customer Collection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</si>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</sst>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&quot;$&quot;#,##0.00"/>
    <numFmt numFmtId="167" formatCode="_(&quot;$&quot;* #,##0_);_(&quot;$&quot;* \(#,##0\);_(&quot;$&quot;* &quot;-&quot;??_);_(@_)"/>
    <numFmt numFmtId="168" formatCode="&quot;$&quot;#,##0"/>
    <numFmt numFmtId="169" formatCode="0.0%"/>
    <numFmt numFmtId="170" formatCode="0.000%"/>
    <numFmt numFmtId="171" formatCode="0.0000%"/>
    <numFmt numFmtId="172" formatCode="0.000"/>
    <numFmt numFmtId="173" formatCode="0.0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omic Sans MS"/>
      <family val="4"/>
    </font>
    <font>
      <b/>
      <sz val="11"/>
      <color rgb="FF002060"/>
      <name val="Comic Sans MS"/>
      <family val="4"/>
    </font>
    <font>
      <u val="singleAccounting"/>
      <sz val="11"/>
      <color rgb="FF002060"/>
      <name val="Comic Sans MS"/>
      <family val="4"/>
    </font>
    <font>
      <b/>
      <sz val="11"/>
      <color rgb="FF00B050"/>
      <name val="Calibri"/>
      <family val="2"/>
      <scheme val="minor"/>
    </font>
    <font>
      <sz val="11"/>
      <color theme="1"/>
      <name val="Comic Sans MS"/>
      <family val="4"/>
    </font>
    <font>
      <b/>
      <sz val="11"/>
      <color rgb="FF00B050"/>
      <name val="Comic Sans MS"/>
      <family val="4"/>
    </font>
    <font>
      <b/>
      <sz val="11"/>
      <color theme="1"/>
      <name val="Comic Sans MS"/>
      <family val="4"/>
    </font>
    <font>
      <i/>
      <sz val="11"/>
      <color theme="1"/>
      <name val="Calibri"/>
      <family val="2"/>
      <scheme val="minor"/>
    </font>
    <font>
      <sz val="18"/>
      <color theme="1"/>
      <name val="Comic Sans MS"/>
      <family val="4"/>
    </font>
    <font>
      <sz val="11"/>
      <color theme="4"/>
      <name val="Comic Sans MS"/>
      <family val="4"/>
    </font>
    <font>
      <sz val="16"/>
      <color theme="1"/>
      <name val="Comic Sans MS"/>
      <family val="4"/>
    </font>
    <font>
      <sz val="10"/>
      <color theme="1"/>
      <name val="Comic Sans MS"/>
      <family val="4"/>
    </font>
    <font>
      <b/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D9DAE7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2">
    <xf numFmtId="0" fontId="0" fillId="0" borderId="0" xfId="0"/>
    <xf numFmtId="165" fontId="2" fillId="3" borderId="0" xfId="1" applyNumberFormat="1" applyFont="1" applyFill="1" applyAlignment="1">
      <alignment horizontal="center"/>
    </xf>
    <xf numFmtId="43" fontId="2" fillId="0" borderId="0" xfId="1" applyNumberFormat="1" applyFont="1" applyAlignment="1">
      <alignment horizontal="center"/>
    </xf>
    <xf numFmtId="43" fontId="2" fillId="3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NumberFormat="1" applyFont="1" applyFill="1" applyAlignment="1">
      <alignment horizontal="center"/>
    </xf>
    <xf numFmtId="167" fontId="3" fillId="0" borderId="0" xfId="2" applyNumberFormat="1" applyFont="1" applyFill="1" applyAlignment="1">
      <alignment horizontal="center"/>
    </xf>
    <xf numFmtId="167" fontId="2" fillId="0" borderId="0" xfId="2" applyNumberFormat="1" applyFont="1" applyFill="1" applyAlignment="1">
      <alignment horizontal="center"/>
    </xf>
    <xf numFmtId="9" fontId="2" fillId="4" borderId="0" xfId="3" applyFont="1" applyFill="1" applyAlignment="1">
      <alignment horizontal="center" vertical="top"/>
    </xf>
    <xf numFmtId="166" fontId="2" fillId="7" borderId="1" xfId="1" applyNumberFormat="1" applyFont="1" applyFill="1" applyBorder="1" applyAlignment="1">
      <alignment horizontal="left"/>
    </xf>
    <xf numFmtId="43" fontId="2" fillId="7" borderId="1" xfId="1" applyNumberFormat="1" applyFont="1" applyFill="1" applyBorder="1" applyAlignment="1">
      <alignment horizontal="left"/>
    </xf>
    <xf numFmtId="44" fontId="2" fillId="7" borderId="0" xfId="2" applyFont="1" applyFill="1" applyBorder="1" applyAlignment="1">
      <alignment horizontal="left"/>
    </xf>
    <xf numFmtId="9" fontId="2" fillId="7" borderId="0" xfId="1" applyNumberFormat="1" applyFont="1" applyFill="1" applyBorder="1" applyAlignment="1">
      <alignment horizontal="left"/>
    </xf>
    <xf numFmtId="165" fontId="2" fillId="2" borderId="1" xfId="1" applyNumberFormat="1" applyFont="1" applyFill="1" applyBorder="1" applyAlignment="1">
      <alignment horizontal="left"/>
    </xf>
    <xf numFmtId="166" fontId="2" fillId="6" borderId="1" xfId="1" applyNumberFormat="1" applyFont="1" applyFill="1" applyBorder="1" applyAlignment="1">
      <alignment horizontal="left" wrapText="1"/>
    </xf>
    <xf numFmtId="168" fontId="2" fillId="6" borderId="0" xfId="1" applyNumberFormat="1" applyFont="1" applyFill="1" applyBorder="1" applyAlignment="1">
      <alignment horizontal="left" wrapText="1"/>
    </xf>
    <xf numFmtId="9" fontId="2" fillId="6" borderId="0" xfId="3" applyFont="1" applyFill="1" applyBorder="1" applyAlignment="1">
      <alignment horizontal="left" wrapText="1"/>
    </xf>
    <xf numFmtId="43" fontId="2" fillId="5" borderId="0" xfId="1" applyFont="1" applyFill="1" applyAlignment="1"/>
    <xf numFmtId="168" fontId="2" fillId="5" borderId="0" xfId="1" applyNumberFormat="1" applyFont="1" applyFill="1" applyAlignment="1">
      <alignment horizontal="center"/>
    </xf>
    <xf numFmtId="168" fontId="2" fillId="0" borderId="0" xfId="1" applyNumberFormat="1" applyFont="1" applyFill="1" applyAlignment="1">
      <alignment horizontal="left"/>
    </xf>
    <xf numFmtId="167" fontId="2" fillId="2" borderId="0" xfId="2" applyNumberFormat="1" applyFont="1" applyFill="1" applyAlignment="1">
      <alignment horizontal="left"/>
    </xf>
    <xf numFmtId="168" fontId="2" fillId="2" borderId="0" xfId="2" applyNumberFormat="1" applyFont="1" applyFill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6" fontId="0" fillId="4" borderId="0" xfId="2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9" fontId="0" fillId="4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9" fontId="0" fillId="8" borderId="2" xfId="3" applyNumberFormat="1" applyFont="1" applyFill="1" applyBorder="1" applyAlignment="1">
      <alignment horizontal="center" vertical="center"/>
    </xf>
    <xf numFmtId="166" fontId="0" fillId="9" borderId="2" xfId="2" applyNumberFormat="1" applyFont="1" applyFill="1" applyBorder="1" applyAlignment="1">
      <alignment horizontal="center" vertical="center"/>
    </xf>
    <xf numFmtId="169" fontId="0" fillId="9" borderId="2" xfId="3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71" fontId="0" fillId="9" borderId="0" xfId="3" applyNumberFormat="1" applyFont="1" applyFill="1" applyBorder="1" applyAlignment="1">
      <alignment horizontal="center" vertical="center"/>
    </xf>
    <xf numFmtId="171" fontId="0" fillId="9" borderId="14" xfId="3" applyNumberFormat="1" applyFont="1" applyFill="1" applyBorder="1" applyAlignment="1">
      <alignment horizontal="center" vertical="center"/>
    </xf>
    <xf numFmtId="171" fontId="0" fillId="9" borderId="15" xfId="3" applyNumberFormat="1" applyFont="1" applyFill="1" applyBorder="1" applyAlignment="1">
      <alignment horizontal="center" vertical="center"/>
    </xf>
    <xf numFmtId="171" fontId="0" fillId="9" borderId="16" xfId="3" applyNumberFormat="1" applyFont="1" applyFill="1" applyBorder="1" applyAlignment="1">
      <alignment horizontal="center" vertical="center"/>
    </xf>
    <xf numFmtId="171" fontId="0" fillId="9" borderId="10" xfId="3" applyNumberFormat="1" applyFont="1" applyFill="1" applyBorder="1" applyAlignment="1">
      <alignment horizontal="center" vertical="center"/>
    </xf>
    <xf numFmtId="171" fontId="0" fillId="9" borderId="11" xfId="3" applyNumberFormat="1" applyFont="1" applyFill="1" applyBorder="1" applyAlignment="1">
      <alignment horizontal="center" vertical="center"/>
    </xf>
    <xf numFmtId="171" fontId="0" fillId="9" borderId="13" xfId="3" applyNumberFormat="1" applyFont="1" applyFill="1" applyBorder="1" applyAlignment="1">
      <alignment horizontal="center" vertical="center"/>
    </xf>
    <xf numFmtId="171" fontId="0" fillId="9" borderId="9" xfId="3" applyNumberFormat="1" applyFont="1" applyFill="1" applyBorder="1" applyAlignment="1">
      <alignment horizontal="center" vertical="center"/>
    </xf>
    <xf numFmtId="171" fontId="0" fillId="9" borderId="12" xfId="3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6" fontId="0" fillId="8" borderId="2" xfId="3" applyNumberFormat="1" applyFont="1" applyFill="1" applyBorder="1" applyAlignment="1">
      <alignment horizontal="center" vertical="center"/>
    </xf>
    <xf numFmtId="166" fontId="5" fillId="8" borderId="2" xfId="2" applyNumberFormat="1" applyFont="1" applyFill="1" applyBorder="1" applyAlignment="1">
      <alignment horizontal="center" vertical="center"/>
    </xf>
    <xf numFmtId="9" fontId="5" fillId="8" borderId="2" xfId="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3" applyFont="1" applyAlignment="1">
      <alignment horizontal="center" vertical="center"/>
    </xf>
    <xf numFmtId="172" fontId="0" fillId="0" borderId="0" xfId="0" applyNumberFormat="1" applyAlignment="1">
      <alignment vertical="center"/>
    </xf>
    <xf numFmtId="173" fontId="0" fillId="0" borderId="0" xfId="3" applyNumberFormat="1" applyFont="1" applyAlignment="1">
      <alignment vertical="center"/>
    </xf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0" fontId="0" fillId="4" borderId="0" xfId="3" applyNumberFormat="1" applyFont="1" applyFill="1" applyAlignment="1">
      <alignment horizontal="center" vertical="center"/>
    </xf>
    <xf numFmtId="2" fontId="0" fillId="4" borderId="0" xfId="3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2" fontId="7" fillId="8" borderId="0" xfId="0" applyNumberFormat="1" applyFont="1" applyFill="1"/>
    <xf numFmtId="0" fontId="8" fillId="9" borderId="0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9" fillId="0" borderId="31" xfId="0" applyFont="1" applyFill="1" applyBorder="1" applyAlignment="1">
      <alignment horizontal="centerContinuous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Fill="1" applyBorder="1" applyAlignment="1"/>
    <xf numFmtId="1" fontId="0" fillId="0" borderId="15" xfId="0" applyNumberFormat="1" applyFill="1" applyBorder="1" applyAlignment="1"/>
    <xf numFmtId="1" fontId="6" fillId="9" borderId="2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Continuous"/>
    </xf>
    <xf numFmtId="9" fontId="0" fillId="0" borderId="10" xfId="3" applyFont="1" applyBorder="1" applyAlignment="1">
      <alignment horizontal="center" vertical="center"/>
    </xf>
    <xf numFmtId="9" fontId="0" fillId="2" borderId="11" xfId="3" applyFont="1" applyFill="1" applyBorder="1" applyAlignment="1">
      <alignment horizontal="center" vertical="center"/>
    </xf>
    <xf numFmtId="9" fontId="0" fillId="2" borderId="13" xfId="3" applyFont="1" applyFill="1" applyBorder="1" applyAlignment="1">
      <alignment horizontal="center" vertical="center"/>
    </xf>
    <xf numFmtId="1" fontId="0" fillId="2" borderId="9" xfId="3" applyNumberFormat="1" applyFont="1" applyFill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9" fontId="0" fillId="0" borderId="14" xfId="3" applyNumberFormat="1" applyFont="1" applyBorder="1" applyAlignment="1">
      <alignment horizontal="center" vertical="center"/>
    </xf>
    <xf numFmtId="1" fontId="0" fillId="2" borderId="12" xfId="3" applyNumberFormat="1" applyFont="1" applyFill="1" applyBorder="1" applyAlignment="1">
      <alignment horizontal="center" vertical="center"/>
    </xf>
    <xf numFmtId="10" fontId="0" fillId="0" borderId="15" xfId="3" applyNumberFormat="1" applyFont="1" applyBorder="1" applyAlignment="1">
      <alignment horizontal="center" vertical="center"/>
    </xf>
    <xf numFmtId="10" fontId="0" fillId="0" borderId="16" xfId="3" applyNumberFormat="1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170" fontId="0" fillId="0" borderId="12" xfId="0" applyNumberFormat="1" applyBorder="1" applyAlignment="1">
      <alignment vertical="center"/>
    </xf>
    <xf numFmtId="170" fontId="0" fillId="0" borderId="15" xfId="0" applyNumberFormat="1" applyBorder="1" applyAlignment="1">
      <alignment vertical="center"/>
    </xf>
    <xf numFmtId="170" fontId="0" fillId="0" borderId="16" xfId="0" applyNumberFormat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13" borderId="21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8" fontId="0" fillId="4" borderId="0" xfId="2" applyNumberFormat="1" applyFont="1" applyFill="1" applyBorder="1" applyAlignment="1">
      <alignment horizontal="center" vertical="center"/>
    </xf>
    <xf numFmtId="168" fontId="0" fillId="4" borderId="0" xfId="2" applyNumberFormat="1" applyFon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44" fontId="0" fillId="4" borderId="0" xfId="2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9" fontId="0" fillId="4" borderId="0" xfId="3" applyFont="1" applyFill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0" fillId="4" borderId="0" xfId="2" applyNumberFormat="1" applyFont="1" applyFill="1" applyBorder="1" applyAlignment="1">
      <alignment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168" fontId="0" fillId="4" borderId="0" xfId="0" applyNumberFormat="1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8" fontId="0" fillId="8" borderId="0" xfId="2" applyNumberFormat="1" applyFont="1" applyFill="1" applyBorder="1" applyAlignment="1">
      <alignment horizontal="center" vertical="center"/>
    </xf>
    <xf numFmtId="168" fontId="0" fillId="8" borderId="14" xfId="2" applyNumberFormat="1" applyFont="1" applyFill="1" applyBorder="1" applyAlignment="1">
      <alignment horizontal="center" vertical="center"/>
    </xf>
    <xf numFmtId="166" fontId="0" fillId="8" borderId="15" xfId="0" applyNumberFormat="1" applyFill="1" applyBorder="1" applyAlignment="1">
      <alignment horizontal="center" vertical="center"/>
    </xf>
    <xf numFmtId="166" fontId="6" fillId="9" borderId="13" xfId="2" applyNumberFormat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166" fontId="6" fillId="9" borderId="14" xfId="2" applyNumberFormat="1" applyFont="1" applyFill="1" applyBorder="1" applyAlignment="1">
      <alignment horizontal="center" vertical="center"/>
    </xf>
    <xf numFmtId="166" fontId="6" fillId="8" borderId="28" xfId="0" applyNumberFormat="1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9" fontId="6" fillId="9" borderId="16" xfId="3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8" fontId="0" fillId="8" borderId="10" xfId="2" applyNumberFormat="1" applyFont="1" applyFill="1" applyBorder="1" applyAlignment="1">
      <alignment horizontal="center" vertical="center"/>
    </xf>
    <xf numFmtId="168" fontId="0" fillId="8" borderId="11" xfId="2" applyNumberFormat="1" applyFont="1" applyFill="1" applyBorder="1" applyAlignment="1">
      <alignment horizontal="center" vertical="center"/>
    </xf>
    <xf numFmtId="168" fontId="0" fillId="8" borderId="13" xfId="2" applyNumberFormat="1" applyFont="1" applyFill="1" applyBorder="1" applyAlignment="1">
      <alignment horizontal="center" vertical="center"/>
    </xf>
    <xf numFmtId="168" fontId="0" fillId="8" borderId="9" xfId="2" applyNumberFormat="1" applyFont="1" applyFill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66" fontId="0" fillId="8" borderId="16" xfId="0" applyNumberFormat="1" applyFill="1" applyBorder="1" applyAlignment="1">
      <alignment horizontal="center" vertical="center"/>
    </xf>
    <xf numFmtId="44" fontId="0" fillId="4" borderId="0" xfId="2" applyFont="1" applyFill="1" applyBorder="1" applyAlignment="1">
      <alignment horizontal="center" vertical="center"/>
    </xf>
    <xf numFmtId="9" fontId="0" fillId="4" borderId="0" xfId="3" applyFont="1" applyFill="1" applyBorder="1" applyAlignment="1">
      <alignment horizontal="center" vertical="center"/>
    </xf>
    <xf numFmtId="168" fontId="0" fillId="8" borderId="29" xfId="2" applyNumberFormat="1" applyFont="1" applyFill="1" applyBorder="1" applyAlignment="1">
      <alignment horizontal="center" vertical="center"/>
    </xf>
    <xf numFmtId="168" fontId="0" fillId="8" borderId="30" xfId="2" applyNumberFormat="1" applyFont="1" applyFill="1" applyBorder="1" applyAlignment="1">
      <alignment horizontal="center" vertical="center"/>
    </xf>
    <xf numFmtId="166" fontId="0" fillId="8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14" fillId="17" borderId="0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2" borderId="21" xfId="0" applyFont="1" applyFill="1" applyBorder="1" applyAlignment="1">
      <alignment horizontal="center" vertical="center"/>
    </xf>
    <xf numFmtId="166" fontId="6" fillId="9" borderId="9" xfId="0" applyNumberFormat="1" applyFont="1" applyFill="1" applyBorder="1" applyAlignment="1">
      <alignment horizontal="center" vertical="center"/>
    </xf>
    <xf numFmtId="166" fontId="6" fillId="9" borderId="0" xfId="0" applyNumberFormat="1" applyFont="1" applyFill="1" applyBorder="1" applyAlignment="1">
      <alignment horizontal="center" vertical="center"/>
    </xf>
    <xf numFmtId="166" fontId="6" fillId="18" borderId="0" xfId="0" applyNumberFormat="1" applyFont="1" applyFill="1" applyBorder="1" applyAlignment="1">
      <alignment horizontal="center" vertical="center"/>
    </xf>
    <xf numFmtId="166" fontId="6" fillId="18" borderId="9" xfId="0" applyNumberFormat="1" applyFont="1" applyFill="1" applyBorder="1" applyAlignment="1">
      <alignment horizontal="center" vertical="center"/>
    </xf>
    <xf numFmtId="166" fontId="6" fillId="18" borderId="14" xfId="0" applyNumberFormat="1" applyFont="1" applyFill="1" applyBorder="1" applyAlignment="1">
      <alignment horizontal="center" vertical="center"/>
    </xf>
    <xf numFmtId="166" fontId="6" fillId="9" borderId="12" xfId="0" applyNumberFormat="1" applyFont="1" applyFill="1" applyBorder="1" applyAlignment="1">
      <alignment horizontal="center" vertical="center"/>
    </xf>
    <xf numFmtId="166" fontId="6" fillId="9" borderId="15" xfId="0" applyNumberFormat="1" applyFont="1" applyFill="1" applyBorder="1" applyAlignment="1">
      <alignment horizontal="center" vertical="center"/>
    </xf>
    <xf numFmtId="166" fontId="6" fillId="9" borderId="10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center" vertical="center" wrapText="1"/>
    </xf>
    <xf numFmtId="0" fontId="6" fillId="10" borderId="22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 wrapText="1"/>
    </xf>
    <xf numFmtId="0" fontId="6" fillId="10" borderId="20" xfId="0" applyFont="1" applyFill="1" applyBorder="1" applyAlignment="1">
      <alignment horizontal="center" vertical="center" wrapText="1"/>
    </xf>
    <xf numFmtId="0" fontId="6" fillId="18" borderId="9" xfId="0" applyFont="1" applyFill="1" applyBorder="1" applyAlignment="1">
      <alignment vertical="center"/>
    </xf>
    <xf numFmtId="0" fontId="6" fillId="18" borderId="0" xfId="0" applyFont="1" applyFill="1" applyBorder="1" applyAlignment="1">
      <alignment vertical="center"/>
    </xf>
    <xf numFmtId="166" fontId="6" fillId="18" borderId="9" xfId="0" applyNumberFormat="1" applyFont="1" applyFill="1" applyBorder="1" applyAlignment="1">
      <alignment vertical="center"/>
    </xf>
    <xf numFmtId="0" fontId="8" fillId="2" borderId="12" xfId="0" applyFont="1" applyFill="1" applyBorder="1" applyAlignment="1">
      <alignment horizontal="left" vertical="center"/>
    </xf>
    <xf numFmtId="166" fontId="6" fillId="9" borderId="28" xfId="0" applyNumberFormat="1" applyFont="1" applyFill="1" applyBorder="1" applyAlignment="1">
      <alignment horizontal="center" vertical="center"/>
    </xf>
    <xf numFmtId="166" fontId="6" fillId="9" borderId="30" xfId="0" applyNumberFormat="1" applyFont="1" applyFill="1" applyBorder="1" applyAlignment="1">
      <alignment horizontal="center" vertical="center"/>
    </xf>
    <xf numFmtId="166" fontId="6" fillId="18" borderId="30" xfId="0" applyNumberFormat="1" applyFont="1" applyFill="1" applyBorder="1" applyAlignment="1">
      <alignment horizontal="center" vertical="center"/>
    </xf>
    <xf numFmtId="0" fontId="6" fillId="18" borderId="30" xfId="0" applyFont="1" applyFill="1" applyBorder="1" applyAlignment="1">
      <alignment vertical="center"/>
    </xf>
    <xf numFmtId="166" fontId="6" fillId="18" borderId="30" xfId="0" applyNumberFormat="1" applyFont="1" applyFill="1" applyBorder="1" applyAlignment="1">
      <alignment vertical="center"/>
    </xf>
    <xf numFmtId="166" fontId="6" fillId="9" borderId="29" xfId="0" applyNumberFormat="1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left" vertical="center"/>
    </xf>
    <xf numFmtId="166" fontId="6" fillId="2" borderId="12" xfId="0" applyNumberFormat="1" applyFont="1" applyFill="1" applyBorder="1" applyAlignment="1">
      <alignment vertical="center"/>
    </xf>
    <xf numFmtId="166" fontId="6" fillId="2" borderId="28" xfId="0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43" fontId="4" fillId="5" borderId="0" xfId="1" applyFont="1" applyFill="1" applyAlignment="1">
      <alignment horizontal="center" vertical="center"/>
    </xf>
    <xf numFmtId="43" fontId="4" fillId="6" borderId="0" xfId="1" applyNumberFormat="1" applyFont="1" applyFill="1" applyAlignment="1">
      <alignment horizontal="center" vertical="center"/>
    </xf>
    <xf numFmtId="43" fontId="4" fillId="7" borderId="0" xfId="1" applyNumberFormat="1" applyFont="1" applyFill="1" applyAlignment="1">
      <alignment horizontal="center" vertical="center"/>
    </xf>
    <xf numFmtId="43" fontId="4" fillId="2" borderId="0" xfId="1" applyNumberFormat="1" applyFont="1" applyFill="1" applyAlignment="1">
      <alignment horizontal="center" vertical="center"/>
    </xf>
    <xf numFmtId="166" fontId="0" fillId="9" borderId="2" xfId="2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10" fontId="0" fillId="9" borderId="19" xfId="3" applyNumberFormat="1" applyFont="1" applyFill="1" applyBorder="1" applyAlignment="1">
      <alignment horizontal="center" vertical="center"/>
    </xf>
    <xf numFmtId="10" fontId="0" fillId="9" borderId="8" xfId="3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6" fontId="0" fillId="8" borderId="2" xfId="2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66" fontId="0" fillId="9" borderId="18" xfId="0" applyNumberFormat="1" applyFill="1" applyBorder="1" applyAlignment="1">
      <alignment horizontal="center" vertical="center"/>
    </xf>
    <xf numFmtId="166" fontId="0" fillId="9" borderId="7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66" fontId="5" fillId="9" borderId="17" xfId="0" applyNumberFormat="1" applyFont="1" applyFill="1" applyBorder="1" applyAlignment="1">
      <alignment horizontal="center" vertical="center"/>
    </xf>
    <xf numFmtId="166" fontId="5" fillId="9" borderId="6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9" borderId="2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0" fontId="0" fillId="8" borderId="29" xfId="3" applyNumberFormat="1" applyFont="1" applyFill="1" applyBorder="1" applyAlignment="1">
      <alignment horizontal="center" vertical="center"/>
    </xf>
    <xf numFmtId="170" fontId="0" fillId="8" borderId="28" xfId="3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9" fontId="0" fillId="8" borderId="29" xfId="0" applyNumberFormat="1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66" fontId="0" fillId="8" borderId="0" xfId="2" applyNumberFormat="1" applyFont="1" applyFill="1" applyBorder="1" applyAlignment="1">
      <alignment horizontal="center" vertical="center"/>
    </xf>
    <xf numFmtId="166" fontId="0" fillId="8" borderId="15" xfId="2" applyNumberFormat="1" applyFont="1" applyFill="1" applyBorder="1" applyAlignment="1">
      <alignment horizontal="center" vertical="center"/>
    </xf>
    <xf numFmtId="169" fontId="0" fillId="8" borderId="14" xfId="0" applyNumberFormat="1" applyFill="1" applyBorder="1" applyAlignment="1">
      <alignment horizontal="center" vertical="center"/>
    </xf>
    <xf numFmtId="169" fontId="0" fillId="8" borderId="16" xfId="0" applyNumberFormat="1" applyFill="1" applyBorder="1" applyAlignment="1">
      <alignment horizontal="center" vertical="center"/>
    </xf>
    <xf numFmtId="166" fontId="0" fillId="8" borderId="14" xfId="2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70" fontId="0" fillId="4" borderId="0" xfId="3" applyNumberFormat="1" applyFont="1" applyFill="1" applyBorder="1" applyAlignment="1">
      <alignment horizontal="center" vertical="center"/>
    </xf>
    <xf numFmtId="9" fontId="0" fillId="4" borderId="0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166" fontId="0" fillId="8" borderId="30" xfId="0" applyNumberFormat="1" applyFill="1" applyBorder="1" applyAlignment="1">
      <alignment horizontal="center" vertical="center"/>
    </xf>
    <xf numFmtId="166" fontId="0" fillId="8" borderId="0" xfId="0" applyNumberFormat="1" applyFill="1" applyBorder="1" applyAlignment="1">
      <alignment horizontal="center" vertical="center"/>
    </xf>
    <xf numFmtId="166" fontId="0" fillId="8" borderId="9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6" fontId="0" fillId="4" borderId="0" xfId="2" applyNumberFormat="1" applyFont="1" applyFill="1" applyBorder="1" applyAlignment="1">
      <alignment horizontal="center" vertical="center"/>
    </xf>
    <xf numFmtId="168" fontId="0" fillId="4" borderId="0" xfId="0" applyNumberForma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6" fillId="8" borderId="49" xfId="0" applyFont="1" applyFill="1" applyBorder="1" applyAlignment="1">
      <alignment horizontal="center" vertical="center"/>
    </xf>
    <xf numFmtId="0" fontId="6" fillId="8" borderId="50" xfId="0" applyFont="1" applyFill="1" applyBorder="1" applyAlignment="1">
      <alignment horizontal="center" vertical="center"/>
    </xf>
    <xf numFmtId="0" fontId="6" fillId="8" borderId="36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14" borderId="42" xfId="0" applyFont="1" applyFill="1" applyBorder="1" applyAlignment="1">
      <alignment horizontal="center" vertical="center"/>
    </xf>
    <xf numFmtId="0" fontId="6" fillId="14" borderId="43" xfId="0" applyFont="1" applyFill="1" applyBorder="1" applyAlignment="1">
      <alignment horizontal="center" vertical="center"/>
    </xf>
    <xf numFmtId="0" fontId="6" fillId="14" borderId="44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6" fillId="14" borderId="34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10" borderId="45" xfId="0" applyFont="1" applyFill="1" applyBorder="1" applyAlignment="1">
      <alignment horizontal="center" vertical="center"/>
    </xf>
    <xf numFmtId="0" fontId="6" fillId="10" borderId="46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9" borderId="47" xfId="0" applyFont="1" applyFill="1" applyBorder="1" applyAlignment="1">
      <alignment horizontal="center" vertical="center"/>
    </xf>
    <xf numFmtId="0" fontId="6" fillId="9" borderId="48" xfId="0" applyFont="1" applyFill="1" applyBorder="1" applyAlignment="1">
      <alignment horizontal="center" vertical="center"/>
    </xf>
    <xf numFmtId="0" fontId="6" fillId="8" borderId="47" xfId="0" applyFont="1" applyFill="1" applyBorder="1" applyAlignment="1">
      <alignment horizontal="center" vertical="center"/>
    </xf>
    <xf numFmtId="0" fontId="6" fillId="8" borderId="48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66" fontId="6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66" fontId="6" fillId="14" borderId="29" xfId="0" applyNumberFormat="1" applyFont="1" applyFill="1" applyBorder="1" applyAlignment="1">
      <alignment horizontal="center" vertical="center"/>
    </xf>
    <xf numFmtId="166" fontId="6" fillId="14" borderId="14" xfId="0" applyNumberFormat="1" applyFont="1" applyFill="1" applyBorder="1" applyAlignment="1">
      <alignment horizontal="center" vertical="center"/>
    </xf>
    <xf numFmtId="166" fontId="6" fillId="14" borderId="0" xfId="0" applyNumberFormat="1" applyFont="1" applyFill="1" applyBorder="1" applyAlignment="1">
      <alignment horizontal="center" vertical="center"/>
    </xf>
    <xf numFmtId="166" fontId="6" fillId="14" borderId="30" xfId="0" applyNumberFormat="1" applyFont="1" applyFill="1" applyBorder="1" applyAlignment="1">
      <alignment horizontal="center" vertical="center"/>
    </xf>
    <xf numFmtId="166" fontId="6" fillId="14" borderId="28" xfId="0" applyNumberFormat="1" applyFont="1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30" xfId="0" applyFont="1" applyFill="1" applyBorder="1" applyAlignment="1">
      <alignment horizontal="center" vertical="center"/>
    </xf>
    <xf numFmtId="0" fontId="6" fillId="19" borderId="0" xfId="0" applyFont="1" applyFill="1" applyBorder="1" applyAlignment="1">
      <alignment horizontal="center" vertical="center"/>
    </xf>
    <xf numFmtId="0" fontId="6" fillId="19" borderId="28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14" fillId="15" borderId="0" xfId="0" applyFont="1" applyFill="1" applyBorder="1" applyAlignment="1">
      <alignment horizontal="center" vertical="center" wrapText="1"/>
    </xf>
    <xf numFmtId="0" fontId="14" fillId="16" borderId="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0" fillId="8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3" fontId="0" fillId="8" borderId="29" xfId="0" applyNumberForma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AFAF"/>
        </patternFill>
      </fill>
    </dxf>
  </dxfs>
  <tableStyles count="0" defaultTableStyle="TableStyleMedium2" defaultPivotStyle="PivotStyleLight16"/>
  <colors>
    <mruColors>
      <color rgb="FFDE0000"/>
      <color rgb="FFD9DAE7"/>
      <color rgb="FFDCE4F4"/>
      <color rgb="FFEDF1F9"/>
      <color rgb="FFB9B6CE"/>
      <color rgb="FFFFD5D5"/>
      <color rgb="FFFFB9BB"/>
      <color rgb="FFFFAFAF"/>
      <color rgb="FFFFE5E5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 PDF/CDF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2800239179897"/>
          <c:y val="0.1585807729452165"/>
          <c:w val="0.81527431673011974"/>
          <c:h val="0.75974642923047264"/>
        </c:manualLayout>
      </c:layout>
      <c:lineChart>
        <c:grouping val="standard"/>
        <c:varyColors val="0"/>
        <c:ser>
          <c:idx val="0"/>
          <c:order val="0"/>
          <c:tx>
            <c:v>PDF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'Binomial Distribution'!$D$3:$D$13</c:f>
              <c:numCache>
                <c:formatCode>0.000%</c:formatCode>
                <c:ptCount val="11"/>
                <c:pt idx="0">
                  <c:v>1.5315789852644496E-5</c:v>
                </c:pt>
                <c:pt idx="1">
                  <c:v>1.5315789852644496E-4</c:v>
                </c:pt>
                <c:pt idx="2">
                  <c:v>6.8921054336900235E-4</c:v>
                </c:pt>
                <c:pt idx="3">
                  <c:v>1.8378947823173395E-3</c:v>
                </c:pt>
                <c:pt idx="4">
                  <c:v>3.2163158690553437E-3</c:v>
                </c:pt>
                <c:pt idx="5">
                  <c:v>3.8595790428664141E-3</c:v>
                </c:pt>
                <c:pt idx="6">
                  <c:v>3.2163158690553437E-3</c:v>
                </c:pt>
                <c:pt idx="7">
                  <c:v>1.8378947823173395E-3</c:v>
                </c:pt>
                <c:pt idx="8">
                  <c:v>6.8921054336900235E-4</c:v>
                </c:pt>
                <c:pt idx="9">
                  <c:v>1.5315789852644496E-4</c:v>
                </c:pt>
                <c:pt idx="10">
                  <c:v>1.5315789852644496E-5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2-44B5-AFF5-A25E88E27D8A}"/>
            </c:ext>
          </c:extLst>
        </c:ser>
        <c:ser>
          <c:idx val="1"/>
          <c:order val="1"/>
          <c:tx>
            <c:v>CDF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'Binomial Distribution'!$E$3:$E$13</c:f>
              <c:numCache>
                <c:formatCode>0.00</c:formatCode>
                <c:ptCount val="11"/>
                <c:pt idx="0">
                  <c:v>1.5315789852644496E-5</c:v>
                </c:pt>
                <c:pt idx="1">
                  <c:v>1.6847368837908945E-4</c:v>
                </c:pt>
                <c:pt idx="2">
                  <c:v>8.576842317480918E-4</c:v>
                </c:pt>
                <c:pt idx="3">
                  <c:v>2.6955790140654311E-3</c:v>
                </c:pt>
                <c:pt idx="4">
                  <c:v>5.9118948831207753E-3</c:v>
                </c:pt>
                <c:pt idx="5">
                  <c:v>9.771473925987189E-3</c:v>
                </c:pt>
                <c:pt idx="6">
                  <c:v>1.2987789795042533E-2</c:v>
                </c:pt>
                <c:pt idx="7">
                  <c:v>1.4825684577359872E-2</c:v>
                </c:pt>
                <c:pt idx="8">
                  <c:v>1.5514895120728874E-2</c:v>
                </c:pt>
                <c:pt idx="9">
                  <c:v>1.5668053019255317E-2</c:v>
                </c:pt>
                <c:pt idx="10">
                  <c:v>1.5683368809107961E-2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44B5-AFF5-A25E88E2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55295104"/>
        <c:axId val="1733821840"/>
      </c:lineChart>
      <c:catAx>
        <c:axId val="155529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21840"/>
        <c:crosses val="autoZero"/>
        <c:auto val="1"/>
        <c:lblAlgn val="ctr"/>
        <c:lblOffset val="100"/>
        <c:noMultiLvlLbl val="0"/>
      </c:catAx>
      <c:valAx>
        <c:axId val="173382184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95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 Distribution'!$A$3:$A$131</c:f>
              <c:numCache>
                <c:formatCode>0%</c:formatCode>
                <c:ptCount val="129"/>
                <c:pt idx="0">
                  <c:v>1.3383022576488537E-4</c:v>
                </c:pt>
                <c:pt idx="1">
                  <c:v>1.7150611119472349E-4</c:v>
                </c:pt>
                <c:pt idx="2">
                  <c:v>2.189316377646121E-4</c:v>
                </c:pt>
                <c:pt idx="3">
                  <c:v>2.7838189659836209E-4</c:v>
                </c:pt>
                <c:pt idx="4">
                  <c:v>3.5259568236744541E-4</c:v>
                </c:pt>
                <c:pt idx="5">
                  <c:v>4.4485300411281029E-4</c:v>
                </c:pt>
                <c:pt idx="6">
                  <c:v>5.5906152223216487E-4</c:v>
                </c:pt>
                <c:pt idx="7">
                  <c:v>6.9985201094694273E-4</c:v>
                </c:pt>
                <c:pt idx="8">
                  <c:v>8.7268269504576015E-4</c:v>
                </c:pt>
                <c:pt idx="9">
                  <c:v>1.083951999114652E-3</c:v>
                </c:pt>
                <c:pt idx="10">
                  <c:v>1.3411188734903778E-3</c:v>
                </c:pt>
                <c:pt idx="11">
                  <c:v>1.6528294224062582E-3</c:v>
                </c:pt>
                <c:pt idx="12">
                  <c:v>2.0290480572997681E-3</c:v>
                </c:pt>
                <c:pt idx="13">
                  <c:v>2.4811908361033002E-3</c:v>
                </c:pt>
                <c:pt idx="14">
                  <c:v>3.0222580351987561E-3</c:v>
                </c:pt>
                <c:pt idx="15">
                  <c:v>3.6669623462942261E-3</c:v>
                </c:pt>
                <c:pt idx="16">
                  <c:v>4.4318484119380075E-3</c:v>
                </c:pt>
                <c:pt idx="17">
                  <c:v>5.3353987315863148E-3</c:v>
                </c:pt>
                <c:pt idx="18">
                  <c:v>6.3981203107235565E-3</c:v>
                </c:pt>
                <c:pt idx="19">
                  <c:v>7.6426058187464016E-3</c:v>
                </c:pt>
                <c:pt idx="20">
                  <c:v>9.0935625015910529E-3</c:v>
                </c:pt>
                <c:pt idx="21">
                  <c:v>1.0777801700270904E-2</c:v>
                </c:pt>
                <c:pt idx="22">
                  <c:v>1.2724181596831433E-2</c:v>
                </c:pt>
                <c:pt idx="23">
                  <c:v>1.4963495785913947E-2</c:v>
                </c:pt>
                <c:pt idx="24">
                  <c:v>1.752830049356854E-2</c:v>
                </c:pt>
                <c:pt idx="25">
                  <c:v>2.0452673772781399E-2</c:v>
                </c:pt>
                <c:pt idx="26">
                  <c:v>2.3771900829913806E-2</c:v>
                </c:pt>
                <c:pt idx="27">
                  <c:v>2.7522080802904469E-2</c:v>
                </c:pt>
                <c:pt idx="28">
                  <c:v>3.1739651835667418E-2</c:v>
                </c:pt>
                <c:pt idx="29">
                  <c:v>3.6460833176192142E-2</c:v>
                </c:pt>
                <c:pt idx="30">
                  <c:v>4.1720985256338612E-2</c:v>
                </c:pt>
                <c:pt idx="31">
                  <c:v>4.7553891260639629E-2</c:v>
                </c:pt>
                <c:pt idx="32">
                  <c:v>5.3990966513188063E-2</c:v>
                </c:pt>
                <c:pt idx="33">
                  <c:v>6.1060405041066343E-2</c:v>
                </c:pt>
                <c:pt idx="34">
                  <c:v>6.8786275826691903E-2</c:v>
                </c:pt>
                <c:pt idx="35">
                  <c:v>7.7187584439710716E-2</c:v>
                </c:pt>
                <c:pt idx="36">
                  <c:v>8.6277318826511532E-2</c:v>
                </c:pt>
                <c:pt idx="37">
                  <c:v>9.6061500905113353E-2</c:v>
                </c:pt>
                <c:pt idx="38">
                  <c:v>0.10653826813058508</c:v>
                </c:pt>
                <c:pt idx="39">
                  <c:v>0.11769701122432005</c:v>
                </c:pt>
                <c:pt idx="40">
                  <c:v>0.12951759566589174</c:v>
                </c:pt>
                <c:pt idx="41">
                  <c:v>0.14196969520521555</c:v>
                </c:pt>
                <c:pt idx="42">
                  <c:v>0.15501226545829322</c:v>
                </c:pt>
                <c:pt idx="43">
                  <c:v>0.16859318451811511</c:v>
                </c:pt>
                <c:pt idx="44">
                  <c:v>0.18264908538902191</c:v>
                </c:pt>
                <c:pt idx="45">
                  <c:v>0.1971054019185873</c:v>
                </c:pt>
                <c:pt idx="46">
                  <c:v>0.21187664577569948</c:v>
                </c:pt>
                <c:pt idx="47">
                  <c:v>0.22686692696881264</c:v>
                </c:pt>
                <c:pt idx="48">
                  <c:v>0.24197072451914337</c:v>
                </c:pt>
                <c:pt idx="49">
                  <c:v>0.25707390734673469</c:v>
                </c:pt>
                <c:pt idx="50">
                  <c:v>0.27205499837854352</c:v>
                </c:pt>
                <c:pt idx="51">
                  <c:v>0.28678666756641447</c:v>
                </c:pt>
                <c:pt idx="52">
                  <c:v>0.30113743215480443</c:v>
                </c:pt>
                <c:pt idx="53">
                  <c:v>0.31497353542659334</c:v>
                </c:pt>
                <c:pt idx="54">
                  <c:v>0.32816096855037508</c:v>
                </c:pt>
                <c:pt idx="55">
                  <c:v>0.34056759431983069</c:v>
                </c:pt>
                <c:pt idx="56">
                  <c:v>0.35206532676429952</c:v>
                </c:pt>
                <c:pt idx="57">
                  <c:v>0.36253231704044525</c:v>
                </c:pt>
                <c:pt idx="58">
                  <c:v>0.37185509386976895</c:v>
                </c:pt>
                <c:pt idx="59">
                  <c:v>0.37993060619862778</c:v>
                </c:pt>
                <c:pt idx="60">
                  <c:v>0.38666811680284924</c:v>
                </c:pt>
                <c:pt idx="61">
                  <c:v>0.39199089825257194</c:v>
                </c:pt>
                <c:pt idx="62">
                  <c:v>0.39583768694474952</c:v>
                </c:pt>
                <c:pt idx="63">
                  <c:v>0.39816385668688664</c:v>
                </c:pt>
                <c:pt idx="64">
                  <c:v>0.3989422804014327</c:v>
                </c:pt>
                <c:pt idx="65">
                  <c:v>0.39816385668688664</c:v>
                </c:pt>
                <c:pt idx="66">
                  <c:v>0.39583768694474952</c:v>
                </c:pt>
                <c:pt idx="67">
                  <c:v>0.39199089825257194</c:v>
                </c:pt>
                <c:pt idx="68">
                  <c:v>0.38666811680284924</c:v>
                </c:pt>
                <c:pt idx="69">
                  <c:v>0.37993060619862778</c:v>
                </c:pt>
                <c:pt idx="70">
                  <c:v>0.37185509386976895</c:v>
                </c:pt>
                <c:pt idx="71">
                  <c:v>0.36253231704044525</c:v>
                </c:pt>
                <c:pt idx="72">
                  <c:v>0.35206532676429952</c:v>
                </c:pt>
                <c:pt idx="73">
                  <c:v>0.34056759431983069</c:v>
                </c:pt>
                <c:pt idx="74">
                  <c:v>0.32816096855037508</c:v>
                </c:pt>
                <c:pt idx="75">
                  <c:v>0.31497353542659334</c:v>
                </c:pt>
                <c:pt idx="76">
                  <c:v>0.30113743215480443</c:v>
                </c:pt>
                <c:pt idx="77">
                  <c:v>0.28678666756641447</c:v>
                </c:pt>
                <c:pt idx="78">
                  <c:v>0.27205499837854352</c:v>
                </c:pt>
                <c:pt idx="79">
                  <c:v>0.25707390734673469</c:v>
                </c:pt>
                <c:pt idx="80">
                  <c:v>0.24197072451914337</c:v>
                </c:pt>
                <c:pt idx="81">
                  <c:v>0.22686692696881264</c:v>
                </c:pt>
                <c:pt idx="82">
                  <c:v>0.21187664577569948</c:v>
                </c:pt>
                <c:pt idx="83">
                  <c:v>0.1971054019185873</c:v>
                </c:pt>
                <c:pt idx="84">
                  <c:v>0.18264908538902191</c:v>
                </c:pt>
                <c:pt idx="85">
                  <c:v>0.16859318451811511</c:v>
                </c:pt>
                <c:pt idx="86">
                  <c:v>0.15501226545829322</c:v>
                </c:pt>
                <c:pt idx="87">
                  <c:v>0.14196969520521555</c:v>
                </c:pt>
                <c:pt idx="88">
                  <c:v>0.12951759566589174</c:v>
                </c:pt>
                <c:pt idx="89">
                  <c:v>0.11769701122432005</c:v>
                </c:pt>
                <c:pt idx="90">
                  <c:v>0.10653826813058508</c:v>
                </c:pt>
                <c:pt idx="91">
                  <c:v>9.6061500905113353E-2</c:v>
                </c:pt>
                <c:pt idx="92">
                  <c:v>8.6277318826511532E-2</c:v>
                </c:pt>
                <c:pt idx="93">
                  <c:v>7.7187584439710716E-2</c:v>
                </c:pt>
                <c:pt idx="94">
                  <c:v>6.8786275826691903E-2</c:v>
                </c:pt>
                <c:pt idx="95">
                  <c:v>6.1060405041066343E-2</c:v>
                </c:pt>
                <c:pt idx="96">
                  <c:v>5.3990966513188063E-2</c:v>
                </c:pt>
                <c:pt idx="97">
                  <c:v>4.7553891260639629E-2</c:v>
                </c:pt>
                <c:pt idx="98">
                  <c:v>4.1720985256338612E-2</c:v>
                </c:pt>
                <c:pt idx="99">
                  <c:v>3.6460833176192142E-2</c:v>
                </c:pt>
                <c:pt idx="100">
                  <c:v>3.1739651835667418E-2</c:v>
                </c:pt>
                <c:pt idx="101">
                  <c:v>2.7522080802904469E-2</c:v>
                </c:pt>
                <c:pt idx="102">
                  <c:v>2.3771900829913806E-2</c:v>
                </c:pt>
                <c:pt idx="103">
                  <c:v>2.0452673772781399E-2</c:v>
                </c:pt>
                <c:pt idx="104">
                  <c:v>1.752830049356854E-2</c:v>
                </c:pt>
                <c:pt idx="105">
                  <c:v>1.4963495785913947E-2</c:v>
                </c:pt>
                <c:pt idx="106">
                  <c:v>1.2724181596831433E-2</c:v>
                </c:pt>
                <c:pt idx="107">
                  <c:v>1.0777801700270904E-2</c:v>
                </c:pt>
                <c:pt idx="108">
                  <c:v>9.0935625015910529E-3</c:v>
                </c:pt>
                <c:pt idx="109">
                  <c:v>7.6426058187464016E-3</c:v>
                </c:pt>
                <c:pt idx="110">
                  <c:v>6.3981203107235565E-3</c:v>
                </c:pt>
                <c:pt idx="111">
                  <c:v>5.3353987315863148E-3</c:v>
                </c:pt>
                <c:pt idx="112">
                  <c:v>4.4318484119380075E-3</c:v>
                </c:pt>
                <c:pt idx="113">
                  <c:v>3.6669623462942261E-3</c:v>
                </c:pt>
                <c:pt idx="114">
                  <c:v>3.0222580351987561E-3</c:v>
                </c:pt>
                <c:pt idx="115">
                  <c:v>2.4811908361033002E-3</c:v>
                </c:pt>
                <c:pt idx="116">
                  <c:v>2.0290480572997681E-3</c:v>
                </c:pt>
                <c:pt idx="117">
                  <c:v>1.6528294224062582E-3</c:v>
                </c:pt>
                <c:pt idx="118">
                  <c:v>1.3411188734903778E-3</c:v>
                </c:pt>
                <c:pt idx="119">
                  <c:v>1.083951999114652E-3</c:v>
                </c:pt>
                <c:pt idx="120">
                  <c:v>8.7268269504576015E-4</c:v>
                </c:pt>
                <c:pt idx="121">
                  <c:v>6.9985201094694273E-4</c:v>
                </c:pt>
                <c:pt idx="122">
                  <c:v>5.5906152223216487E-4</c:v>
                </c:pt>
                <c:pt idx="123">
                  <c:v>4.4485300411281029E-4</c:v>
                </c:pt>
                <c:pt idx="124">
                  <c:v>3.5259568236744541E-4</c:v>
                </c:pt>
                <c:pt idx="125">
                  <c:v>2.7838189659836209E-4</c:v>
                </c:pt>
                <c:pt idx="126">
                  <c:v>2.189316377646121E-4</c:v>
                </c:pt>
                <c:pt idx="127">
                  <c:v>1.7150611119472349E-4</c:v>
                </c:pt>
                <c:pt idx="128">
                  <c:v>1.3383022576488537E-4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7-4418-8420-147ABE57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304384"/>
        <c:axId val="1914156448"/>
      </c:lineChart>
      <c:catAx>
        <c:axId val="16413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6448"/>
        <c:crosses val="autoZero"/>
        <c:auto val="1"/>
        <c:lblAlgn val="ctr"/>
        <c:lblOffset val="100"/>
        <c:noMultiLvlLbl val="0"/>
      </c:catAx>
      <c:valAx>
        <c:axId val="19141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8563</xdr:colOff>
      <xdr:row>0</xdr:row>
      <xdr:rowOff>4281</xdr:rowOff>
    </xdr:from>
    <xdr:to>
      <xdr:col>21</xdr:col>
      <xdr:colOff>218326</xdr:colOff>
      <xdr:row>28</xdr:row>
      <xdr:rowOff>141269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A2C66-79EF-43EF-8C86-71B34D7E4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111879</xdr:rowOff>
    </xdr:from>
    <xdr:to>
      <xdr:col>13</xdr:col>
      <xdr:colOff>415290</xdr:colOff>
      <xdr:row>31</xdr:row>
      <xdr:rowOff>148307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8F35B-6A21-49FC-896C-F6A08421F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621030</xdr:colOff>
      <xdr:row>0</xdr:row>
      <xdr:rowOff>16722</xdr:rowOff>
    </xdr:from>
    <xdr:to>
      <xdr:col>14</xdr:col>
      <xdr:colOff>251460</xdr:colOff>
      <xdr:row>12</xdr:row>
      <xdr:rowOff>321521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62758-08FC-470B-83A3-5D565E45E7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906" t="-118"/>
        <a:stretch/>
      </xdr:blipFill>
      <xdr:spPr>
        <a:xfrm>
          <a:off x="4462780" y="16722"/>
          <a:ext cx="4752763" cy="3278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ED44-ED74-4793-AD35-28CD2E24CAFD}">
  <dimension ref="B1:I26"/>
  <sheetViews>
    <sheetView zoomScale="89" workbookViewId="0">
      <selection activeCell="D25" sqref="D25"/>
    </sheetView>
  </sheetViews>
  <sheetFormatPr defaultColWidth="8.81640625" defaultRowHeight="14.5" x14ac:dyDescent="0.35"/>
  <cols>
    <col min="1" max="1" width="8.81640625" style="54"/>
    <col min="2" max="3" width="11.08984375" style="54" customWidth="1"/>
    <col min="4" max="5" width="13.90625" style="54" customWidth="1"/>
    <col min="6" max="6" width="13.6328125" style="54" customWidth="1"/>
    <col min="7" max="7" width="12.36328125" style="54" customWidth="1"/>
    <col min="8" max="16384" width="8.81640625" style="54"/>
  </cols>
  <sheetData>
    <row r="1" spans="2:9" x14ac:dyDescent="0.35">
      <c r="B1" s="232" t="s">
        <v>48</v>
      </c>
      <c r="C1" s="232" t="s">
        <v>51</v>
      </c>
      <c r="D1" s="232" t="s">
        <v>49</v>
      </c>
      <c r="E1" s="232" t="s">
        <v>50</v>
      </c>
      <c r="F1" s="232" t="s">
        <v>52</v>
      </c>
      <c r="G1" s="232"/>
    </row>
    <row r="2" spans="2:9" x14ac:dyDescent="0.35">
      <c r="B2" s="232"/>
      <c r="C2" s="232"/>
      <c r="D2" s="232"/>
      <c r="E2" s="232"/>
      <c r="F2" s="232"/>
      <c r="G2" s="232"/>
    </row>
    <row r="3" spans="2:9" x14ac:dyDescent="0.35">
      <c r="B3" s="57">
        <v>0</v>
      </c>
      <c r="C3" s="57">
        <f t="shared" ref="C3:C13" si="0">$D$19-B3</f>
        <v>10</v>
      </c>
      <c r="D3" s="58">
        <f t="shared" ref="D3:D13" si="1">($H$4^C3)*($I$4^B3)*COMBIN($D$19,B3)</f>
        <v>1.5315789852644496E-5</v>
      </c>
      <c r="E3" s="59">
        <f>D3</f>
        <v>1.5315789852644496E-5</v>
      </c>
      <c r="F3" s="57">
        <f>SUMPRODUCT(B3:B15,D3:D15)</f>
        <v>7.8416844045539835E-2</v>
      </c>
      <c r="G3" s="62"/>
    </row>
    <row r="4" spans="2:9" x14ac:dyDescent="0.35">
      <c r="B4" s="57">
        <v>1</v>
      </c>
      <c r="C4" s="57">
        <f t="shared" si="0"/>
        <v>9</v>
      </c>
      <c r="D4" s="58">
        <f t="shared" si="1"/>
        <v>1.5315789852644496E-4</v>
      </c>
      <c r="E4" s="59">
        <f>SUM(E3,D4)</f>
        <v>1.6847368837908945E-4</v>
      </c>
      <c r="F4" s="57"/>
      <c r="G4" s="57"/>
      <c r="H4" s="55">
        <v>0.33</v>
      </c>
      <c r="I4" s="55">
        <v>0.33</v>
      </c>
    </row>
    <row r="5" spans="2:9" x14ac:dyDescent="0.35">
      <c r="B5" s="57">
        <f>B4+1</f>
        <v>2</v>
      </c>
      <c r="C5" s="57">
        <f t="shared" si="0"/>
        <v>8</v>
      </c>
      <c r="D5" s="58">
        <f t="shared" si="1"/>
        <v>6.8921054336900235E-4</v>
      </c>
      <c r="E5" s="59">
        <f t="shared" ref="E5:E13" si="2">SUM(E4,D5)</f>
        <v>8.576842317480918E-4</v>
      </c>
      <c r="F5" s="57"/>
      <c r="G5" s="57"/>
    </row>
    <row r="6" spans="2:9" x14ac:dyDescent="0.35">
      <c r="B6" s="57">
        <f t="shared" ref="B6:B13" si="3">B5+1</f>
        <v>3</v>
      </c>
      <c r="C6" s="57">
        <f t="shared" si="0"/>
        <v>7</v>
      </c>
      <c r="D6" s="58">
        <f t="shared" si="1"/>
        <v>1.8378947823173395E-3</v>
      </c>
      <c r="E6" s="59">
        <f t="shared" si="2"/>
        <v>2.6955790140654311E-3</v>
      </c>
      <c r="F6" s="57"/>
      <c r="G6" s="57"/>
    </row>
    <row r="7" spans="2:9" x14ac:dyDescent="0.35">
      <c r="B7" s="57">
        <f t="shared" si="3"/>
        <v>4</v>
      </c>
      <c r="C7" s="57">
        <f t="shared" si="0"/>
        <v>6</v>
      </c>
      <c r="D7" s="58">
        <f t="shared" si="1"/>
        <v>3.2163158690553437E-3</v>
      </c>
      <c r="E7" s="59">
        <f t="shared" si="2"/>
        <v>5.9118948831207753E-3</v>
      </c>
      <c r="F7" s="57"/>
      <c r="G7" s="57"/>
    </row>
    <row r="8" spans="2:9" x14ac:dyDescent="0.35">
      <c r="B8" s="57">
        <f t="shared" si="3"/>
        <v>5</v>
      </c>
      <c r="C8" s="57">
        <f t="shared" si="0"/>
        <v>5</v>
      </c>
      <c r="D8" s="58">
        <f t="shared" si="1"/>
        <v>3.8595790428664141E-3</v>
      </c>
      <c r="E8" s="59">
        <f t="shared" si="2"/>
        <v>9.771473925987189E-3</v>
      </c>
      <c r="F8" s="57"/>
      <c r="G8" s="57"/>
    </row>
    <row r="9" spans="2:9" x14ac:dyDescent="0.35">
      <c r="B9" s="57">
        <f t="shared" si="3"/>
        <v>6</v>
      </c>
      <c r="C9" s="57">
        <f t="shared" si="0"/>
        <v>4</v>
      </c>
      <c r="D9" s="58">
        <f t="shared" si="1"/>
        <v>3.2163158690553437E-3</v>
      </c>
      <c r="E9" s="59">
        <f t="shared" si="2"/>
        <v>1.2987789795042533E-2</v>
      </c>
      <c r="F9" s="57"/>
      <c r="G9" s="57"/>
    </row>
    <row r="10" spans="2:9" x14ac:dyDescent="0.35">
      <c r="B10" s="57">
        <f t="shared" si="3"/>
        <v>7</v>
      </c>
      <c r="C10" s="57">
        <f t="shared" si="0"/>
        <v>3</v>
      </c>
      <c r="D10" s="58">
        <f t="shared" si="1"/>
        <v>1.8378947823173395E-3</v>
      </c>
      <c r="E10" s="59">
        <f t="shared" si="2"/>
        <v>1.4825684577359872E-2</v>
      </c>
      <c r="F10" s="57"/>
      <c r="G10" s="57"/>
    </row>
    <row r="11" spans="2:9" x14ac:dyDescent="0.35">
      <c r="B11" s="57">
        <f t="shared" si="3"/>
        <v>8</v>
      </c>
      <c r="C11" s="57">
        <f t="shared" si="0"/>
        <v>2</v>
      </c>
      <c r="D11" s="58">
        <f t="shared" si="1"/>
        <v>6.8921054336900235E-4</v>
      </c>
      <c r="E11" s="59">
        <f t="shared" si="2"/>
        <v>1.5514895120728874E-2</v>
      </c>
      <c r="F11" s="57"/>
      <c r="G11" s="57"/>
    </row>
    <row r="12" spans="2:9" x14ac:dyDescent="0.35">
      <c r="B12" s="57">
        <f t="shared" si="3"/>
        <v>9</v>
      </c>
      <c r="C12" s="57">
        <f t="shared" si="0"/>
        <v>1</v>
      </c>
      <c r="D12" s="58">
        <f t="shared" si="1"/>
        <v>1.5315789852644496E-4</v>
      </c>
      <c r="E12" s="59">
        <f t="shared" si="2"/>
        <v>1.5668053019255317E-2</v>
      </c>
      <c r="F12" s="57"/>
      <c r="G12" s="57"/>
    </row>
    <row r="13" spans="2:9" x14ac:dyDescent="0.35">
      <c r="B13" s="57">
        <f t="shared" si="3"/>
        <v>10</v>
      </c>
      <c r="C13" s="57">
        <f t="shared" si="0"/>
        <v>0</v>
      </c>
      <c r="D13" s="58">
        <f t="shared" si="1"/>
        <v>1.5315789852644496E-5</v>
      </c>
      <c r="E13" s="59">
        <f t="shared" si="2"/>
        <v>1.5683368809107961E-2</v>
      </c>
      <c r="F13" s="57"/>
      <c r="G13" s="57"/>
    </row>
    <row r="14" spans="2:9" x14ac:dyDescent="0.35">
      <c r="B14" s="57"/>
      <c r="C14" s="57"/>
      <c r="D14" s="58"/>
      <c r="E14" s="59"/>
      <c r="F14" s="57"/>
      <c r="G14" s="57"/>
    </row>
    <row r="15" spans="2:9" x14ac:dyDescent="0.35">
      <c r="B15" s="57"/>
      <c r="C15" s="57"/>
      <c r="D15" s="58"/>
      <c r="E15" s="59"/>
      <c r="G15" s="57"/>
    </row>
    <row r="16" spans="2:9" x14ac:dyDescent="0.35">
      <c r="B16" s="57"/>
      <c r="C16" s="57"/>
      <c r="D16" s="57"/>
      <c r="E16" s="57"/>
      <c r="F16" s="57"/>
      <c r="G16" s="57"/>
    </row>
    <row r="17" spans="2:7" x14ac:dyDescent="0.35">
      <c r="B17" s="60">
        <f>I4*10</f>
        <v>3.3000000000000003</v>
      </c>
      <c r="C17" s="60"/>
      <c r="D17" s="61">
        <f>SQRT(10*H4*I4)</f>
        <v>1.0435516278555652</v>
      </c>
      <c r="E17" s="57"/>
      <c r="G17" s="57"/>
    </row>
    <row r="18" spans="2:7" x14ac:dyDescent="0.35">
      <c r="B18" s="57"/>
      <c r="C18" s="57"/>
      <c r="D18" s="62"/>
      <c r="E18" s="57"/>
      <c r="F18" s="57"/>
      <c r="G18" s="57"/>
    </row>
    <row r="19" spans="2:7" x14ac:dyDescent="0.35">
      <c r="B19" s="57" t="s">
        <v>47</v>
      </c>
      <c r="C19" s="57"/>
      <c r="D19" s="57">
        <v>10</v>
      </c>
      <c r="E19" s="57"/>
      <c r="F19" s="57"/>
      <c r="G19" s="57"/>
    </row>
    <row r="20" spans="2:7" x14ac:dyDescent="0.35">
      <c r="B20" s="57"/>
      <c r="C20" s="57"/>
      <c r="D20" s="57"/>
      <c r="E20" s="57"/>
      <c r="F20" s="57"/>
      <c r="G20" s="57"/>
    </row>
    <row r="21" spans="2:7" x14ac:dyDescent="0.35">
      <c r="B21" s="56"/>
      <c r="C21" s="56"/>
      <c r="D21" s="56"/>
      <c r="E21" s="56"/>
      <c r="F21" s="56"/>
    </row>
    <row r="22" spans="2:7" x14ac:dyDescent="0.35">
      <c r="B22" s="56"/>
      <c r="C22" s="56"/>
      <c r="D22" s="56"/>
      <c r="E22" s="56"/>
      <c r="F22" s="56"/>
    </row>
    <row r="23" spans="2:7" x14ac:dyDescent="0.35">
      <c r="B23" s="56"/>
      <c r="C23" s="56"/>
      <c r="D23" s="56"/>
      <c r="E23" s="56"/>
      <c r="F23" s="56"/>
    </row>
    <row r="24" spans="2:7" x14ac:dyDescent="0.35">
      <c r="B24" s="56"/>
      <c r="C24" s="56"/>
      <c r="D24" s="56"/>
      <c r="E24" s="56"/>
      <c r="F24" s="56"/>
    </row>
    <row r="25" spans="2:7" x14ac:dyDescent="0.35">
      <c r="B25" s="56"/>
      <c r="C25" s="56"/>
      <c r="D25" s="56"/>
      <c r="E25" s="56"/>
      <c r="F25" s="56"/>
    </row>
    <row r="26" spans="2:7" x14ac:dyDescent="0.35">
      <c r="B26" s="56"/>
      <c r="C26" s="56"/>
      <c r="D26" s="56"/>
      <c r="E26" s="56"/>
      <c r="F26" s="56"/>
    </row>
  </sheetData>
  <mergeCells count="6">
    <mergeCell ref="B1:B2"/>
    <mergeCell ref="D1:D2"/>
    <mergeCell ref="E1:E2"/>
    <mergeCell ref="C1:C2"/>
    <mergeCell ref="G1:G2"/>
    <mergeCell ref="F1:F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5F87-6BB2-43C0-AB9E-11663268D5D0}">
  <dimension ref="B1:S12"/>
  <sheetViews>
    <sheetView zoomScale="160" zoomScaleNormal="160" workbookViewId="0">
      <selection activeCell="G10" sqref="G10:I12"/>
    </sheetView>
  </sheetViews>
  <sheetFormatPr defaultColWidth="8.81640625" defaultRowHeight="16.5" x14ac:dyDescent="0.35"/>
  <cols>
    <col min="1" max="2" width="8.81640625" style="64"/>
    <col min="3" max="3" width="12.453125" style="64" customWidth="1"/>
    <col min="4" max="5" width="15.90625" style="64" customWidth="1"/>
    <col min="6" max="6" width="16.453125" style="64" customWidth="1"/>
    <col min="7" max="8" width="8.81640625" style="64"/>
    <col min="9" max="9" width="10.1796875" style="64" customWidth="1"/>
    <col min="10" max="10" width="10.26953125" style="64" customWidth="1"/>
    <col min="11" max="16384" width="8.81640625" style="64"/>
  </cols>
  <sheetData>
    <row r="1" spans="2:19" ht="17" thickBot="1" x14ac:dyDescent="0.4"/>
    <row r="2" spans="2:19" ht="17" thickBot="1" x14ac:dyDescent="0.4">
      <c r="B2" s="262" t="s">
        <v>98</v>
      </c>
      <c r="C2" s="263"/>
      <c r="D2" s="263"/>
      <c r="E2" s="263"/>
      <c r="F2" s="263"/>
      <c r="G2" s="263"/>
      <c r="H2" s="263"/>
      <c r="I2" s="263"/>
      <c r="J2" s="264"/>
      <c r="L2" s="125"/>
      <c r="M2" s="125"/>
      <c r="N2" s="125"/>
      <c r="O2" s="125"/>
      <c r="P2" s="125"/>
      <c r="Q2" s="125"/>
      <c r="R2" s="125"/>
      <c r="S2" s="125"/>
    </row>
    <row r="3" spans="2:19" ht="17" thickBot="1" x14ac:dyDescent="0.4">
      <c r="B3" s="295" t="s">
        <v>99</v>
      </c>
      <c r="C3" s="296"/>
      <c r="D3" s="296"/>
      <c r="E3" s="296"/>
      <c r="F3" s="297"/>
      <c r="G3" s="298" t="s">
        <v>100</v>
      </c>
      <c r="H3" s="299"/>
      <c r="I3" s="299"/>
      <c r="J3" s="300"/>
      <c r="L3" s="125"/>
      <c r="M3" s="125"/>
      <c r="N3" s="125"/>
      <c r="O3" s="125"/>
      <c r="P3" s="125"/>
      <c r="Q3" s="125"/>
      <c r="R3" s="125"/>
      <c r="S3" s="125"/>
    </row>
    <row r="4" spans="2:19" ht="17" thickBot="1" x14ac:dyDescent="0.4">
      <c r="B4" s="303" t="s">
        <v>96</v>
      </c>
      <c r="C4" s="305"/>
      <c r="D4" s="303" t="s">
        <v>101</v>
      </c>
      <c r="E4" s="304"/>
      <c r="F4" s="305"/>
      <c r="G4" s="301" t="s">
        <v>104</v>
      </c>
      <c r="H4" s="302"/>
      <c r="I4" s="301" t="s">
        <v>105</v>
      </c>
      <c r="J4" s="302"/>
      <c r="L4" s="126"/>
      <c r="M4" s="126"/>
      <c r="N4" s="126"/>
      <c r="O4" s="126"/>
      <c r="R4" s="306"/>
      <c r="S4" s="306"/>
    </row>
    <row r="5" spans="2:19" ht="17" thickBot="1" x14ac:dyDescent="0.5">
      <c r="B5" s="120" t="s">
        <v>102</v>
      </c>
      <c r="C5" s="120" t="s">
        <v>103</v>
      </c>
      <c r="D5" s="123" t="s">
        <v>114</v>
      </c>
      <c r="E5" s="124" t="s">
        <v>115</v>
      </c>
      <c r="F5" s="120" t="s">
        <v>116</v>
      </c>
      <c r="G5" s="119"/>
      <c r="H5" s="119"/>
      <c r="I5" s="119"/>
      <c r="J5" s="119"/>
    </row>
    <row r="7" spans="2:19" ht="17" thickBot="1" x14ac:dyDescent="0.4"/>
    <row r="8" spans="2:19" ht="17" thickBot="1" x14ac:dyDescent="0.4">
      <c r="B8" s="262" t="s">
        <v>91</v>
      </c>
      <c r="C8" s="263"/>
      <c r="D8" s="263"/>
      <c r="E8" s="263"/>
      <c r="F8" s="263"/>
      <c r="G8" s="263"/>
      <c r="H8" s="263"/>
      <c r="I8" s="264"/>
      <c r="J8" s="121"/>
    </row>
    <row r="9" spans="2:19" ht="17" thickBot="1" x14ac:dyDescent="0.4">
      <c r="B9" s="318" t="s">
        <v>106</v>
      </c>
      <c r="C9" s="319"/>
      <c r="D9" s="318" t="s">
        <v>107</v>
      </c>
      <c r="E9" s="320"/>
      <c r="F9" s="319"/>
      <c r="G9" s="307" t="s">
        <v>108</v>
      </c>
      <c r="H9" s="308"/>
      <c r="I9" s="309"/>
      <c r="J9" s="122"/>
    </row>
    <row r="10" spans="2:19" x14ac:dyDescent="0.35">
      <c r="B10" s="316" t="s">
        <v>98</v>
      </c>
      <c r="C10" s="317"/>
      <c r="D10" s="307" t="s">
        <v>111</v>
      </c>
      <c r="E10" s="308"/>
      <c r="F10" s="309"/>
      <c r="G10" s="307" t="s">
        <v>117</v>
      </c>
      <c r="H10" s="308"/>
      <c r="I10" s="309"/>
    </row>
    <row r="11" spans="2:19" x14ac:dyDescent="0.35">
      <c r="B11" s="310" t="s">
        <v>109</v>
      </c>
      <c r="C11" s="312"/>
      <c r="D11" s="310" t="s">
        <v>112</v>
      </c>
      <c r="E11" s="311"/>
      <c r="F11" s="312"/>
      <c r="G11" s="310"/>
      <c r="H11" s="311"/>
      <c r="I11" s="312"/>
    </row>
    <row r="12" spans="2:19" ht="17" thickBot="1" x14ac:dyDescent="0.4">
      <c r="B12" s="313" t="s">
        <v>110</v>
      </c>
      <c r="C12" s="315"/>
      <c r="D12" s="313" t="s">
        <v>113</v>
      </c>
      <c r="E12" s="314"/>
      <c r="F12" s="315"/>
      <c r="G12" s="313"/>
      <c r="H12" s="314"/>
      <c r="I12" s="315"/>
    </row>
  </sheetData>
  <mergeCells count="19">
    <mergeCell ref="R4:S4"/>
    <mergeCell ref="G9:I9"/>
    <mergeCell ref="B8:I8"/>
    <mergeCell ref="G10:I12"/>
    <mergeCell ref="B10:C10"/>
    <mergeCell ref="B11:C11"/>
    <mergeCell ref="B12:C12"/>
    <mergeCell ref="D10:F10"/>
    <mergeCell ref="D11:F11"/>
    <mergeCell ref="D12:F12"/>
    <mergeCell ref="B9:C9"/>
    <mergeCell ref="D9:F9"/>
    <mergeCell ref="B2:J2"/>
    <mergeCell ref="B3:F3"/>
    <mergeCell ref="G3:J3"/>
    <mergeCell ref="G4:H4"/>
    <mergeCell ref="I4:J4"/>
    <mergeCell ref="D4:F4"/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61E1-16E5-4EC5-A47D-D140425FFC54}">
  <dimension ref="A1:O20"/>
  <sheetViews>
    <sheetView workbookViewId="0">
      <selection activeCell="F16" sqref="F16"/>
    </sheetView>
  </sheetViews>
  <sheetFormatPr defaultColWidth="8.81640625" defaultRowHeight="16.5" x14ac:dyDescent="0.35"/>
  <cols>
    <col min="1" max="1" width="8.81640625" style="137"/>
    <col min="2" max="2" width="12.81640625" style="137" customWidth="1"/>
    <col min="3" max="3" width="12.54296875" style="137" customWidth="1"/>
    <col min="4" max="4" width="11" style="137" customWidth="1"/>
    <col min="5" max="5" width="18.90625" style="137" customWidth="1"/>
    <col min="6" max="6" width="20.453125" style="137" customWidth="1"/>
    <col min="7" max="8" width="8.81640625" style="137"/>
    <col min="9" max="9" width="14.90625" style="137" customWidth="1"/>
    <col min="10" max="10" width="8.81640625" style="137"/>
    <col min="11" max="11" width="21.08984375" style="137" customWidth="1"/>
    <col min="12" max="16384" width="8.81640625" style="137"/>
  </cols>
  <sheetData>
    <row r="1" spans="1:15" ht="17" thickBot="1" x14ac:dyDescent="0.4"/>
    <row r="2" spans="1:15" ht="14.4" customHeight="1" x14ac:dyDescent="0.35">
      <c r="A2" s="137" t="s">
        <v>122</v>
      </c>
      <c r="B2" s="324" t="s">
        <v>147</v>
      </c>
      <c r="C2" s="325"/>
      <c r="D2" s="325"/>
      <c r="E2" s="326"/>
      <c r="G2" s="321" t="s">
        <v>119</v>
      </c>
      <c r="H2" s="321"/>
      <c r="I2" s="321"/>
      <c r="J2" s="321"/>
      <c r="L2" s="321" t="s">
        <v>118</v>
      </c>
      <c r="M2" s="321"/>
      <c r="N2" s="321"/>
      <c r="O2" s="321"/>
    </row>
    <row r="3" spans="1:15" ht="14.75" customHeight="1" x14ac:dyDescent="0.35">
      <c r="B3" s="327"/>
      <c r="C3" s="328"/>
      <c r="D3" s="328"/>
      <c r="E3" s="329"/>
      <c r="G3" s="321"/>
      <c r="H3" s="321"/>
      <c r="I3" s="321"/>
      <c r="J3" s="321"/>
      <c r="L3" s="321"/>
      <c r="M3" s="321"/>
      <c r="N3" s="321"/>
      <c r="O3" s="321"/>
    </row>
    <row r="4" spans="1:15" x14ac:dyDescent="0.35">
      <c r="B4" s="327"/>
      <c r="C4" s="328"/>
      <c r="D4" s="328"/>
      <c r="E4" s="329"/>
      <c r="G4" s="322" t="s">
        <v>123</v>
      </c>
      <c r="H4" s="322"/>
      <c r="I4" s="306" t="s">
        <v>124</v>
      </c>
      <c r="J4" s="306"/>
      <c r="L4" s="322" t="s">
        <v>97</v>
      </c>
      <c r="M4" s="322"/>
      <c r="N4" s="306" t="s">
        <v>125</v>
      </c>
      <c r="O4" s="306"/>
    </row>
    <row r="5" spans="1:15" ht="17" thickBot="1" x14ac:dyDescent="0.4">
      <c r="B5" s="330"/>
      <c r="C5" s="331"/>
      <c r="D5" s="331"/>
      <c r="E5" s="332"/>
      <c r="G5" s="306">
        <v>-100</v>
      </c>
      <c r="H5" s="306"/>
      <c r="I5" s="306">
        <v>200</v>
      </c>
      <c r="J5" s="306"/>
      <c r="L5" s="306">
        <v>1400</v>
      </c>
      <c r="M5" s="306"/>
      <c r="N5" s="306">
        <v>200</v>
      </c>
      <c r="O5" s="306"/>
    </row>
    <row r="6" spans="1:15" ht="17" thickBot="1" x14ac:dyDescent="0.4">
      <c r="H6" s="306">
        <f>G5+I5</f>
        <v>100</v>
      </c>
      <c r="I6" s="306"/>
      <c r="M6" s="306">
        <f>L5-N5</f>
        <v>1200</v>
      </c>
      <c r="N6" s="306"/>
    </row>
    <row r="7" spans="1:15" ht="29.15" customHeight="1" x14ac:dyDescent="0.35">
      <c r="B7" s="136" t="s">
        <v>141</v>
      </c>
      <c r="C7" s="148">
        <v>1000</v>
      </c>
      <c r="E7" s="149" t="s">
        <v>121</v>
      </c>
    </row>
    <row r="8" spans="1:15" ht="29.4" customHeight="1" thickBot="1" x14ac:dyDescent="0.4">
      <c r="B8" s="134" t="s">
        <v>142</v>
      </c>
      <c r="C8" s="150">
        <v>0</v>
      </c>
      <c r="E8" s="151">
        <f>C7-C8-((C7-C8-C9)*(1-C10))</f>
        <v>580</v>
      </c>
      <c r="G8" s="152"/>
      <c r="H8" s="137" t="s">
        <v>126</v>
      </c>
      <c r="I8" s="137" t="s">
        <v>127</v>
      </c>
      <c r="J8" s="137" t="s">
        <v>126</v>
      </c>
      <c r="K8" s="137" t="s">
        <v>128</v>
      </c>
    </row>
    <row r="9" spans="1:15" ht="28.75" customHeight="1" x14ac:dyDescent="0.35">
      <c r="B9" s="134" t="s">
        <v>109</v>
      </c>
      <c r="C9" s="150">
        <v>300</v>
      </c>
      <c r="G9" s="153"/>
      <c r="H9" s="137" t="s">
        <v>126</v>
      </c>
      <c r="I9" s="137" t="s">
        <v>92</v>
      </c>
      <c r="J9" s="137" t="s">
        <v>126</v>
      </c>
      <c r="K9" s="137" t="s">
        <v>129</v>
      </c>
    </row>
    <row r="10" spans="1:15" ht="27.9" customHeight="1" thickBot="1" x14ac:dyDescent="0.4">
      <c r="B10" s="135" t="s">
        <v>120</v>
      </c>
      <c r="C10" s="154">
        <v>0.4</v>
      </c>
      <c r="E10" s="155"/>
    </row>
    <row r="11" spans="1:15" x14ac:dyDescent="0.35">
      <c r="E11" s="87"/>
    </row>
    <row r="12" spans="1:15" ht="28" x14ac:dyDescent="0.35">
      <c r="B12" s="323" t="s">
        <v>150</v>
      </c>
      <c r="C12" s="323"/>
      <c r="D12" s="323"/>
      <c r="E12" s="323"/>
    </row>
    <row r="14" spans="1:15" x14ac:dyDescent="0.35">
      <c r="B14" s="153" t="s">
        <v>144</v>
      </c>
      <c r="C14" s="153" t="s">
        <v>143</v>
      </c>
      <c r="D14" s="153" t="s">
        <v>145</v>
      </c>
      <c r="E14" s="153" t="s">
        <v>143</v>
      </c>
      <c r="F14" s="153" t="s">
        <v>146</v>
      </c>
      <c r="G14" s="321" t="s">
        <v>126</v>
      </c>
      <c r="H14" s="321"/>
      <c r="I14" s="153" t="s">
        <v>92</v>
      </c>
    </row>
    <row r="15" spans="1:15" x14ac:dyDescent="0.35">
      <c r="B15" s="137">
        <v>0</v>
      </c>
      <c r="D15" s="137">
        <v>-100</v>
      </c>
      <c r="F15" s="137">
        <f>K20</f>
        <v>-80</v>
      </c>
      <c r="I15" s="137">
        <f>B15-D15-F15</f>
        <v>180</v>
      </c>
    </row>
    <row r="17" spans="2:11" x14ac:dyDescent="0.35">
      <c r="B17" s="137" t="s">
        <v>148</v>
      </c>
    </row>
    <row r="19" spans="2:11" x14ac:dyDescent="0.35">
      <c r="B19" s="156" t="s">
        <v>97</v>
      </c>
      <c r="C19" s="156" t="s">
        <v>143</v>
      </c>
      <c r="D19" s="156" t="s">
        <v>142</v>
      </c>
      <c r="E19" s="156" t="s">
        <v>143</v>
      </c>
      <c r="F19" s="156" t="s">
        <v>109</v>
      </c>
      <c r="G19" s="322" t="s">
        <v>126</v>
      </c>
      <c r="H19" s="322"/>
      <c r="I19" s="156" t="s">
        <v>149</v>
      </c>
      <c r="J19" s="156"/>
      <c r="K19" s="156" t="s">
        <v>101</v>
      </c>
    </row>
    <row r="20" spans="2:11" x14ac:dyDescent="0.35">
      <c r="B20" s="137">
        <v>0</v>
      </c>
      <c r="D20" s="137">
        <v>-100</v>
      </c>
      <c r="F20" s="137">
        <v>300</v>
      </c>
      <c r="I20" s="137">
        <f>B20-D20-F20</f>
        <v>-200</v>
      </c>
      <c r="K20" s="137">
        <f>0.4*I20</f>
        <v>-80</v>
      </c>
    </row>
  </sheetData>
  <mergeCells count="16">
    <mergeCell ref="M6:N6"/>
    <mergeCell ref="H6:I6"/>
    <mergeCell ref="L2:O3"/>
    <mergeCell ref="L4:M4"/>
    <mergeCell ref="N4:O4"/>
    <mergeCell ref="G5:H5"/>
    <mergeCell ref="I5:J5"/>
    <mergeCell ref="N5:O5"/>
    <mergeCell ref="L5:M5"/>
    <mergeCell ref="G14:H14"/>
    <mergeCell ref="G19:H19"/>
    <mergeCell ref="B12:E12"/>
    <mergeCell ref="B2:E5"/>
    <mergeCell ref="G2:J3"/>
    <mergeCell ref="G4:H4"/>
    <mergeCell ref="I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072-DE2B-4CEB-9BDE-408C37BD062E}">
  <dimension ref="B1:I3"/>
  <sheetViews>
    <sheetView workbookViewId="0">
      <selection activeCell="B6" sqref="B6"/>
    </sheetView>
  </sheetViews>
  <sheetFormatPr defaultColWidth="8.81640625" defaultRowHeight="14.5" x14ac:dyDescent="0.35"/>
  <cols>
    <col min="1" max="1" width="7.453125" style="127" customWidth="1"/>
    <col min="2" max="2" width="11.54296875" style="127" customWidth="1"/>
    <col min="3" max="3" width="12.81640625" style="127" customWidth="1"/>
    <col min="4" max="4" width="10.453125" style="127" customWidth="1"/>
    <col min="5" max="5" width="10.08984375" style="127" customWidth="1"/>
    <col min="6" max="16384" width="8.81640625" style="127"/>
  </cols>
  <sheetData>
    <row r="1" spans="2:9" ht="15" thickBot="1" x14ac:dyDescent="0.4"/>
    <row r="2" spans="2:9" ht="29.15" customHeight="1" thickBot="1" x14ac:dyDescent="0.4">
      <c r="B2" s="289" t="s">
        <v>134</v>
      </c>
      <c r="C2" s="290"/>
      <c r="D2" s="290"/>
      <c r="E2" s="290"/>
      <c r="F2" s="290"/>
      <c r="G2" s="290"/>
      <c r="H2" s="290"/>
      <c r="I2" s="291"/>
    </row>
    <row r="3" spans="2:9" ht="48.65" customHeight="1" thickBot="1" x14ac:dyDescent="0.4">
      <c r="B3" s="333" t="s">
        <v>130</v>
      </c>
      <c r="C3" s="334"/>
      <c r="D3" s="333" t="s">
        <v>131</v>
      </c>
      <c r="E3" s="334"/>
      <c r="F3" s="333" t="s">
        <v>132</v>
      </c>
      <c r="G3" s="334"/>
      <c r="H3" s="333" t="s">
        <v>133</v>
      </c>
      <c r="I3" s="334"/>
    </row>
  </sheetData>
  <mergeCells count="5">
    <mergeCell ref="B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45AB-F82E-46D6-99BE-AA74C4C75AE3}">
  <dimension ref="B1:K11"/>
  <sheetViews>
    <sheetView zoomScale="104" zoomScaleNormal="73" workbookViewId="0">
      <selection activeCell="F8" sqref="F8:I11"/>
    </sheetView>
  </sheetViews>
  <sheetFormatPr defaultColWidth="8.81640625" defaultRowHeight="16.5" x14ac:dyDescent="0.35"/>
  <cols>
    <col min="1" max="1" width="8.81640625" style="173"/>
    <col min="2" max="2" width="16.26953125" style="173" customWidth="1"/>
    <col min="3" max="3" width="13.1796875" style="173" customWidth="1"/>
    <col min="4" max="4" width="14.453125" style="173" customWidth="1"/>
    <col min="5" max="5" width="0.6328125" style="173" customWidth="1"/>
    <col min="6" max="10" width="8.81640625" style="173"/>
    <col min="11" max="11" width="24.6328125" style="199" customWidth="1"/>
    <col min="12" max="16384" width="8.81640625" style="173"/>
  </cols>
  <sheetData>
    <row r="1" spans="2:9" ht="17" thickBot="1" x14ac:dyDescent="0.4"/>
    <row r="2" spans="2:9" ht="22.75" customHeight="1" thickBot="1" x14ac:dyDescent="0.4">
      <c r="C2" s="358" t="s">
        <v>154</v>
      </c>
      <c r="D2" s="359"/>
      <c r="E2" s="359"/>
      <c r="F2" s="359"/>
      <c r="G2" s="359"/>
      <c r="H2" s="359"/>
      <c r="I2" s="360"/>
    </row>
    <row r="3" spans="2:9" ht="17" thickBot="1" x14ac:dyDescent="0.4">
      <c r="C3" s="361" t="s">
        <v>98</v>
      </c>
      <c r="D3" s="362"/>
      <c r="E3" s="344"/>
      <c r="F3" s="361" t="s">
        <v>155</v>
      </c>
      <c r="G3" s="362"/>
      <c r="H3" s="363" t="s">
        <v>104</v>
      </c>
      <c r="I3" s="364"/>
    </row>
    <row r="4" spans="2:9" ht="17" thickBot="1" x14ac:dyDescent="0.4">
      <c r="B4" s="198" t="s">
        <v>156</v>
      </c>
      <c r="C4" s="365">
        <f>F4+H4</f>
        <v>100</v>
      </c>
      <c r="D4" s="366"/>
      <c r="E4" s="345"/>
      <c r="F4" s="367">
        <v>0</v>
      </c>
      <c r="G4" s="368"/>
      <c r="H4" s="369">
        <v>100</v>
      </c>
      <c r="I4" s="370"/>
    </row>
    <row r="5" spans="2:9" ht="17" thickBot="1" x14ac:dyDescent="0.4">
      <c r="B5" s="186" t="s">
        <v>157</v>
      </c>
      <c r="C5" s="335">
        <v>-10</v>
      </c>
      <c r="D5" s="336"/>
      <c r="E5" s="346"/>
      <c r="F5" s="337">
        <v>0</v>
      </c>
      <c r="G5" s="338"/>
      <c r="H5" s="339">
        <f>C5-F5</f>
        <v>-10</v>
      </c>
      <c r="I5" s="340"/>
    </row>
    <row r="6" spans="2:9" ht="17" thickBot="1" x14ac:dyDescent="0.4">
      <c r="B6" s="174"/>
    </row>
    <row r="7" spans="2:9" ht="17" thickBot="1" x14ac:dyDescent="0.4">
      <c r="C7" s="187" t="s">
        <v>160</v>
      </c>
      <c r="D7" s="197" t="s">
        <v>124</v>
      </c>
      <c r="E7" s="347"/>
      <c r="F7" s="341" t="s">
        <v>155</v>
      </c>
      <c r="G7" s="342"/>
      <c r="H7" s="342" t="s">
        <v>104</v>
      </c>
      <c r="I7" s="343"/>
    </row>
    <row r="8" spans="2:9" x14ac:dyDescent="0.35">
      <c r="B8" s="188" t="s">
        <v>186</v>
      </c>
      <c r="C8" s="191">
        <v>0</v>
      </c>
      <c r="D8" s="192">
        <v>99</v>
      </c>
      <c r="E8" s="348"/>
      <c r="F8" s="307">
        <f>D8+C8</f>
        <v>99</v>
      </c>
      <c r="G8" s="308"/>
      <c r="H8" s="308">
        <f>0</f>
        <v>0</v>
      </c>
      <c r="I8" s="309"/>
    </row>
    <row r="9" spans="2:9" x14ac:dyDescent="0.35">
      <c r="B9" s="189" t="s">
        <v>187</v>
      </c>
      <c r="C9" s="193">
        <v>-94</v>
      </c>
      <c r="D9" s="194">
        <v>0</v>
      </c>
      <c r="E9" s="348"/>
      <c r="F9" s="310">
        <f>C9+D9</f>
        <v>-94</v>
      </c>
      <c r="G9" s="311"/>
      <c r="H9" s="311">
        <f>0</f>
        <v>0</v>
      </c>
      <c r="I9" s="312"/>
    </row>
    <row r="10" spans="2:9" ht="17" thickBot="1" x14ac:dyDescent="0.4">
      <c r="B10" s="190" t="s">
        <v>188</v>
      </c>
      <c r="C10" s="195">
        <v>0</v>
      </c>
      <c r="D10" s="196">
        <v>-90</v>
      </c>
      <c r="E10" s="348"/>
      <c r="F10" s="355">
        <f>0</f>
        <v>0</v>
      </c>
      <c r="G10" s="356"/>
      <c r="H10" s="356">
        <f>D10+C10</f>
        <v>-90</v>
      </c>
      <c r="I10" s="357"/>
    </row>
    <row r="11" spans="2:9" ht="17" thickBot="1" x14ac:dyDescent="0.4">
      <c r="B11" s="190" t="s">
        <v>189</v>
      </c>
      <c r="C11" s="353">
        <f>SUM(C8:D10)</f>
        <v>-85</v>
      </c>
      <c r="D11" s="354"/>
      <c r="E11" s="348"/>
      <c r="F11" s="349">
        <f>SUM(F8:F10)</f>
        <v>5</v>
      </c>
      <c r="G11" s="350"/>
      <c r="H11" s="351">
        <f>SUM(H8:H10)</f>
        <v>-90</v>
      </c>
      <c r="I11" s="352"/>
    </row>
  </sheetData>
  <mergeCells count="23">
    <mergeCell ref="C2:I2"/>
    <mergeCell ref="C3:D3"/>
    <mergeCell ref="F3:G3"/>
    <mergeCell ref="H3:I3"/>
    <mergeCell ref="C4:D4"/>
    <mergeCell ref="F4:G4"/>
    <mergeCell ref="H4:I4"/>
    <mergeCell ref="C5:D5"/>
    <mergeCell ref="F5:G5"/>
    <mergeCell ref="H5:I5"/>
    <mergeCell ref="F7:G7"/>
    <mergeCell ref="H7:I7"/>
    <mergeCell ref="E3:E5"/>
    <mergeCell ref="E7:E11"/>
    <mergeCell ref="F11:G11"/>
    <mergeCell ref="H11:I11"/>
    <mergeCell ref="C11:D11"/>
    <mergeCell ref="F8:G8"/>
    <mergeCell ref="F9:G9"/>
    <mergeCell ref="F10:G10"/>
    <mergeCell ref="H8:I8"/>
    <mergeCell ref="H9:I9"/>
    <mergeCell ref="H10:I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3F26-6F65-46D4-9B69-E6BB1278F7E5}">
  <dimension ref="B1:L27"/>
  <sheetViews>
    <sheetView zoomScale="63" workbookViewId="0">
      <selection activeCell="I22" sqref="I22"/>
    </sheetView>
  </sheetViews>
  <sheetFormatPr defaultColWidth="8.81640625" defaultRowHeight="16.5" x14ac:dyDescent="0.35"/>
  <cols>
    <col min="1" max="1" width="8.81640625" style="200" customWidth="1"/>
    <col min="2" max="2" width="30.36328125" style="200" customWidth="1"/>
    <col min="3" max="3" width="15.81640625" style="200" customWidth="1"/>
    <col min="4" max="4" width="15.7265625" style="200" customWidth="1"/>
    <col min="5" max="5" width="14.26953125" style="200" customWidth="1"/>
    <col min="6" max="6" width="15.08984375" style="200" customWidth="1"/>
    <col min="7" max="7" width="1.08984375" style="200" customWidth="1"/>
    <col min="8" max="8" width="14.453125" style="200" customWidth="1"/>
    <col min="9" max="9" width="13.90625" style="200" customWidth="1"/>
    <col min="10" max="10" width="1" style="200" customWidth="1"/>
    <col min="11" max="11" width="14.453125" style="200" customWidth="1"/>
    <col min="12" max="12" width="12.81640625" style="200" customWidth="1"/>
    <col min="13" max="16384" width="8.81640625" style="200"/>
  </cols>
  <sheetData>
    <row r="1" spans="2:12" s="180" customFormat="1" ht="17" thickBot="1" x14ac:dyDescent="0.4"/>
    <row r="2" spans="2:12" s="180" customFormat="1" ht="39.25" customHeight="1" thickBot="1" x14ac:dyDescent="0.4">
      <c r="C2" s="386" t="s">
        <v>98</v>
      </c>
      <c r="D2" s="387"/>
      <c r="E2" s="387"/>
      <c r="F2" s="387"/>
      <c r="G2" s="377">
        <f>SUM(G4:G23)</f>
        <v>0</v>
      </c>
      <c r="H2" s="387" t="s">
        <v>190</v>
      </c>
      <c r="I2" s="387"/>
      <c r="J2" s="382"/>
      <c r="K2" s="387" t="s">
        <v>104</v>
      </c>
      <c r="L2" s="388"/>
    </row>
    <row r="3" spans="2:12" s="180" customFormat="1" ht="40.25" customHeight="1" thickBot="1" x14ac:dyDescent="0.4">
      <c r="B3" s="201" t="s">
        <v>191</v>
      </c>
      <c r="C3" s="218" t="s">
        <v>160</v>
      </c>
      <c r="D3" s="216" t="s">
        <v>203</v>
      </c>
      <c r="E3" s="215" t="s">
        <v>124</v>
      </c>
      <c r="F3" s="218" t="s">
        <v>173</v>
      </c>
      <c r="G3" s="378"/>
      <c r="H3" s="215" t="s">
        <v>204</v>
      </c>
      <c r="I3" s="218" t="s">
        <v>205</v>
      </c>
      <c r="J3" s="383"/>
      <c r="K3" s="218" t="s">
        <v>159</v>
      </c>
      <c r="L3" s="217" t="s">
        <v>158</v>
      </c>
    </row>
    <row r="4" spans="2:12" s="180" customFormat="1" ht="22.5" customHeight="1" thickBot="1" x14ac:dyDescent="0.4">
      <c r="B4" s="222" t="s">
        <v>192</v>
      </c>
      <c r="C4" s="224">
        <v>0</v>
      </c>
      <c r="D4" s="203">
        <v>0</v>
      </c>
      <c r="E4" s="202">
        <v>0</v>
      </c>
      <c r="F4" s="224">
        <v>0</v>
      </c>
      <c r="G4" s="379"/>
      <c r="H4" s="209">
        <v>0</v>
      </c>
      <c r="I4" s="228">
        <v>0</v>
      </c>
      <c r="J4" s="384"/>
      <c r="K4" s="209">
        <v>0</v>
      </c>
      <c r="L4" s="228">
        <v>0</v>
      </c>
    </row>
    <row r="5" spans="2:12" s="180" customFormat="1" ht="1.25" customHeight="1" thickBot="1" x14ac:dyDescent="0.4">
      <c r="B5" s="212"/>
      <c r="C5" s="204"/>
      <c r="D5" s="204"/>
      <c r="E5" s="204"/>
      <c r="F5" s="225"/>
      <c r="G5" s="379"/>
      <c r="H5" s="205"/>
      <c r="I5" s="206"/>
      <c r="J5" s="384"/>
      <c r="K5" s="205"/>
      <c r="L5" s="206"/>
    </row>
    <row r="6" spans="2:12" ht="17" thickBot="1" x14ac:dyDescent="0.4">
      <c r="B6" s="213" t="s">
        <v>159</v>
      </c>
      <c r="C6" s="224">
        <v>240</v>
      </c>
      <c r="D6" s="203"/>
      <c r="E6" s="202"/>
      <c r="F6" s="224"/>
      <c r="G6" s="379"/>
      <c r="H6" s="202"/>
      <c r="I6" s="224"/>
      <c r="J6" s="384"/>
      <c r="K6" s="202">
        <f>C6</f>
        <v>240</v>
      </c>
      <c r="L6" s="224"/>
    </row>
    <row r="7" spans="2:12" ht="1.25" customHeight="1" thickBot="1" x14ac:dyDescent="0.4">
      <c r="B7" s="212"/>
      <c r="C7" s="225"/>
      <c r="D7" s="204"/>
      <c r="E7" s="205"/>
      <c r="F7" s="225"/>
      <c r="G7" s="379"/>
      <c r="H7" s="205"/>
      <c r="I7" s="225"/>
      <c r="J7" s="384"/>
      <c r="K7" s="205"/>
      <c r="L7" s="225"/>
    </row>
    <row r="8" spans="2:12" x14ac:dyDescent="0.35">
      <c r="B8" s="214" t="s">
        <v>193</v>
      </c>
      <c r="C8" s="224">
        <v>-70</v>
      </c>
      <c r="D8" s="203"/>
      <c r="E8" s="202"/>
      <c r="F8" s="224">
        <f>0-C8</f>
        <v>70</v>
      </c>
      <c r="G8" s="379"/>
      <c r="H8" s="202"/>
      <c r="I8" s="224"/>
      <c r="J8" s="384"/>
      <c r="K8" s="202"/>
      <c r="L8" s="224"/>
    </row>
    <row r="9" spans="2:12" ht="17" thickBot="1" x14ac:dyDescent="0.4">
      <c r="B9" s="211" t="s">
        <v>194</v>
      </c>
      <c r="C9" s="224"/>
      <c r="D9" s="203"/>
      <c r="E9" s="202"/>
      <c r="F9" s="224">
        <v>-10</v>
      </c>
      <c r="G9" s="379"/>
      <c r="H9" s="202"/>
      <c r="I9" s="224"/>
      <c r="J9" s="384"/>
      <c r="K9" s="202"/>
      <c r="L9" s="224">
        <f>F9</f>
        <v>-10</v>
      </c>
    </row>
    <row r="10" spans="2:12" ht="1.25" customHeight="1" thickBot="1" x14ac:dyDescent="0.4">
      <c r="B10" s="212"/>
      <c r="C10" s="225"/>
      <c r="D10" s="204"/>
      <c r="E10" s="205"/>
      <c r="F10" s="225"/>
      <c r="G10" s="379"/>
      <c r="H10" s="205"/>
      <c r="I10" s="225"/>
      <c r="J10" s="384"/>
      <c r="K10" s="205"/>
      <c r="L10" s="225"/>
    </row>
    <row r="11" spans="2:12" x14ac:dyDescent="0.35">
      <c r="B11" s="214" t="s">
        <v>195</v>
      </c>
      <c r="C11" s="224"/>
      <c r="D11" s="203"/>
      <c r="E11" s="202">
        <v>99</v>
      </c>
      <c r="F11" s="229"/>
      <c r="G11" s="379"/>
      <c r="H11" s="202">
        <f>E11</f>
        <v>99</v>
      </c>
      <c r="I11" s="224"/>
      <c r="J11" s="384"/>
      <c r="K11" s="202"/>
      <c r="L11" s="224"/>
    </row>
    <row r="12" spans="2:12" ht="17" thickBot="1" x14ac:dyDescent="0.4">
      <c r="B12" s="211" t="s">
        <v>196</v>
      </c>
      <c r="C12" s="224">
        <v>-94</v>
      </c>
      <c r="D12" s="203"/>
      <c r="E12" s="202"/>
      <c r="F12" s="224"/>
      <c r="G12" s="379"/>
      <c r="H12" s="202">
        <f>C12</f>
        <v>-94</v>
      </c>
      <c r="I12" s="224"/>
      <c r="J12" s="384"/>
      <c r="K12" s="202"/>
      <c r="L12" s="224"/>
    </row>
    <row r="13" spans="2:12" ht="1.25" customHeight="1" thickBot="1" x14ac:dyDescent="0.4">
      <c r="B13" s="212"/>
      <c r="C13" s="225"/>
      <c r="D13" s="204"/>
      <c r="E13" s="205"/>
      <c r="F13" s="225"/>
      <c r="G13" s="379"/>
      <c r="H13" s="205"/>
      <c r="I13" s="225"/>
      <c r="J13" s="384"/>
      <c r="K13" s="205"/>
      <c r="L13" s="225"/>
    </row>
    <row r="14" spans="2:12" x14ac:dyDescent="0.35">
      <c r="B14" s="214" t="s">
        <v>197</v>
      </c>
      <c r="C14" s="224"/>
      <c r="D14" s="203"/>
      <c r="E14" s="202">
        <v>-90</v>
      </c>
      <c r="F14" s="224"/>
      <c r="G14" s="379"/>
      <c r="H14" s="202"/>
      <c r="I14" s="224"/>
      <c r="J14" s="384"/>
      <c r="K14" s="202"/>
      <c r="L14" s="224">
        <f>E14</f>
        <v>-90</v>
      </c>
    </row>
    <row r="15" spans="2:12" ht="14.15" customHeight="1" thickBot="1" x14ac:dyDescent="0.4">
      <c r="B15" s="211" t="s">
        <v>198</v>
      </c>
      <c r="C15" s="224"/>
      <c r="D15" s="203">
        <v>200</v>
      </c>
      <c r="E15" s="202"/>
      <c r="F15" s="224"/>
      <c r="G15" s="379"/>
      <c r="H15" s="202"/>
      <c r="I15" s="224"/>
      <c r="J15" s="384"/>
      <c r="K15" s="202"/>
      <c r="L15" s="224">
        <f>D15</f>
        <v>200</v>
      </c>
    </row>
    <row r="16" spans="2:12" ht="1.25" customHeight="1" thickBot="1" x14ac:dyDescent="0.4">
      <c r="B16" s="212"/>
      <c r="C16" s="225"/>
      <c r="D16" s="204"/>
      <c r="E16" s="205"/>
      <c r="F16" s="225"/>
      <c r="G16" s="379"/>
      <c r="H16" s="205"/>
      <c r="I16" s="225"/>
      <c r="J16" s="384"/>
      <c r="K16" s="205"/>
      <c r="L16" s="225"/>
    </row>
    <row r="17" spans="2:12" ht="17" thickBot="1" x14ac:dyDescent="0.4">
      <c r="B17" s="213" t="s">
        <v>206</v>
      </c>
      <c r="C17" s="224">
        <v>180</v>
      </c>
      <c r="D17" s="203">
        <f>0-C17</f>
        <v>-180</v>
      </c>
      <c r="E17" s="202"/>
      <c r="F17" s="224"/>
      <c r="G17" s="379"/>
      <c r="H17" s="202"/>
      <c r="I17" s="224"/>
      <c r="J17" s="384"/>
      <c r="K17" s="202"/>
      <c r="L17" s="224"/>
    </row>
    <row r="18" spans="2:12" ht="1.25" customHeight="1" thickBot="1" x14ac:dyDescent="0.4">
      <c r="B18" s="212"/>
      <c r="C18" s="225"/>
      <c r="D18" s="204"/>
      <c r="E18" s="205"/>
      <c r="F18" s="225"/>
      <c r="G18" s="379"/>
      <c r="H18" s="205"/>
      <c r="I18" s="225"/>
      <c r="J18" s="384"/>
      <c r="K18" s="205"/>
      <c r="L18" s="225"/>
    </row>
    <row r="19" spans="2:12" x14ac:dyDescent="0.35">
      <c r="B19" s="214" t="s">
        <v>199</v>
      </c>
      <c r="C19" s="224"/>
      <c r="D19" s="203"/>
      <c r="E19" s="202"/>
      <c r="F19" s="224"/>
      <c r="G19" s="379"/>
      <c r="H19" s="202"/>
      <c r="I19" s="224">
        <v>55</v>
      </c>
      <c r="J19" s="384"/>
      <c r="K19" s="202"/>
      <c r="L19" s="224">
        <f>0-I19</f>
        <v>-55</v>
      </c>
    </row>
    <row r="20" spans="2:12" ht="17" thickBot="1" x14ac:dyDescent="0.4">
      <c r="B20" s="211" t="s">
        <v>200</v>
      </c>
      <c r="C20" s="224">
        <v>-46</v>
      </c>
      <c r="D20" s="203"/>
      <c r="E20" s="202"/>
      <c r="F20" s="224"/>
      <c r="G20" s="379"/>
      <c r="H20" s="202"/>
      <c r="I20" s="224">
        <f>C20</f>
        <v>-46</v>
      </c>
      <c r="J20" s="384"/>
      <c r="K20" s="202"/>
      <c r="L20" s="224"/>
    </row>
    <row r="21" spans="2:12" ht="1.25" customHeight="1" thickBot="1" x14ac:dyDescent="0.4">
      <c r="B21" s="219"/>
      <c r="C21" s="226"/>
      <c r="D21" s="220"/>
      <c r="E21" s="219"/>
      <c r="F21" s="226"/>
      <c r="G21" s="379"/>
      <c r="H21" s="221"/>
      <c r="I21" s="227"/>
      <c r="J21" s="384"/>
      <c r="K21" s="230"/>
      <c r="L21" s="231"/>
    </row>
    <row r="22" spans="2:12" x14ac:dyDescent="0.35">
      <c r="B22" s="214" t="s">
        <v>201</v>
      </c>
      <c r="C22" s="224">
        <v>-5</v>
      </c>
      <c r="D22" s="203"/>
      <c r="E22" s="202"/>
      <c r="F22" s="224"/>
      <c r="G22" s="379"/>
      <c r="H22" s="202"/>
      <c r="I22" s="224"/>
      <c r="J22" s="384"/>
      <c r="K22" s="209"/>
      <c r="L22" s="228">
        <f>C22</f>
        <v>-5</v>
      </c>
    </row>
    <row r="23" spans="2:12" x14ac:dyDescent="0.35">
      <c r="B23" s="210" t="s">
        <v>202</v>
      </c>
      <c r="C23" s="224">
        <v>-13.88</v>
      </c>
      <c r="D23" s="203"/>
      <c r="E23" s="202"/>
      <c r="F23" s="224"/>
      <c r="G23" s="379"/>
      <c r="H23" s="202"/>
      <c r="I23" s="224"/>
      <c r="J23" s="384"/>
      <c r="K23" s="202"/>
      <c r="L23" s="224">
        <f>C23</f>
        <v>-13.88</v>
      </c>
    </row>
    <row r="24" spans="2:12" ht="17" thickBot="1" x14ac:dyDescent="0.4">
      <c r="B24" s="211" t="s">
        <v>208</v>
      </c>
      <c r="C24" s="223">
        <f>SUM(C4:C23)</f>
        <v>191.12</v>
      </c>
      <c r="D24" s="208">
        <f t="shared" ref="D24:H24" si="0">SUM(D4:D23)</f>
        <v>20</v>
      </c>
      <c r="E24" s="207">
        <f t="shared" si="0"/>
        <v>9</v>
      </c>
      <c r="F24" s="223">
        <f t="shared" si="0"/>
        <v>60</v>
      </c>
      <c r="G24" s="379"/>
      <c r="H24" s="207">
        <f t="shared" si="0"/>
        <v>5</v>
      </c>
      <c r="I24" s="223">
        <f>SUM(I4:I23)</f>
        <v>9</v>
      </c>
      <c r="J24" s="384"/>
      <c r="K24" s="207">
        <f>SUM(K4:K23)</f>
        <v>240</v>
      </c>
      <c r="L24" s="223">
        <f>SUM(L4:L23)</f>
        <v>26.119999999999997</v>
      </c>
    </row>
    <row r="25" spans="2:12" ht="17" thickBot="1" x14ac:dyDescent="0.4">
      <c r="C25" s="180"/>
      <c r="D25" s="180"/>
      <c r="E25" s="180"/>
      <c r="F25" s="180"/>
      <c r="G25" s="380"/>
      <c r="H25" s="180"/>
      <c r="I25" s="180"/>
      <c r="J25" s="383"/>
      <c r="K25" s="180"/>
      <c r="L25" s="180"/>
    </row>
    <row r="26" spans="2:12" x14ac:dyDescent="0.35">
      <c r="B26" s="358" t="s">
        <v>207</v>
      </c>
      <c r="C26" s="372">
        <f>SUM(C24:F24)</f>
        <v>280.12</v>
      </c>
      <c r="D26" s="373"/>
      <c r="E26" s="373"/>
      <c r="F26" s="373"/>
      <c r="G26" s="380"/>
      <c r="H26" s="372">
        <f>SUM(H24:I24)</f>
        <v>14</v>
      </c>
      <c r="I26" s="373"/>
      <c r="J26" s="383"/>
      <c r="K26" s="372">
        <f>SUM(K24:L24)</f>
        <v>266.12</v>
      </c>
      <c r="L26" s="375"/>
    </row>
    <row r="27" spans="2:12" ht="17" thickBot="1" x14ac:dyDescent="0.4">
      <c r="B27" s="371"/>
      <c r="C27" s="374"/>
      <c r="D27" s="374"/>
      <c r="E27" s="374"/>
      <c r="F27" s="374"/>
      <c r="G27" s="381"/>
      <c r="H27" s="374"/>
      <c r="I27" s="374"/>
      <c r="J27" s="385"/>
      <c r="K27" s="374"/>
      <c r="L27" s="376"/>
    </row>
  </sheetData>
  <mergeCells count="9">
    <mergeCell ref="B26:B27"/>
    <mergeCell ref="C26:F27"/>
    <mergeCell ref="H26:I27"/>
    <mergeCell ref="K26:L27"/>
    <mergeCell ref="G2:G27"/>
    <mergeCell ref="J2:J27"/>
    <mergeCell ref="C2:F2"/>
    <mergeCell ref="H2:I2"/>
    <mergeCell ref="K2:L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C4E6-5861-4096-BA22-385ADE227D5D}">
  <dimension ref="B1:J10"/>
  <sheetViews>
    <sheetView workbookViewId="0">
      <selection activeCell="C6" sqref="C6"/>
    </sheetView>
  </sheetViews>
  <sheetFormatPr defaultColWidth="8.81640625" defaultRowHeight="16.5" x14ac:dyDescent="0.35"/>
  <cols>
    <col min="1" max="1" width="8.81640625" style="173"/>
    <col min="2" max="2" width="9.54296875" style="173" customWidth="1"/>
    <col min="3" max="3" width="11.453125" style="173" customWidth="1"/>
    <col min="4" max="4" width="12.26953125" style="173" customWidth="1"/>
    <col min="5" max="5" width="11.08984375" style="173" customWidth="1"/>
    <col min="6" max="6" width="17.6328125" style="173" customWidth="1"/>
    <col min="7" max="7" width="17.54296875" style="173" customWidth="1"/>
    <col min="8" max="16384" width="8.81640625" style="173"/>
  </cols>
  <sheetData>
    <row r="1" spans="2:10" ht="17" thickBot="1" x14ac:dyDescent="0.4"/>
    <row r="2" spans="2:10" ht="27" customHeight="1" thickBot="1" x14ac:dyDescent="0.4">
      <c r="B2" s="262" t="s">
        <v>154</v>
      </c>
      <c r="C2" s="263"/>
      <c r="D2" s="263"/>
      <c r="E2" s="263"/>
      <c r="F2" s="263"/>
      <c r="G2" s="264"/>
      <c r="I2" s="126"/>
      <c r="J2" s="126"/>
    </row>
    <row r="3" spans="2:10" ht="25.5" customHeight="1" thickBot="1" x14ac:dyDescent="0.4">
      <c r="B3" s="391" t="s">
        <v>98</v>
      </c>
      <c r="C3" s="392"/>
      <c r="D3" s="391" t="s">
        <v>155</v>
      </c>
      <c r="E3" s="392"/>
      <c r="F3" s="391" t="s">
        <v>104</v>
      </c>
      <c r="G3" s="392"/>
      <c r="I3" s="126"/>
      <c r="J3" s="126"/>
    </row>
    <row r="4" spans="2:10" ht="17" thickBot="1" x14ac:dyDescent="0.4">
      <c r="B4" s="172" t="s">
        <v>160</v>
      </c>
      <c r="C4" s="76" t="s">
        <v>161</v>
      </c>
      <c r="D4" s="256" t="s">
        <v>164</v>
      </c>
      <c r="E4" s="258"/>
      <c r="F4" s="177" t="s">
        <v>158</v>
      </c>
      <c r="G4" s="178" t="s">
        <v>159</v>
      </c>
    </row>
    <row r="5" spans="2:10" s="180" customFormat="1" x14ac:dyDescent="0.35">
      <c r="B5" s="87"/>
      <c r="C5" s="87"/>
      <c r="D5" s="87"/>
      <c r="E5" s="87"/>
      <c r="F5" s="179"/>
      <c r="G5" s="179"/>
    </row>
    <row r="6" spans="2:10" s="180" customFormat="1" x14ac:dyDescent="0.35">
      <c r="B6" s="87"/>
      <c r="C6" s="87"/>
      <c r="D6" s="87"/>
      <c r="E6" s="87"/>
      <c r="F6" s="179"/>
      <c r="G6" s="179"/>
    </row>
    <row r="8" spans="2:10" x14ac:dyDescent="0.35">
      <c r="B8" s="389" t="s">
        <v>162</v>
      </c>
      <c r="C8" s="389"/>
      <c r="D8" s="88" t="s">
        <v>165</v>
      </c>
    </row>
    <row r="9" spans="2:10" x14ac:dyDescent="0.35">
      <c r="B9" s="321" t="s">
        <v>92</v>
      </c>
      <c r="C9" s="321"/>
      <c r="D9" s="175" t="s">
        <v>165</v>
      </c>
    </row>
    <row r="10" spans="2:10" x14ac:dyDescent="0.35">
      <c r="B10" s="390" t="s">
        <v>163</v>
      </c>
      <c r="C10" s="390"/>
      <c r="D10" s="176" t="s">
        <v>165</v>
      </c>
    </row>
  </sheetData>
  <mergeCells count="8">
    <mergeCell ref="B9:C9"/>
    <mergeCell ref="B8:C8"/>
    <mergeCell ref="B10:C10"/>
    <mergeCell ref="D4:E4"/>
    <mergeCell ref="B2:G2"/>
    <mergeCell ref="B3:C3"/>
    <mergeCell ref="D3:E3"/>
    <mergeCell ref="F3:G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4BC3-180E-4020-A5A4-2EC53B2FC251}">
  <dimension ref="B2:J27"/>
  <sheetViews>
    <sheetView topLeftCell="A6" zoomScale="72" workbookViewId="0">
      <selection activeCell="D28" sqref="D28"/>
    </sheetView>
  </sheetViews>
  <sheetFormatPr defaultColWidth="8.81640625" defaultRowHeight="14.5" x14ac:dyDescent="0.35"/>
  <cols>
    <col min="1" max="16384" width="8.81640625" style="181"/>
  </cols>
  <sheetData>
    <row r="2" spans="2:10" x14ac:dyDescent="0.35">
      <c r="C2" s="182"/>
      <c r="D2" s="182"/>
      <c r="E2" s="182"/>
      <c r="F2" s="182"/>
      <c r="G2" s="182"/>
      <c r="H2" s="182"/>
      <c r="I2" s="182"/>
      <c r="J2" s="182"/>
    </row>
    <row r="3" spans="2:10" x14ac:dyDescent="0.35">
      <c r="C3" s="182"/>
      <c r="D3" s="182"/>
      <c r="E3" s="182"/>
      <c r="F3" s="182"/>
      <c r="G3" s="182"/>
      <c r="H3" s="182"/>
      <c r="I3" s="182"/>
      <c r="J3" s="182"/>
    </row>
    <row r="4" spans="2:10" ht="25.25" customHeight="1" x14ac:dyDescent="0.35">
      <c r="B4" s="394" t="s">
        <v>160</v>
      </c>
      <c r="C4" s="394"/>
      <c r="D4" s="394" t="s">
        <v>178</v>
      </c>
      <c r="E4" s="394"/>
      <c r="F4" s="394"/>
      <c r="G4" s="394"/>
      <c r="H4" s="182"/>
      <c r="I4" s="182"/>
      <c r="J4" s="182"/>
    </row>
    <row r="5" spans="2:10" ht="24.9" customHeight="1" x14ac:dyDescent="0.35">
      <c r="B5" s="393" t="s">
        <v>176</v>
      </c>
      <c r="C5" s="393"/>
      <c r="D5" s="393" t="s">
        <v>179</v>
      </c>
      <c r="E5" s="393"/>
      <c r="F5" s="393"/>
      <c r="G5" s="393"/>
      <c r="H5" s="182"/>
      <c r="I5" s="182"/>
      <c r="J5" s="182"/>
    </row>
    <row r="6" spans="2:10" ht="24" customHeight="1" x14ac:dyDescent="0.35">
      <c r="B6" s="394" t="s">
        <v>124</v>
      </c>
      <c r="C6" s="394"/>
      <c r="D6" s="394" t="s">
        <v>180</v>
      </c>
      <c r="E6" s="394"/>
      <c r="F6" s="394"/>
      <c r="G6" s="394"/>
      <c r="H6" s="182"/>
      <c r="I6" s="182"/>
      <c r="J6" s="182"/>
    </row>
    <row r="7" spans="2:10" ht="25.75" customHeight="1" x14ac:dyDescent="0.35">
      <c r="B7" s="393" t="s">
        <v>173</v>
      </c>
      <c r="C7" s="393"/>
      <c r="D7" s="393" t="s">
        <v>185</v>
      </c>
      <c r="E7" s="393"/>
      <c r="F7" s="393"/>
      <c r="G7" s="393"/>
      <c r="H7" s="182"/>
      <c r="I7" s="182"/>
      <c r="J7" s="182"/>
    </row>
    <row r="8" spans="2:10" ht="1.75" customHeight="1" x14ac:dyDescent="0.35">
      <c r="B8" s="185"/>
      <c r="C8" s="185"/>
      <c r="D8" s="185"/>
      <c r="E8" s="185"/>
      <c r="F8" s="185"/>
      <c r="G8" s="185"/>
      <c r="H8" s="182"/>
      <c r="I8" s="182"/>
      <c r="J8" s="182"/>
    </row>
    <row r="9" spans="2:10" ht="21" customHeight="1" x14ac:dyDescent="0.35">
      <c r="B9" s="394" t="s">
        <v>174</v>
      </c>
      <c r="C9" s="394"/>
      <c r="D9" s="394" t="s">
        <v>181</v>
      </c>
      <c r="E9" s="394"/>
      <c r="F9" s="394"/>
      <c r="G9" s="394"/>
      <c r="H9" s="182"/>
      <c r="I9" s="182"/>
      <c r="J9" s="182"/>
    </row>
    <row r="10" spans="2:10" ht="27.9" customHeight="1" x14ac:dyDescent="0.35">
      <c r="B10" s="393" t="s">
        <v>175</v>
      </c>
      <c r="C10" s="393"/>
      <c r="D10" s="393" t="s">
        <v>182</v>
      </c>
      <c r="E10" s="393"/>
      <c r="F10" s="393"/>
      <c r="G10" s="393"/>
      <c r="H10" s="182"/>
      <c r="I10" s="182"/>
      <c r="J10" s="182"/>
    </row>
    <row r="11" spans="2:10" ht="2.15" customHeight="1" x14ac:dyDescent="0.35">
      <c r="B11" s="185"/>
      <c r="C11" s="185"/>
      <c r="D11" s="185"/>
      <c r="E11" s="185"/>
      <c r="F11" s="185"/>
      <c r="G11" s="185"/>
      <c r="H11" s="182"/>
      <c r="I11" s="182"/>
      <c r="J11" s="182"/>
    </row>
    <row r="12" spans="2:10" ht="37.75" customHeight="1" x14ac:dyDescent="0.35">
      <c r="B12" s="394" t="s">
        <v>159</v>
      </c>
      <c r="C12" s="394"/>
      <c r="D12" s="394" t="s">
        <v>183</v>
      </c>
      <c r="E12" s="394"/>
      <c r="F12" s="394"/>
      <c r="G12" s="394"/>
      <c r="H12" s="182"/>
      <c r="I12" s="182"/>
      <c r="J12" s="182"/>
    </row>
    <row r="13" spans="2:10" ht="25.5" customHeight="1" x14ac:dyDescent="0.35">
      <c r="B13" s="393" t="s">
        <v>177</v>
      </c>
      <c r="C13" s="393"/>
      <c r="D13" s="393" t="s">
        <v>184</v>
      </c>
      <c r="E13" s="393"/>
      <c r="F13" s="393"/>
      <c r="G13" s="393"/>
      <c r="H13" s="182"/>
      <c r="I13" s="182"/>
      <c r="J13" s="182"/>
    </row>
    <row r="14" spans="2:10" ht="21.25" customHeight="1" x14ac:dyDescent="0.35">
      <c r="C14" s="182"/>
      <c r="D14" s="182"/>
      <c r="E14" s="182"/>
      <c r="F14" s="182"/>
      <c r="G14" s="182"/>
      <c r="H14" s="182"/>
      <c r="I14" s="182"/>
      <c r="J14" s="182"/>
    </row>
    <row r="17" spans="3:5" ht="28.75" customHeight="1" thickBot="1" x14ac:dyDescent="0.4"/>
    <row r="18" spans="3:5" ht="28.75" customHeight="1" x14ac:dyDescent="0.35">
      <c r="C18" s="399" t="s">
        <v>97</v>
      </c>
      <c r="D18" s="401">
        <v>2000</v>
      </c>
    </row>
    <row r="19" spans="3:5" ht="28.75" customHeight="1" thickBot="1" x14ac:dyDescent="0.4">
      <c r="C19" s="400"/>
      <c r="D19" s="398"/>
    </row>
    <row r="20" spans="3:5" ht="29.5" thickBot="1" x14ac:dyDescent="0.4">
      <c r="C20" s="395" t="s">
        <v>142</v>
      </c>
      <c r="D20" s="397">
        <v>800</v>
      </c>
      <c r="E20" s="183" t="s">
        <v>166</v>
      </c>
    </row>
    <row r="21" spans="3:5" ht="15" thickBot="1" x14ac:dyDescent="0.4">
      <c r="C21" s="396"/>
      <c r="D21" s="398"/>
      <c r="E21" s="184">
        <f>D18-D20</f>
        <v>1200</v>
      </c>
    </row>
    <row r="22" spans="3:5" ht="29.5" thickBot="1" x14ac:dyDescent="0.4">
      <c r="C22" s="395" t="s">
        <v>167</v>
      </c>
      <c r="D22" s="397">
        <v>200</v>
      </c>
      <c r="E22" s="183" t="s">
        <v>171</v>
      </c>
    </row>
    <row r="23" spans="3:5" ht="15" thickBot="1" x14ac:dyDescent="0.4">
      <c r="C23" s="396"/>
      <c r="D23" s="398"/>
      <c r="E23" s="184">
        <f>E21-D22</f>
        <v>1000</v>
      </c>
    </row>
    <row r="24" spans="3:5" ht="29.5" thickBot="1" x14ac:dyDescent="0.4">
      <c r="C24" s="395" t="s">
        <v>168</v>
      </c>
      <c r="D24" s="397">
        <v>100</v>
      </c>
      <c r="E24" s="183" t="s">
        <v>170</v>
      </c>
    </row>
    <row r="25" spans="3:5" ht="15" thickBot="1" x14ac:dyDescent="0.4">
      <c r="C25" s="396"/>
      <c r="D25" s="398"/>
      <c r="E25" s="184">
        <f>E23-D24</f>
        <v>900</v>
      </c>
    </row>
    <row r="26" spans="3:5" ht="29.5" thickBot="1" x14ac:dyDescent="0.4">
      <c r="C26" s="395" t="s">
        <v>169</v>
      </c>
      <c r="D26" s="397">
        <v>0</v>
      </c>
      <c r="E26" s="183" t="s">
        <v>172</v>
      </c>
    </row>
    <row r="27" spans="3:5" ht="15" thickBot="1" x14ac:dyDescent="0.4">
      <c r="C27" s="396"/>
      <c r="D27" s="398"/>
      <c r="E27" s="184">
        <f>E25-D26</f>
        <v>900</v>
      </c>
    </row>
  </sheetData>
  <mergeCells count="26">
    <mergeCell ref="C18:C19"/>
    <mergeCell ref="D18:D19"/>
    <mergeCell ref="C20:C21"/>
    <mergeCell ref="C22:C23"/>
    <mergeCell ref="C24:C25"/>
    <mergeCell ref="C26:C27"/>
    <mergeCell ref="D20:D21"/>
    <mergeCell ref="D22:D23"/>
    <mergeCell ref="D24:D25"/>
    <mergeCell ref="D26:D27"/>
    <mergeCell ref="D13:G13"/>
    <mergeCell ref="B10:C10"/>
    <mergeCell ref="B12:C12"/>
    <mergeCell ref="B13:C13"/>
    <mergeCell ref="D4:G4"/>
    <mergeCell ref="D5:G5"/>
    <mergeCell ref="D6:G6"/>
    <mergeCell ref="D7:G7"/>
    <mergeCell ref="D9:G9"/>
    <mergeCell ref="D10:G10"/>
    <mergeCell ref="D12:G12"/>
    <mergeCell ref="B4:C4"/>
    <mergeCell ref="B5:C5"/>
    <mergeCell ref="B6:C6"/>
    <mergeCell ref="B7:C7"/>
    <mergeCell ref="B9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0A65-D468-4CD2-8FFF-B019A23A9CE6}">
  <dimension ref="A1:F1043"/>
  <sheetViews>
    <sheetView tabSelected="1" zoomScale="61" workbookViewId="0">
      <selection activeCell="B18" sqref="B18"/>
    </sheetView>
  </sheetViews>
  <sheetFormatPr defaultColWidth="8.81640625" defaultRowHeight="14.5" x14ac:dyDescent="0.35"/>
  <cols>
    <col min="1" max="1" width="11.54296875" style="54" bestFit="1" customWidth="1"/>
    <col min="2" max="2" width="15.90625" style="54" customWidth="1"/>
    <col min="3" max="16384" width="8.81640625" style="54"/>
  </cols>
  <sheetData>
    <row r="1" spans="1:6" x14ac:dyDescent="0.35">
      <c r="D1" s="54" t="s">
        <v>53</v>
      </c>
      <c r="E1" s="54" t="s">
        <v>54</v>
      </c>
      <c r="F1" s="54" t="s">
        <v>55</v>
      </c>
    </row>
    <row r="2" spans="1:6" x14ac:dyDescent="0.35">
      <c r="D2" s="54">
        <v>0</v>
      </c>
      <c r="E2" s="54">
        <v>1</v>
      </c>
      <c r="F2" s="54">
        <v>4</v>
      </c>
    </row>
    <row r="3" spans="1:6" x14ac:dyDescent="0.35">
      <c r="A3" s="51">
        <f>IF(B3 = B2,0,NORMDIST(B3,$D$2,$E$2,0))</f>
        <v>1.3383022576488537E-4</v>
      </c>
      <c r="B3" s="63">
        <f>(F2*-1)+$D$2</f>
        <v>-4</v>
      </c>
    </row>
    <row r="4" spans="1:6" x14ac:dyDescent="0.35">
      <c r="A4" s="51">
        <f t="shared" ref="A4:A66" si="0">IF(B4 = B3,0,NORMDIST(B4,$D$2,$E$2,0))</f>
        <v>1.7150611119472349E-4</v>
      </c>
      <c r="B4" s="63">
        <f t="shared" ref="B4:B35" si="1">B3+$F$2/64</f>
        <v>-3.9375</v>
      </c>
    </row>
    <row r="5" spans="1:6" x14ac:dyDescent="0.35">
      <c r="A5" s="51">
        <f t="shared" si="0"/>
        <v>2.189316377646121E-4</v>
      </c>
      <c r="B5" s="63">
        <f t="shared" si="1"/>
        <v>-3.875</v>
      </c>
    </row>
    <row r="6" spans="1:6" x14ac:dyDescent="0.35">
      <c r="A6" s="51">
        <f t="shared" si="0"/>
        <v>2.7838189659836209E-4</v>
      </c>
      <c r="B6" s="63">
        <f t="shared" si="1"/>
        <v>-3.8125</v>
      </c>
    </row>
    <row r="7" spans="1:6" x14ac:dyDescent="0.35">
      <c r="A7" s="51">
        <f t="shared" si="0"/>
        <v>3.5259568236744541E-4</v>
      </c>
      <c r="B7" s="63">
        <f t="shared" si="1"/>
        <v>-3.75</v>
      </c>
    </row>
    <row r="8" spans="1:6" x14ac:dyDescent="0.35">
      <c r="A8" s="51">
        <f t="shared" si="0"/>
        <v>4.4485300411281029E-4</v>
      </c>
      <c r="B8" s="63">
        <f t="shared" si="1"/>
        <v>-3.6875</v>
      </c>
    </row>
    <row r="9" spans="1:6" x14ac:dyDescent="0.35">
      <c r="A9" s="51">
        <f t="shared" si="0"/>
        <v>5.5906152223216487E-4</v>
      </c>
      <c r="B9" s="63">
        <f t="shared" si="1"/>
        <v>-3.625</v>
      </c>
    </row>
    <row r="10" spans="1:6" x14ac:dyDescent="0.35">
      <c r="A10" s="51">
        <f t="shared" si="0"/>
        <v>6.9985201094694273E-4</v>
      </c>
      <c r="B10" s="63">
        <f t="shared" si="1"/>
        <v>-3.5625</v>
      </c>
    </row>
    <row r="11" spans="1:6" x14ac:dyDescent="0.35">
      <c r="A11" s="51">
        <f t="shared" si="0"/>
        <v>8.7268269504576015E-4</v>
      </c>
      <c r="B11" s="63">
        <f t="shared" si="1"/>
        <v>-3.5</v>
      </c>
    </row>
    <row r="12" spans="1:6" x14ac:dyDescent="0.35">
      <c r="A12" s="51">
        <f t="shared" si="0"/>
        <v>1.083951999114652E-3</v>
      </c>
      <c r="B12" s="63">
        <f t="shared" si="1"/>
        <v>-3.4375</v>
      </c>
    </row>
    <row r="13" spans="1:6" x14ac:dyDescent="0.35">
      <c r="A13" s="51">
        <f t="shared" si="0"/>
        <v>1.3411188734903778E-3</v>
      </c>
      <c r="B13" s="63">
        <f t="shared" si="1"/>
        <v>-3.375</v>
      </c>
    </row>
    <row r="14" spans="1:6" x14ac:dyDescent="0.35">
      <c r="A14" s="51">
        <f t="shared" si="0"/>
        <v>1.6528294224062582E-3</v>
      </c>
      <c r="B14" s="63">
        <f t="shared" si="1"/>
        <v>-3.3125</v>
      </c>
    </row>
    <row r="15" spans="1:6" x14ac:dyDescent="0.35">
      <c r="A15" s="51">
        <f t="shared" si="0"/>
        <v>2.0290480572997681E-3</v>
      </c>
      <c r="B15" s="63">
        <f t="shared" si="1"/>
        <v>-3.25</v>
      </c>
    </row>
    <row r="16" spans="1:6" x14ac:dyDescent="0.35">
      <c r="A16" s="51">
        <f t="shared" si="0"/>
        <v>2.4811908361033002E-3</v>
      </c>
      <c r="B16" s="63">
        <f t="shared" si="1"/>
        <v>-3.1875</v>
      </c>
    </row>
    <row r="17" spans="1:2" x14ac:dyDescent="0.35">
      <c r="A17" s="51">
        <f t="shared" si="0"/>
        <v>3.0222580351987561E-3</v>
      </c>
      <c r="B17" s="63">
        <f t="shared" si="1"/>
        <v>-3.125</v>
      </c>
    </row>
    <row r="18" spans="1:2" x14ac:dyDescent="0.35">
      <c r="A18" s="51">
        <f t="shared" si="0"/>
        <v>3.6669623462942261E-3</v>
      </c>
      <c r="B18" s="63">
        <f t="shared" si="1"/>
        <v>-3.0625</v>
      </c>
    </row>
    <row r="19" spans="1:2" x14ac:dyDescent="0.35">
      <c r="A19" s="51">
        <f t="shared" si="0"/>
        <v>4.4318484119380075E-3</v>
      </c>
      <c r="B19" s="63">
        <f t="shared" si="1"/>
        <v>-3</v>
      </c>
    </row>
    <row r="20" spans="1:2" x14ac:dyDescent="0.35">
      <c r="A20" s="51">
        <f t="shared" si="0"/>
        <v>5.3353987315863148E-3</v>
      </c>
      <c r="B20" s="63">
        <f t="shared" si="1"/>
        <v>-2.9375</v>
      </c>
    </row>
    <row r="21" spans="1:2" x14ac:dyDescent="0.35">
      <c r="A21" s="51">
        <f t="shared" si="0"/>
        <v>6.3981203107235565E-3</v>
      </c>
      <c r="B21" s="63">
        <f t="shared" si="1"/>
        <v>-2.875</v>
      </c>
    </row>
    <row r="22" spans="1:2" x14ac:dyDescent="0.35">
      <c r="A22" s="51">
        <f t="shared" si="0"/>
        <v>7.6426058187464016E-3</v>
      </c>
      <c r="B22" s="63">
        <f t="shared" si="1"/>
        <v>-2.8125</v>
      </c>
    </row>
    <row r="23" spans="1:2" x14ac:dyDescent="0.35">
      <c r="A23" s="51">
        <f t="shared" si="0"/>
        <v>9.0935625015910529E-3</v>
      </c>
      <c r="B23" s="63">
        <f t="shared" si="1"/>
        <v>-2.75</v>
      </c>
    </row>
    <row r="24" spans="1:2" x14ac:dyDescent="0.35">
      <c r="A24" s="51">
        <f t="shared" si="0"/>
        <v>1.0777801700270904E-2</v>
      </c>
      <c r="B24" s="63">
        <f t="shared" si="1"/>
        <v>-2.6875</v>
      </c>
    </row>
    <row r="25" spans="1:2" x14ac:dyDescent="0.35">
      <c r="A25" s="51">
        <f t="shared" si="0"/>
        <v>1.2724181596831433E-2</v>
      </c>
      <c r="B25" s="63">
        <f t="shared" si="1"/>
        <v>-2.625</v>
      </c>
    </row>
    <row r="26" spans="1:2" x14ac:dyDescent="0.35">
      <c r="A26" s="51">
        <f t="shared" si="0"/>
        <v>1.4963495785913947E-2</v>
      </c>
      <c r="B26" s="63">
        <f t="shared" si="1"/>
        <v>-2.5625</v>
      </c>
    </row>
    <row r="27" spans="1:2" x14ac:dyDescent="0.35">
      <c r="A27" s="51">
        <f t="shared" si="0"/>
        <v>1.752830049356854E-2</v>
      </c>
      <c r="B27" s="63">
        <f t="shared" si="1"/>
        <v>-2.5</v>
      </c>
    </row>
    <row r="28" spans="1:2" x14ac:dyDescent="0.35">
      <c r="A28" s="51">
        <f t="shared" si="0"/>
        <v>2.0452673772781399E-2</v>
      </c>
      <c r="B28" s="63">
        <f t="shared" si="1"/>
        <v>-2.4375</v>
      </c>
    </row>
    <row r="29" spans="1:2" x14ac:dyDescent="0.35">
      <c r="A29" s="51">
        <f t="shared" si="0"/>
        <v>2.3771900829913806E-2</v>
      </c>
      <c r="B29" s="63">
        <f t="shared" si="1"/>
        <v>-2.375</v>
      </c>
    </row>
    <row r="30" spans="1:2" x14ac:dyDescent="0.35">
      <c r="A30" s="51">
        <f t="shared" si="0"/>
        <v>2.7522080802904469E-2</v>
      </c>
      <c r="B30" s="63">
        <f t="shared" si="1"/>
        <v>-2.3125</v>
      </c>
    </row>
    <row r="31" spans="1:2" x14ac:dyDescent="0.35">
      <c r="A31" s="51">
        <f t="shared" si="0"/>
        <v>3.1739651835667418E-2</v>
      </c>
      <c r="B31" s="63">
        <f t="shared" si="1"/>
        <v>-2.25</v>
      </c>
    </row>
    <row r="32" spans="1:2" x14ac:dyDescent="0.35">
      <c r="A32" s="51">
        <f t="shared" si="0"/>
        <v>3.6460833176192142E-2</v>
      </c>
      <c r="B32" s="63">
        <f t="shared" si="1"/>
        <v>-2.1875</v>
      </c>
    </row>
    <row r="33" spans="1:2" x14ac:dyDescent="0.35">
      <c r="A33" s="51">
        <f t="shared" si="0"/>
        <v>4.1720985256338612E-2</v>
      </c>
      <c r="B33" s="63">
        <f t="shared" si="1"/>
        <v>-2.125</v>
      </c>
    </row>
    <row r="34" spans="1:2" x14ac:dyDescent="0.35">
      <c r="A34" s="51">
        <f t="shared" si="0"/>
        <v>4.7553891260639629E-2</v>
      </c>
      <c r="B34" s="63">
        <f t="shared" si="1"/>
        <v>-2.0625</v>
      </c>
    </row>
    <row r="35" spans="1:2" x14ac:dyDescent="0.35">
      <c r="A35" s="51">
        <f t="shared" si="0"/>
        <v>5.3990966513188063E-2</v>
      </c>
      <c r="B35" s="63">
        <f t="shared" si="1"/>
        <v>-2</v>
      </c>
    </row>
    <row r="36" spans="1:2" x14ac:dyDescent="0.35">
      <c r="A36" s="51">
        <f t="shared" si="0"/>
        <v>6.1060405041066343E-2</v>
      </c>
      <c r="B36" s="63">
        <f t="shared" ref="B36:B67" si="2">B35+$F$2/64</f>
        <v>-1.9375</v>
      </c>
    </row>
    <row r="37" spans="1:2" x14ac:dyDescent="0.35">
      <c r="A37" s="51">
        <f t="shared" si="0"/>
        <v>6.8786275826691903E-2</v>
      </c>
      <c r="B37" s="63">
        <f t="shared" si="2"/>
        <v>-1.875</v>
      </c>
    </row>
    <row r="38" spans="1:2" x14ac:dyDescent="0.35">
      <c r="A38" s="51">
        <f t="shared" si="0"/>
        <v>7.7187584439710716E-2</v>
      </c>
      <c r="B38" s="63">
        <f t="shared" si="2"/>
        <v>-1.8125</v>
      </c>
    </row>
    <row r="39" spans="1:2" x14ac:dyDescent="0.35">
      <c r="A39" s="51">
        <f t="shared" si="0"/>
        <v>8.6277318826511532E-2</v>
      </c>
      <c r="B39" s="63">
        <f t="shared" si="2"/>
        <v>-1.75</v>
      </c>
    </row>
    <row r="40" spans="1:2" x14ac:dyDescent="0.35">
      <c r="A40" s="51">
        <f t="shared" si="0"/>
        <v>9.6061500905113353E-2</v>
      </c>
      <c r="B40" s="63">
        <f t="shared" si="2"/>
        <v>-1.6875</v>
      </c>
    </row>
    <row r="41" spans="1:2" x14ac:dyDescent="0.35">
      <c r="A41" s="51">
        <f t="shared" si="0"/>
        <v>0.10653826813058508</v>
      </c>
      <c r="B41" s="63">
        <f t="shared" si="2"/>
        <v>-1.625</v>
      </c>
    </row>
    <row r="42" spans="1:2" x14ac:dyDescent="0.35">
      <c r="A42" s="51">
        <f t="shared" si="0"/>
        <v>0.11769701122432005</v>
      </c>
      <c r="B42" s="63">
        <f t="shared" si="2"/>
        <v>-1.5625</v>
      </c>
    </row>
    <row r="43" spans="1:2" x14ac:dyDescent="0.35">
      <c r="A43" s="51">
        <f t="shared" si="0"/>
        <v>0.12951759566589174</v>
      </c>
      <c r="B43" s="63">
        <f t="shared" si="2"/>
        <v>-1.5</v>
      </c>
    </row>
    <row r="44" spans="1:2" x14ac:dyDescent="0.35">
      <c r="A44" s="51">
        <f t="shared" si="0"/>
        <v>0.14196969520521555</v>
      </c>
      <c r="B44" s="63">
        <f t="shared" si="2"/>
        <v>-1.4375</v>
      </c>
    </row>
    <row r="45" spans="1:2" x14ac:dyDescent="0.35">
      <c r="A45" s="51">
        <f t="shared" si="0"/>
        <v>0.15501226545829322</v>
      </c>
      <c r="B45" s="63">
        <f t="shared" si="2"/>
        <v>-1.375</v>
      </c>
    </row>
    <row r="46" spans="1:2" x14ac:dyDescent="0.35">
      <c r="A46" s="51">
        <f t="shared" si="0"/>
        <v>0.16859318451811511</v>
      </c>
      <c r="B46" s="63">
        <f t="shared" si="2"/>
        <v>-1.3125</v>
      </c>
    </row>
    <row r="47" spans="1:2" x14ac:dyDescent="0.35">
      <c r="A47" s="51">
        <f t="shared" si="0"/>
        <v>0.18264908538902191</v>
      </c>
      <c r="B47" s="63">
        <f t="shared" si="2"/>
        <v>-1.25</v>
      </c>
    </row>
    <row r="48" spans="1:2" x14ac:dyDescent="0.35">
      <c r="A48" s="51">
        <f t="shared" si="0"/>
        <v>0.1971054019185873</v>
      </c>
      <c r="B48" s="63">
        <f t="shared" si="2"/>
        <v>-1.1875</v>
      </c>
    </row>
    <row r="49" spans="1:2" x14ac:dyDescent="0.35">
      <c r="A49" s="51">
        <f t="shared" si="0"/>
        <v>0.21187664577569948</v>
      </c>
      <c r="B49" s="63">
        <f t="shared" si="2"/>
        <v>-1.125</v>
      </c>
    </row>
    <row r="50" spans="1:2" x14ac:dyDescent="0.35">
      <c r="A50" s="51">
        <f t="shared" si="0"/>
        <v>0.22686692696881264</v>
      </c>
      <c r="B50" s="63">
        <f t="shared" si="2"/>
        <v>-1.0625</v>
      </c>
    </row>
    <row r="51" spans="1:2" x14ac:dyDescent="0.35">
      <c r="A51" s="51">
        <f t="shared" si="0"/>
        <v>0.24197072451914337</v>
      </c>
      <c r="B51" s="63">
        <f t="shared" si="2"/>
        <v>-1</v>
      </c>
    </row>
    <row r="52" spans="1:2" x14ac:dyDescent="0.35">
      <c r="A52" s="51">
        <f t="shared" si="0"/>
        <v>0.25707390734673469</v>
      </c>
      <c r="B52" s="63">
        <f t="shared" si="2"/>
        <v>-0.9375</v>
      </c>
    </row>
    <row r="53" spans="1:2" x14ac:dyDescent="0.35">
      <c r="A53" s="51">
        <f t="shared" si="0"/>
        <v>0.27205499837854352</v>
      </c>
      <c r="B53" s="63">
        <f t="shared" si="2"/>
        <v>-0.875</v>
      </c>
    </row>
    <row r="54" spans="1:2" x14ac:dyDescent="0.35">
      <c r="A54" s="51">
        <f t="shared" si="0"/>
        <v>0.28678666756641447</v>
      </c>
      <c r="B54" s="63">
        <f t="shared" si="2"/>
        <v>-0.8125</v>
      </c>
    </row>
    <row r="55" spans="1:2" x14ac:dyDescent="0.35">
      <c r="A55" s="51">
        <f t="shared" si="0"/>
        <v>0.30113743215480443</v>
      </c>
      <c r="B55" s="63">
        <f t="shared" si="2"/>
        <v>-0.75</v>
      </c>
    </row>
    <row r="56" spans="1:2" x14ac:dyDescent="0.35">
      <c r="A56" s="51">
        <f t="shared" si="0"/>
        <v>0.31497353542659334</v>
      </c>
      <c r="B56" s="63">
        <f t="shared" si="2"/>
        <v>-0.6875</v>
      </c>
    </row>
    <row r="57" spans="1:2" x14ac:dyDescent="0.35">
      <c r="A57" s="51">
        <f t="shared" si="0"/>
        <v>0.32816096855037508</v>
      </c>
      <c r="B57" s="63">
        <f t="shared" si="2"/>
        <v>-0.625</v>
      </c>
    </row>
    <row r="58" spans="1:2" x14ac:dyDescent="0.35">
      <c r="A58" s="51">
        <f t="shared" si="0"/>
        <v>0.34056759431983069</v>
      </c>
      <c r="B58" s="63">
        <f t="shared" si="2"/>
        <v>-0.5625</v>
      </c>
    </row>
    <row r="59" spans="1:2" x14ac:dyDescent="0.35">
      <c r="A59" s="51">
        <f t="shared" si="0"/>
        <v>0.35206532676429952</v>
      </c>
      <c r="B59" s="63">
        <f t="shared" si="2"/>
        <v>-0.5</v>
      </c>
    </row>
    <row r="60" spans="1:2" x14ac:dyDescent="0.35">
      <c r="A60" s="51">
        <f t="shared" si="0"/>
        <v>0.36253231704044525</v>
      </c>
      <c r="B60" s="63">
        <f t="shared" si="2"/>
        <v>-0.4375</v>
      </c>
    </row>
    <row r="61" spans="1:2" x14ac:dyDescent="0.35">
      <c r="A61" s="51">
        <f t="shared" si="0"/>
        <v>0.37185509386976895</v>
      </c>
      <c r="B61" s="63">
        <f t="shared" si="2"/>
        <v>-0.375</v>
      </c>
    </row>
    <row r="62" spans="1:2" x14ac:dyDescent="0.35">
      <c r="A62" s="51">
        <f t="shared" si="0"/>
        <v>0.37993060619862778</v>
      </c>
      <c r="B62" s="63">
        <f t="shared" si="2"/>
        <v>-0.3125</v>
      </c>
    </row>
    <row r="63" spans="1:2" x14ac:dyDescent="0.35">
      <c r="A63" s="51">
        <f t="shared" si="0"/>
        <v>0.38666811680284924</v>
      </c>
      <c r="B63" s="63">
        <f t="shared" si="2"/>
        <v>-0.25</v>
      </c>
    </row>
    <row r="64" spans="1:2" x14ac:dyDescent="0.35">
      <c r="A64" s="51">
        <f t="shared" si="0"/>
        <v>0.39199089825257194</v>
      </c>
      <c r="B64" s="63">
        <f t="shared" si="2"/>
        <v>-0.1875</v>
      </c>
    </row>
    <row r="65" spans="1:2" x14ac:dyDescent="0.35">
      <c r="A65" s="51">
        <f t="shared" si="0"/>
        <v>0.39583768694474952</v>
      </c>
      <c r="B65" s="63">
        <f t="shared" si="2"/>
        <v>-0.125</v>
      </c>
    </row>
    <row r="66" spans="1:2" x14ac:dyDescent="0.35">
      <c r="A66" s="51">
        <f t="shared" si="0"/>
        <v>0.39816385668688664</v>
      </c>
      <c r="B66" s="63">
        <f t="shared" si="2"/>
        <v>-6.25E-2</v>
      </c>
    </row>
    <row r="67" spans="1:2" x14ac:dyDescent="0.35">
      <c r="A67" s="51">
        <f t="shared" ref="A67:A130" si="3">IF(B67 = B66,0,NORMDIST(B67,$D$2,$E$2,0))</f>
        <v>0.3989422804014327</v>
      </c>
      <c r="B67" s="63">
        <f t="shared" si="2"/>
        <v>0</v>
      </c>
    </row>
    <row r="68" spans="1:2" x14ac:dyDescent="0.35">
      <c r="A68" s="51">
        <f t="shared" si="3"/>
        <v>0.39816385668688664</v>
      </c>
      <c r="B68" s="63">
        <f t="shared" ref="B68:B99" si="4">B67+$F$2/64</f>
        <v>6.25E-2</v>
      </c>
    </row>
    <row r="69" spans="1:2" x14ac:dyDescent="0.35">
      <c r="A69" s="51">
        <f t="shared" si="3"/>
        <v>0.39583768694474952</v>
      </c>
      <c r="B69" s="63">
        <f t="shared" si="4"/>
        <v>0.125</v>
      </c>
    </row>
    <row r="70" spans="1:2" x14ac:dyDescent="0.35">
      <c r="A70" s="51">
        <f t="shared" si="3"/>
        <v>0.39199089825257194</v>
      </c>
      <c r="B70" s="63">
        <f t="shared" si="4"/>
        <v>0.1875</v>
      </c>
    </row>
    <row r="71" spans="1:2" x14ac:dyDescent="0.35">
      <c r="A71" s="51">
        <f t="shared" si="3"/>
        <v>0.38666811680284924</v>
      </c>
      <c r="B71" s="63">
        <f t="shared" si="4"/>
        <v>0.25</v>
      </c>
    </row>
    <row r="72" spans="1:2" x14ac:dyDescent="0.35">
      <c r="A72" s="51">
        <f t="shared" si="3"/>
        <v>0.37993060619862778</v>
      </c>
      <c r="B72" s="63">
        <f t="shared" si="4"/>
        <v>0.3125</v>
      </c>
    </row>
    <row r="73" spans="1:2" x14ac:dyDescent="0.35">
      <c r="A73" s="51">
        <f t="shared" si="3"/>
        <v>0.37185509386976895</v>
      </c>
      <c r="B73" s="63">
        <f t="shared" si="4"/>
        <v>0.375</v>
      </c>
    </row>
    <row r="74" spans="1:2" x14ac:dyDescent="0.35">
      <c r="A74" s="51">
        <f t="shared" si="3"/>
        <v>0.36253231704044525</v>
      </c>
      <c r="B74" s="63">
        <f t="shared" si="4"/>
        <v>0.4375</v>
      </c>
    </row>
    <row r="75" spans="1:2" x14ac:dyDescent="0.35">
      <c r="A75" s="51">
        <f t="shared" si="3"/>
        <v>0.35206532676429952</v>
      </c>
      <c r="B75" s="63">
        <f t="shared" si="4"/>
        <v>0.5</v>
      </c>
    </row>
    <row r="76" spans="1:2" x14ac:dyDescent="0.35">
      <c r="A76" s="51">
        <f t="shared" si="3"/>
        <v>0.34056759431983069</v>
      </c>
      <c r="B76" s="63">
        <f t="shared" si="4"/>
        <v>0.5625</v>
      </c>
    </row>
    <row r="77" spans="1:2" x14ac:dyDescent="0.35">
      <c r="A77" s="51">
        <f t="shared" si="3"/>
        <v>0.32816096855037508</v>
      </c>
      <c r="B77" s="63">
        <f t="shared" si="4"/>
        <v>0.625</v>
      </c>
    </row>
    <row r="78" spans="1:2" x14ac:dyDescent="0.35">
      <c r="A78" s="51">
        <f t="shared" si="3"/>
        <v>0.31497353542659334</v>
      </c>
      <c r="B78" s="63">
        <f t="shared" si="4"/>
        <v>0.6875</v>
      </c>
    </row>
    <row r="79" spans="1:2" x14ac:dyDescent="0.35">
      <c r="A79" s="51">
        <f t="shared" si="3"/>
        <v>0.30113743215480443</v>
      </c>
      <c r="B79" s="63">
        <f t="shared" si="4"/>
        <v>0.75</v>
      </c>
    </row>
    <row r="80" spans="1:2" x14ac:dyDescent="0.35">
      <c r="A80" s="51">
        <f t="shared" si="3"/>
        <v>0.28678666756641447</v>
      </c>
      <c r="B80" s="63">
        <f t="shared" si="4"/>
        <v>0.8125</v>
      </c>
    </row>
    <row r="81" spans="1:2" x14ac:dyDescent="0.35">
      <c r="A81" s="51">
        <f t="shared" si="3"/>
        <v>0.27205499837854352</v>
      </c>
      <c r="B81" s="63">
        <f t="shared" si="4"/>
        <v>0.875</v>
      </c>
    </row>
    <row r="82" spans="1:2" x14ac:dyDescent="0.35">
      <c r="A82" s="51">
        <f t="shared" si="3"/>
        <v>0.25707390734673469</v>
      </c>
      <c r="B82" s="63">
        <f t="shared" si="4"/>
        <v>0.9375</v>
      </c>
    </row>
    <row r="83" spans="1:2" x14ac:dyDescent="0.35">
      <c r="A83" s="51">
        <f t="shared" si="3"/>
        <v>0.24197072451914337</v>
      </c>
      <c r="B83" s="63">
        <f t="shared" si="4"/>
        <v>1</v>
      </c>
    </row>
    <row r="84" spans="1:2" x14ac:dyDescent="0.35">
      <c r="A84" s="51">
        <f t="shared" si="3"/>
        <v>0.22686692696881264</v>
      </c>
      <c r="B84" s="63">
        <f t="shared" si="4"/>
        <v>1.0625</v>
      </c>
    </row>
    <row r="85" spans="1:2" x14ac:dyDescent="0.35">
      <c r="A85" s="51">
        <f t="shared" si="3"/>
        <v>0.21187664577569948</v>
      </c>
      <c r="B85" s="63">
        <f t="shared" si="4"/>
        <v>1.125</v>
      </c>
    </row>
    <row r="86" spans="1:2" x14ac:dyDescent="0.35">
      <c r="A86" s="51">
        <f t="shared" si="3"/>
        <v>0.1971054019185873</v>
      </c>
      <c r="B86" s="63">
        <f t="shared" si="4"/>
        <v>1.1875</v>
      </c>
    </row>
    <row r="87" spans="1:2" x14ac:dyDescent="0.35">
      <c r="A87" s="51">
        <f t="shared" si="3"/>
        <v>0.18264908538902191</v>
      </c>
      <c r="B87" s="63">
        <f t="shared" si="4"/>
        <v>1.25</v>
      </c>
    </row>
    <row r="88" spans="1:2" x14ac:dyDescent="0.35">
      <c r="A88" s="51">
        <f t="shared" si="3"/>
        <v>0.16859318451811511</v>
      </c>
      <c r="B88" s="63">
        <f t="shared" si="4"/>
        <v>1.3125</v>
      </c>
    </row>
    <row r="89" spans="1:2" x14ac:dyDescent="0.35">
      <c r="A89" s="51">
        <f t="shared" si="3"/>
        <v>0.15501226545829322</v>
      </c>
      <c r="B89" s="63">
        <f t="shared" si="4"/>
        <v>1.375</v>
      </c>
    </row>
    <row r="90" spans="1:2" x14ac:dyDescent="0.35">
      <c r="A90" s="51">
        <f t="shared" si="3"/>
        <v>0.14196969520521555</v>
      </c>
      <c r="B90" s="63">
        <f t="shared" si="4"/>
        <v>1.4375</v>
      </c>
    </row>
    <row r="91" spans="1:2" x14ac:dyDescent="0.35">
      <c r="A91" s="51">
        <f t="shared" si="3"/>
        <v>0.12951759566589174</v>
      </c>
      <c r="B91" s="63">
        <f t="shared" si="4"/>
        <v>1.5</v>
      </c>
    </row>
    <row r="92" spans="1:2" x14ac:dyDescent="0.35">
      <c r="A92" s="51">
        <f t="shared" si="3"/>
        <v>0.11769701122432005</v>
      </c>
      <c r="B92" s="63">
        <f t="shared" si="4"/>
        <v>1.5625</v>
      </c>
    </row>
    <row r="93" spans="1:2" x14ac:dyDescent="0.35">
      <c r="A93" s="51">
        <f t="shared" si="3"/>
        <v>0.10653826813058508</v>
      </c>
      <c r="B93" s="63">
        <f t="shared" si="4"/>
        <v>1.625</v>
      </c>
    </row>
    <row r="94" spans="1:2" x14ac:dyDescent="0.35">
      <c r="A94" s="51">
        <f t="shared" si="3"/>
        <v>9.6061500905113353E-2</v>
      </c>
      <c r="B94" s="63">
        <f t="shared" si="4"/>
        <v>1.6875</v>
      </c>
    </row>
    <row r="95" spans="1:2" x14ac:dyDescent="0.35">
      <c r="A95" s="51">
        <f t="shared" si="3"/>
        <v>8.6277318826511532E-2</v>
      </c>
      <c r="B95" s="63">
        <f t="shared" si="4"/>
        <v>1.75</v>
      </c>
    </row>
    <row r="96" spans="1:2" x14ac:dyDescent="0.35">
      <c r="A96" s="51">
        <f t="shared" si="3"/>
        <v>7.7187584439710716E-2</v>
      </c>
      <c r="B96" s="63">
        <f t="shared" si="4"/>
        <v>1.8125</v>
      </c>
    </row>
    <row r="97" spans="1:2" x14ac:dyDescent="0.35">
      <c r="A97" s="51">
        <f t="shared" si="3"/>
        <v>6.8786275826691903E-2</v>
      </c>
      <c r="B97" s="63">
        <f t="shared" si="4"/>
        <v>1.875</v>
      </c>
    </row>
    <row r="98" spans="1:2" x14ac:dyDescent="0.35">
      <c r="A98" s="51">
        <f t="shared" si="3"/>
        <v>6.1060405041066343E-2</v>
      </c>
      <c r="B98" s="63">
        <f t="shared" si="4"/>
        <v>1.9375</v>
      </c>
    </row>
    <row r="99" spans="1:2" x14ac:dyDescent="0.35">
      <c r="A99" s="51">
        <f t="shared" si="3"/>
        <v>5.3990966513188063E-2</v>
      </c>
      <c r="B99" s="63">
        <f t="shared" si="4"/>
        <v>2</v>
      </c>
    </row>
    <row r="100" spans="1:2" x14ac:dyDescent="0.35">
      <c r="A100" s="51">
        <f t="shared" si="3"/>
        <v>4.7553891260639629E-2</v>
      </c>
      <c r="B100" s="63">
        <f t="shared" ref="B100:B131" si="5">B99+$F$2/64</f>
        <v>2.0625</v>
      </c>
    </row>
    <row r="101" spans="1:2" x14ac:dyDescent="0.35">
      <c r="A101" s="51">
        <f t="shared" si="3"/>
        <v>4.1720985256338612E-2</v>
      </c>
      <c r="B101" s="63">
        <f t="shared" si="5"/>
        <v>2.125</v>
      </c>
    </row>
    <row r="102" spans="1:2" x14ac:dyDescent="0.35">
      <c r="A102" s="51">
        <f t="shared" si="3"/>
        <v>3.6460833176192142E-2</v>
      </c>
      <c r="B102" s="63">
        <f t="shared" si="5"/>
        <v>2.1875</v>
      </c>
    </row>
    <row r="103" spans="1:2" x14ac:dyDescent="0.35">
      <c r="A103" s="51">
        <f t="shared" si="3"/>
        <v>3.1739651835667418E-2</v>
      </c>
      <c r="B103" s="63">
        <f t="shared" si="5"/>
        <v>2.25</v>
      </c>
    </row>
    <row r="104" spans="1:2" x14ac:dyDescent="0.35">
      <c r="A104" s="51">
        <f t="shared" si="3"/>
        <v>2.7522080802904469E-2</v>
      </c>
      <c r="B104" s="63">
        <f t="shared" si="5"/>
        <v>2.3125</v>
      </c>
    </row>
    <row r="105" spans="1:2" x14ac:dyDescent="0.35">
      <c r="A105" s="51">
        <f t="shared" si="3"/>
        <v>2.3771900829913806E-2</v>
      </c>
      <c r="B105" s="63">
        <f t="shared" si="5"/>
        <v>2.375</v>
      </c>
    </row>
    <row r="106" spans="1:2" x14ac:dyDescent="0.35">
      <c r="A106" s="51">
        <f t="shared" si="3"/>
        <v>2.0452673772781399E-2</v>
      </c>
      <c r="B106" s="63">
        <f t="shared" si="5"/>
        <v>2.4375</v>
      </c>
    </row>
    <row r="107" spans="1:2" x14ac:dyDescent="0.35">
      <c r="A107" s="51">
        <f t="shared" si="3"/>
        <v>1.752830049356854E-2</v>
      </c>
      <c r="B107" s="63">
        <f t="shared" si="5"/>
        <v>2.5</v>
      </c>
    </row>
    <row r="108" spans="1:2" x14ac:dyDescent="0.35">
      <c r="A108" s="51">
        <f t="shared" si="3"/>
        <v>1.4963495785913947E-2</v>
      </c>
      <c r="B108" s="63">
        <f t="shared" si="5"/>
        <v>2.5625</v>
      </c>
    </row>
    <row r="109" spans="1:2" x14ac:dyDescent="0.35">
      <c r="A109" s="51">
        <f t="shared" si="3"/>
        <v>1.2724181596831433E-2</v>
      </c>
      <c r="B109" s="63">
        <f t="shared" si="5"/>
        <v>2.625</v>
      </c>
    </row>
    <row r="110" spans="1:2" x14ac:dyDescent="0.35">
      <c r="A110" s="51">
        <f t="shared" si="3"/>
        <v>1.0777801700270904E-2</v>
      </c>
      <c r="B110" s="63">
        <f t="shared" si="5"/>
        <v>2.6875</v>
      </c>
    </row>
    <row r="111" spans="1:2" x14ac:dyDescent="0.35">
      <c r="A111" s="51">
        <f t="shared" si="3"/>
        <v>9.0935625015910529E-3</v>
      </c>
      <c r="B111" s="63">
        <f t="shared" si="5"/>
        <v>2.75</v>
      </c>
    </row>
    <row r="112" spans="1:2" x14ac:dyDescent="0.35">
      <c r="A112" s="51">
        <f t="shared" si="3"/>
        <v>7.6426058187464016E-3</v>
      </c>
      <c r="B112" s="63">
        <f t="shared" si="5"/>
        <v>2.8125</v>
      </c>
    </row>
    <row r="113" spans="1:2" x14ac:dyDescent="0.35">
      <c r="A113" s="51">
        <f t="shared" si="3"/>
        <v>6.3981203107235565E-3</v>
      </c>
      <c r="B113" s="63">
        <f t="shared" si="5"/>
        <v>2.875</v>
      </c>
    </row>
    <row r="114" spans="1:2" x14ac:dyDescent="0.35">
      <c r="A114" s="51">
        <f t="shared" si="3"/>
        <v>5.3353987315863148E-3</v>
      </c>
      <c r="B114" s="63">
        <f t="shared" si="5"/>
        <v>2.9375</v>
      </c>
    </row>
    <row r="115" spans="1:2" x14ac:dyDescent="0.35">
      <c r="A115" s="51">
        <f t="shared" si="3"/>
        <v>4.4318484119380075E-3</v>
      </c>
      <c r="B115" s="63">
        <f t="shared" si="5"/>
        <v>3</v>
      </c>
    </row>
    <row r="116" spans="1:2" x14ac:dyDescent="0.35">
      <c r="A116" s="51">
        <f t="shared" si="3"/>
        <v>3.6669623462942261E-3</v>
      </c>
      <c r="B116" s="63">
        <f t="shared" si="5"/>
        <v>3.0625</v>
      </c>
    </row>
    <row r="117" spans="1:2" x14ac:dyDescent="0.35">
      <c r="A117" s="51">
        <f t="shared" si="3"/>
        <v>3.0222580351987561E-3</v>
      </c>
      <c r="B117" s="63">
        <f t="shared" si="5"/>
        <v>3.125</v>
      </c>
    </row>
    <row r="118" spans="1:2" x14ac:dyDescent="0.35">
      <c r="A118" s="51">
        <f t="shared" si="3"/>
        <v>2.4811908361033002E-3</v>
      </c>
      <c r="B118" s="63">
        <f t="shared" si="5"/>
        <v>3.1875</v>
      </c>
    </row>
    <row r="119" spans="1:2" x14ac:dyDescent="0.35">
      <c r="A119" s="51">
        <f t="shared" si="3"/>
        <v>2.0290480572997681E-3</v>
      </c>
      <c r="B119" s="63">
        <f t="shared" si="5"/>
        <v>3.25</v>
      </c>
    </row>
    <row r="120" spans="1:2" x14ac:dyDescent="0.35">
      <c r="A120" s="51">
        <f t="shared" si="3"/>
        <v>1.6528294224062582E-3</v>
      </c>
      <c r="B120" s="63">
        <f t="shared" si="5"/>
        <v>3.3125</v>
      </c>
    </row>
    <row r="121" spans="1:2" x14ac:dyDescent="0.35">
      <c r="A121" s="51">
        <f t="shared" si="3"/>
        <v>1.3411188734903778E-3</v>
      </c>
      <c r="B121" s="63">
        <f t="shared" si="5"/>
        <v>3.375</v>
      </c>
    </row>
    <row r="122" spans="1:2" x14ac:dyDescent="0.35">
      <c r="A122" s="51">
        <f t="shared" si="3"/>
        <v>1.083951999114652E-3</v>
      </c>
      <c r="B122" s="63">
        <f t="shared" si="5"/>
        <v>3.4375</v>
      </c>
    </row>
    <row r="123" spans="1:2" x14ac:dyDescent="0.35">
      <c r="A123" s="51">
        <f t="shared" si="3"/>
        <v>8.7268269504576015E-4</v>
      </c>
      <c r="B123" s="63">
        <f t="shared" si="5"/>
        <v>3.5</v>
      </c>
    </row>
    <row r="124" spans="1:2" x14ac:dyDescent="0.35">
      <c r="A124" s="51">
        <f t="shared" si="3"/>
        <v>6.9985201094694273E-4</v>
      </c>
      <c r="B124" s="63">
        <f t="shared" si="5"/>
        <v>3.5625</v>
      </c>
    </row>
    <row r="125" spans="1:2" x14ac:dyDescent="0.35">
      <c r="A125" s="51">
        <f t="shared" si="3"/>
        <v>5.5906152223216487E-4</v>
      </c>
      <c r="B125" s="63">
        <f t="shared" si="5"/>
        <v>3.625</v>
      </c>
    </row>
    <row r="126" spans="1:2" x14ac:dyDescent="0.35">
      <c r="A126" s="51">
        <f t="shared" si="3"/>
        <v>4.4485300411281029E-4</v>
      </c>
      <c r="B126" s="63">
        <f t="shared" si="5"/>
        <v>3.6875</v>
      </c>
    </row>
    <row r="127" spans="1:2" x14ac:dyDescent="0.35">
      <c r="A127" s="51">
        <f t="shared" si="3"/>
        <v>3.5259568236744541E-4</v>
      </c>
      <c r="B127" s="63">
        <f t="shared" si="5"/>
        <v>3.75</v>
      </c>
    </row>
    <row r="128" spans="1:2" x14ac:dyDescent="0.35">
      <c r="A128" s="51">
        <f t="shared" si="3"/>
        <v>2.7838189659836209E-4</v>
      </c>
      <c r="B128" s="63">
        <f t="shared" si="5"/>
        <v>3.8125</v>
      </c>
    </row>
    <row r="129" spans="1:2" x14ac:dyDescent="0.35">
      <c r="A129" s="51">
        <f t="shared" si="3"/>
        <v>2.189316377646121E-4</v>
      </c>
      <c r="B129" s="63">
        <f t="shared" si="5"/>
        <v>3.875</v>
      </c>
    </row>
    <row r="130" spans="1:2" x14ac:dyDescent="0.35">
      <c r="A130" s="51">
        <f t="shared" si="3"/>
        <v>1.7150611119472349E-4</v>
      </c>
      <c r="B130" s="63">
        <f t="shared" si="5"/>
        <v>3.9375</v>
      </c>
    </row>
    <row r="131" spans="1:2" x14ac:dyDescent="0.35">
      <c r="A131" s="51">
        <f>IF(B131 = B130,0,NORMDIST(B131,$D$2,$E$2,0))</f>
        <v>1.3383022576488537E-4</v>
      </c>
      <c r="B131" s="63">
        <f t="shared" si="5"/>
        <v>4</v>
      </c>
    </row>
    <row r="132" spans="1:2" x14ac:dyDescent="0.35">
      <c r="A132" s="51"/>
      <c r="B132" s="63"/>
    </row>
    <row r="133" spans="1:2" x14ac:dyDescent="0.35">
      <c r="A133" s="51"/>
      <c r="B133" s="63"/>
    </row>
    <row r="134" spans="1:2" x14ac:dyDescent="0.35">
      <c r="A134" s="51"/>
      <c r="B134" s="63"/>
    </row>
    <row r="135" spans="1:2" x14ac:dyDescent="0.35">
      <c r="A135" s="51"/>
      <c r="B135" s="63"/>
    </row>
    <row r="136" spans="1:2" x14ac:dyDescent="0.35">
      <c r="A136" s="51"/>
      <c r="B136" s="63"/>
    </row>
    <row r="137" spans="1:2" x14ac:dyDescent="0.35">
      <c r="A137" s="51"/>
      <c r="B137" s="63"/>
    </row>
    <row r="138" spans="1:2" x14ac:dyDescent="0.35">
      <c r="A138" s="51"/>
      <c r="B138" s="63"/>
    </row>
    <row r="139" spans="1:2" x14ac:dyDescent="0.35">
      <c r="A139" s="51"/>
      <c r="B139" s="63"/>
    </row>
    <row r="140" spans="1:2" x14ac:dyDescent="0.35">
      <c r="A140" s="51"/>
      <c r="B140" s="63"/>
    </row>
    <row r="141" spans="1:2" x14ac:dyDescent="0.35">
      <c r="A141" s="51"/>
      <c r="B141" s="63"/>
    </row>
    <row r="142" spans="1:2" x14ac:dyDescent="0.35">
      <c r="A142" s="51"/>
      <c r="B142" s="63"/>
    </row>
    <row r="143" spans="1:2" x14ac:dyDescent="0.35">
      <c r="A143" s="51"/>
      <c r="B143" s="63"/>
    </row>
    <row r="144" spans="1:2" x14ac:dyDescent="0.35">
      <c r="A144" s="51"/>
      <c r="B144" s="63"/>
    </row>
    <row r="145" spans="1:2" x14ac:dyDescent="0.35">
      <c r="A145" s="51"/>
      <c r="B145" s="63"/>
    </row>
    <row r="146" spans="1:2" x14ac:dyDescent="0.35">
      <c r="A146" s="51"/>
      <c r="B146" s="63"/>
    </row>
    <row r="147" spans="1:2" x14ac:dyDescent="0.35">
      <c r="A147" s="51"/>
      <c r="B147" s="63"/>
    </row>
    <row r="148" spans="1:2" x14ac:dyDescent="0.35">
      <c r="A148" s="51"/>
      <c r="B148" s="63"/>
    </row>
    <row r="149" spans="1:2" x14ac:dyDescent="0.35">
      <c r="A149" s="51"/>
      <c r="B149" s="63"/>
    </row>
    <row r="150" spans="1:2" x14ac:dyDescent="0.35">
      <c r="A150" s="51"/>
      <c r="B150" s="63"/>
    </row>
    <row r="151" spans="1:2" x14ac:dyDescent="0.35">
      <c r="A151" s="51"/>
      <c r="B151" s="63"/>
    </row>
    <row r="152" spans="1:2" x14ac:dyDescent="0.35">
      <c r="A152" s="51"/>
      <c r="B152" s="63"/>
    </row>
    <row r="153" spans="1:2" x14ac:dyDescent="0.35">
      <c r="A153" s="51"/>
      <c r="B153" s="63"/>
    </row>
    <row r="154" spans="1:2" x14ac:dyDescent="0.35">
      <c r="A154" s="51"/>
      <c r="B154" s="63"/>
    </row>
    <row r="155" spans="1:2" x14ac:dyDescent="0.35">
      <c r="A155" s="51"/>
      <c r="B155" s="63"/>
    </row>
    <row r="156" spans="1:2" x14ac:dyDescent="0.35">
      <c r="A156" s="51"/>
      <c r="B156" s="63"/>
    </row>
    <row r="157" spans="1:2" x14ac:dyDescent="0.35">
      <c r="A157" s="51"/>
      <c r="B157" s="63"/>
    </row>
    <row r="158" spans="1:2" x14ac:dyDescent="0.35">
      <c r="A158" s="51"/>
      <c r="B158" s="63"/>
    </row>
    <row r="159" spans="1:2" x14ac:dyDescent="0.35">
      <c r="A159" s="51"/>
      <c r="B159" s="63"/>
    </row>
    <row r="160" spans="1:2" x14ac:dyDescent="0.35">
      <c r="A160" s="51"/>
      <c r="B160" s="63"/>
    </row>
    <row r="161" spans="1:2" x14ac:dyDescent="0.35">
      <c r="A161" s="51"/>
      <c r="B161" s="63"/>
    </row>
    <row r="162" spans="1:2" x14ac:dyDescent="0.35">
      <c r="A162" s="51"/>
      <c r="B162" s="63"/>
    </row>
    <row r="163" spans="1:2" x14ac:dyDescent="0.35">
      <c r="A163" s="51"/>
      <c r="B163" s="63"/>
    </row>
    <row r="164" spans="1:2" x14ac:dyDescent="0.35">
      <c r="A164" s="51"/>
      <c r="B164" s="63"/>
    </row>
    <row r="165" spans="1:2" x14ac:dyDescent="0.35">
      <c r="A165" s="51"/>
      <c r="B165" s="63"/>
    </row>
    <row r="166" spans="1:2" x14ac:dyDescent="0.35">
      <c r="A166" s="51"/>
      <c r="B166" s="63"/>
    </row>
    <row r="167" spans="1:2" x14ac:dyDescent="0.35">
      <c r="A167" s="51"/>
      <c r="B167" s="63"/>
    </row>
    <row r="168" spans="1:2" x14ac:dyDescent="0.35">
      <c r="A168" s="51"/>
      <c r="B168" s="63"/>
    </row>
    <row r="169" spans="1:2" x14ac:dyDescent="0.35">
      <c r="A169" s="51"/>
      <c r="B169" s="63"/>
    </row>
    <row r="170" spans="1:2" x14ac:dyDescent="0.35">
      <c r="A170" s="51"/>
      <c r="B170" s="63"/>
    </row>
    <row r="171" spans="1:2" x14ac:dyDescent="0.35">
      <c r="A171" s="51"/>
      <c r="B171" s="63"/>
    </row>
    <row r="172" spans="1:2" x14ac:dyDescent="0.35">
      <c r="A172" s="51"/>
      <c r="B172" s="63"/>
    </row>
    <row r="173" spans="1:2" x14ac:dyDescent="0.35">
      <c r="A173" s="51"/>
      <c r="B173" s="63"/>
    </row>
    <row r="174" spans="1:2" x14ac:dyDescent="0.35">
      <c r="A174" s="51"/>
      <c r="B174" s="63"/>
    </row>
    <row r="175" spans="1:2" x14ac:dyDescent="0.35">
      <c r="A175" s="51"/>
      <c r="B175" s="63"/>
    </row>
    <row r="176" spans="1:2" x14ac:dyDescent="0.35">
      <c r="A176" s="51"/>
      <c r="B176" s="63"/>
    </row>
    <row r="177" spans="1:2" x14ac:dyDescent="0.35">
      <c r="A177" s="51"/>
      <c r="B177" s="63"/>
    </row>
    <row r="178" spans="1:2" x14ac:dyDescent="0.35">
      <c r="A178" s="51"/>
      <c r="B178" s="63"/>
    </row>
    <row r="179" spans="1:2" x14ac:dyDescent="0.35">
      <c r="A179" s="51"/>
      <c r="B179" s="63"/>
    </row>
    <row r="180" spans="1:2" x14ac:dyDescent="0.35">
      <c r="A180" s="51"/>
      <c r="B180" s="63"/>
    </row>
    <row r="181" spans="1:2" x14ac:dyDescent="0.35">
      <c r="A181" s="51"/>
      <c r="B181" s="63"/>
    </row>
    <row r="182" spans="1:2" x14ac:dyDescent="0.35">
      <c r="A182" s="51"/>
      <c r="B182" s="63"/>
    </row>
    <row r="183" spans="1:2" x14ac:dyDescent="0.35">
      <c r="A183" s="51"/>
      <c r="B183" s="63"/>
    </row>
    <row r="184" spans="1:2" x14ac:dyDescent="0.35">
      <c r="A184" s="51"/>
      <c r="B184" s="63"/>
    </row>
    <row r="185" spans="1:2" x14ac:dyDescent="0.35">
      <c r="A185" s="51"/>
      <c r="B185" s="63"/>
    </row>
    <row r="186" spans="1:2" x14ac:dyDescent="0.35">
      <c r="A186" s="51"/>
      <c r="B186" s="63"/>
    </row>
    <row r="187" spans="1:2" x14ac:dyDescent="0.35">
      <c r="A187" s="51"/>
      <c r="B187" s="63"/>
    </row>
    <row r="188" spans="1:2" x14ac:dyDescent="0.35">
      <c r="A188" s="51"/>
      <c r="B188" s="63"/>
    </row>
    <row r="189" spans="1:2" x14ac:dyDescent="0.35">
      <c r="A189" s="51"/>
      <c r="B189" s="63"/>
    </row>
    <row r="190" spans="1:2" x14ac:dyDescent="0.35">
      <c r="A190" s="51"/>
      <c r="B190" s="63"/>
    </row>
    <row r="191" spans="1:2" x14ac:dyDescent="0.35">
      <c r="A191" s="51"/>
      <c r="B191" s="63"/>
    </row>
    <row r="192" spans="1:2" x14ac:dyDescent="0.35">
      <c r="A192" s="51"/>
      <c r="B192" s="63"/>
    </row>
    <row r="193" spans="1:2" x14ac:dyDescent="0.35">
      <c r="A193" s="51"/>
      <c r="B193" s="63"/>
    </row>
    <row r="194" spans="1:2" x14ac:dyDescent="0.35">
      <c r="A194" s="51"/>
      <c r="B194" s="63"/>
    </row>
    <row r="195" spans="1:2" x14ac:dyDescent="0.35">
      <c r="A195" s="51"/>
      <c r="B195" s="63"/>
    </row>
    <row r="196" spans="1:2" x14ac:dyDescent="0.35">
      <c r="A196" s="51"/>
      <c r="B196" s="63"/>
    </row>
    <row r="197" spans="1:2" x14ac:dyDescent="0.35">
      <c r="A197" s="51"/>
      <c r="B197" s="63"/>
    </row>
    <row r="198" spans="1:2" x14ac:dyDescent="0.35">
      <c r="A198" s="51"/>
      <c r="B198" s="63"/>
    </row>
    <row r="199" spans="1:2" x14ac:dyDescent="0.35">
      <c r="A199" s="51"/>
      <c r="B199" s="63"/>
    </row>
    <row r="200" spans="1:2" x14ac:dyDescent="0.35">
      <c r="A200" s="51"/>
      <c r="B200" s="63"/>
    </row>
    <row r="201" spans="1:2" x14ac:dyDescent="0.35">
      <c r="A201" s="51"/>
      <c r="B201" s="63"/>
    </row>
    <row r="202" spans="1:2" x14ac:dyDescent="0.35">
      <c r="A202" s="51"/>
      <c r="B202" s="63"/>
    </row>
    <row r="203" spans="1:2" x14ac:dyDescent="0.35">
      <c r="A203" s="51"/>
      <c r="B203" s="63"/>
    </row>
    <row r="204" spans="1:2" x14ac:dyDescent="0.35">
      <c r="A204" s="51"/>
      <c r="B204" s="63"/>
    </row>
    <row r="205" spans="1:2" x14ac:dyDescent="0.35">
      <c r="A205" s="51"/>
      <c r="B205" s="63"/>
    </row>
    <row r="206" spans="1:2" x14ac:dyDescent="0.35">
      <c r="A206" s="51"/>
      <c r="B206" s="63"/>
    </row>
    <row r="207" spans="1:2" x14ac:dyDescent="0.35">
      <c r="A207" s="51"/>
      <c r="B207" s="63"/>
    </row>
    <row r="208" spans="1:2" x14ac:dyDescent="0.35">
      <c r="A208" s="51"/>
      <c r="B208" s="63"/>
    </row>
    <row r="209" spans="1:2" x14ac:dyDescent="0.35">
      <c r="A209" s="51"/>
      <c r="B209" s="63"/>
    </row>
    <row r="210" spans="1:2" x14ac:dyDescent="0.35">
      <c r="A210" s="51"/>
      <c r="B210" s="63"/>
    </row>
    <row r="211" spans="1:2" x14ac:dyDescent="0.35">
      <c r="A211" s="51"/>
      <c r="B211" s="63"/>
    </row>
    <row r="212" spans="1:2" x14ac:dyDescent="0.35">
      <c r="A212" s="51"/>
      <c r="B212" s="63"/>
    </row>
    <row r="213" spans="1:2" x14ac:dyDescent="0.35">
      <c r="A213" s="51"/>
      <c r="B213" s="63"/>
    </row>
    <row r="214" spans="1:2" x14ac:dyDescent="0.35">
      <c r="A214" s="51"/>
      <c r="B214" s="63"/>
    </row>
    <row r="215" spans="1:2" x14ac:dyDescent="0.35">
      <c r="A215" s="51"/>
      <c r="B215" s="63"/>
    </row>
    <row r="216" spans="1:2" x14ac:dyDescent="0.35">
      <c r="A216" s="51"/>
      <c r="B216" s="63"/>
    </row>
    <row r="217" spans="1:2" x14ac:dyDescent="0.35">
      <c r="A217" s="51"/>
      <c r="B217" s="63"/>
    </row>
    <row r="218" spans="1:2" x14ac:dyDescent="0.35">
      <c r="A218" s="51"/>
      <c r="B218" s="63"/>
    </row>
    <row r="219" spans="1:2" x14ac:dyDescent="0.35">
      <c r="A219" s="51"/>
      <c r="B219" s="63"/>
    </row>
    <row r="220" spans="1:2" x14ac:dyDescent="0.35">
      <c r="A220" s="51"/>
      <c r="B220" s="63"/>
    </row>
    <row r="221" spans="1:2" x14ac:dyDescent="0.35">
      <c r="A221" s="51"/>
      <c r="B221" s="63"/>
    </row>
    <row r="222" spans="1:2" x14ac:dyDescent="0.35">
      <c r="A222" s="51"/>
      <c r="B222" s="63"/>
    </row>
    <row r="223" spans="1:2" x14ac:dyDescent="0.35">
      <c r="A223" s="51"/>
      <c r="B223" s="63"/>
    </row>
    <row r="224" spans="1:2" x14ac:dyDescent="0.35">
      <c r="A224" s="51"/>
      <c r="B224" s="63"/>
    </row>
    <row r="225" spans="1:2" x14ac:dyDescent="0.35">
      <c r="A225" s="51"/>
      <c r="B225" s="63"/>
    </row>
    <row r="226" spans="1:2" x14ac:dyDescent="0.35">
      <c r="A226" s="51"/>
      <c r="B226" s="63"/>
    </row>
    <row r="227" spans="1:2" x14ac:dyDescent="0.35">
      <c r="A227" s="51"/>
      <c r="B227" s="63"/>
    </row>
    <row r="228" spans="1:2" x14ac:dyDescent="0.35">
      <c r="A228" s="51"/>
      <c r="B228" s="63"/>
    </row>
    <row r="229" spans="1:2" x14ac:dyDescent="0.35">
      <c r="A229" s="51"/>
      <c r="B229" s="63"/>
    </row>
    <row r="230" spans="1:2" x14ac:dyDescent="0.35">
      <c r="A230" s="51"/>
      <c r="B230" s="63"/>
    </row>
    <row r="231" spans="1:2" x14ac:dyDescent="0.35">
      <c r="A231" s="51"/>
      <c r="B231" s="63"/>
    </row>
    <row r="232" spans="1:2" x14ac:dyDescent="0.35">
      <c r="A232" s="51"/>
      <c r="B232" s="63"/>
    </row>
    <row r="233" spans="1:2" x14ac:dyDescent="0.35">
      <c r="A233" s="51"/>
      <c r="B233" s="63"/>
    </row>
    <row r="234" spans="1:2" x14ac:dyDescent="0.35">
      <c r="A234" s="51"/>
      <c r="B234" s="63"/>
    </row>
    <row r="235" spans="1:2" x14ac:dyDescent="0.35">
      <c r="A235" s="51"/>
      <c r="B235" s="63"/>
    </row>
    <row r="236" spans="1:2" x14ac:dyDescent="0.35">
      <c r="A236" s="51"/>
      <c r="B236" s="63"/>
    </row>
    <row r="237" spans="1:2" x14ac:dyDescent="0.35">
      <c r="A237" s="51"/>
      <c r="B237" s="63"/>
    </row>
    <row r="238" spans="1:2" x14ac:dyDescent="0.35">
      <c r="A238" s="51"/>
      <c r="B238" s="63"/>
    </row>
    <row r="239" spans="1:2" x14ac:dyDescent="0.35">
      <c r="A239" s="51"/>
      <c r="B239" s="63"/>
    </row>
    <row r="240" spans="1:2" x14ac:dyDescent="0.35">
      <c r="A240" s="51"/>
      <c r="B240" s="63"/>
    </row>
    <row r="241" spans="1:2" x14ac:dyDescent="0.35">
      <c r="A241" s="51"/>
      <c r="B241" s="63"/>
    </row>
    <row r="242" spans="1:2" x14ac:dyDescent="0.35">
      <c r="A242" s="51"/>
      <c r="B242" s="63"/>
    </row>
    <row r="243" spans="1:2" x14ac:dyDescent="0.35">
      <c r="A243" s="51"/>
      <c r="B243" s="63"/>
    </row>
    <row r="244" spans="1:2" x14ac:dyDescent="0.35">
      <c r="A244" s="51"/>
      <c r="B244" s="63"/>
    </row>
    <row r="245" spans="1:2" x14ac:dyDescent="0.35">
      <c r="A245" s="51"/>
      <c r="B245" s="63"/>
    </row>
    <row r="246" spans="1:2" x14ac:dyDescent="0.35">
      <c r="A246" s="51"/>
      <c r="B246" s="63"/>
    </row>
    <row r="247" spans="1:2" x14ac:dyDescent="0.35">
      <c r="A247" s="51"/>
      <c r="B247" s="63"/>
    </row>
    <row r="248" spans="1:2" x14ac:dyDescent="0.35">
      <c r="A248" s="51"/>
      <c r="B248" s="63"/>
    </row>
    <row r="249" spans="1:2" x14ac:dyDescent="0.35">
      <c r="A249" s="51"/>
      <c r="B249" s="63"/>
    </row>
    <row r="250" spans="1:2" x14ac:dyDescent="0.35">
      <c r="A250" s="51"/>
      <c r="B250" s="63"/>
    </row>
    <row r="251" spans="1:2" x14ac:dyDescent="0.35">
      <c r="A251" s="51"/>
      <c r="B251" s="63"/>
    </row>
    <row r="252" spans="1:2" x14ac:dyDescent="0.35">
      <c r="A252" s="51"/>
      <c r="B252" s="63"/>
    </row>
    <row r="253" spans="1:2" x14ac:dyDescent="0.35">
      <c r="A253" s="51"/>
      <c r="B253" s="63"/>
    </row>
    <row r="254" spans="1:2" x14ac:dyDescent="0.35">
      <c r="A254" s="51"/>
      <c r="B254" s="63"/>
    </row>
    <row r="255" spans="1:2" x14ac:dyDescent="0.35">
      <c r="A255" s="51"/>
      <c r="B255" s="63"/>
    </row>
    <row r="256" spans="1:2" x14ac:dyDescent="0.35">
      <c r="A256" s="51"/>
      <c r="B256" s="63"/>
    </row>
    <row r="257" spans="1:2" x14ac:dyDescent="0.35">
      <c r="A257" s="51"/>
      <c r="B257" s="63"/>
    </row>
    <row r="258" spans="1:2" x14ac:dyDescent="0.35">
      <c r="A258" s="51"/>
      <c r="B258" s="63"/>
    </row>
    <row r="259" spans="1:2" x14ac:dyDescent="0.35">
      <c r="A259" s="51"/>
      <c r="B259" s="63"/>
    </row>
    <row r="260" spans="1:2" x14ac:dyDescent="0.35">
      <c r="A260" s="51"/>
      <c r="B260" s="63"/>
    </row>
    <row r="261" spans="1:2" x14ac:dyDescent="0.35">
      <c r="A261" s="51"/>
      <c r="B261" s="63"/>
    </row>
    <row r="262" spans="1:2" x14ac:dyDescent="0.35">
      <c r="A262" s="51"/>
      <c r="B262" s="63"/>
    </row>
    <row r="263" spans="1:2" x14ac:dyDescent="0.35">
      <c r="A263" s="51"/>
      <c r="B263" s="63"/>
    </row>
    <row r="264" spans="1:2" x14ac:dyDescent="0.35">
      <c r="A264" s="51"/>
      <c r="B264" s="63"/>
    </row>
    <row r="265" spans="1:2" x14ac:dyDescent="0.35">
      <c r="A265" s="51"/>
      <c r="B265" s="63"/>
    </row>
    <row r="266" spans="1:2" x14ac:dyDescent="0.35">
      <c r="A266" s="51"/>
      <c r="B266" s="63"/>
    </row>
    <row r="267" spans="1:2" x14ac:dyDescent="0.35">
      <c r="A267" s="51"/>
      <c r="B267" s="63"/>
    </row>
    <row r="268" spans="1:2" x14ac:dyDescent="0.35">
      <c r="A268" s="51"/>
      <c r="B268" s="63"/>
    </row>
    <row r="269" spans="1:2" x14ac:dyDescent="0.35">
      <c r="A269" s="51"/>
      <c r="B269" s="63"/>
    </row>
    <row r="270" spans="1:2" x14ac:dyDescent="0.35">
      <c r="A270" s="51"/>
      <c r="B270" s="63"/>
    </row>
    <row r="271" spans="1:2" x14ac:dyDescent="0.35">
      <c r="A271" s="51"/>
      <c r="B271" s="63"/>
    </row>
    <row r="272" spans="1:2" x14ac:dyDescent="0.35">
      <c r="A272" s="51"/>
      <c r="B272" s="63"/>
    </row>
    <row r="273" spans="1:2" x14ac:dyDescent="0.35">
      <c r="A273" s="51"/>
      <c r="B273" s="63"/>
    </row>
    <row r="274" spans="1:2" x14ac:dyDescent="0.35">
      <c r="A274" s="51"/>
      <c r="B274" s="63"/>
    </row>
    <row r="275" spans="1:2" x14ac:dyDescent="0.35">
      <c r="A275" s="51"/>
      <c r="B275" s="63"/>
    </row>
    <row r="276" spans="1:2" x14ac:dyDescent="0.35">
      <c r="A276" s="51"/>
      <c r="B276" s="63"/>
    </row>
    <row r="277" spans="1:2" x14ac:dyDescent="0.35">
      <c r="A277" s="51"/>
      <c r="B277" s="63"/>
    </row>
    <row r="278" spans="1:2" x14ac:dyDescent="0.35">
      <c r="A278" s="51"/>
      <c r="B278" s="63"/>
    </row>
    <row r="279" spans="1:2" x14ac:dyDescent="0.35">
      <c r="A279" s="51"/>
      <c r="B279" s="63"/>
    </row>
    <row r="280" spans="1:2" x14ac:dyDescent="0.35">
      <c r="A280" s="51"/>
      <c r="B280" s="63"/>
    </row>
    <row r="281" spans="1:2" x14ac:dyDescent="0.35">
      <c r="A281" s="51"/>
      <c r="B281" s="63"/>
    </row>
    <row r="282" spans="1:2" x14ac:dyDescent="0.35">
      <c r="A282" s="51"/>
      <c r="B282" s="63"/>
    </row>
    <row r="283" spans="1:2" x14ac:dyDescent="0.35">
      <c r="A283" s="51"/>
      <c r="B283" s="63"/>
    </row>
    <row r="284" spans="1:2" x14ac:dyDescent="0.35">
      <c r="A284" s="51"/>
    </row>
    <row r="285" spans="1:2" x14ac:dyDescent="0.35">
      <c r="A285" s="51"/>
    </row>
    <row r="286" spans="1:2" x14ac:dyDescent="0.35">
      <c r="A286" s="51"/>
    </row>
    <row r="287" spans="1:2" x14ac:dyDescent="0.35">
      <c r="A287" s="51"/>
    </row>
    <row r="288" spans="1:2" x14ac:dyDescent="0.35">
      <c r="A288" s="51"/>
    </row>
    <row r="289" spans="1:1" x14ac:dyDescent="0.35">
      <c r="A289" s="51"/>
    </row>
    <row r="290" spans="1:1" x14ac:dyDescent="0.35">
      <c r="A290" s="51"/>
    </row>
    <row r="291" spans="1:1" x14ac:dyDescent="0.35">
      <c r="A291" s="51"/>
    </row>
    <row r="292" spans="1:1" x14ac:dyDescent="0.35">
      <c r="A292" s="51"/>
    </row>
    <row r="293" spans="1:1" x14ac:dyDescent="0.35">
      <c r="A293" s="51"/>
    </row>
    <row r="294" spans="1:1" x14ac:dyDescent="0.35">
      <c r="A294" s="51"/>
    </row>
    <row r="295" spans="1:1" x14ac:dyDescent="0.35">
      <c r="A295" s="51"/>
    </row>
    <row r="296" spans="1:1" x14ac:dyDescent="0.35">
      <c r="A296" s="51"/>
    </row>
    <row r="297" spans="1:1" x14ac:dyDescent="0.35">
      <c r="A297" s="51"/>
    </row>
    <row r="298" spans="1:1" x14ac:dyDescent="0.35">
      <c r="A298" s="51"/>
    </row>
    <row r="299" spans="1:1" x14ac:dyDescent="0.35">
      <c r="A299" s="51"/>
    </row>
    <row r="300" spans="1:1" x14ac:dyDescent="0.35">
      <c r="A300" s="51"/>
    </row>
    <row r="301" spans="1:1" x14ac:dyDescent="0.35">
      <c r="A301" s="51"/>
    </row>
    <row r="302" spans="1:1" x14ac:dyDescent="0.35">
      <c r="A302" s="51"/>
    </row>
    <row r="303" spans="1:1" x14ac:dyDescent="0.35">
      <c r="A303" s="51"/>
    </row>
    <row r="304" spans="1:1" x14ac:dyDescent="0.35">
      <c r="A304" s="51"/>
    </row>
    <row r="305" spans="1:1" x14ac:dyDescent="0.35">
      <c r="A305" s="51"/>
    </row>
    <row r="306" spans="1:1" x14ac:dyDescent="0.35">
      <c r="A306" s="51"/>
    </row>
    <row r="307" spans="1:1" x14ac:dyDescent="0.35">
      <c r="A307" s="51"/>
    </row>
    <row r="308" spans="1:1" x14ac:dyDescent="0.35">
      <c r="A308" s="51"/>
    </row>
    <row r="309" spans="1:1" x14ac:dyDescent="0.35">
      <c r="A309" s="51"/>
    </row>
    <row r="310" spans="1:1" x14ac:dyDescent="0.35">
      <c r="A310" s="51"/>
    </row>
    <row r="311" spans="1:1" x14ac:dyDescent="0.35">
      <c r="A311" s="51"/>
    </row>
    <row r="312" spans="1:1" x14ac:dyDescent="0.35">
      <c r="A312" s="51"/>
    </row>
    <row r="313" spans="1:1" x14ac:dyDescent="0.35">
      <c r="A313" s="51"/>
    </row>
    <row r="314" spans="1:1" x14ac:dyDescent="0.35">
      <c r="A314" s="51"/>
    </row>
    <row r="315" spans="1:1" x14ac:dyDescent="0.35">
      <c r="A315" s="51"/>
    </row>
    <row r="316" spans="1:1" x14ac:dyDescent="0.35">
      <c r="A316" s="51"/>
    </row>
    <row r="317" spans="1:1" x14ac:dyDescent="0.35">
      <c r="A317" s="51"/>
    </row>
    <row r="318" spans="1:1" x14ac:dyDescent="0.35">
      <c r="A318" s="51"/>
    </row>
    <row r="319" spans="1:1" x14ac:dyDescent="0.35">
      <c r="A319" s="51"/>
    </row>
    <row r="320" spans="1:1" x14ac:dyDescent="0.35">
      <c r="A320" s="51"/>
    </row>
    <row r="321" spans="1:1" x14ac:dyDescent="0.35">
      <c r="A321" s="51"/>
    </row>
    <row r="322" spans="1:1" x14ac:dyDescent="0.35">
      <c r="A322" s="51"/>
    </row>
    <row r="323" spans="1:1" x14ac:dyDescent="0.35">
      <c r="A323" s="51"/>
    </row>
    <row r="324" spans="1:1" x14ac:dyDescent="0.35">
      <c r="A324" s="51"/>
    </row>
    <row r="325" spans="1:1" x14ac:dyDescent="0.35">
      <c r="A325" s="51"/>
    </row>
    <row r="326" spans="1:1" x14ac:dyDescent="0.35">
      <c r="A326" s="51"/>
    </row>
    <row r="327" spans="1:1" x14ac:dyDescent="0.35">
      <c r="A327" s="51"/>
    </row>
    <row r="328" spans="1:1" x14ac:dyDescent="0.35">
      <c r="A328" s="51"/>
    </row>
    <row r="329" spans="1:1" x14ac:dyDescent="0.35">
      <c r="A329" s="51"/>
    </row>
    <row r="330" spans="1:1" x14ac:dyDescent="0.35">
      <c r="A330" s="51"/>
    </row>
    <row r="331" spans="1:1" x14ac:dyDescent="0.35">
      <c r="A331" s="51"/>
    </row>
    <row r="332" spans="1:1" x14ac:dyDescent="0.35">
      <c r="A332" s="51"/>
    </row>
    <row r="333" spans="1:1" x14ac:dyDescent="0.35">
      <c r="A333" s="51"/>
    </row>
    <row r="334" spans="1:1" x14ac:dyDescent="0.35">
      <c r="A334" s="51"/>
    </row>
    <row r="335" spans="1:1" x14ac:dyDescent="0.35">
      <c r="A335" s="51"/>
    </row>
    <row r="336" spans="1:1" x14ac:dyDescent="0.35">
      <c r="A336" s="51"/>
    </row>
    <row r="337" spans="1:1" x14ac:dyDescent="0.35">
      <c r="A337" s="51"/>
    </row>
    <row r="338" spans="1:1" x14ac:dyDescent="0.35">
      <c r="A338" s="51"/>
    </row>
    <row r="339" spans="1:1" x14ac:dyDescent="0.35">
      <c r="A339" s="51"/>
    </row>
    <row r="340" spans="1:1" x14ac:dyDescent="0.35">
      <c r="A340" s="51"/>
    </row>
    <row r="341" spans="1:1" x14ac:dyDescent="0.35">
      <c r="A341" s="51"/>
    </row>
    <row r="342" spans="1:1" x14ac:dyDescent="0.35">
      <c r="A342" s="51"/>
    </row>
    <row r="343" spans="1:1" x14ac:dyDescent="0.35">
      <c r="A343" s="51"/>
    </row>
    <row r="344" spans="1:1" x14ac:dyDescent="0.35">
      <c r="A344" s="51"/>
    </row>
    <row r="345" spans="1:1" x14ac:dyDescent="0.35">
      <c r="A345" s="51"/>
    </row>
    <row r="346" spans="1:1" x14ac:dyDescent="0.35">
      <c r="A346" s="51"/>
    </row>
    <row r="347" spans="1:1" x14ac:dyDescent="0.35">
      <c r="A347" s="51"/>
    </row>
    <row r="348" spans="1:1" x14ac:dyDescent="0.35">
      <c r="A348" s="51"/>
    </row>
    <row r="349" spans="1:1" x14ac:dyDescent="0.35">
      <c r="A349" s="51"/>
    </row>
    <row r="350" spans="1:1" x14ac:dyDescent="0.35">
      <c r="A350" s="51"/>
    </row>
    <row r="351" spans="1:1" x14ac:dyDescent="0.35">
      <c r="A351" s="51"/>
    </row>
    <row r="352" spans="1:1" x14ac:dyDescent="0.35">
      <c r="A352" s="51"/>
    </row>
    <row r="353" spans="1:1" x14ac:dyDescent="0.35">
      <c r="A353" s="51"/>
    </row>
    <row r="354" spans="1:1" x14ac:dyDescent="0.35">
      <c r="A354" s="51"/>
    </row>
    <row r="355" spans="1:1" x14ac:dyDescent="0.35">
      <c r="A355" s="51"/>
    </row>
    <row r="356" spans="1:1" x14ac:dyDescent="0.35">
      <c r="A356" s="51"/>
    </row>
    <row r="357" spans="1:1" x14ac:dyDescent="0.35">
      <c r="A357" s="51"/>
    </row>
    <row r="358" spans="1:1" x14ac:dyDescent="0.35">
      <c r="A358" s="51"/>
    </row>
    <row r="359" spans="1:1" x14ac:dyDescent="0.35">
      <c r="A359" s="51"/>
    </row>
    <row r="360" spans="1:1" x14ac:dyDescent="0.35">
      <c r="A360" s="51"/>
    </row>
    <row r="361" spans="1:1" x14ac:dyDescent="0.35">
      <c r="A361" s="51"/>
    </row>
    <row r="362" spans="1:1" x14ac:dyDescent="0.35">
      <c r="A362" s="51"/>
    </row>
    <row r="363" spans="1:1" x14ac:dyDescent="0.35">
      <c r="A363" s="51"/>
    </row>
    <row r="364" spans="1:1" x14ac:dyDescent="0.35">
      <c r="A364" s="51"/>
    </row>
    <row r="365" spans="1:1" x14ac:dyDescent="0.35">
      <c r="A365" s="51"/>
    </row>
    <row r="366" spans="1:1" x14ac:dyDescent="0.35">
      <c r="A366" s="51"/>
    </row>
    <row r="367" spans="1:1" x14ac:dyDescent="0.35">
      <c r="A367" s="51"/>
    </row>
    <row r="368" spans="1:1" x14ac:dyDescent="0.35">
      <c r="A368" s="51"/>
    </row>
    <row r="369" spans="1:1" x14ac:dyDescent="0.35">
      <c r="A369" s="51"/>
    </row>
    <row r="370" spans="1:1" x14ac:dyDescent="0.35">
      <c r="A370" s="51"/>
    </row>
    <row r="371" spans="1:1" x14ac:dyDescent="0.35">
      <c r="A371" s="51"/>
    </row>
    <row r="372" spans="1:1" x14ac:dyDescent="0.35">
      <c r="A372" s="51"/>
    </row>
    <row r="373" spans="1:1" x14ac:dyDescent="0.35">
      <c r="A373" s="51"/>
    </row>
    <row r="374" spans="1:1" x14ac:dyDescent="0.35">
      <c r="A374" s="51"/>
    </row>
    <row r="375" spans="1:1" x14ac:dyDescent="0.35">
      <c r="A375" s="51"/>
    </row>
    <row r="376" spans="1:1" x14ac:dyDescent="0.35">
      <c r="A376" s="51"/>
    </row>
    <row r="377" spans="1:1" x14ac:dyDescent="0.35">
      <c r="A377" s="51"/>
    </row>
    <row r="378" spans="1:1" x14ac:dyDescent="0.35">
      <c r="A378" s="51"/>
    </row>
    <row r="379" spans="1:1" x14ac:dyDescent="0.35">
      <c r="A379" s="51"/>
    </row>
    <row r="380" spans="1:1" x14ac:dyDescent="0.35">
      <c r="A380" s="51"/>
    </row>
    <row r="381" spans="1:1" x14ac:dyDescent="0.35">
      <c r="A381" s="51"/>
    </row>
    <row r="382" spans="1:1" x14ac:dyDescent="0.35">
      <c r="A382" s="51"/>
    </row>
    <row r="383" spans="1:1" x14ac:dyDescent="0.35">
      <c r="A383" s="51"/>
    </row>
    <row r="384" spans="1:1" x14ac:dyDescent="0.35">
      <c r="A384" s="51"/>
    </row>
    <row r="385" spans="1:1" x14ac:dyDescent="0.35">
      <c r="A385" s="51"/>
    </row>
    <row r="386" spans="1:1" x14ac:dyDescent="0.35">
      <c r="A386" s="51"/>
    </row>
    <row r="387" spans="1:1" x14ac:dyDescent="0.35">
      <c r="A387" s="51"/>
    </row>
    <row r="388" spans="1:1" x14ac:dyDescent="0.35">
      <c r="A388" s="51"/>
    </row>
    <row r="389" spans="1:1" x14ac:dyDescent="0.35">
      <c r="A389" s="51"/>
    </row>
    <row r="390" spans="1:1" x14ac:dyDescent="0.35">
      <c r="A390" s="51"/>
    </row>
    <row r="391" spans="1:1" x14ac:dyDescent="0.35">
      <c r="A391" s="51"/>
    </row>
    <row r="392" spans="1:1" x14ac:dyDescent="0.35">
      <c r="A392" s="51"/>
    </row>
    <row r="393" spans="1:1" x14ac:dyDescent="0.35">
      <c r="A393" s="51"/>
    </row>
    <row r="394" spans="1:1" x14ac:dyDescent="0.35">
      <c r="A394" s="51"/>
    </row>
    <row r="395" spans="1:1" x14ac:dyDescent="0.35">
      <c r="A395" s="51"/>
    </row>
    <row r="396" spans="1:1" x14ac:dyDescent="0.35">
      <c r="A396" s="51"/>
    </row>
    <row r="397" spans="1:1" x14ac:dyDescent="0.35">
      <c r="A397" s="51"/>
    </row>
    <row r="398" spans="1:1" x14ac:dyDescent="0.35">
      <c r="A398" s="51"/>
    </row>
    <row r="399" spans="1:1" x14ac:dyDescent="0.35">
      <c r="A399" s="51"/>
    </row>
    <row r="400" spans="1:1" x14ac:dyDescent="0.35">
      <c r="A400" s="51"/>
    </row>
    <row r="401" spans="1:1" x14ac:dyDescent="0.35">
      <c r="A401" s="51"/>
    </row>
    <row r="402" spans="1:1" x14ac:dyDescent="0.35">
      <c r="A402" s="51"/>
    </row>
    <row r="403" spans="1:1" x14ac:dyDescent="0.35">
      <c r="A403" s="51"/>
    </row>
    <row r="404" spans="1:1" x14ac:dyDescent="0.35">
      <c r="A404" s="51"/>
    </row>
    <row r="405" spans="1:1" x14ac:dyDescent="0.35">
      <c r="A405" s="51"/>
    </row>
    <row r="406" spans="1:1" x14ac:dyDescent="0.35">
      <c r="A406" s="51"/>
    </row>
    <row r="407" spans="1:1" x14ac:dyDescent="0.35">
      <c r="A407" s="51"/>
    </row>
    <row r="408" spans="1:1" x14ac:dyDescent="0.35">
      <c r="A408" s="51"/>
    </row>
    <row r="409" spans="1:1" x14ac:dyDescent="0.35">
      <c r="A409" s="51"/>
    </row>
    <row r="410" spans="1:1" x14ac:dyDescent="0.35">
      <c r="A410" s="51"/>
    </row>
    <row r="411" spans="1:1" x14ac:dyDescent="0.35">
      <c r="A411" s="51"/>
    </row>
    <row r="412" spans="1:1" x14ac:dyDescent="0.35">
      <c r="A412" s="51"/>
    </row>
    <row r="413" spans="1:1" x14ac:dyDescent="0.35">
      <c r="A413" s="51"/>
    </row>
    <row r="414" spans="1:1" x14ac:dyDescent="0.35">
      <c r="A414" s="51"/>
    </row>
    <row r="415" spans="1:1" x14ac:dyDescent="0.35">
      <c r="A415" s="51"/>
    </row>
    <row r="416" spans="1:1" x14ac:dyDescent="0.35">
      <c r="A416" s="51"/>
    </row>
    <row r="417" spans="1:1" x14ac:dyDescent="0.35">
      <c r="A417" s="51"/>
    </row>
    <row r="418" spans="1:1" x14ac:dyDescent="0.35">
      <c r="A418" s="51"/>
    </row>
    <row r="419" spans="1:1" x14ac:dyDescent="0.35">
      <c r="A419" s="51"/>
    </row>
    <row r="420" spans="1:1" x14ac:dyDescent="0.35">
      <c r="A420" s="51"/>
    </row>
    <row r="421" spans="1:1" x14ac:dyDescent="0.35">
      <c r="A421" s="51"/>
    </row>
    <row r="422" spans="1:1" x14ac:dyDescent="0.35">
      <c r="A422" s="51"/>
    </row>
    <row r="423" spans="1:1" x14ac:dyDescent="0.35">
      <c r="A423" s="51"/>
    </row>
    <row r="424" spans="1:1" x14ac:dyDescent="0.35">
      <c r="A424" s="51"/>
    </row>
    <row r="425" spans="1:1" x14ac:dyDescent="0.35">
      <c r="A425" s="51"/>
    </row>
    <row r="426" spans="1:1" x14ac:dyDescent="0.35">
      <c r="A426" s="51"/>
    </row>
    <row r="427" spans="1:1" x14ac:dyDescent="0.35">
      <c r="A427" s="51"/>
    </row>
    <row r="428" spans="1:1" x14ac:dyDescent="0.35">
      <c r="A428" s="51"/>
    </row>
    <row r="429" spans="1:1" x14ac:dyDescent="0.35">
      <c r="A429" s="51"/>
    </row>
    <row r="430" spans="1:1" x14ac:dyDescent="0.35">
      <c r="A430" s="51"/>
    </row>
    <row r="431" spans="1:1" x14ac:dyDescent="0.35">
      <c r="A431" s="51"/>
    </row>
    <row r="432" spans="1:1" x14ac:dyDescent="0.35">
      <c r="A432" s="51"/>
    </row>
    <row r="433" spans="1:1" x14ac:dyDescent="0.35">
      <c r="A433" s="51"/>
    </row>
    <row r="434" spans="1:1" x14ac:dyDescent="0.35">
      <c r="A434" s="51"/>
    </row>
    <row r="435" spans="1:1" x14ac:dyDescent="0.35">
      <c r="A435" s="51"/>
    </row>
    <row r="436" spans="1:1" x14ac:dyDescent="0.35">
      <c r="A436" s="51"/>
    </row>
    <row r="437" spans="1:1" x14ac:dyDescent="0.35">
      <c r="A437" s="51"/>
    </row>
    <row r="438" spans="1:1" x14ac:dyDescent="0.35">
      <c r="A438" s="51"/>
    </row>
    <row r="439" spans="1:1" x14ac:dyDescent="0.35">
      <c r="A439" s="51"/>
    </row>
    <row r="440" spans="1:1" x14ac:dyDescent="0.35">
      <c r="A440" s="51"/>
    </row>
    <row r="441" spans="1:1" x14ac:dyDescent="0.35">
      <c r="A441" s="51"/>
    </row>
    <row r="442" spans="1:1" x14ac:dyDescent="0.35">
      <c r="A442" s="51"/>
    </row>
    <row r="443" spans="1:1" x14ac:dyDescent="0.35">
      <c r="A443" s="51"/>
    </row>
    <row r="444" spans="1:1" x14ac:dyDescent="0.35">
      <c r="A444" s="51"/>
    </row>
    <row r="445" spans="1:1" x14ac:dyDescent="0.35">
      <c r="A445" s="51"/>
    </row>
    <row r="446" spans="1:1" x14ac:dyDescent="0.35">
      <c r="A446" s="51"/>
    </row>
    <row r="447" spans="1:1" x14ac:dyDescent="0.35">
      <c r="A447" s="51"/>
    </row>
    <row r="448" spans="1:1" x14ac:dyDescent="0.35">
      <c r="A448" s="51"/>
    </row>
    <row r="449" spans="1:1" x14ac:dyDescent="0.35">
      <c r="A449" s="51"/>
    </row>
    <row r="450" spans="1:1" x14ac:dyDescent="0.35">
      <c r="A450" s="51"/>
    </row>
    <row r="451" spans="1:1" x14ac:dyDescent="0.35">
      <c r="A451" s="51"/>
    </row>
    <row r="452" spans="1:1" x14ac:dyDescent="0.35">
      <c r="A452" s="51"/>
    </row>
    <row r="453" spans="1:1" x14ac:dyDescent="0.35">
      <c r="A453" s="51"/>
    </row>
    <row r="454" spans="1:1" x14ac:dyDescent="0.35">
      <c r="A454" s="51"/>
    </row>
    <row r="455" spans="1:1" x14ac:dyDescent="0.35">
      <c r="A455" s="51"/>
    </row>
    <row r="456" spans="1:1" x14ac:dyDescent="0.35">
      <c r="A456" s="51"/>
    </row>
    <row r="457" spans="1:1" x14ac:dyDescent="0.35">
      <c r="A457" s="51"/>
    </row>
    <row r="458" spans="1:1" x14ac:dyDescent="0.35">
      <c r="A458" s="51"/>
    </row>
    <row r="459" spans="1:1" x14ac:dyDescent="0.35">
      <c r="A459" s="51"/>
    </row>
    <row r="460" spans="1:1" x14ac:dyDescent="0.35">
      <c r="A460" s="51"/>
    </row>
    <row r="461" spans="1:1" x14ac:dyDescent="0.35">
      <c r="A461" s="51"/>
    </row>
    <row r="462" spans="1:1" x14ac:dyDescent="0.35">
      <c r="A462" s="51"/>
    </row>
    <row r="463" spans="1:1" x14ac:dyDescent="0.35">
      <c r="A463" s="51"/>
    </row>
    <row r="464" spans="1:1" x14ac:dyDescent="0.35">
      <c r="A464" s="51"/>
    </row>
    <row r="465" spans="1:1" x14ac:dyDescent="0.35">
      <c r="A465" s="51"/>
    </row>
    <row r="466" spans="1:1" x14ac:dyDescent="0.35">
      <c r="A466" s="51"/>
    </row>
    <row r="467" spans="1:1" x14ac:dyDescent="0.35">
      <c r="A467" s="51"/>
    </row>
    <row r="468" spans="1:1" x14ac:dyDescent="0.35">
      <c r="A468" s="51"/>
    </row>
    <row r="469" spans="1:1" x14ac:dyDescent="0.35">
      <c r="A469" s="51"/>
    </row>
    <row r="470" spans="1:1" x14ac:dyDescent="0.35">
      <c r="A470" s="51"/>
    </row>
    <row r="471" spans="1:1" x14ac:dyDescent="0.35">
      <c r="A471" s="51"/>
    </row>
    <row r="472" spans="1:1" x14ac:dyDescent="0.35">
      <c r="A472" s="51"/>
    </row>
    <row r="473" spans="1:1" x14ac:dyDescent="0.35">
      <c r="A473" s="51"/>
    </row>
    <row r="474" spans="1:1" x14ac:dyDescent="0.35">
      <c r="A474" s="51"/>
    </row>
    <row r="475" spans="1:1" x14ac:dyDescent="0.35">
      <c r="A475" s="51"/>
    </row>
    <row r="476" spans="1:1" x14ac:dyDescent="0.35">
      <c r="A476" s="51"/>
    </row>
    <row r="477" spans="1:1" x14ac:dyDescent="0.35">
      <c r="A477" s="51"/>
    </row>
    <row r="478" spans="1:1" x14ac:dyDescent="0.35">
      <c r="A478" s="51"/>
    </row>
    <row r="479" spans="1:1" x14ac:dyDescent="0.35">
      <c r="A479" s="51"/>
    </row>
    <row r="480" spans="1:1" x14ac:dyDescent="0.35">
      <c r="A480" s="51"/>
    </row>
    <row r="481" spans="1:1" x14ac:dyDescent="0.35">
      <c r="A481" s="51"/>
    </row>
    <row r="482" spans="1:1" x14ac:dyDescent="0.35">
      <c r="A482" s="51"/>
    </row>
    <row r="483" spans="1:1" x14ac:dyDescent="0.35">
      <c r="A483" s="51"/>
    </row>
    <row r="484" spans="1:1" x14ac:dyDescent="0.35">
      <c r="A484" s="51"/>
    </row>
    <row r="485" spans="1:1" x14ac:dyDescent="0.35">
      <c r="A485" s="51"/>
    </row>
    <row r="486" spans="1:1" x14ac:dyDescent="0.35">
      <c r="A486" s="51"/>
    </row>
    <row r="487" spans="1:1" x14ac:dyDescent="0.35">
      <c r="A487" s="51"/>
    </row>
    <row r="488" spans="1:1" x14ac:dyDescent="0.35">
      <c r="A488" s="51"/>
    </row>
    <row r="489" spans="1:1" x14ac:dyDescent="0.35">
      <c r="A489" s="51"/>
    </row>
    <row r="490" spans="1:1" x14ac:dyDescent="0.35">
      <c r="A490" s="51"/>
    </row>
    <row r="491" spans="1:1" x14ac:dyDescent="0.35">
      <c r="A491" s="51"/>
    </row>
    <row r="492" spans="1:1" x14ac:dyDescent="0.35">
      <c r="A492" s="51"/>
    </row>
    <row r="493" spans="1:1" x14ac:dyDescent="0.35">
      <c r="A493" s="51"/>
    </row>
    <row r="494" spans="1:1" x14ac:dyDescent="0.35">
      <c r="A494" s="51"/>
    </row>
    <row r="495" spans="1:1" x14ac:dyDescent="0.35">
      <c r="A495" s="51"/>
    </row>
    <row r="496" spans="1:1" x14ac:dyDescent="0.35">
      <c r="A496" s="51"/>
    </row>
    <row r="497" spans="1:1" x14ac:dyDescent="0.35">
      <c r="A497" s="51"/>
    </row>
    <row r="498" spans="1:1" x14ac:dyDescent="0.35">
      <c r="A498" s="51"/>
    </row>
    <row r="499" spans="1:1" x14ac:dyDescent="0.35">
      <c r="A499" s="51"/>
    </row>
    <row r="500" spans="1:1" x14ac:dyDescent="0.35">
      <c r="A500" s="51"/>
    </row>
    <row r="501" spans="1:1" x14ac:dyDescent="0.35">
      <c r="A501" s="51"/>
    </row>
    <row r="502" spans="1:1" x14ac:dyDescent="0.35">
      <c r="A502" s="51"/>
    </row>
    <row r="503" spans="1:1" x14ac:dyDescent="0.35">
      <c r="A503" s="51"/>
    </row>
    <row r="504" spans="1:1" x14ac:dyDescent="0.35">
      <c r="A504" s="51"/>
    </row>
    <row r="505" spans="1:1" x14ac:dyDescent="0.35">
      <c r="A505" s="51"/>
    </row>
    <row r="506" spans="1:1" x14ac:dyDescent="0.35">
      <c r="A506" s="51"/>
    </row>
    <row r="507" spans="1:1" x14ac:dyDescent="0.35">
      <c r="A507" s="51"/>
    </row>
    <row r="508" spans="1:1" x14ac:dyDescent="0.35">
      <c r="A508" s="51"/>
    </row>
    <row r="509" spans="1:1" x14ac:dyDescent="0.35">
      <c r="A509" s="51"/>
    </row>
    <row r="510" spans="1:1" x14ac:dyDescent="0.35">
      <c r="A510" s="51"/>
    </row>
    <row r="511" spans="1:1" x14ac:dyDescent="0.35">
      <c r="A511" s="51"/>
    </row>
    <row r="512" spans="1:1" x14ac:dyDescent="0.35">
      <c r="A512" s="51"/>
    </row>
    <row r="513" spans="1:1" x14ac:dyDescent="0.35">
      <c r="A513" s="51"/>
    </row>
    <row r="514" spans="1:1" x14ac:dyDescent="0.35">
      <c r="A514" s="51"/>
    </row>
    <row r="515" spans="1:1" x14ac:dyDescent="0.35">
      <c r="A515" s="51"/>
    </row>
    <row r="516" spans="1:1" x14ac:dyDescent="0.35">
      <c r="A516" s="51"/>
    </row>
    <row r="517" spans="1:1" x14ac:dyDescent="0.35">
      <c r="A517" s="51"/>
    </row>
    <row r="518" spans="1:1" x14ac:dyDescent="0.35">
      <c r="A518" s="51"/>
    </row>
    <row r="519" spans="1:1" x14ac:dyDescent="0.35">
      <c r="A519" s="51"/>
    </row>
    <row r="520" spans="1:1" x14ac:dyDescent="0.35">
      <c r="A520" s="51"/>
    </row>
    <row r="521" spans="1:1" x14ac:dyDescent="0.35">
      <c r="A521" s="51"/>
    </row>
    <row r="522" spans="1:1" x14ac:dyDescent="0.35">
      <c r="A522" s="51"/>
    </row>
    <row r="523" spans="1:1" x14ac:dyDescent="0.35">
      <c r="A523" s="51"/>
    </row>
    <row r="524" spans="1:1" x14ac:dyDescent="0.35">
      <c r="A524" s="51"/>
    </row>
    <row r="525" spans="1:1" x14ac:dyDescent="0.35">
      <c r="A525" s="51"/>
    </row>
    <row r="526" spans="1:1" x14ac:dyDescent="0.35">
      <c r="A526" s="51"/>
    </row>
    <row r="527" spans="1:1" x14ac:dyDescent="0.35">
      <c r="A527" s="51"/>
    </row>
    <row r="528" spans="1:1" x14ac:dyDescent="0.35">
      <c r="A528" s="51"/>
    </row>
    <row r="529" spans="1:1" x14ac:dyDescent="0.35">
      <c r="A529" s="51"/>
    </row>
    <row r="530" spans="1:1" x14ac:dyDescent="0.35">
      <c r="A530" s="51"/>
    </row>
    <row r="531" spans="1:1" x14ac:dyDescent="0.35">
      <c r="A531" s="51"/>
    </row>
    <row r="532" spans="1:1" x14ac:dyDescent="0.35">
      <c r="A532" s="51"/>
    </row>
    <row r="533" spans="1:1" x14ac:dyDescent="0.35">
      <c r="A533" s="51"/>
    </row>
    <row r="534" spans="1:1" x14ac:dyDescent="0.35">
      <c r="A534" s="51"/>
    </row>
    <row r="535" spans="1:1" x14ac:dyDescent="0.35">
      <c r="A535" s="51"/>
    </row>
    <row r="536" spans="1:1" x14ac:dyDescent="0.35">
      <c r="A536" s="51"/>
    </row>
    <row r="537" spans="1:1" x14ac:dyDescent="0.35">
      <c r="A537" s="51"/>
    </row>
    <row r="538" spans="1:1" x14ac:dyDescent="0.35">
      <c r="A538" s="51"/>
    </row>
    <row r="539" spans="1:1" x14ac:dyDescent="0.35">
      <c r="A539" s="51"/>
    </row>
    <row r="540" spans="1:1" x14ac:dyDescent="0.35">
      <c r="A540" s="51"/>
    </row>
    <row r="541" spans="1:1" x14ac:dyDescent="0.35">
      <c r="A541" s="51"/>
    </row>
    <row r="542" spans="1:1" x14ac:dyDescent="0.35">
      <c r="A542" s="51"/>
    </row>
    <row r="543" spans="1:1" x14ac:dyDescent="0.35">
      <c r="A543" s="51"/>
    </row>
    <row r="544" spans="1:1" x14ac:dyDescent="0.35">
      <c r="A544" s="51"/>
    </row>
    <row r="545" spans="1:1" x14ac:dyDescent="0.35">
      <c r="A545" s="51"/>
    </row>
    <row r="546" spans="1:1" x14ac:dyDescent="0.35">
      <c r="A546" s="51"/>
    </row>
    <row r="547" spans="1:1" x14ac:dyDescent="0.35">
      <c r="A547" s="51"/>
    </row>
    <row r="548" spans="1:1" x14ac:dyDescent="0.35">
      <c r="A548" s="51"/>
    </row>
    <row r="549" spans="1:1" x14ac:dyDescent="0.35">
      <c r="A549" s="51"/>
    </row>
    <row r="550" spans="1:1" x14ac:dyDescent="0.35">
      <c r="A550" s="51"/>
    </row>
    <row r="551" spans="1:1" x14ac:dyDescent="0.35">
      <c r="A551" s="51"/>
    </row>
    <row r="552" spans="1:1" x14ac:dyDescent="0.35">
      <c r="A552" s="51"/>
    </row>
    <row r="553" spans="1:1" x14ac:dyDescent="0.35">
      <c r="A553" s="51"/>
    </row>
    <row r="554" spans="1:1" x14ac:dyDescent="0.35">
      <c r="A554" s="51"/>
    </row>
    <row r="555" spans="1:1" x14ac:dyDescent="0.35">
      <c r="A555" s="51"/>
    </row>
    <row r="556" spans="1:1" x14ac:dyDescent="0.35">
      <c r="A556" s="51"/>
    </row>
    <row r="557" spans="1:1" x14ac:dyDescent="0.35">
      <c r="A557" s="51"/>
    </row>
    <row r="558" spans="1:1" x14ac:dyDescent="0.35">
      <c r="A558" s="51"/>
    </row>
    <row r="559" spans="1:1" x14ac:dyDescent="0.35">
      <c r="A559" s="51"/>
    </row>
    <row r="560" spans="1:1" x14ac:dyDescent="0.35">
      <c r="A560" s="51"/>
    </row>
    <row r="561" spans="1:1" x14ac:dyDescent="0.35">
      <c r="A561" s="51"/>
    </row>
    <row r="562" spans="1:1" x14ac:dyDescent="0.35">
      <c r="A562" s="51"/>
    </row>
    <row r="563" spans="1:1" x14ac:dyDescent="0.35">
      <c r="A563" s="51"/>
    </row>
    <row r="564" spans="1:1" x14ac:dyDescent="0.35">
      <c r="A564" s="51"/>
    </row>
    <row r="565" spans="1:1" x14ac:dyDescent="0.35">
      <c r="A565" s="51"/>
    </row>
    <row r="566" spans="1:1" x14ac:dyDescent="0.35">
      <c r="A566" s="51"/>
    </row>
    <row r="567" spans="1:1" x14ac:dyDescent="0.35">
      <c r="A567" s="51"/>
    </row>
    <row r="568" spans="1:1" x14ac:dyDescent="0.35">
      <c r="A568" s="51"/>
    </row>
    <row r="569" spans="1:1" x14ac:dyDescent="0.35">
      <c r="A569" s="51"/>
    </row>
    <row r="570" spans="1:1" x14ac:dyDescent="0.35">
      <c r="A570" s="51"/>
    </row>
    <row r="571" spans="1:1" x14ac:dyDescent="0.35">
      <c r="A571" s="51"/>
    </row>
    <row r="572" spans="1:1" x14ac:dyDescent="0.35">
      <c r="A572" s="51"/>
    </row>
    <row r="573" spans="1:1" x14ac:dyDescent="0.35">
      <c r="A573" s="51"/>
    </row>
    <row r="574" spans="1:1" x14ac:dyDescent="0.35">
      <c r="A574" s="51"/>
    </row>
    <row r="575" spans="1:1" x14ac:dyDescent="0.35">
      <c r="A575" s="51"/>
    </row>
    <row r="576" spans="1:1" x14ac:dyDescent="0.35">
      <c r="A576" s="51"/>
    </row>
    <row r="577" spans="1:1" x14ac:dyDescent="0.35">
      <c r="A577" s="51"/>
    </row>
    <row r="578" spans="1:1" x14ac:dyDescent="0.35">
      <c r="A578" s="51"/>
    </row>
    <row r="579" spans="1:1" x14ac:dyDescent="0.35">
      <c r="A579" s="51"/>
    </row>
    <row r="580" spans="1:1" x14ac:dyDescent="0.35">
      <c r="A580" s="51"/>
    </row>
    <row r="581" spans="1:1" x14ac:dyDescent="0.35">
      <c r="A581" s="51"/>
    </row>
    <row r="582" spans="1:1" x14ac:dyDescent="0.35">
      <c r="A582" s="51"/>
    </row>
    <row r="583" spans="1:1" x14ac:dyDescent="0.35">
      <c r="A583" s="51"/>
    </row>
    <row r="584" spans="1:1" x14ac:dyDescent="0.35">
      <c r="A584" s="51"/>
    </row>
    <row r="585" spans="1:1" x14ac:dyDescent="0.35">
      <c r="A585" s="51"/>
    </row>
    <row r="586" spans="1:1" x14ac:dyDescent="0.35">
      <c r="A586" s="51"/>
    </row>
    <row r="587" spans="1:1" x14ac:dyDescent="0.35">
      <c r="A587" s="51"/>
    </row>
    <row r="588" spans="1:1" x14ac:dyDescent="0.35">
      <c r="A588" s="51"/>
    </row>
    <row r="589" spans="1:1" x14ac:dyDescent="0.35">
      <c r="A589" s="51"/>
    </row>
    <row r="590" spans="1:1" x14ac:dyDescent="0.35">
      <c r="A590" s="51"/>
    </row>
    <row r="591" spans="1:1" x14ac:dyDescent="0.35">
      <c r="A591" s="51"/>
    </row>
    <row r="592" spans="1:1" x14ac:dyDescent="0.35">
      <c r="A592" s="51"/>
    </row>
    <row r="593" spans="1:1" x14ac:dyDescent="0.35">
      <c r="A593" s="51"/>
    </row>
    <row r="594" spans="1:1" x14ac:dyDescent="0.35">
      <c r="A594" s="51"/>
    </row>
    <row r="595" spans="1:1" x14ac:dyDescent="0.35">
      <c r="A595" s="51"/>
    </row>
    <row r="596" spans="1:1" x14ac:dyDescent="0.35">
      <c r="A596" s="51"/>
    </row>
    <row r="597" spans="1:1" x14ac:dyDescent="0.35">
      <c r="A597" s="51"/>
    </row>
    <row r="598" spans="1:1" x14ac:dyDescent="0.35">
      <c r="A598" s="51"/>
    </row>
    <row r="599" spans="1:1" x14ac:dyDescent="0.35">
      <c r="A599" s="51"/>
    </row>
    <row r="600" spans="1:1" x14ac:dyDescent="0.35">
      <c r="A600" s="51"/>
    </row>
    <row r="601" spans="1:1" x14ac:dyDescent="0.35">
      <c r="A601" s="51"/>
    </row>
    <row r="602" spans="1:1" x14ac:dyDescent="0.35">
      <c r="A602" s="51"/>
    </row>
    <row r="603" spans="1:1" x14ac:dyDescent="0.35">
      <c r="A603" s="51"/>
    </row>
    <row r="604" spans="1:1" x14ac:dyDescent="0.35">
      <c r="A604" s="51"/>
    </row>
    <row r="605" spans="1:1" x14ac:dyDescent="0.35">
      <c r="A605" s="51"/>
    </row>
    <row r="606" spans="1:1" x14ac:dyDescent="0.35">
      <c r="A606" s="51"/>
    </row>
    <row r="607" spans="1:1" x14ac:dyDescent="0.35">
      <c r="A607" s="51"/>
    </row>
    <row r="608" spans="1:1" x14ac:dyDescent="0.35">
      <c r="A608" s="51"/>
    </row>
    <row r="609" spans="1:1" x14ac:dyDescent="0.35">
      <c r="A609" s="51"/>
    </row>
    <row r="610" spans="1:1" x14ac:dyDescent="0.35">
      <c r="A610" s="51"/>
    </row>
    <row r="611" spans="1:1" x14ac:dyDescent="0.35">
      <c r="A611" s="51"/>
    </row>
    <row r="612" spans="1:1" x14ac:dyDescent="0.35">
      <c r="A612" s="51"/>
    </row>
    <row r="613" spans="1:1" x14ac:dyDescent="0.35">
      <c r="A613" s="51"/>
    </row>
    <row r="614" spans="1:1" x14ac:dyDescent="0.35">
      <c r="A614" s="51"/>
    </row>
    <row r="615" spans="1:1" x14ac:dyDescent="0.35">
      <c r="A615" s="51"/>
    </row>
    <row r="616" spans="1:1" x14ac:dyDescent="0.35">
      <c r="A616" s="51"/>
    </row>
    <row r="617" spans="1:1" x14ac:dyDescent="0.35">
      <c r="A617" s="51"/>
    </row>
    <row r="618" spans="1:1" x14ac:dyDescent="0.35">
      <c r="A618" s="51"/>
    </row>
    <row r="619" spans="1:1" x14ac:dyDescent="0.35">
      <c r="A619" s="51"/>
    </row>
    <row r="620" spans="1:1" x14ac:dyDescent="0.35">
      <c r="A620" s="51"/>
    </row>
    <row r="621" spans="1:1" x14ac:dyDescent="0.35">
      <c r="A621" s="51"/>
    </row>
    <row r="622" spans="1:1" x14ac:dyDescent="0.35">
      <c r="A622" s="51"/>
    </row>
    <row r="623" spans="1:1" x14ac:dyDescent="0.35">
      <c r="A623" s="51"/>
    </row>
    <row r="624" spans="1:1" x14ac:dyDescent="0.35">
      <c r="A624" s="51"/>
    </row>
    <row r="625" spans="1:1" x14ac:dyDescent="0.35">
      <c r="A625" s="51"/>
    </row>
    <row r="626" spans="1:1" x14ac:dyDescent="0.35">
      <c r="A626" s="51"/>
    </row>
    <row r="627" spans="1:1" x14ac:dyDescent="0.35">
      <c r="A627" s="51"/>
    </row>
    <row r="628" spans="1:1" x14ac:dyDescent="0.35">
      <c r="A628" s="51"/>
    </row>
    <row r="629" spans="1:1" x14ac:dyDescent="0.35">
      <c r="A629" s="51"/>
    </row>
    <row r="630" spans="1:1" x14ac:dyDescent="0.35">
      <c r="A630" s="51"/>
    </row>
    <row r="631" spans="1:1" x14ac:dyDescent="0.35">
      <c r="A631" s="51"/>
    </row>
    <row r="632" spans="1:1" x14ac:dyDescent="0.35">
      <c r="A632" s="51"/>
    </row>
    <row r="633" spans="1:1" x14ac:dyDescent="0.35">
      <c r="A633" s="51"/>
    </row>
    <row r="634" spans="1:1" x14ac:dyDescent="0.35">
      <c r="A634" s="51"/>
    </row>
    <row r="635" spans="1:1" x14ac:dyDescent="0.35">
      <c r="A635" s="51"/>
    </row>
    <row r="636" spans="1:1" x14ac:dyDescent="0.35">
      <c r="A636" s="51"/>
    </row>
    <row r="637" spans="1:1" x14ac:dyDescent="0.35">
      <c r="A637" s="51"/>
    </row>
    <row r="638" spans="1:1" x14ac:dyDescent="0.35">
      <c r="A638" s="51"/>
    </row>
    <row r="639" spans="1:1" x14ac:dyDescent="0.35">
      <c r="A639" s="51"/>
    </row>
    <row r="640" spans="1:1" x14ac:dyDescent="0.35">
      <c r="A640" s="51"/>
    </row>
    <row r="641" spans="1:1" x14ac:dyDescent="0.35">
      <c r="A641" s="51"/>
    </row>
    <row r="642" spans="1:1" x14ac:dyDescent="0.35">
      <c r="A642" s="51"/>
    </row>
    <row r="643" spans="1:1" x14ac:dyDescent="0.35">
      <c r="A643" s="51"/>
    </row>
    <row r="644" spans="1:1" x14ac:dyDescent="0.35">
      <c r="A644" s="51"/>
    </row>
    <row r="645" spans="1:1" x14ac:dyDescent="0.35">
      <c r="A645" s="51"/>
    </row>
    <row r="646" spans="1:1" x14ac:dyDescent="0.35">
      <c r="A646" s="51"/>
    </row>
    <row r="647" spans="1:1" x14ac:dyDescent="0.35">
      <c r="A647" s="51"/>
    </row>
    <row r="648" spans="1:1" x14ac:dyDescent="0.35">
      <c r="A648" s="51"/>
    </row>
    <row r="649" spans="1:1" x14ac:dyDescent="0.35">
      <c r="A649" s="51"/>
    </row>
    <row r="650" spans="1:1" x14ac:dyDescent="0.35">
      <c r="A650" s="51"/>
    </row>
    <row r="651" spans="1:1" x14ac:dyDescent="0.35">
      <c r="A651" s="51"/>
    </row>
    <row r="652" spans="1:1" x14ac:dyDescent="0.35">
      <c r="A652" s="51"/>
    </row>
    <row r="653" spans="1:1" x14ac:dyDescent="0.35">
      <c r="A653" s="51"/>
    </row>
    <row r="654" spans="1:1" x14ac:dyDescent="0.35">
      <c r="A654" s="51"/>
    </row>
    <row r="655" spans="1:1" x14ac:dyDescent="0.35">
      <c r="A655" s="51"/>
    </row>
    <row r="656" spans="1:1" x14ac:dyDescent="0.35">
      <c r="A656" s="51"/>
    </row>
    <row r="657" spans="1:1" x14ac:dyDescent="0.35">
      <c r="A657" s="51"/>
    </row>
    <row r="658" spans="1:1" x14ac:dyDescent="0.35">
      <c r="A658" s="51"/>
    </row>
    <row r="659" spans="1:1" x14ac:dyDescent="0.35">
      <c r="A659" s="51"/>
    </row>
    <row r="660" spans="1:1" x14ac:dyDescent="0.35">
      <c r="A660" s="51"/>
    </row>
    <row r="661" spans="1:1" x14ac:dyDescent="0.35">
      <c r="A661" s="51"/>
    </row>
    <row r="662" spans="1:1" x14ac:dyDescent="0.35">
      <c r="A662" s="51"/>
    </row>
    <row r="663" spans="1:1" x14ac:dyDescent="0.35">
      <c r="A663" s="51"/>
    </row>
    <row r="664" spans="1:1" x14ac:dyDescent="0.35">
      <c r="A664" s="51"/>
    </row>
    <row r="665" spans="1:1" x14ac:dyDescent="0.35">
      <c r="A665" s="51"/>
    </row>
    <row r="666" spans="1:1" x14ac:dyDescent="0.35">
      <c r="A666" s="51"/>
    </row>
    <row r="667" spans="1:1" x14ac:dyDescent="0.35">
      <c r="A667" s="51"/>
    </row>
    <row r="668" spans="1:1" x14ac:dyDescent="0.35">
      <c r="A668" s="51"/>
    </row>
    <row r="669" spans="1:1" x14ac:dyDescent="0.35">
      <c r="A669" s="51"/>
    </row>
    <row r="670" spans="1:1" x14ac:dyDescent="0.35">
      <c r="A670" s="51"/>
    </row>
    <row r="671" spans="1:1" x14ac:dyDescent="0.35">
      <c r="A671" s="51"/>
    </row>
    <row r="672" spans="1:1" x14ac:dyDescent="0.35">
      <c r="A672" s="51"/>
    </row>
    <row r="673" spans="1:1" x14ac:dyDescent="0.35">
      <c r="A673" s="51"/>
    </row>
    <row r="674" spans="1:1" x14ac:dyDescent="0.35">
      <c r="A674" s="51"/>
    </row>
    <row r="675" spans="1:1" x14ac:dyDescent="0.35">
      <c r="A675" s="51"/>
    </row>
    <row r="676" spans="1:1" x14ac:dyDescent="0.35">
      <c r="A676" s="51"/>
    </row>
    <row r="677" spans="1:1" x14ac:dyDescent="0.35">
      <c r="A677" s="51"/>
    </row>
    <row r="678" spans="1:1" x14ac:dyDescent="0.35">
      <c r="A678" s="51"/>
    </row>
    <row r="679" spans="1:1" x14ac:dyDescent="0.35">
      <c r="A679" s="51"/>
    </row>
    <row r="680" spans="1:1" x14ac:dyDescent="0.35">
      <c r="A680" s="51"/>
    </row>
    <row r="681" spans="1:1" x14ac:dyDescent="0.35">
      <c r="A681" s="51"/>
    </row>
    <row r="682" spans="1:1" x14ac:dyDescent="0.35">
      <c r="A682" s="51"/>
    </row>
    <row r="683" spans="1:1" x14ac:dyDescent="0.35">
      <c r="A683" s="51"/>
    </row>
    <row r="684" spans="1:1" x14ac:dyDescent="0.35">
      <c r="A684" s="51"/>
    </row>
    <row r="685" spans="1:1" x14ac:dyDescent="0.35">
      <c r="A685" s="51"/>
    </row>
    <row r="686" spans="1:1" x14ac:dyDescent="0.35">
      <c r="A686" s="51"/>
    </row>
    <row r="687" spans="1:1" x14ac:dyDescent="0.35">
      <c r="A687" s="51"/>
    </row>
    <row r="688" spans="1:1" x14ac:dyDescent="0.35">
      <c r="A688" s="51"/>
    </row>
    <row r="689" spans="1:1" x14ac:dyDescent="0.35">
      <c r="A689" s="51"/>
    </row>
    <row r="690" spans="1:1" x14ac:dyDescent="0.35">
      <c r="A690" s="51"/>
    </row>
    <row r="691" spans="1:1" x14ac:dyDescent="0.35">
      <c r="A691" s="51"/>
    </row>
    <row r="692" spans="1:1" x14ac:dyDescent="0.35">
      <c r="A692" s="51"/>
    </row>
    <row r="693" spans="1:1" x14ac:dyDescent="0.35">
      <c r="A693" s="51"/>
    </row>
    <row r="694" spans="1:1" x14ac:dyDescent="0.35">
      <c r="A694" s="51"/>
    </row>
    <row r="695" spans="1:1" x14ac:dyDescent="0.35">
      <c r="A695" s="51"/>
    </row>
    <row r="696" spans="1:1" x14ac:dyDescent="0.35">
      <c r="A696" s="51"/>
    </row>
    <row r="697" spans="1:1" x14ac:dyDescent="0.35">
      <c r="A697" s="51"/>
    </row>
    <row r="698" spans="1:1" x14ac:dyDescent="0.35">
      <c r="A698" s="51"/>
    </row>
    <row r="699" spans="1:1" x14ac:dyDescent="0.35">
      <c r="A699" s="51"/>
    </row>
    <row r="700" spans="1:1" x14ac:dyDescent="0.35">
      <c r="A700" s="51"/>
    </row>
    <row r="701" spans="1:1" x14ac:dyDescent="0.35">
      <c r="A701" s="51"/>
    </row>
    <row r="702" spans="1:1" x14ac:dyDescent="0.35">
      <c r="A702" s="51"/>
    </row>
    <row r="703" spans="1:1" x14ac:dyDescent="0.35">
      <c r="A703" s="51"/>
    </row>
    <row r="704" spans="1:1" x14ac:dyDescent="0.35">
      <c r="A704" s="51"/>
    </row>
    <row r="705" spans="1:1" x14ac:dyDescent="0.35">
      <c r="A705" s="51"/>
    </row>
    <row r="706" spans="1:1" x14ac:dyDescent="0.35">
      <c r="A706" s="51"/>
    </row>
    <row r="707" spans="1:1" x14ac:dyDescent="0.35">
      <c r="A707" s="51"/>
    </row>
    <row r="708" spans="1:1" x14ac:dyDescent="0.35">
      <c r="A708" s="51"/>
    </row>
    <row r="709" spans="1:1" x14ac:dyDescent="0.35">
      <c r="A709" s="51"/>
    </row>
    <row r="710" spans="1:1" x14ac:dyDescent="0.35">
      <c r="A710" s="51"/>
    </row>
    <row r="711" spans="1:1" x14ac:dyDescent="0.35">
      <c r="A711" s="51"/>
    </row>
    <row r="712" spans="1:1" x14ac:dyDescent="0.35">
      <c r="A712" s="51"/>
    </row>
    <row r="713" spans="1:1" x14ac:dyDescent="0.35">
      <c r="A713" s="51"/>
    </row>
    <row r="714" spans="1:1" x14ac:dyDescent="0.35">
      <c r="A714" s="51"/>
    </row>
    <row r="715" spans="1:1" x14ac:dyDescent="0.35">
      <c r="A715" s="51"/>
    </row>
    <row r="716" spans="1:1" x14ac:dyDescent="0.35">
      <c r="A716" s="51"/>
    </row>
    <row r="717" spans="1:1" x14ac:dyDescent="0.35">
      <c r="A717" s="51"/>
    </row>
    <row r="718" spans="1:1" x14ac:dyDescent="0.35">
      <c r="A718" s="51"/>
    </row>
    <row r="719" spans="1:1" x14ac:dyDescent="0.35">
      <c r="A719" s="51"/>
    </row>
    <row r="720" spans="1:1" x14ac:dyDescent="0.35">
      <c r="A720" s="51"/>
    </row>
    <row r="721" spans="1:1" x14ac:dyDescent="0.35">
      <c r="A721" s="51"/>
    </row>
    <row r="722" spans="1:1" x14ac:dyDescent="0.35">
      <c r="A722" s="51"/>
    </row>
    <row r="723" spans="1:1" x14ac:dyDescent="0.35">
      <c r="A723" s="51"/>
    </row>
    <row r="724" spans="1:1" x14ac:dyDescent="0.35">
      <c r="A724" s="51"/>
    </row>
    <row r="725" spans="1:1" x14ac:dyDescent="0.35">
      <c r="A725" s="51"/>
    </row>
    <row r="726" spans="1:1" x14ac:dyDescent="0.35">
      <c r="A726" s="51"/>
    </row>
    <row r="727" spans="1:1" x14ac:dyDescent="0.35">
      <c r="A727" s="51"/>
    </row>
    <row r="728" spans="1:1" x14ac:dyDescent="0.35">
      <c r="A728" s="51"/>
    </row>
    <row r="729" spans="1:1" x14ac:dyDescent="0.35">
      <c r="A729" s="51"/>
    </row>
    <row r="730" spans="1:1" x14ac:dyDescent="0.35">
      <c r="A730" s="51"/>
    </row>
    <row r="731" spans="1:1" x14ac:dyDescent="0.35">
      <c r="A731" s="51"/>
    </row>
    <row r="732" spans="1:1" x14ac:dyDescent="0.35">
      <c r="A732" s="51"/>
    </row>
    <row r="733" spans="1:1" x14ac:dyDescent="0.35">
      <c r="A733" s="51"/>
    </row>
    <row r="734" spans="1:1" x14ac:dyDescent="0.35">
      <c r="A734" s="51"/>
    </row>
    <row r="735" spans="1:1" x14ac:dyDescent="0.35">
      <c r="A735" s="51"/>
    </row>
    <row r="736" spans="1:1" x14ac:dyDescent="0.35">
      <c r="A736" s="51"/>
    </row>
    <row r="737" spans="1:1" x14ac:dyDescent="0.35">
      <c r="A737" s="51"/>
    </row>
    <row r="738" spans="1:1" x14ac:dyDescent="0.35">
      <c r="A738" s="51"/>
    </row>
    <row r="739" spans="1:1" x14ac:dyDescent="0.35">
      <c r="A739" s="51"/>
    </row>
    <row r="740" spans="1:1" x14ac:dyDescent="0.35">
      <c r="A740" s="51"/>
    </row>
    <row r="741" spans="1:1" x14ac:dyDescent="0.35">
      <c r="A741" s="51"/>
    </row>
    <row r="742" spans="1:1" x14ac:dyDescent="0.35">
      <c r="A742" s="51"/>
    </row>
    <row r="743" spans="1:1" x14ac:dyDescent="0.35">
      <c r="A743" s="51"/>
    </row>
    <row r="744" spans="1:1" x14ac:dyDescent="0.35">
      <c r="A744" s="51"/>
    </row>
    <row r="745" spans="1:1" x14ac:dyDescent="0.35">
      <c r="A745" s="51"/>
    </row>
    <row r="746" spans="1:1" x14ac:dyDescent="0.35">
      <c r="A746" s="51"/>
    </row>
    <row r="747" spans="1:1" x14ac:dyDescent="0.35">
      <c r="A747" s="51"/>
    </row>
    <row r="748" spans="1:1" x14ac:dyDescent="0.35">
      <c r="A748" s="51"/>
    </row>
    <row r="749" spans="1:1" x14ac:dyDescent="0.35">
      <c r="A749" s="51"/>
    </row>
    <row r="750" spans="1:1" x14ac:dyDescent="0.35">
      <c r="A750" s="51"/>
    </row>
    <row r="751" spans="1:1" x14ac:dyDescent="0.35">
      <c r="A751" s="51"/>
    </row>
    <row r="752" spans="1:1" x14ac:dyDescent="0.35">
      <c r="A752" s="51"/>
    </row>
    <row r="753" spans="1:1" x14ac:dyDescent="0.35">
      <c r="A753" s="51"/>
    </row>
    <row r="754" spans="1:1" x14ac:dyDescent="0.35">
      <c r="A754" s="51"/>
    </row>
    <row r="755" spans="1:1" x14ac:dyDescent="0.35">
      <c r="A755" s="51"/>
    </row>
    <row r="756" spans="1:1" x14ac:dyDescent="0.35">
      <c r="A756" s="51"/>
    </row>
    <row r="757" spans="1:1" x14ac:dyDescent="0.35">
      <c r="A757" s="51"/>
    </row>
    <row r="758" spans="1:1" x14ac:dyDescent="0.35">
      <c r="A758" s="51"/>
    </row>
    <row r="759" spans="1:1" x14ac:dyDescent="0.35">
      <c r="A759" s="51"/>
    </row>
    <row r="760" spans="1:1" x14ac:dyDescent="0.35">
      <c r="A760" s="51"/>
    </row>
    <row r="761" spans="1:1" x14ac:dyDescent="0.35">
      <c r="A761" s="51"/>
    </row>
    <row r="762" spans="1:1" x14ac:dyDescent="0.35">
      <c r="A762" s="51"/>
    </row>
    <row r="763" spans="1:1" x14ac:dyDescent="0.35">
      <c r="A763" s="51"/>
    </row>
    <row r="764" spans="1:1" x14ac:dyDescent="0.35">
      <c r="A764" s="51"/>
    </row>
    <row r="765" spans="1:1" x14ac:dyDescent="0.35">
      <c r="A765" s="51"/>
    </row>
    <row r="766" spans="1:1" x14ac:dyDescent="0.35">
      <c r="A766" s="51"/>
    </row>
    <row r="767" spans="1:1" x14ac:dyDescent="0.35">
      <c r="A767" s="51"/>
    </row>
    <row r="768" spans="1:1" x14ac:dyDescent="0.35">
      <c r="A768" s="51"/>
    </row>
    <row r="769" spans="1:1" x14ac:dyDescent="0.35">
      <c r="A769" s="51"/>
    </row>
    <row r="770" spans="1:1" x14ac:dyDescent="0.35">
      <c r="A770" s="51"/>
    </row>
    <row r="771" spans="1:1" x14ac:dyDescent="0.35">
      <c r="A771" s="51"/>
    </row>
    <row r="772" spans="1:1" x14ac:dyDescent="0.35">
      <c r="A772" s="51"/>
    </row>
    <row r="773" spans="1:1" x14ac:dyDescent="0.35">
      <c r="A773" s="51"/>
    </row>
    <row r="774" spans="1:1" x14ac:dyDescent="0.35">
      <c r="A774" s="51"/>
    </row>
    <row r="775" spans="1:1" x14ac:dyDescent="0.35">
      <c r="A775" s="51"/>
    </row>
    <row r="776" spans="1:1" x14ac:dyDescent="0.35">
      <c r="A776" s="51"/>
    </row>
    <row r="777" spans="1:1" x14ac:dyDescent="0.35">
      <c r="A777" s="51"/>
    </row>
    <row r="778" spans="1:1" x14ac:dyDescent="0.35">
      <c r="A778" s="51"/>
    </row>
    <row r="779" spans="1:1" x14ac:dyDescent="0.35">
      <c r="A779" s="51"/>
    </row>
    <row r="780" spans="1:1" x14ac:dyDescent="0.35">
      <c r="A780" s="51"/>
    </row>
    <row r="781" spans="1:1" x14ac:dyDescent="0.35">
      <c r="A781" s="51"/>
    </row>
    <row r="782" spans="1:1" x14ac:dyDescent="0.35">
      <c r="A782" s="51"/>
    </row>
    <row r="783" spans="1:1" x14ac:dyDescent="0.35">
      <c r="A783" s="51"/>
    </row>
    <row r="784" spans="1:1" x14ac:dyDescent="0.35">
      <c r="A784" s="51"/>
    </row>
    <row r="785" spans="1:1" x14ac:dyDescent="0.35">
      <c r="A785" s="51"/>
    </row>
    <row r="786" spans="1:1" x14ac:dyDescent="0.35">
      <c r="A786" s="51"/>
    </row>
    <row r="787" spans="1:1" x14ac:dyDescent="0.35">
      <c r="A787" s="51"/>
    </row>
    <row r="788" spans="1:1" x14ac:dyDescent="0.35">
      <c r="A788" s="51"/>
    </row>
    <row r="789" spans="1:1" x14ac:dyDescent="0.35">
      <c r="A789" s="51"/>
    </row>
    <row r="790" spans="1:1" x14ac:dyDescent="0.35">
      <c r="A790" s="51"/>
    </row>
    <row r="791" spans="1:1" x14ac:dyDescent="0.35">
      <c r="A791" s="51"/>
    </row>
    <row r="792" spans="1:1" x14ac:dyDescent="0.35">
      <c r="A792" s="51"/>
    </row>
    <row r="793" spans="1:1" x14ac:dyDescent="0.35">
      <c r="A793" s="51"/>
    </row>
    <row r="794" spans="1:1" x14ac:dyDescent="0.35">
      <c r="A794" s="51"/>
    </row>
    <row r="795" spans="1:1" x14ac:dyDescent="0.35">
      <c r="A795" s="51"/>
    </row>
    <row r="796" spans="1:1" x14ac:dyDescent="0.35">
      <c r="A796" s="51"/>
    </row>
    <row r="797" spans="1:1" x14ac:dyDescent="0.35">
      <c r="A797" s="51"/>
    </row>
    <row r="798" spans="1:1" x14ac:dyDescent="0.35">
      <c r="A798" s="51"/>
    </row>
    <row r="799" spans="1:1" x14ac:dyDescent="0.35">
      <c r="A799" s="51"/>
    </row>
    <row r="800" spans="1:1" x14ac:dyDescent="0.35">
      <c r="A800" s="51"/>
    </row>
    <row r="801" spans="1:1" x14ac:dyDescent="0.35">
      <c r="A801" s="51"/>
    </row>
    <row r="802" spans="1:1" x14ac:dyDescent="0.35">
      <c r="A802" s="51"/>
    </row>
    <row r="803" spans="1:1" x14ac:dyDescent="0.35">
      <c r="A803" s="51"/>
    </row>
    <row r="804" spans="1:1" x14ac:dyDescent="0.35">
      <c r="A804" s="51"/>
    </row>
    <row r="805" spans="1:1" x14ac:dyDescent="0.35">
      <c r="A805" s="51"/>
    </row>
    <row r="806" spans="1:1" x14ac:dyDescent="0.35">
      <c r="A806" s="51"/>
    </row>
    <row r="807" spans="1:1" x14ac:dyDescent="0.35">
      <c r="A807" s="51"/>
    </row>
    <row r="808" spans="1:1" x14ac:dyDescent="0.35">
      <c r="A808" s="51"/>
    </row>
    <row r="809" spans="1:1" x14ac:dyDescent="0.35">
      <c r="A809" s="51"/>
    </row>
    <row r="810" spans="1:1" x14ac:dyDescent="0.35">
      <c r="A810" s="51"/>
    </row>
    <row r="811" spans="1:1" x14ac:dyDescent="0.35">
      <c r="A811" s="51"/>
    </row>
    <row r="812" spans="1:1" x14ac:dyDescent="0.35">
      <c r="A812" s="51"/>
    </row>
    <row r="813" spans="1:1" x14ac:dyDescent="0.35">
      <c r="A813" s="51"/>
    </row>
    <row r="814" spans="1:1" x14ac:dyDescent="0.35">
      <c r="A814" s="51"/>
    </row>
    <row r="815" spans="1:1" x14ac:dyDescent="0.35">
      <c r="A815" s="51"/>
    </row>
    <row r="816" spans="1:1" x14ac:dyDescent="0.35">
      <c r="A816" s="51"/>
    </row>
    <row r="817" spans="1:1" x14ac:dyDescent="0.35">
      <c r="A817" s="51"/>
    </row>
    <row r="818" spans="1:1" x14ac:dyDescent="0.35">
      <c r="A818" s="51"/>
    </row>
    <row r="819" spans="1:1" x14ac:dyDescent="0.35">
      <c r="A819" s="51"/>
    </row>
    <row r="820" spans="1:1" x14ac:dyDescent="0.35">
      <c r="A820" s="51"/>
    </row>
    <row r="821" spans="1:1" x14ac:dyDescent="0.35">
      <c r="A821" s="51"/>
    </row>
    <row r="822" spans="1:1" x14ac:dyDescent="0.35">
      <c r="A822" s="51"/>
    </row>
    <row r="823" spans="1:1" x14ac:dyDescent="0.35">
      <c r="A823" s="51"/>
    </row>
    <row r="824" spans="1:1" x14ac:dyDescent="0.35">
      <c r="A824" s="51"/>
    </row>
    <row r="825" spans="1:1" x14ac:dyDescent="0.35">
      <c r="A825" s="51"/>
    </row>
    <row r="826" spans="1:1" x14ac:dyDescent="0.35">
      <c r="A826" s="51"/>
    </row>
    <row r="827" spans="1:1" x14ac:dyDescent="0.35">
      <c r="A827" s="51"/>
    </row>
    <row r="828" spans="1:1" x14ac:dyDescent="0.35">
      <c r="A828" s="51"/>
    </row>
    <row r="829" spans="1:1" x14ac:dyDescent="0.35">
      <c r="A829" s="51"/>
    </row>
    <row r="830" spans="1:1" x14ac:dyDescent="0.35">
      <c r="A830" s="51"/>
    </row>
    <row r="831" spans="1:1" x14ac:dyDescent="0.35">
      <c r="A831" s="51"/>
    </row>
    <row r="832" spans="1:1" x14ac:dyDescent="0.35">
      <c r="A832" s="51"/>
    </row>
    <row r="833" spans="1:1" x14ac:dyDescent="0.35">
      <c r="A833" s="51"/>
    </row>
    <row r="834" spans="1:1" x14ac:dyDescent="0.35">
      <c r="A834" s="51"/>
    </row>
    <row r="835" spans="1:1" x14ac:dyDescent="0.35">
      <c r="A835" s="51"/>
    </row>
    <row r="836" spans="1:1" x14ac:dyDescent="0.35">
      <c r="A836" s="51"/>
    </row>
    <row r="837" spans="1:1" x14ac:dyDescent="0.35">
      <c r="A837" s="51"/>
    </row>
    <row r="838" spans="1:1" x14ac:dyDescent="0.35">
      <c r="A838" s="51"/>
    </row>
    <row r="839" spans="1:1" x14ac:dyDescent="0.35">
      <c r="A839" s="51"/>
    </row>
    <row r="840" spans="1:1" x14ac:dyDescent="0.35">
      <c r="A840" s="51"/>
    </row>
    <row r="841" spans="1:1" x14ac:dyDescent="0.35">
      <c r="A841" s="51"/>
    </row>
    <row r="842" spans="1:1" x14ac:dyDescent="0.35">
      <c r="A842" s="51"/>
    </row>
    <row r="843" spans="1:1" x14ac:dyDescent="0.35">
      <c r="A843" s="51"/>
    </row>
    <row r="844" spans="1:1" x14ac:dyDescent="0.35">
      <c r="A844" s="51"/>
    </row>
    <row r="845" spans="1:1" x14ac:dyDescent="0.35">
      <c r="A845" s="51"/>
    </row>
    <row r="846" spans="1:1" x14ac:dyDescent="0.35">
      <c r="A846" s="51"/>
    </row>
    <row r="847" spans="1:1" x14ac:dyDescent="0.35">
      <c r="A847" s="51"/>
    </row>
    <row r="848" spans="1:1" x14ac:dyDescent="0.35">
      <c r="A848" s="51"/>
    </row>
    <row r="849" spans="1:1" x14ac:dyDescent="0.35">
      <c r="A849" s="51"/>
    </row>
    <row r="850" spans="1:1" x14ac:dyDescent="0.35">
      <c r="A850" s="51"/>
    </row>
    <row r="851" spans="1:1" x14ac:dyDescent="0.35">
      <c r="A851" s="51"/>
    </row>
    <row r="852" spans="1:1" x14ac:dyDescent="0.35">
      <c r="A852" s="51"/>
    </row>
    <row r="853" spans="1:1" x14ac:dyDescent="0.35">
      <c r="A853" s="51"/>
    </row>
    <row r="854" spans="1:1" x14ac:dyDescent="0.35">
      <c r="A854" s="51"/>
    </row>
    <row r="855" spans="1:1" x14ac:dyDescent="0.35">
      <c r="A855" s="51"/>
    </row>
    <row r="856" spans="1:1" x14ac:dyDescent="0.35">
      <c r="A856" s="51"/>
    </row>
    <row r="857" spans="1:1" x14ac:dyDescent="0.35">
      <c r="A857" s="51"/>
    </row>
    <row r="858" spans="1:1" x14ac:dyDescent="0.35">
      <c r="A858" s="51"/>
    </row>
    <row r="859" spans="1:1" x14ac:dyDescent="0.35">
      <c r="A859" s="51"/>
    </row>
    <row r="860" spans="1:1" x14ac:dyDescent="0.35">
      <c r="A860" s="51"/>
    </row>
    <row r="861" spans="1:1" x14ac:dyDescent="0.35">
      <c r="A861" s="51"/>
    </row>
    <row r="862" spans="1:1" x14ac:dyDescent="0.35">
      <c r="A862" s="51"/>
    </row>
    <row r="863" spans="1:1" x14ac:dyDescent="0.35">
      <c r="A863" s="51"/>
    </row>
    <row r="864" spans="1:1" x14ac:dyDescent="0.35">
      <c r="A864" s="51"/>
    </row>
    <row r="865" spans="1:1" x14ac:dyDescent="0.35">
      <c r="A865" s="51"/>
    </row>
    <row r="866" spans="1:1" x14ac:dyDescent="0.35">
      <c r="A866" s="51"/>
    </row>
    <row r="867" spans="1:1" x14ac:dyDescent="0.35">
      <c r="A867" s="51"/>
    </row>
    <row r="868" spans="1:1" x14ac:dyDescent="0.35">
      <c r="A868" s="51"/>
    </row>
    <row r="869" spans="1:1" x14ac:dyDescent="0.35">
      <c r="A869" s="51"/>
    </row>
    <row r="870" spans="1:1" x14ac:dyDescent="0.35">
      <c r="A870" s="51"/>
    </row>
    <row r="871" spans="1:1" x14ac:dyDescent="0.35">
      <c r="A871" s="51"/>
    </row>
    <row r="872" spans="1:1" x14ac:dyDescent="0.35">
      <c r="A872" s="51"/>
    </row>
    <row r="873" spans="1:1" x14ac:dyDescent="0.35">
      <c r="A873" s="51"/>
    </row>
    <row r="874" spans="1:1" x14ac:dyDescent="0.35">
      <c r="A874" s="51"/>
    </row>
    <row r="875" spans="1:1" x14ac:dyDescent="0.35">
      <c r="A875" s="51"/>
    </row>
    <row r="876" spans="1:1" x14ac:dyDescent="0.35">
      <c r="A876" s="51"/>
    </row>
    <row r="877" spans="1:1" x14ac:dyDescent="0.35">
      <c r="A877" s="51"/>
    </row>
    <row r="878" spans="1:1" x14ac:dyDescent="0.35">
      <c r="A878" s="51"/>
    </row>
    <row r="879" spans="1:1" x14ac:dyDescent="0.35">
      <c r="A879" s="51"/>
    </row>
    <row r="880" spans="1:1" x14ac:dyDescent="0.35">
      <c r="A880" s="51"/>
    </row>
    <row r="881" spans="1:1" x14ac:dyDescent="0.35">
      <c r="A881" s="51"/>
    </row>
    <row r="882" spans="1:1" x14ac:dyDescent="0.35">
      <c r="A882" s="51"/>
    </row>
    <row r="883" spans="1:1" x14ac:dyDescent="0.35">
      <c r="A883" s="51"/>
    </row>
    <row r="884" spans="1:1" x14ac:dyDescent="0.35">
      <c r="A884" s="51"/>
    </row>
    <row r="885" spans="1:1" x14ac:dyDescent="0.35">
      <c r="A885" s="51"/>
    </row>
    <row r="886" spans="1:1" x14ac:dyDescent="0.35">
      <c r="A886" s="51"/>
    </row>
    <row r="887" spans="1:1" x14ac:dyDescent="0.35">
      <c r="A887" s="51"/>
    </row>
    <row r="888" spans="1:1" x14ac:dyDescent="0.35">
      <c r="A888" s="51"/>
    </row>
    <row r="889" spans="1:1" x14ac:dyDescent="0.35">
      <c r="A889" s="51"/>
    </row>
    <row r="890" spans="1:1" x14ac:dyDescent="0.35">
      <c r="A890" s="51"/>
    </row>
    <row r="891" spans="1:1" x14ac:dyDescent="0.35">
      <c r="A891" s="51"/>
    </row>
    <row r="892" spans="1:1" x14ac:dyDescent="0.35">
      <c r="A892" s="51"/>
    </row>
    <row r="893" spans="1:1" x14ac:dyDescent="0.35">
      <c r="A893" s="51"/>
    </row>
    <row r="894" spans="1:1" x14ac:dyDescent="0.35">
      <c r="A894" s="51"/>
    </row>
    <row r="895" spans="1:1" x14ac:dyDescent="0.35">
      <c r="A895" s="51"/>
    </row>
    <row r="896" spans="1:1" x14ac:dyDescent="0.35">
      <c r="A896" s="51"/>
    </row>
    <row r="897" spans="1:1" x14ac:dyDescent="0.35">
      <c r="A897" s="51"/>
    </row>
    <row r="898" spans="1:1" x14ac:dyDescent="0.35">
      <c r="A898" s="51"/>
    </row>
    <row r="899" spans="1:1" x14ac:dyDescent="0.35">
      <c r="A899" s="51"/>
    </row>
    <row r="900" spans="1:1" x14ac:dyDescent="0.35">
      <c r="A900" s="51"/>
    </row>
    <row r="901" spans="1:1" x14ac:dyDescent="0.35">
      <c r="A901" s="51"/>
    </row>
    <row r="902" spans="1:1" x14ac:dyDescent="0.35">
      <c r="A902" s="51"/>
    </row>
    <row r="903" spans="1:1" x14ac:dyDescent="0.35">
      <c r="A903" s="51"/>
    </row>
    <row r="904" spans="1:1" x14ac:dyDescent="0.35">
      <c r="A904" s="51"/>
    </row>
    <row r="905" spans="1:1" x14ac:dyDescent="0.35">
      <c r="A905" s="51"/>
    </row>
    <row r="906" spans="1:1" x14ac:dyDescent="0.35">
      <c r="A906" s="51"/>
    </row>
    <row r="907" spans="1:1" x14ac:dyDescent="0.35">
      <c r="A907" s="51"/>
    </row>
    <row r="908" spans="1:1" x14ac:dyDescent="0.35">
      <c r="A908" s="51"/>
    </row>
    <row r="909" spans="1:1" x14ac:dyDescent="0.35">
      <c r="A909" s="51"/>
    </row>
    <row r="910" spans="1:1" x14ac:dyDescent="0.35">
      <c r="A910" s="51"/>
    </row>
    <row r="911" spans="1:1" x14ac:dyDescent="0.35">
      <c r="A911" s="51"/>
    </row>
    <row r="912" spans="1:1" x14ac:dyDescent="0.35">
      <c r="A912" s="51"/>
    </row>
    <row r="913" spans="1:1" x14ac:dyDescent="0.35">
      <c r="A913" s="51"/>
    </row>
    <row r="914" spans="1:1" x14ac:dyDescent="0.35">
      <c r="A914" s="51"/>
    </row>
    <row r="915" spans="1:1" x14ac:dyDescent="0.35">
      <c r="A915" s="51"/>
    </row>
    <row r="916" spans="1:1" x14ac:dyDescent="0.35">
      <c r="A916" s="51"/>
    </row>
    <row r="917" spans="1:1" x14ac:dyDescent="0.35">
      <c r="A917" s="51"/>
    </row>
    <row r="918" spans="1:1" x14ac:dyDescent="0.35">
      <c r="A918" s="51"/>
    </row>
    <row r="919" spans="1:1" x14ac:dyDescent="0.35">
      <c r="A919" s="51"/>
    </row>
    <row r="920" spans="1:1" x14ac:dyDescent="0.35">
      <c r="A920" s="51"/>
    </row>
    <row r="921" spans="1:1" x14ac:dyDescent="0.35">
      <c r="A921" s="51"/>
    </row>
    <row r="922" spans="1:1" x14ac:dyDescent="0.35">
      <c r="A922" s="51"/>
    </row>
    <row r="923" spans="1:1" x14ac:dyDescent="0.35">
      <c r="A923" s="51"/>
    </row>
    <row r="924" spans="1:1" x14ac:dyDescent="0.35">
      <c r="A924" s="51"/>
    </row>
    <row r="925" spans="1:1" x14ac:dyDescent="0.35">
      <c r="A925" s="51"/>
    </row>
    <row r="926" spans="1:1" x14ac:dyDescent="0.35">
      <c r="A926" s="51"/>
    </row>
    <row r="927" spans="1:1" x14ac:dyDescent="0.35">
      <c r="A927" s="51"/>
    </row>
    <row r="928" spans="1:1" x14ac:dyDescent="0.35">
      <c r="A928" s="51"/>
    </row>
    <row r="929" spans="1:1" x14ac:dyDescent="0.35">
      <c r="A929" s="51"/>
    </row>
    <row r="930" spans="1:1" x14ac:dyDescent="0.35">
      <c r="A930" s="51"/>
    </row>
    <row r="931" spans="1:1" x14ac:dyDescent="0.35">
      <c r="A931" s="51"/>
    </row>
    <row r="932" spans="1:1" x14ac:dyDescent="0.35">
      <c r="A932" s="51"/>
    </row>
    <row r="933" spans="1:1" x14ac:dyDescent="0.35">
      <c r="A933" s="51"/>
    </row>
    <row r="934" spans="1:1" x14ac:dyDescent="0.35">
      <c r="A934" s="51"/>
    </row>
    <row r="935" spans="1:1" x14ac:dyDescent="0.35">
      <c r="A935" s="51"/>
    </row>
    <row r="936" spans="1:1" x14ac:dyDescent="0.35">
      <c r="A936" s="51"/>
    </row>
    <row r="937" spans="1:1" x14ac:dyDescent="0.35">
      <c r="A937" s="51"/>
    </row>
    <row r="938" spans="1:1" x14ac:dyDescent="0.35">
      <c r="A938" s="51"/>
    </row>
    <row r="939" spans="1:1" x14ac:dyDescent="0.35">
      <c r="A939" s="51"/>
    </row>
    <row r="940" spans="1:1" x14ac:dyDescent="0.35">
      <c r="A940" s="51"/>
    </row>
    <row r="941" spans="1:1" x14ac:dyDescent="0.35">
      <c r="A941" s="51"/>
    </row>
    <row r="942" spans="1:1" x14ac:dyDescent="0.35">
      <c r="A942" s="51"/>
    </row>
    <row r="943" spans="1:1" x14ac:dyDescent="0.35">
      <c r="A943" s="51"/>
    </row>
    <row r="944" spans="1:1" x14ac:dyDescent="0.35">
      <c r="A944" s="51"/>
    </row>
    <row r="945" spans="1:1" x14ac:dyDescent="0.35">
      <c r="A945" s="51"/>
    </row>
    <row r="946" spans="1:1" x14ac:dyDescent="0.35">
      <c r="A946" s="51"/>
    </row>
    <row r="947" spans="1:1" x14ac:dyDescent="0.35">
      <c r="A947" s="51"/>
    </row>
    <row r="948" spans="1:1" x14ac:dyDescent="0.35">
      <c r="A948" s="51"/>
    </row>
    <row r="949" spans="1:1" x14ac:dyDescent="0.35">
      <c r="A949" s="51"/>
    </row>
    <row r="950" spans="1:1" x14ac:dyDescent="0.35">
      <c r="A950" s="51"/>
    </row>
    <row r="951" spans="1:1" x14ac:dyDescent="0.35">
      <c r="A951" s="51"/>
    </row>
    <row r="952" spans="1:1" x14ac:dyDescent="0.35">
      <c r="A952" s="51"/>
    </row>
    <row r="953" spans="1:1" x14ac:dyDescent="0.35">
      <c r="A953" s="51"/>
    </row>
    <row r="954" spans="1:1" x14ac:dyDescent="0.35">
      <c r="A954" s="51"/>
    </row>
    <row r="955" spans="1:1" x14ac:dyDescent="0.35">
      <c r="A955" s="51"/>
    </row>
    <row r="956" spans="1:1" x14ac:dyDescent="0.35">
      <c r="A956" s="51"/>
    </row>
    <row r="957" spans="1:1" x14ac:dyDescent="0.35">
      <c r="A957" s="51"/>
    </row>
    <row r="958" spans="1:1" x14ac:dyDescent="0.35">
      <c r="A958" s="51"/>
    </row>
    <row r="959" spans="1:1" x14ac:dyDescent="0.35">
      <c r="A959" s="51"/>
    </row>
    <row r="960" spans="1:1" x14ac:dyDescent="0.35">
      <c r="A960" s="51"/>
    </row>
    <row r="961" spans="1:1" x14ac:dyDescent="0.35">
      <c r="A961" s="51"/>
    </row>
    <row r="962" spans="1:1" x14ac:dyDescent="0.35">
      <c r="A962" s="51"/>
    </row>
    <row r="963" spans="1:1" x14ac:dyDescent="0.35">
      <c r="A963" s="51"/>
    </row>
    <row r="964" spans="1:1" x14ac:dyDescent="0.35">
      <c r="A964" s="51"/>
    </row>
    <row r="965" spans="1:1" x14ac:dyDescent="0.35">
      <c r="A965" s="51"/>
    </row>
    <row r="966" spans="1:1" x14ac:dyDescent="0.35">
      <c r="A966" s="51"/>
    </row>
    <row r="967" spans="1:1" x14ac:dyDescent="0.35">
      <c r="A967" s="51"/>
    </row>
    <row r="968" spans="1:1" x14ac:dyDescent="0.35">
      <c r="A968" s="51"/>
    </row>
    <row r="969" spans="1:1" x14ac:dyDescent="0.35">
      <c r="A969" s="51"/>
    </row>
    <row r="970" spans="1:1" x14ac:dyDescent="0.35">
      <c r="A970" s="51"/>
    </row>
    <row r="971" spans="1:1" x14ac:dyDescent="0.35">
      <c r="A971" s="51"/>
    </row>
    <row r="972" spans="1:1" x14ac:dyDescent="0.35">
      <c r="A972" s="51"/>
    </row>
    <row r="973" spans="1:1" x14ac:dyDescent="0.35">
      <c r="A973" s="51"/>
    </row>
    <row r="974" spans="1:1" x14ac:dyDescent="0.35">
      <c r="A974" s="51"/>
    </row>
    <row r="975" spans="1:1" x14ac:dyDescent="0.35">
      <c r="A975" s="51"/>
    </row>
    <row r="976" spans="1:1" x14ac:dyDescent="0.35">
      <c r="A976" s="51"/>
    </row>
    <row r="977" spans="1:1" x14ac:dyDescent="0.35">
      <c r="A977" s="51"/>
    </row>
    <row r="978" spans="1:1" x14ac:dyDescent="0.35">
      <c r="A978" s="51"/>
    </row>
    <row r="979" spans="1:1" x14ac:dyDescent="0.35">
      <c r="A979" s="51"/>
    </row>
    <row r="980" spans="1:1" x14ac:dyDescent="0.35">
      <c r="A980" s="51"/>
    </row>
    <row r="981" spans="1:1" x14ac:dyDescent="0.35">
      <c r="A981" s="51"/>
    </row>
    <row r="982" spans="1:1" x14ac:dyDescent="0.35">
      <c r="A982" s="51"/>
    </row>
    <row r="983" spans="1:1" x14ac:dyDescent="0.35">
      <c r="A983" s="51"/>
    </row>
    <row r="984" spans="1:1" x14ac:dyDescent="0.35">
      <c r="A984" s="51"/>
    </row>
    <row r="985" spans="1:1" x14ac:dyDescent="0.35">
      <c r="A985" s="51"/>
    </row>
    <row r="986" spans="1:1" x14ac:dyDescent="0.35">
      <c r="A986" s="51"/>
    </row>
    <row r="987" spans="1:1" x14ac:dyDescent="0.35">
      <c r="A987" s="51"/>
    </row>
    <row r="988" spans="1:1" x14ac:dyDescent="0.35">
      <c r="A988" s="51"/>
    </row>
    <row r="989" spans="1:1" x14ac:dyDescent="0.35">
      <c r="A989" s="51"/>
    </row>
    <row r="990" spans="1:1" x14ac:dyDescent="0.35">
      <c r="A990" s="51"/>
    </row>
    <row r="991" spans="1:1" x14ac:dyDescent="0.35">
      <c r="A991" s="51"/>
    </row>
    <row r="992" spans="1:1" x14ac:dyDescent="0.35">
      <c r="A992" s="51"/>
    </row>
    <row r="993" spans="1:1" x14ac:dyDescent="0.35">
      <c r="A993" s="51"/>
    </row>
    <row r="994" spans="1:1" x14ac:dyDescent="0.35">
      <c r="A994" s="51"/>
    </row>
    <row r="995" spans="1:1" x14ac:dyDescent="0.35">
      <c r="A995" s="51"/>
    </row>
    <row r="996" spans="1:1" x14ac:dyDescent="0.35">
      <c r="A996" s="51"/>
    </row>
    <row r="997" spans="1:1" x14ac:dyDescent="0.35">
      <c r="A997" s="51"/>
    </row>
    <row r="998" spans="1:1" x14ac:dyDescent="0.35">
      <c r="A998" s="51"/>
    </row>
    <row r="999" spans="1:1" x14ac:dyDescent="0.35">
      <c r="A999" s="51"/>
    </row>
    <row r="1000" spans="1:1" x14ac:dyDescent="0.35">
      <c r="A1000" s="51"/>
    </row>
    <row r="1001" spans="1:1" x14ac:dyDescent="0.35">
      <c r="A1001" s="51"/>
    </row>
    <row r="1002" spans="1:1" x14ac:dyDescent="0.35">
      <c r="A1002" s="51"/>
    </row>
    <row r="1003" spans="1:1" x14ac:dyDescent="0.35">
      <c r="A1003" s="51"/>
    </row>
    <row r="1004" spans="1:1" x14ac:dyDescent="0.35">
      <c r="A1004" s="51"/>
    </row>
    <row r="1005" spans="1:1" x14ac:dyDescent="0.35">
      <c r="A1005" s="51"/>
    </row>
    <row r="1006" spans="1:1" x14ac:dyDescent="0.35">
      <c r="A1006" s="51"/>
    </row>
    <row r="1007" spans="1:1" x14ac:dyDescent="0.35">
      <c r="A1007" s="51"/>
    </row>
    <row r="1008" spans="1:1" x14ac:dyDescent="0.35">
      <c r="A1008" s="51"/>
    </row>
    <row r="1009" spans="1:1" x14ac:dyDescent="0.35">
      <c r="A1009" s="51"/>
    </row>
    <row r="1010" spans="1:1" x14ac:dyDescent="0.35">
      <c r="A1010" s="51"/>
    </row>
    <row r="1011" spans="1:1" x14ac:dyDescent="0.35">
      <c r="A1011" s="51"/>
    </row>
    <row r="1012" spans="1:1" x14ac:dyDescent="0.35">
      <c r="A1012" s="51"/>
    </row>
    <row r="1013" spans="1:1" x14ac:dyDescent="0.35">
      <c r="A1013" s="51"/>
    </row>
    <row r="1014" spans="1:1" x14ac:dyDescent="0.35">
      <c r="A1014" s="51"/>
    </row>
    <row r="1015" spans="1:1" x14ac:dyDescent="0.35">
      <c r="A1015" s="51"/>
    </row>
    <row r="1016" spans="1:1" x14ac:dyDescent="0.35">
      <c r="A1016" s="51"/>
    </row>
    <row r="1017" spans="1:1" x14ac:dyDescent="0.35">
      <c r="A1017" s="51"/>
    </row>
    <row r="1018" spans="1:1" x14ac:dyDescent="0.35">
      <c r="A1018" s="51"/>
    </row>
    <row r="1019" spans="1:1" x14ac:dyDescent="0.35">
      <c r="A1019" s="51"/>
    </row>
    <row r="1020" spans="1:1" x14ac:dyDescent="0.35">
      <c r="A1020" s="51"/>
    </row>
    <row r="1021" spans="1:1" x14ac:dyDescent="0.35">
      <c r="A1021" s="51"/>
    </row>
    <row r="1022" spans="1:1" x14ac:dyDescent="0.35">
      <c r="A1022" s="51"/>
    </row>
    <row r="1023" spans="1:1" x14ac:dyDescent="0.35">
      <c r="A1023" s="51"/>
    </row>
    <row r="1024" spans="1:1" x14ac:dyDescent="0.35">
      <c r="A1024" s="51"/>
    </row>
    <row r="1025" spans="1:1" x14ac:dyDescent="0.35">
      <c r="A1025" s="51"/>
    </row>
    <row r="1026" spans="1:1" x14ac:dyDescent="0.35">
      <c r="A1026" s="51"/>
    </row>
    <row r="1027" spans="1:1" x14ac:dyDescent="0.35">
      <c r="A1027" s="51"/>
    </row>
    <row r="1028" spans="1:1" x14ac:dyDescent="0.35">
      <c r="A1028" s="51"/>
    </row>
    <row r="1029" spans="1:1" x14ac:dyDescent="0.35">
      <c r="A1029" s="51"/>
    </row>
    <row r="1030" spans="1:1" x14ac:dyDescent="0.35">
      <c r="A1030" s="51"/>
    </row>
    <row r="1031" spans="1:1" x14ac:dyDescent="0.35">
      <c r="A1031" s="51"/>
    </row>
    <row r="1032" spans="1:1" x14ac:dyDescent="0.35">
      <c r="A1032" s="51"/>
    </row>
    <row r="1033" spans="1:1" x14ac:dyDescent="0.35">
      <c r="A1033" s="51"/>
    </row>
    <row r="1034" spans="1:1" x14ac:dyDescent="0.35">
      <c r="A1034" s="51"/>
    </row>
    <row r="1035" spans="1:1" x14ac:dyDescent="0.35">
      <c r="A1035" s="51"/>
    </row>
    <row r="1036" spans="1:1" x14ac:dyDescent="0.35">
      <c r="A1036" s="51"/>
    </row>
    <row r="1037" spans="1:1" x14ac:dyDescent="0.35">
      <c r="A1037" s="51"/>
    </row>
    <row r="1038" spans="1:1" x14ac:dyDescent="0.35">
      <c r="A1038" s="51"/>
    </row>
    <row r="1039" spans="1:1" x14ac:dyDescent="0.35">
      <c r="A1039" s="51"/>
    </row>
    <row r="1040" spans="1:1" x14ac:dyDescent="0.35">
      <c r="A1040" s="51"/>
    </row>
    <row r="1041" spans="1:1" x14ac:dyDescent="0.35">
      <c r="A1041" s="51"/>
    </row>
    <row r="1042" spans="1:1" x14ac:dyDescent="0.35">
      <c r="A1042" s="51"/>
    </row>
    <row r="1043" spans="1:1" x14ac:dyDescent="0.35">
      <c r="A1043" s="5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6F23-4BB6-4158-8D32-B78873624F80}">
  <dimension ref="A2:K16"/>
  <sheetViews>
    <sheetView workbookViewId="0">
      <selection activeCell="I6" sqref="I6"/>
    </sheetView>
  </sheetViews>
  <sheetFormatPr defaultColWidth="8.81640625" defaultRowHeight="16.5" x14ac:dyDescent="0.45"/>
  <cols>
    <col min="1" max="1" width="12.6328125" style="2" customWidth="1"/>
    <col min="2" max="2" width="16.6328125" style="2" customWidth="1"/>
    <col min="3" max="3" width="18.26953125" style="2" customWidth="1"/>
    <col min="4" max="4" width="7.54296875" style="2" customWidth="1"/>
    <col min="5" max="5" width="19.7265625" style="2" customWidth="1"/>
    <col min="6" max="6" width="18.26953125" style="2" customWidth="1"/>
    <col min="7" max="7" width="3" style="2" customWidth="1"/>
    <col min="8" max="8" width="22.6328125" style="2" customWidth="1"/>
    <col min="9" max="9" width="18.54296875" style="2" customWidth="1"/>
    <col min="10" max="16384" width="8.81640625" style="2"/>
  </cols>
  <sheetData>
    <row r="2" spans="1:11" ht="19.75" customHeight="1" x14ac:dyDescent="0.45">
      <c r="A2" s="2" t="s">
        <v>13</v>
      </c>
      <c r="B2" s="3" t="s">
        <v>1</v>
      </c>
      <c r="C2" s="3" t="s">
        <v>2</v>
      </c>
      <c r="E2" s="233" t="s">
        <v>23</v>
      </c>
      <c r="F2" s="233"/>
      <c r="H2" s="235" t="s">
        <v>17</v>
      </c>
      <c r="I2" s="235"/>
    </row>
    <row r="3" spans="1:11" ht="19.75" customHeight="1" x14ac:dyDescent="0.45">
      <c r="A3" s="3" t="s">
        <v>3</v>
      </c>
      <c r="B3" s="8">
        <v>0.05</v>
      </c>
      <c r="C3" s="8">
        <v>0.04</v>
      </c>
      <c r="E3" s="233"/>
      <c r="F3" s="233"/>
      <c r="H3" s="235"/>
      <c r="I3" s="235"/>
    </row>
    <row r="4" spans="1:11" x14ac:dyDescent="0.45">
      <c r="A4" s="3" t="s">
        <v>4</v>
      </c>
      <c r="B4" s="8">
        <v>0.02</v>
      </c>
      <c r="C4" s="8">
        <v>0.03</v>
      </c>
      <c r="E4" s="17" t="s">
        <v>22</v>
      </c>
      <c r="F4" s="18">
        <f>SUM(B12:C13)</f>
        <v>7521428.9009376876</v>
      </c>
      <c r="H4" s="9" t="s">
        <v>19</v>
      </c>
      <c r="I4" s="12">
        <v>0.8</v>
      </c>
    </row>
    <row r="5" spans="1:11" ht="17.149999999999999" customHeight="1" x14ac:dyDescent="0.45">
      <c r="B5" s="5"/>
      <c r="C5" s="5"/>
      <c r="E5" s="19"/>
      <c r="F5" s="19"/>
      <c r="H5" s="10" t="s">
        <v>18</v>
      </c>
      <c r="I5" s="11">
        <v>3000000</v>
      </c>
    </row>
    <row r="6" spans="1:11" ht="17.149999999999999" customHeight="1" x14ac:dyDescent="0.45">
      <c r="E6" s="234" t="s">
        <v>16</v>
      </c>
      <c r="F6" s="234"/>
      <c r="H6" s="10" t="s">
        <v>20</v>
      </c>
      <c r="I6" s="11">
        <v>3000000</v>
      </c>
    </row>
    <row r="7" spans="1:11" x14ac:dyDescent="0.45">
      <c r="A7" s="4" t="s">
        <v>14</v>
      </c>
      <c r="B7" s="1" t="s">
        <v>1</v>
      </c>
      <c r="C7" s="1" t="s">
        <v>2</v>
      </c>
      <c r="E7" s="234"/>
      <c r="F7" s="234"/>
    </row>
    <row r="8" spans="1:11" ht="19.75" customHeight="1" x14ac:dyDescent="0.5">
      <c r="A8" s="1" t="s">
        <v>3</v>
      </c>
      <c r="B8" s="6">
        <v>83571444.686963275</v>
      </c>
      <c r="C8" s="6">
        <v>0</v>
      </c>
      <c r="E8" s="14" t="s">
        <v>7</v>
      </c>
      <c r="F8" s="15">
        <f>B12+B13</f>
        <v>4178572.2343481639</v>
      </c>
      <c r="H8" s="236" t="s">
        <v>21</v>
      </c>
      <c r="I8" s="236"/>
    </row>
    <row r="9" spans="1:11" ht="15" customHeight="1" x14ac:dyDescent="0.5">
      <c r="A9" s="1" t="s">
        <v>4</v>
      </c>
      <c r="B9" s="6">
        <v>0</v>
      </c>
      <c r="C9" s="6">
        <v>111428555.55298412</v>
      </c>
      <c r="E9" s="14" t="s">
        <v>8</v>
      </c>
      <c r="F9" s="15">
        <f>C12+C13</f>
        <v>3342856.6665895232</v>
      </c>
      <c r="H9" s="236"/>
      <c r="I9" s="236"/>
    </row>
    <row r="10" spans="1:11" x14ac:dyDescent="0.45">
      <c r="A10" s="4"/>
      <c r="B10" s="4"/>
      <c r="C10" s="4"/>
      <c r="E10" s="14" t="s">
        <v>9</v>
      </c>
      <c r="F10" s="15">
        <f>B12+C12</f>
        <v>4178572.2343481639</v>
      </c>
      <c r="H10" s="13" t="s">
        <v>5</v>
      </c>
      <c r="I10" s="20">
        <v>195000000</v>
      </c>
    </row>
    <row r="11" spans="1:11" ht="19.75" customHeight="1" x14ac:dyDescent="0.45">
      <c r="A11" s="4" t="s">
        <v>6</v>
      </c>
      <c r="B11" s="1" t="s">
        <v>1</v>
      </c>
      <c r="C11" s="1" t="s">
        <v>2</v>
      </c>
      <c r="E11" s="14" t="s">
        <v>10</v>
      </c>
      <c r="F11" s="15">
        <f>B13+C13</f>
        <v>3342856.6665895232</v>
      </c>
      <c r="H11" s="13" t="s">
        <v>11</v>
      </c>
      <c r="I11" s="20">
        <f>B8+B9+C8+C9</f>
        <v>195000000.23994738</v>
      </c>
    </row>
    <row r="12" spans="1:11" ht="19.75" customHeight="1" x14ac:dyDescent="0.45">
      <c r="A12" s="1" t="s">
        <v>3</v>
      </c>
      <c r="B12" s="7">
        <f>B3*B8</f>
        <v>4178572.2343481639</v>
      </c>
      <c r="C12" s="7">
        <f>C3*Asc</f>
        <v>0</v>
      </c>
      <c r="E12" s="14" t="s">
        <v>12</v>
      </c>
      <c r="F12" s="16">
        <f>IF(F10=0,0,F11/F10)</f>
        <v>0.79999973175310968</v>
      </c>
      <c r="H12" s="13" t="s">
        <v>15</v>
      </c>
      <c r="I12" s="21">
        <f>I10-I11</f>
        <v>-0.23994737863540649</v>
      </c>
    </row>
    <row r="13" spans="1:11" x14ac:dyDescent="0.45">
      <c r="A13" s="1" t="s">
        <v>4</v>
      </c>
      <c r="B13" s="7">
        <f>B4*B9</f>
        <v>0</v>
      </c>
      <c r="C13" s="7">
        <f>C4*C9</f>
        <v>3342856.6665895232</v>
      </c>
      <c r="K13"/>
    </row>
    <row r="15" spans="1:11" ht="18" customHeight="1" x14ac:dyDescent="0.45"/>
    <row r="16" spans="1:11" ht="17.149999999999999" customHeight="1" x14ac:dyDescent="0.45"/>
  </sheetData>
  <scenarios current="0" show="0">
    <scenario name="Optimal_Solution" locked="1" count="5" user="Akshat Garg" comment="Created by Akshat Garg on 8/3/2020">
      <inputCells r="F4" val="7382812.51705335"/>
      <inputCells r="B8" val="67656250.341067" numFmtId="167"/>
      <inputCells r="C8" val="17968751.023201" numFmtId="167"/>
      <inputCells r="B9" val="0" numFmtId="44"/>
      <inputCells r="C9" val="109374998.635732" numFmtId="167"/>
    </scenario>
  </scenarios>
  <mergeCells count="4">
    <mergeCell ref="E2:F3"/>
    <mergeCell ref="E6:F7"/>
    <mergeCell ref="H2:I3"/>
    <mergeCell ref="H8:I9"/>
  </mergeCells>
  <conditionalFormatting sqref="F4">
    <cfRule type="colorScale" priority="3">
      <colorScale>
        <cfvo type="min"/>
        <cfvo type="max"/>
        <color rgb="FFC00000"/>
        <color rgb="FF00B050"/>
      </colorScale>
    </cfRule>
  </conditionalFormatting>
  <conditionalFormatting sqref="E5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E3F9-16A0-4F87-BE28-AF80F940B2CC}">
  <dimension ref="B1:L24"/>
  <sheetViews>
    <sheetView zoomScale="97" workbookViewId="0">
      <selection activeCell="J9" sqref="J9"/>
    </sheetView>
  </sheetViews>
  <sheetFormatPr defaultColWidth="8.81640625" defaultRowHeight="14.5" x14ac:dyDescent="0.35"/>
  <cols>
    <col min="1" max="1" width="12.453125" style="22" customWidth="1"/>
    <col min="2" max="2" width="14.54296875" style="22" customWidth="1"/>
    <col min="3" max="3" width="12.08984375" style="22" customWidth="1"/>
    <col min="4" max="4" width="11.453125" style="22" customWidth="1"/>
    <col min="5" max="5" width="11.08984375" style="22" customWidth="1"/>
    <col min="6" max="6" width="11.7265625" style="22" customWidth="1"/>
    <col min="7" max="9" width="8.81640625" style="22"/>
    <col min="10" max="10" width="12.26953125" style="22" customWidth="1"/>
    <col min="11" max="11" width="12.6328125" style="22" customWidth="1"/>
    <col min="12" max="12" width="9.6328125" style="22" bestFit="1" customWidth="1"/>
    <col min="13" max="16384" width="8.81640625" style="22"/>
  </cols>
  <sheetData>
    <row r="1" spans="2:12" ht="15" thickBot="1" x14ac:dyDescent="0.4"/>
    <row r="2" spans="2:12" ht="23.75" customHeight="1" thickBot="1" x14ac:dyDescent="0.4">
      <c r="C2" s="46" t="s">
        <v>24</v>
      </c>
      <c r="D2" s="27" t="s">
        <v>25</v>
      </c>
      <c r="E2" s="27" t="s">
        <v>26</v>
      </c>
      <c r="F2" s="27" t="s">
        <v>29</v>
      </c>
      <c r="G2" s="242" t="s">
        <v>30</v>
      </c>
      <c r="H2" s="243"/>
      <c r="J2" s="249" t="s">
        <v>31</v>
      </c>
      <c r="K2" s="245" t="s">
        <v>33</v>
      </c>
      <c r="L2" s="238" t="s">
        <v>32</v>
      </c>
    </row>
    <row r="3" spans="2:12" ht="23.75" customHeight="1" thickBot="1" x14ac:dyDescent="0.4">
      <c r="B3" s="44" t="s">
        <v>27</v>
      </c>
      <c r="C3" s="31">
        <v>4.0000000000000001E-3</v>
      </c>
      <c r="D3" s="31">
        <v>3.0000000000000001E-3</v>
      </c>
      <c r="E3" s="31">
        <v>-1E-3</v>
      </c>
      <c r="F3" s="49">
        <v>0.5</v>
      </c>
      <c r="G3" s="244">
        <f>SUMPRODUCT(C5:E5,C3:E3)</f>
        <v>150</v>
      </c>
      <c r="H3" s="244"/>
      <c r="I3" s="26"/>
      <c r="J3" s="250"/>
      <c r="K3" s="246"/>
      <c r="L3" s="239"/>
    </row>
    <row r="4" spans="2:12" ht="25.5" customHeight="1" x14ac:dyDescent="0.35">
      <c r="B4" s="45" t="s">
        <v>28</v>
      </c>
      <c r="C4" s="31">
        <v>-2E-3</v>
      </c>
      <c r="D4" s="31">
        <v>-1E-3</v>
      </c>
      <c r="E4" s="31">
        <v>3.0000000000000001E-3</v>
      </c>
      <c r="F4" s="49">
        <v>0.5</v>
      </c>
      <c r="G4" s="244">
        <f>SUMPRODUCT(C5:E5,C4:E4)</f>
        <v>50</v>
      </c>
      <c r="H4" s="244"/>
      <c r="I4" s="26"/>
      <c r="J4" s="251">
        <f>(G3*F3)+(G4*F4)</f>
        <v>100</v>
      </c>
      <c r="K4" s="247">
        <f>100000</f>
        <v>100000</v>
      </c>
      <c r="L4" s="240">
        <f>J4/K4</f>
        <v>1E-3</v>
      </c>
    </row>
    <row r="5" spans="2:12" ht="23.75" customHeight="1" thickBot="1" x14ac:dyDescent="0.4">
      <c r="B5" s="45" t="s">
        <v>11</v>
      </c>
      <c r="C5" s="48">
        <v>50000</v>
      </c>
      <c r="D5" s="48">
        <v>0</v>
      </c>
      <c r="E5" s="48">
        <v>50000</v>
      </c>
      <c r="F5" s="47"/>
      <c r="G5" s="244">
        <f>C5+D5+E5</f>
        <v>100000</v>
      </c>
      <c r="H5" s="244"/>
      <c r="I5" s="26"/>
      <c r="J5" s="252"/>
      <c r="K5" s="248"/>
      <c r="L5" s="241"/>
    </row>
    <row r="6" spans="2:12" ht="23.4" customHeight="1" x14ac:dyDescent="0.35">
      <c r="B6" s="24" t="s">
        <v>37</v>
      </c>
      <c r="C6" s="33">
        <f>SUMPRODUCT($F$3:$F$4,C3:C4)</f>
        <v>1E-3</v>
      </c>
      <c r="D6" s="33">
        <f>SUMPRODUCT($F$3:$F$4,D3:D4)</f>
        <v>1E-3</v>
      </c>
      <c r="E6" s="33">
        <f>SUMPRODUCT($F$3:$F$4,E3:E4)</f>
        <v>1E-3</v>
      </c>
      <c r="F6" s="34"/>
      <c r="G6" s="237">
        <f>SUMPRODUCT(C6:E6,$C$5:$E$5)</f>
        <v>100</v>
      </c>
      <c r="H6" s="237"/>
    </row>
    <row r="7" spans="2:12" ht="23.4" customHeight="1" x14ac:dyDescent="0.35">
      <c r="B7" s="24" t="s">
        <v>38</v>
      </c>
      <c r="C7" s="32">
        <f>C5*C6</f>
        <v>50</v>
      </c>
      <c r="D7" s="32">
        <f t="shared" ref="D7:E7" si="0">D5*D6</f>
        <v>0</v>
      </c>
      <c r="E7" s="32">
        <f t="shared" si="0"/>
        <v>50</v>
      </c>
      <c r="F7" s="34"/>
      <c r="G7" s="237"/>
      <c r="H7" s="237"/>
    </row>
    <row r="8" spans="2:12" ht="26.75" customHeight="1" x14ac:dyDescent="0.35">
      <c r="B8" s="24" t="s">
        <v>39</v>
      </c>
      <c r="C8" s="33">
        <f>SQRT(C14)</f>
        <v>3.0000000000000001E-3</v>
      </c>
      <c r="D8" s="33">
        <f>SQRT(D14)</f>
        <v>2E-3</v>
      </c>
      <c r="E8" s="33">
        <f>SQRT(E14)</f>
        <v>2E-3</v>
      </c>
      <c r="F8" s="34"/>
      <c r="G8" s="237">
        <f>SUMPRODUCT(C8:E8,$C$5:$E$5)</f>
        <v>250</v>
      </c>
      <c r="H8" s="237"/>
    </row>
    <row r="9" spans="2:12" ht="30" customHeight="1" thickBot="1" x14ac:dyDescent="0.4">
      <c r="B9" s="25" t="s">
        <v>40</v>
      </c>
      <c r="C9" s="32">
        <f>C8*C5</f>
        <v>150</v>
      </c>
      <c r="D9" s="32">
        <f t="shared" ref="D9" si="1">D8*D5</f>
        <v>0</v>
      </c>
      <c r="E9" s="32">
        <f>E8*E5</f>
        <v>100</v>
      </c>
      <c r="F9" s="34"/>
      <c r="G9" s="237"/>
      <c r="H9" s="237"/>
    </row>
    <row r="10" spans="2:12" ht="30" customHeight="1" thickBot="1" x14ac:dyDescent="0.4">
      <c r="C10" s="29"/>
      <c r="D10" s="29"/>
      <c r="E10" s="29"/>
    </row>
    <row r="11" spans="2:12" ht="27.9" customHeight="1" thickBot="1" x14ac:dyDescent="0.4">
      <c r="B11" s="23"/>
      <c r="C11" s="27" t="s">
        <v>34</v>
      </c>
      <c r="D11" s="27" t="s">
        <v>35</v>
      </c>
      <c r="E11" s="28" t="s">
        <v>36</v>
      </c>
    </row>
    <row r="12" spans="2:12" ht="28.5" customHeight="1" x14ac:dyDescent="0.35">
      <c r="B12" s="24" t="s">
        <v>27</v>
      </c>
      <c r="C12" s="39">
        <f t="shared" ref="C12:E13" si="2">(C3-$C$6)^2</f>
        <v>9.0000000000000002E-6</v>
      </c>
      <c r="D12" s="40">
        <f t="shared" si="2"/>
        <v>3.9999999999999998E-6</v>
      </c>
      <c r="E12" s="41">
        <f t="shared" si="2"/>
        <v>3.9999999999999998E-6</v>
      </c>
    </row>
    <row r="13" spans="2:12" ht="30.25" customHeight="1" x14ac:dyDescent="0.35">
      <c r="B13" s="24" t="s">
        <v>28</v>
      </c>
      <c r="C13" s="42">
        <f t="shared" si="2"/>
        <v>9.0000000000000002E-6</v>
      </c>
      <c r="D13" s="35">
        <f t="shared" si="2"/>
        <v>3.9999999999999998E-6</v>
      </c>
      <c r="E13" s="36">
        <f t="shared" si="2"/>
        <v>3.9999999999999998E-6</v>
      </c>
    </row>
    <row r="14" spans="2:12" ht="30.9" customHeight="1" thickBot="1" x14ac:dyDescent="0.4">
      <c r="B14" s="25" t="s">
        <v>41</v>
      </c>
      <c r="C14" s="43">
        <f>SUMPRODUCT($F$3:$F$4,C12:C13)</f>
        <v>9.0000000000000002E-6</v>
      </c>
      <c r="D14" s="37">
        <f>SUMPRODUCT($F$3:$F$4,D12:D13)</f>
        <v>3.9999999999999998E-6</v>
      </c>
      <c r="E14" s="38">
        <f>SUMPRODUCT($F$3:$F$4,E12:E13)</f>
        <v>3.9999999999999998E-6</v>
      </c>
    </row>
    <row r="24" spans="3:3" x14ac:dyDescent="0.35">
      <c r="C24" s="30"/>
    </row>
  </sheetData>
  <mergeCells count="12">
    <mergeCell ref="G8:H9"/>
    <mergeCell ref="G6:H7"/>
    <mergeCell ref="L2:L3"/>
    <mergeCell ref="L4:L5"/>
    <mergeCell ref="G2:H2"/>
    <mergeCell ref="G3:H3"/>
    <mergeCell ref="G4:H4"/>
    <mergeCell ref="G5:H5"/>
    <mergeCell ref="K2:K3"/>
    <mergeCell ref="K4:K5"/>
    <mergeCell ref="J2:J3"/>
    <mergeCell ref="J4:J5"/>
  </mergeCells>
  <pageMargins left="0.7" right="0.7" top="0.75" bottom="0.75" header="0.3" footer="0.3"/>
  <pageSetup orientation="portrait" r:id="rId1"/>
  <ignoredErrors>
    <ignoredError sqref="C6:E6 G3:G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0A6C-2920-4DE3-8DAC-4D629EFA2F80}">
  <dimension ref="A1:G12"/>
  <sheetViews>
    <sheetView workbookViewId="0">
      <selection activeCell="G17" sqref="G17"/>
    </sheetView>
  </sheetViews>
  <sheetFormatPr defaultColWidth="8.81640625" defaultRowHeight="14.5" x14ac:dyDescent="0.35"/>
  <cols>
    <col min="1" max="1" width="8.81640625" style="50"/>
    <col min="2" max="2" width="12.54296875" style="50" bestFit="1" customWidth="1"/>
    <col min="3" max="3" width="14.1796875" style="50" customWidth="1"/>
    <col min="4" max="4" width="12.26953125" style="50" customWidth="1"/>
    <col min="5" max="5" width="11.81640625" style="50" customWidth="1"/>
    <col min="6" max="6" width="10.81640625" style="50" customWidth="1"/>
    <col min="7" max="7" width="19.26953125" style="50" customWidth="1"/>
    <col min="8" max="16384" width="8.81640625" style="50"/>
  </cols>
  <sheetData>
    <row r="1" spans="1:7" ht="28.5" customHeight="1" x14ac:dyDescent="0.35">
      <c r="A1" s="103"/>
      <c r="B1" s="104" t="s">
        <v>42</v>
      </c>
      <c r="C1" s="104" t="s">
        <v>43</v>
      </c>
      <c r="D1" s="104" t="s">
        <v>44</v>
      </c>
      <c r="E1" s="104" t="s">
        <v>45</v>
      </c>
      <c r="F1" s="105" t="s">
        <v>29</v>
      </c>
    </row>
    <row r="2" spans="1:7" ht="28.25" customHeight="1" x14ac:dyDescent="0.35">
      <c r="A2" s="106">
        <v>1</v>
      </c>
      <c r="B2" s="107">
        <v>-0.04</v>
      </c>
      <c r="C2" s="107">
        <v>0.01</v>
      </c>
      <c r="D2" s="107"/>
      <c r="E2" s="107"/>
      <c r="F2" s="108">
        <v>0.3</v>
      </c>
    </row>
    <row r="3" spans="1:7" ht="28.25" customHeight="1" x14ac:dyDescent="0.35">
      <c r="A3" s="106">
        <v>2</v>
      </c>
      <c r="B3" s="107">
        <v>0.03</v>
      </c>
      <c r="C3" s="107">
        <v>0.02</v>
      </c>
      <c r="D3" s="107"/>
      <c r="E3" s="107"/>
      <c r="F3" s="108">
        <v>0.5</v>
      </c>
    </row>
    <row r="4" spans="1:7" ht="28.25" customHeight="1" x14ac:dyDescent="0.35">
      <c r="A4" s="106">
        <v>3</v>
      </c>
      <c r="B4" s="107">
        <v>0.01</v>
      </c>
      <c r="C4" s="107">
        <v>-5.0000000000000001E-3</v>
      </c>
      <c r="D4" s="107"/>
      <c r="E4" s="107"/>
      <c r="F4" s="108">
        <v>0.2</v>
      </c>
    </row>
    <row r="5" spans="1:7" ht="42.65" customHeight="1" x14ac:dyDescent="0.35">
      <c r="A5" s="106">
        <v>4</v>
      </c>
      <c r="B5" s="107"/>
      <c r="C5" s="107"/>
      <c r="D5" s="107"/>
      <c r="E5" s="107"/>
      <c r="F5" s="108"/>
    </row>
    <row r="6" spans="1:7" ht="27.9" customHeight="1" thickBot="1" x14ac:dyDescent="0.4">
      <c r="A6" s="109">
        <v>5</v>
      </c>
      <c r="B6" s="110"/>
      <c r="C6" s="110"/>
      <c r="D6" s="110"/>
      <c r="E6" s="110"/>
      <c r="F6" s="111"/>
    </row>
    <row r="7" spans="1:7" ht="15" thickBot="1" x14ac:dyDescent="0.4">
      <c r="G7" s="53"/>
    </row>
    <row r="8" spans="1:7" ht="29.15" customHeight="1" x14ac:dyDescent="0.35">
      <c r="B8" s="253" t="s">
        <v>41</v>
      </c>
      <c r="C8" s="242"/>
      <c r="D8" s="242"/>
      <c r="E8" s="243"/>
    </row>
    <row r="9" spans="1:7" ht="28.25" customHeight="1" thickBot="1" x14ac:dyDescent="0.4">
      <c r="B9" s="112">
        <f>SUMPRODUCT(B2:B6,$F$2:$F$6)</f>
        <v>4.9999999999999992E-3</v>
      </c>
      <c r="C9" s="113">
        <f>SUMPRODUCT(C2:C6,$F$2:$F$6)</f>
        <v>1.2E-2</v>
      </c>
      <c r="D9" s="113">
        <f>SUMPRODUCT(D2:D6,$F$2:$F$6)</f>
        <v>0</v>
      </c>
      <c r="E9" s="114">
        <f>SUMPRODUCT(E2:E6,$F$2:$F$6)</f>
        <v>0</v>
      </c>
      <c r="G9" s="52"/>
    </row>
    <row r="10" spans="1:7" ht="15" thickBot="1" x14ac:dyDescent="0.4"/>
    <row r="11" spans="1:7" ht="28.5" customHeight="1" x14ac:dyDescent="0.35">
      <c r="B11" s="253" t="s">
        <v>46</v>
      </c>
      <c r="C11" s="242"/>
      <c r="D11" s="242"/>
      <c r="E11" s="243"/>
    </row>
    <row r="12" spans="1:7" ht="26.4" customHeight="1" thickBot="1" x14ac:dyDescent="0.4">
      <c r="B12" s="115">
        <f>((B2-B9)*(B2-B9)*F2)+((B3-B9)*(B3-B9)*F2)+((B4-B9)*(B4-B9)*F2)+((B5-B9)*(B5-B9)*F2)+((B6-B9)*(B6-B9)*F2)</f>
        <v>8.1750000000000008E-4</v>
      </c>
      <c r="C12" s="116">
        <f>((C2-C9)*(C2-C9)*F2)+((C3-C9)*(C3-C9)*F2)+((C4-C9)*(C4-C9)*F2)+((C5-C9)*(C5-C9)*F2)+((C6-C9)*(C6-C9)*F2)</f>
        <v>1.9349999999999999E-4</v>
      </c>
      <c r="D12" s="116">
        <f t="shared" ref="D12:E12" si="0">((D2-D9)*(D2-D9)*H2)+((D3-D9)*(D3-D9)*H2)+((D4-D9)*(D4-D9)*H2)+((D5-D9)*(D5-D9)*H2)+((D6-D9)*(D6-D9)*H2)</f>
        <v>0</v>
      </c>
      <c r="E12" s="117">
        <f t="shared" si="0"/>
        <v>0</v>
      </c>
    </row>
  </sheetData>
  <mergeCells count="2">
    <mergeCell ref="B8:E8"/>
    <mergeCell ref="B11:E11"/>
  </mergeCells>
  <pageMargins left="0.7" right="0.7" top="0.75" bottom="0.75" header="0.3" footer="0.3"/>
  <ignoredErrors>
    <ignoredError sqref="C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085B-3269-4797-B2CD-EE2CE2DEBFF5}">
  <dimension ref="B2:P32"/>
  <sheetViews>
    <sheetView workbookViewId="0">
      <selection activeCell="J10" sqref="J10"/>
    </sheetView>
  </sheetViews>
  <sheetFormatPr defaultColWidth="8.81640625" defaultRowHeight="16.5" x14ac:dyDescent="0.35"/>
  <cols>
    <col min="1" max="1" width="8.81640625" style="64"/>
    <col min="2" max="2" width="11.7265625" style="64" customWidth="1"/>
    <col min="3" max="4" width="12.26953125" style="64" customWidth="1"/>
    <col min="5" max="5" width="12.08984375" style="64" customWidth="1"/>
    <col min="6" max="6" width="16.1796875" style="64" customWidth="1"/>
    <col min="7" max="7" width="14" style="64" customWidth="1"/>
    <col min="8" max="8" width="18.1796875" style="64" customWidth="1"/>
    <col min="9" max="9" width="17.7265625" style="64" customWidth="1"/>
    <col min="10" max="16384" width="8.81640625" style="64"/>
  </cols>
  <sheetData>
    <row r="2" spans="2:16" ht="17" thickBot="1" x14ac:dyDescent="0.4"/>
    <row r="3" spans="2:16" ht="22.5" customHeight="1" thickBot="1" x14ac:dyDescent="0.4">
      <c r="B3" s="65"/>
      <c r="C3" s="66" t="s">
        <v>0</v>
      </c>
      <c r="D3" s="67" t="s">
        <v>60</v>
      </c>
      <c r="E3" s="68" t="s">
        <v>56</v>
      </c>
      <c r="F3" s="68" t="s">
        <v>59</v>
      </c>
      <c r="G3" s="69" t="s">
        <v>63</v>
      </c>
      <c r="H3" s="85" t="s">
        <v>64</v>
      </c>
      <c r="I3" s="85" t="s">
        <v>65</v>
      </c>
    </row>
    <row r="4" spans="2:16" ht="26.75" customHeight="1" thickBot="1" x14ac:dyDescent="0.4">
      <c r="B4" s="77" t="s">
        <v>57</v>
      </c>
      <c r="C4" s="71">
        <v>500</v>
      </c>
      <c r="D4" s="72">
        <v>88</v>
      </c>
      <c r="E4" s="72">
        <v>103</v>
      </c>
      <c r="F4" s="73">
        <v>100</v>
      </c>
      <c r="G4" s="101">
        <f>C4*(MIN(E4,D4))+IF(D4&gt;E4,(F4*((D4)-E4)),0)</f>
        <v>44000</v>
      </c>
      <c r="H4" s="259">
        <f>G4+G5</f>
        <v>56150</v>
      </c>
      <c r="I4" s="259">
        <f>E9*D9+G9*F9+E11*D11+F11*G11</f>
        <v>48600</v>
      </c>
    </row>
    <row r="5" spans="2:16" ht="27.65" customHeight="1" thickBot="1" x14ac:dyDescent="0.4">
      <c r="B5" s="75" t="s">
        <v>58</v>
      </c>
      <c r="C5" s="71">
        <v>900</v>
      </c>
      <c r="D5" s="72">
        <v>16</v>
      </c>
      <c r="E5" s="72">
        <v>13</v>
      </c>
      <c r="F5" s="73">
        <v>150</v>
      </c>
      <c r="G5" s="101">
        <f>C5*(MIN(E5,D5))+IF(D5&gt;E5,(F5*((D5)-E5)),0)</f>
        <v>12150</v>
      </c>
      <c r="H5" s="261"/>
      <c r="I5" s="261"/>
    </row>
    <row r="6" spans="2:16" ht="29.15" customHeight="1" thickBot="1" x14ac:dyDescent="0.4">
      <c r="I6" s="65"/>
      <c r="J6" s="65"/>
      <c r="K6" s="65"/>
      <c r="L6" s="65"/>
      <c r="M6" s="65"/>
      <c r="N6" s="65"/>
      <c r="O6" s="65"/>
    </row>
    <row r="7" spans="2:16" ht="25.75" customHeight="1" thickBot="1" x14ac:dyDescent="0.4">
      <c r="D7" s="256">
        <v>0.5</v>
      </c>
      <c r="E7" s="257"/>
      <c r="F7" s="257">
        <f>1-D7</f>
        <v>0.5</v>
      </c>
      <c r="G7" s="258"/>
      <c r="I7" s="65"/>
      <c r="J7" s="65"/>
      <c r="K7" s="65"/>
      <c r="L7" s="65"/>
      <c r="M7" s="65"/>
      <c r="N7" s="65"/>
      <c r="O7" s="65"/>
    </row>
    <row r="8" spans="2:16" ht="24" customHeight="1" thickBot="1" x14ac:dyDescent="0.4">
      <c r="D8" s="262" t="s">
        <v>61</v>
      </c>
      <c r="E8" s="263"/>
      <c r="F8" s="263" t="s">
        <v>62</v>
      </c>
      <c r="G8" s="264"/>
      <c r="I8" s="65"/>
      <c r="J8" s="65"/>
      <c r="K8" s="65"/>
      <c r="L8" s="65"/>
      <c r="M8" s="65"/>
      <c r="N8" s="65"/>
      <c r="O8" s="65"/>
    </row>
    <row r="9" spans="2:16" ht="30.9" customHeight="1" x14ac:dyDescent="0.35">
      <c r="B9" s="259">
        <v>0.5</v>
      </c>
      <c r="C9" s="265" t="s">
        <v>61</v>
      </c>
      <c r="D9" s="78">
        <f>B9*D7</f>
        <v>0.25</v>
      </c>
      <c r="E9" s="79">
        <f>($C$4*(MIN($D$10,$D$4))+IF($D$10&gt;$D$4,($F$4*(($D$10)-$D$4)),0))+($C$5*(MIN($E$10,$D$5))+IF($E$10&gt;$D$5,($F$5*(($E$10)-$D$5)),0))</f>
        <v>58400</v>
      </c>
      <c r="F9" s="78">
        <f>F7*B9</f>
        <v>0.25</v>
      </c>
      <c r="G9" s="79">
        <f>($C$4*(MIN($F$10,$D$4))+IF($F$10&gt;$D$4,($F$4*(($F$10)-$D$4)),0))+($C$5*(MIN($G$10,$D$5))+IF($G$10&gt;$D$5,($F$5*(($G$10)-$D$5)),0))</f>
        <v>53000</v>
      </c>
      <c r="H9" s="87"/>
      <c r="I9" s="87"/>
      <c r="J9" s="65"/>
      <c r="K9" s="65"/>
      <c r="L9" s="65"/>
      <c r="M9" s="65"/>
      <c r="N9" s="65"/>
      <c r="O9" s="65"/>
    </row>
    <row r="10" spans="2:16" ht="29.75" customHeight="1" thickBot="1" x14ac:dyDescent="0.4">
      <c r="B10" s="260"/>
      <c r="C10" s="254"/>
      <c r="D10" s="80">
        <v>115</v>
      </c>
      <c r="E10" s="81">
        <v>13</v>
      </c>
      <c r="F10" s="80">
        <v>115</v>
      </c>
      <c r="G10" s="81">
        <v>7</v>
      </c>
      <c r="H10" s="87"/>
      <c r="I10" s="87"/>
      <c r="J10" s="65"/>
      <c r="K10" s="65"/>
      <c r="L10" s="65"/>
      <c r="M10" s="65"/>
      <c r="N10" s="65"/>
      <c r="O10" s="65"/>
    </row>
    <row r="11" spans="2:16" ht="29.75" customHeight="1" x14ac:dyDescent="0.35">
      <c r="B11" s="260">
        <f>1-B9</f>
        <v>0.5</v>
      </c>
      <c r="C11" s="254" t="s">
        <v>62</v>
      </c>
      <c r="D11" s="78">
        <f>D7*B11</f>
        <v>0.25</v>
      </c>
      <c r="E11" s="79">
        <f>($C$4*(MIN($D$12,$D$4))+IF($D$12&gt;$D$4,($F$4*(($D$12)-$D$4)),0))+($C$5*(MIN($E$12,$D$5))+IF($E$12&gt;$D$5,($F$5*(($E$12)-$D$5)),0))</f>
        <v>44200</v>
      </c>
      <c r="F11" s="78">
        <f>F7*B11</f>
        <v>0.25</v>
      </c>
      <c r="G11" s="79">
        <f>($C$4*(MIN($F$12,$D$4))+IF($F$12&gt;$D$4,($F$4*(($F$12)-$D$4)),0))+($C$5*(MIN($G$12,$D$5))+IF($G$12&gt;$D$5,($F$5*(($G$12)-$D$5)),0))</f>
        <v>38800</v>
      </c>
      <c r="H11" s="87"/>
      <c r="I11" s="87"/>
      <c r="J11" s="65"/>
      <c r="K11" s="65"/>
      <c r="L11" s="65"/>
      <c r="M11" s="65"/>
      <c r="N11" s="65"/>
      <c r="O11" s="65"/>
    </row>
    <row r="12" spans="2:16" ht="30.25" customHeight="1" thickBot="1" x14ac:dyDescent="0.4">
      <c r="B12" s="261"/>
      <c r="C12" s="255"/>
      <c r="D12" s="82">
        <v>65</v>
      </c>
      <c r="E12" s="83">
        <v>13</v>
      </c>
      <c r="F12" s="82">
        <v>65</v>
      </c>
      <c r="G12" s="83">
        <v>7</v>
      </c>
      <c r="H12" s="65"/>
      <c r="I12" s="65"/>
      <c r="J12" s="65"/>
      <c r="K12" s="65"/>
      <c r="L12" s="65"/>
      <c r="M12" s="65"/>
      <c r="N12" s="65"/>
      <c r="O12" s="65"/>
      <c r="P12" s="65"/>
    </row>
    <row r="13" spans="2:16" x14ac:dyDescent="0.35">
      <c r="H13" s="65"/>
      <c r="I13" s="65"/>
      <c r="J13" s="65"/>
      <c r="K13" s="65"/>
      <c r="L13" s="65"/>
      <c r="M13" s="65"/>
      <c r="N13" s="65"/>
      <c r="O13" s="65"/>
      <c r="P13" s="65"/>
    </row>
    <row r="14" spans="2:16" x14ac:dyDescent="0.35">
      <c r="H14" s="65"/>
      <c r="I14" s="102"/>
      <c r="J14" s="102"/>
      <c r="K14" s="65"/>
      <c r="L14" s="102"/>
      <c r="M14" s="102"/>
      <c r="N14" s="65"/>
      <c r="O14" s="65"/>
      <c r="P14" s="65"/>
    </row>
    <row r="15" spans="2:16" x14ac:dyDescent="0.35">
      <c r="H15" s="65"/>
      <c r="I15" s="95"/>
      <c r="J15" s="95"/>
      <c r="K15" s="65"/>
      <c r="L15" s="95"/>
      <c r="M15" s="95"/>
      <c r="N15" s="65"/>
      <c r="O15" s="65"/>
      <c r="P15" s="65"/>
    </row>
    <row r="16" spans="2:16" x14ac:dyDescent="0.35">
      <c r="H16" s="65"/>
      <c r="I16" s="95"/>
      <c r="J16" s="95"/>
      <c r="K16" s="65"/>
      <c r="L16" s="95"/>
      <c r="M16" s="95"/>
      <c r="N16" s="65"/>
      <c r="O16" s="65"/>
      <c r="P16" s="65"/>
    </row>
    <row r="17" spans="8:16" x14ac:dyDescent="0.35">
      <c r="H17" s="65"/>
      <c r="I17" s="95"/>
      <c r="J17" s="95"/>
      <c r="K17" s="65"/>
      <c r="L17" s="95"/>
      <c r="M17" s="95"/>
      <c r="N17" s="65"/>
      <c r="O17" s="65"/>
      <c r="P17" s="65"/>
    </row>
    <row r="18" spans="8:16" x14ac:dyDescent="0.35">
      <c r="H18" s="65"/>
      <c r="I18" s="95"/>
      <c r="J18" s="95"/>
      <c r="K18" s="65"/>
      <c r="L18" s="95"/>
      <c r="M18" s="95"/>
      <c r="N18" s="65"/>
      <c r="O18" s="65"/>
      <c r="P18" s="65"/>
    </row>
    <row r="19" spans="8:16" x14ac:dyDescent="0.35">
      <c r="H19" s="65"/>
      <c r="I19" s="95"/>
      <c r="J19" s="95"/>
      <c r="K19" s="65"/>
      <c r="L19" s="95"/>
      <c r="M19" s="95"/>
      <c r="N19" s="65"/>
      <c r="O19" s="65"/>
      <c r="P19" s="65"/>
    </row>
    <row r="20" spans="8:16" x14ac:dyDescent="0.35">
      <c r="H20" s="65"/>
      <c r="I20" s="95"/>
      <c r="J20" s="95"/>
      <c r="K20" s="65"/>
      <c r="L20" s="95"/>
      <c r="M20" s="95"/>
      <c r="N20" s="65"/>
      <c r="O20" s="65"/>
      <c r="P20" s="65"/>
    </row>
    <row r="21" spans="8:16" x14ac:dyDescent="0.35">
      <c r="H21" s="65"/>
      <c r="I21" s="95"/>
      <c r="J21" s="95"/>
      <c r="K21" s="65"/>
      <c r="L21" s="95"/>
      <c r="M21" s="95"/>
      <c r="N21" s="65"/>
      <c r="O21" s="65"/>
      <c r="P21" s="65"/>
    </row>
    <row r="22" spans="8:16" x14ac:dyDescent="0.35">
      <c r="H22" s="65"/>
      <c r="I22" s="95"/>
      <c r="J22" s="95"/>
      <c r="K22" s="65"/>
      <c r="L22" s="95"/>
      <c r="M22" s="95"/>
      <c r="N22" s="65"/>
      <c r="O22" s="65"/>
      <c r="P22" s="65"/>
    </row>
    <row r="23" spans="8:16" x14ac:dyDescent="0.35">
      <c r="H23" s="65"/>
      <c r="I23" s="95"/>
      <c r="J23" s="95"/>
      <c r="K23" s="65"/>
      <c r="L23" s="95"/>
      <c r="M23" s="95"/>
      <c r="N23" s="65"/>
      <c r="O23" s="65"/>
      <c r="P23" s="65"/>
    </row>
    <row r="24" spans="8:16" x14ac:dyDescent="0.35">
      <c r="H24" s="65"/>
      <c r="I24" s="95"/>
      <c r="J24" s="95"/>
      <c r="K24" s="65"/>
      <c r="L24" s="95"/>
      <c r="M24" s="95"/>
      <c r="N24" s="65"/>
      <c r="O24" s="65"/>
      <c r="P24" s="65"/>
    </row>
    <row r="25" spans="8:16" x14ac:dyDescent="0.35">
      <c r="H25" s="65"/>
      <c r="I25" s="95"/>
      <c r="J25" s="95"/>
      <c r="K25" s="65"/>
      <c r="L25" s="95"/>
      <c r="M25" s="95"/>
      <c r="N25" s="65"/>
      <c r="O25" s="65"/>
      <c r="P25" s="65"/>
    </row>
    <row r="26" spans="8:16" x14ac:dyDescent="0.35">
      <c r="H26" s="65"/>
      <c r="I26" s="95"/>
      <c r="J26" s="95"/>
      <c r="K26" s="65"/>
      <c r="L26" s="95"/>
      <c r="M26" s="95"/>
      <c r="N26" s="65"/>
      <c r="O26" s="65"/>
      <c r="P26" s="65"/>
    </row>
    <row r="27" spans="8:16" x14ac:dyDescent="0.35">
      <c r="H27" s="65"/>
      <c r="I27" s="95"/>
      <c r="J27" s="95"/>
      <c r="K27" s="65"/>
      <c r="L27" s="95"/>
      <c r="M27" s="95"/>
      <c r="N27" s="65"/>
      <c r="O27" s="65"/>
      <c r="P27" s="65"/>
    </row>
    <row r="28" spans="8:16" x14ac:dyDescent="0.35">
      <c r="H28" s="65"/>
      <c r="I28" s="95"/>
      <c r="J28" s="95"/>
      <c r="K28" s="65"/>
      <c r="L28" s="95"/>
      <c r="M28" s="95"/>
      <c r="N28" s="65"/>
      <c r="O28" s="65"/>
      <c r="P28" s="65"/>
    </row>
    <row r="29" spans="8:16" x14ac:dyDescent="0.35">
      <c r="H29" s="65"/>
      <c r="I29" s="95"/>
      <c r="J29" s="95"/>
      <c r="K29" s="65"/>
      <c r="L29" s="95"/>
      <c r="M29" s="95"/>
      <c r="N29" s="65"/>
      <c r="O29" s="65"/>
      <c r="P29" s="65"/>
    </row>
    <row r="30" spans="8:16" x14ac:dyDescent="0.35">
      <c r="H30" s="65"/>
      <c r="I30" s="65"/>
      <c r="J30" s="65"/>
      <c r="K30" s="65"/>
      <c r="L30" s="65"/>
      <c r="M30" s="65"/>
      <c r="N30" s="65"/>
      <c r="O30" s="65"/>
      <c r="P30" s="65"/>
    </row>
    <row r="31" spans="8:16" x14ac:dyDescent="0.35">
      <c r="H31" s="65"/>
      <c r="I31" s="65"/>
      <c r="J31" s="65"/>
      <c r="K31" s="65"/>
      <c r="L31" s="65"/>
      <c r="M31" s="65"/>
      <c r="N31" s="65"/>
      <c r="O31" s="65"/>
      <c r="P31" s="65"/>
    </row>
    <row r="32" spans="8:16" x14ac:dyDescent="0.35">
      <c r="H32" s="65"/>
      <c r="I32" s="65"/>
      <c r="J32" s="65"/>
      <c r="K32" s="65"/>
      <c r="L32" s="65"/>
      <c r="M32" s="65"/>
      <c r="N32" s="65"/>
      <c r="O32" s="65"/>
      <c r="P32" s="65"/>
    </row>
  </sheetData>
  <mergeCells count="10">
    <mergeCell ref="I4:I5"/>
    <mergeCell ref="H4:H5"/>
    <mergeCell ref="D8:E8"/>
    <mergeCell ref="F8:G8"/>
    <mergeCell ref="C9:C10"/>
    <mergeCell ref="C11:C12"/>
    <mergeCell ref="D7:E7"/>
    <mergeCell ref="F7:G7"/>
    <mergeCell ref="B9:B10"/>
    <mergeCell ref="B11:B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8E56-54A3-49CB-B656-B3CA7F137028}">
  <dimension ref="A2:K36"/>
  <sheetViews>
    <sheetView zoomScale="87" workbookViewId="0">
      <selection activeCell="H24" sqref="H24"/>
    </sheetView>
  </sheetViews>
  <sheetFormatPr defaultColWidth="8.81640625" defaultRowHeight="16.5" x14ac:dyDescent="0.35"/>
  <cols>
    <col min="1" max="1" width="8.81640625" style="64"/>
    <col min="2" max="2" width="11.7265625" style="64" customWidth="1"/>
    <col min="3" max="4" width="12.26953125" style="64" customWidth="1"/>
    <col min="5" max="5" width="12.08984375" style="64" customWidth="1"/>
    <col min="6" max="6" width="16.1796875" style="64" customWidth="1"/>
    <col min="7" max="7" width="17.6328125" style="64" customWidth="1"/>
    <col min="8" max="8" width="18.1796875" style="64" customWidth="1"/>
    <col min="9" max="9" width="17.7265625" style="64" customWidth="1"/>
    <col min="10" max="10" width="18.1796875" style="64" customWidth="1"/>
    <col min="11" max="11" width="14.453125" style="64" customWidth="1"/>
    <col min="12" max="12" width="19.26953125" style="64" customWidth="1"/>
    <col min="13" max="16384" width="8.81640625" style="64"/>
  </cols>
  <sheetData>
    <row r="2" spans="1:11" ht="17" thickBot="1" x14ac:dyDescent="0.4"/>
    <row r="3" spans="1:11" ht="22.5" customHeight="1" thickBot="1" x14ac:dyDescent="0.4">
      <c r="B3" s="65"/>
      <c r="C3" s="66" t="s">
        <v>0</v>
      </c>
      <c r="D3" s="67" t="s">
        <v>66</v>
      </c>
      <c r="E3" s="68" t="s">
        <v>56</v>
      </c>
      <c r="F3" s="68" t="s">
        <v>59</v>
      </c>
      <c r="G3" s="69" t="s">
        <v>63</v>
      </c>
      <c r="I3" s="262" t="s">
        <v>41</v>
      </c>
      <c r="J3" s="264"/>
      <c r="K3" s="85" t="s">
        <v>76</v>
      </c>
    </row>
    <row r="4" spans="1:11" ht="26.75" customHeight="1" thickBot="1" x14ac:dyDescent="0.4">
      <c r="B4" s="70" t="s">
        <v>57</v>
      </c>
      <c r="C4" s="93">
        <v>500</v>
      </c>
      <c r="D4" s="92">
        <v>96</v>
      </c>
      <c r="E4" s="92">
        <v>0</v>
      </c>
      <c r="F4" s="94">
        <v>100</v>
      </c>
      <c r="G4" s="74">
        <f>C4*(MIN(E4,D4))+IF(E4&gt;D4,(F4*((E4)-D4)),0)</f>
        <v>0</v>
      </c>
      <c r="I4" s="84" t="s">
        <v>64</v>
      </c>
      <c r="J4" s="84" t="s">
        <v>74</v>
      </c>
      <c r="K4" s="76">
        <f>AVERAGE(I9:I18)</f>
        <v>0.2</v>
      </c>
    </row>
    <row r="5" spans="1:11" ht="27.65" customHeight="1" thickBot="1" x14ac:dyDescent="0.4">
      <c r="B5" s="75" t="s">
        <v>58</v>
      </c>
      <c r="C5" s="93">
        <v>900</v>
      </c>
      <c r="D5" s="92">
        <v>12</v>
      </c>
      <c r="E5" s="92">
        <v>0</v>
      </c>
      <c r="F5" s="94">
        <v>150</v>
      </c>
      <c r="G5" s="74">
        <f>C5*(MIN(E5,D5))+IF(E5&gt;D5,(F5*((E5)-D5)),0)</f>
        <v>0</v>
      </c>
      <c r="I5" s="76">
        <f>G4+G5</f>
        <v>0</v>
      </c>
      <c r="J5" s="76">
        <f>AVERAGE(H9:H18)</f>
        <v>51145</v>
      </c>
    </row>
    <row r="6" spans="1:11" ht="29.15" customHeight="1" x14ac:dyDescent="0.35">
      <c r="A6" s="87"/>
      <c r="B6" s="87"/>
      <c r="C6" s="87"/>
      <c r="D6" s="87"/>
      <c r="E6" s="87"/>
      <c r="F6" s="87"/>
      <c r="G6" s="87"/>
    </row>
    <row r="7" spans="1:11" ht="25.75" customHeight="1" x14ac:dyDescent="0.35">
      <c r="A7" s="87"/>
      <c r="B7" s="87"/>
      <c r="C7" s="87"/>
      <c r="D7" s="87"/>
      <c r="E7" s="87"/>
      <c r="F7" s="87"/>
      <c r="G7" s="87"/>
    </row>
    <row r="8" spans="1:11" ht="24" customHeight="1" x14ac:dyDescent="0.35">
      <c r="A8" s="87"/>
      <c r="B8" s="86" t="s">
        <v>71</v>
      </c>
      <c r="C8" s="86" t="s">
        <v>72</v>
      </c>
      <c r="D8" s="88" t="s">
        <v>67</v>
      </c>
      <c r="E8" s="88" t="s">
        <v>68</v>
      </c>
      <c r="F8" s="86" t="s">
        <v>69</v>
      </c>
      <c r="G8" s="86" t="s">
        <v>70</v>
      </c>
      <c r="H8" s="88" t="s">
        <v>73</v>
      </c>
      <c r="I8" s="88" t="s">
        <v>75</v>
      </c>
    </row>
    <row r="9" spans="1:11" ht="19.75" customHeight="1" x14ac:dyDescent="0.5">
      <c r="A9" s="86">
        <v>1</v>
      </c>
      <c r="B9" s="89">
        <v>14.424628261476755</v>
      </c>
      <c r="C9" s="89">
        <v>0.93095539137721062</v>
      </c>
      <c r="D9" s="90">
        <f>IF(B9&gt;0,INT(B9),0)</f>
        <v>14</v>
      </c>
      <c r="E9" s="90">
        <f>IF(C9&gt;0,INT(C9),0)</f>
        <v>0</v>
      </c>
      <c r="F9" s="90">
        <f>($C$4*MIN(D9,$D$4))+(IF($D$4&gt;D9,$F$4*($D$4-D9)))</f>
        <v>15200</v>
      </c>
      <c r="G9" s="90">
        <f>($C$5*MIN($D$5,E9))+($F$5*IF($D$5&gt;E9,$D$5-E9,0))</f>
        <v>1800</v>
      </c>
      <c r="H9" s="91">
        <f>F9+G9</f>
        <v>17000</v>
      </c>
      <c r="I9" s="91">
        <f>IF(H9&gt;45000,0,1)</f>
        <v>1</v>
      </c>
      <c r="J9"/>
    </row>
    <row r="10" spans="1:11" ht="19.25" customHeight="1" x14ac:dyDescent="0.5">
      <c r="A10" s="86">
        <v>2</v>
      </c>
      <c r="B10" s="89">
        <v>94.001634579253732</v>
      </c>
      <c r="C10" s="89">
        <v>10.480196149510448</v>
      </c>
      <c r="D10" s="90">
        <f t="shared" ref="D10:E18" si="0">IF(B10&gt;0,INT(B10),0)</f>
        <v>94</v>
      </c>
      <c r="E10" s="90">
        <f t="shared" si="0"/>
        <v>10</v>
      </c>
      <c r="F10" s="90">
        <f t="shared" ref="F10:F18" si="1">($C$4*MIN(D10,$D$4))+(IF($D$4&gt;D10,$F$4*($D$4-D10)))</f>
        <v>47200</v>
      </c>
      <c r="G10" s="90">
        <f t="shared" ref="G10:G18" si="2">($C$5*MIN($D$5,E10))+($F$5*IF($D$5&gt;E10,$D$5-E10,0))</f>
        <v>9300</v>
      </c>
      <c r="H10" s="91">
        <f t="shared" ref="H10:H18" si="3">F10+G10</f>
        <v>56500</v>
      </c>
      <c r="I10" s="91">
        <f t="shared" ref="I10:I18" si="4">IF(H10&gt;45000,0,1)</f>
        <v>0</v>
      </c>
      <c r="J10"/>
    </row>
    <row r="11" spans="1:11" ht="21.65" customHeight="1" x14ac:dyDescent="0.5">
      <c r="A11" s="86">
        <v>3</v>
      </c>
      <c r="B11" s="89">
        <v>68.355390339856967</v>
      </c>
      <c r="C11" s="89">
        <v>7.4026468407828361</v>
      </c>
      <c r="D11" s="90">
        <f t="shared" si="0"/>
        <v>68</v>
      </c>
      <c r="E11" s="90">
        <f t="shared" si="0"/>
        <v>7</v>
      </c>
      <c r="F11" s="90">
        <f t="shared" si="1"/>
        <v>36800</v>
      </c>
      <c r="G11" s="90">
        <f t="shared" si="2"/>
        <v>7050</v>
      </c>
      <c r="H11" s="91">
        <f t="shared" si="3"/>
        <v>43850</v>
      </c>
      <c r="I11" s="91">
        <f t="shared" si="4"/>
        <v>1</v>
      </c>
      <c r="J11"/>
    </row>
    <row r="12" spans="1:11" ht="18.899999999999999" customHeight="1" x14ac:dyDescent="0.5">
      <c r="A12" s="86">
        <v>4</v>
      </c>
      <c r="B12" s="89">
        <v>111.83162450819509</v>
      </c>
      <c r="C12" s="89">
        <v>12.619794940983411</v>
      </c>
      <c r="D12" s="90">
        <f t="shared" si="0"/>
        <v>111</v>
      </c>
      <c r="E12" s="90">
        <f t="shared" si="0"/>
        <v>12</v>
      </c>
      <c r="F12" s="90">
        <f t="shared" si="1"/>
        <v>48000</v>
      </c>
      <c r="G12" s="90">
        <f t="shared" si="2"/>
        <v>10800</v>
      </c>
      <c r="H12" s="91">
        <f t="shared" si="3"/>
        <v>58800</v>
      </c>
      <c r="I12" s="91">
        <f t="shared" si="4"/>
        <v>0</v>
      </c>
      <c r="J12"/>
    </row>
    <row r="13" spans="1:11" ht="17" x14ac:dyDescent="0.5">
      <c r="A13" s="86">
        <v>5</v>
      </c>
      <c r="B13" s="89">
        <v>95.368121946958127</v>
      </c>
      <c r="C13" s="89">
        <v>10.644174633634975</v>
      </c>
      <c r="D13" s="90">
        <f t="shared" si="0"/>
        <v>95</v>
      </c>
      <c r="E13" s="90">
        <f t="shared" si="0"/>
        <v>10</v>
      </c>
      <c r="F13" s="90">
        <f t="shared" si="1"/>
        <v>47600</v>
      </c>
      <c r="G13" s="90">
        <f t="shared" si="2"/>
        <v>9300</v>
      </c>
      <c r="H13" s="91">
        <f t="shared" si="3"/>
        <v>56900</v>
      </c>
      <c r="I13" s="91">
        <f t="shared" si="4"/>
        <v>0</v>
      </c>
      <c r="J13"/>
    </row>
    <row r="14" spans="1:11" ht="17" x14ac:dyDescent="0.5">
      <c r="A14" s="86">
        <v>6</v>
      </c>
      <c r="B14" s="89">
        <v>88.738189788127784</v>
      </c>
      <c r="C14" s="89">
        <v>9.848582774575334</v>
      </c>
      <c r="D14" s="90">
        <f t="shared" si="0"/>
        <v>88</v>
      </c>
      <c r="E14" s="90">
        <f t="shared" si="0"/>
        <v>9</v>
      </c>
      <c r="F14" s="90">
        <f t="shared" si="1"/>
        <v>44800</v>
      </c>
      <c r="G14" s="90">
        <f t="shared" si="2"/>
        <v>8550</v>
      </c>
      <c r="H14" s="91">
        <f t="shared" si="3"/>
        <v>53350</v>
      </c>
      <c r="I14" s="91">
        <f t="shared" si="4"/>
        <v>0</v>
      </c>
      <c r="J14"/>
    </row>
    <row r="15" spans="1:11" ht="17" x14ac:dyDescent="0.5">
      <c r="A15" s="88">
        <v>7</v>
      </c>
      <c r="B15" s="89">
        <v>80.386641002260149</v>
      </c>
      <c r="C15" s="89">
        <v>8.8463969202712178</v>
      </c>
      <c r="D15" s="90">
        <f t="shared" si="0"/>
        <v>80</v>
      </c>
      <c r="E15" s="90">
        <f t="shared" si="0"/>
        <v>8</v>
      </c>
      <c r="F15" s="90">
        <f t="shared" si="1"/>
        <v>41600</v>
      </c>
      <c r="G15" s="90">
        <f t="shared" si="2"/>
        <v>7800</v>
      </c>
      <c r="H15" s="91">
        <f t="shared" si="3"/>
        <v>49400</v>
      </c>
      <c r="I15" s="91">
        <f t="shared" si="4"/>
        <v>0</v>
      </c>
      <c r="J15"/>
    </row>
    <row r="16" spans="1:11" ht="17" x14ac:dyDescent="0.5">
      <c r="A16" s="88">
        <v>8</v>
      </c>
      <c r="B16" s="89">
        <v>121.47192728647497</v>
      </c>
      <c r="C16" s="89">
        <v>13.776631274376996</v>
      </c>
      <c r="D16" s="90">
        <f t="shared" si="0"/>
        <v>121</v>
      </c>
      <c r="E16" s="90">
        <f t="shared" si="0"/>
        <v>13</v>
      </c>
      <c r="F16" s="90">
        <f t="shared" si="1"/>
        <v>48000</v>
      </c>
      <c r="G16" s="90">
        <f t="shared" si="2"/>
        <v>10800</v>
      </c>
      <c r="H16" s="91">
        <f t="shared" si="3"/>
        <v>58800</v>
      </c>
      <c r="I16" s="91">
        <f t="shared" si="4"/>
        <v>0</v>
      </c>
      <c r="J16"/>
    </row>
    <row r="17" spans="1:10" ht="17" x14ac:dyDescent="0.5">
      <c r="A17" s="88">
        <v>9</v>
      </c>
      <c r="B17" s="89">
        <v>113.15607616765192</v>
      </c>
      <c r="C17" s="89">
        <v>12.77872914011823</v>
      </c>
      <c r="D17" s="90">
        <f t="shared" si="0"/>
        <v>113</v>
      </c>
      <c r="E17" s="90">
        <f t="shared" si="0"/>
        <v>12</v>
      </c>
      <c r="F17" s="90">
        <f t="shared" si="1"/>
        <v>48000</v>
      </c>
      <c r="G17" s="90">
        <f t="shared" si="2"/>
        <v>10800</v>
      </c>
      <c r="H17" s="91">
        <f t="shared" si="3"/>
        <v>58800</v>
      </c>
      <c r="I17" s="91">
        <f t="shared" si="4"/>
        <v>0</v>
      </c>
      <c r="J17"/>
    </row>
    <row r="18" spans="1:10" ht="17" x14ac:dyDescent="0.5">
      <c r="A18" s="88">
        <v>10</v>
      </c>
      <c r="B18" s="89">
        <v>106.5960898357298</v>
      </c>
      <c r="C18" s="89">
        <v>11.991530780287576</v>
      </c>
      <c r="D18" s="90">
        <f t="shared" si="0"/>
        <v>106</v>
      </c>
      <c r="E18" s="90">
        <f t="shared" si="0"/>
        <v>11</v>
      </c>
      <c r="F18" s="90">
        <f t="shared" si="1"/>
        <v>48000</v>
      </c>
      <c r="G18" s="90">
        <f t="shared" si="2"/>
        <v>10050</v>
      </c>
      <c r="H18" s="91">
        <f t="shared" si="3"/>
        <v>58050</v>
      </c>
      <c r="I18" s="91">
        <f t="shared" si="4"/>
        <v>0</v>
      </c>
      <c r="J18"/>
    </row>
    <row r="19" spans="1:10" x14ac:dyDescent="0.35">
      <c r="A19" s="64" t="s">
        <v>53</v>
      </c>
      <c r="B19" s="98">
        <f>AVERAGE(B9:B18)</f>
        <v>89.433032371598529</v>
      </c>
      <c r="C19" s="98">
        <f t="shared" ref="C19:I19" si="5">AVERAGE(C9:C18)</f>
        <v>9.9319638845918234</v>
      </c>
      <c r="D19" s="98">
        <f t="shared" si="5"/>
        <v>89</v>
      </c>
      <c r="E19" s="98">
        <f t="shared" si="5"/>
        <v>9.1999999999999993</v>
      </c>
      <c r="F19" s="98">
        <f t="shared" si="5"/>
        <v>42520</v>
      </c>
      <c r="G19" s="98">
        <f t="shared" si="5"/>
        <v>8625</v>
      </c>
      <c r="H19" s="98">
        <f t="shared" si="5"/>
        <v>51145</v>
      </c>
      <c r="I19" s="98">
        <f t="shared" si="5"/>
        <v>0.2</v>
      </c>
    </row>
    <row r="20" spans="1:10" ht="17" thickBot="1" x14ac:dyDescent="0.4"/>
    <row r="21" spans="1:10" x14ac:dyDescent="0.35">
      <c r="B21" s="97" t="s">
        <v>77</v>
      </c>
      <c r="C21" s="97"/>
    </row>
    <row r="22" spans="1:10" x14ac:dyDescent="0.35">
      <c r="B22" s="95"/>
      <c r="C22" s="95"/>
    </row>
    <row r="23" spans="1:10" x14ac:dyDescent="0.35">
      <c r="B23" s="95" t="s">
        <v>53</v>
      </c>
      <c r="C23" s="99">
        <v>89.433032371598529</v>
      </c>
      <c r="E23" s="98">
        <f>C23+C36</f>
        <v>111.53909915912415</v>
      </c>
    </row>
    <row r="24" spans="1:10" x14ac:dyDescent="0.35">
      <c r="B24" s="95" t="s">
        <v>78</v>
      </c>
      <c r="C24" s="99">
        <v>9.7721180256906788</v>
      </c>
      <c r="E24" s="98">
        <f>C23-C36</f>
        <v>67.326965584072909</v>
      </c>
    </row>
    <row r="25" spans="1:10" x14ac:dyDescent="0.35">
      <c r="B25" s="95" t="s">
        <v>79</v>
      </c>
      <c r="C25" s="99">
        <v>94.684878263105929</v>
      </c>
    </row>
    <row r="26" spans="1:10" x14ac:dyDescent="0.35">
      <c r="B26" s="95" t="s">
        <v>80</v>
      </c>
      <c r="C26" s="99" t="e">
        <v>#N/A</v>
      </c>
    </row>
    <row r="27" spans="1:10" x14ac:dyDescent="0.35">
      <c r="B27" s="95" t="s">
        <v>81</v>
      </c>
      <c r="C27" s="99">
        <v>30.902150525170399</v>
      </c>
    </row>
    <row r="28" spans="1:10" x14ac:dyDescent="0.35">
      <c r="B28" s="95" t="s">
        <v>82</v>
      </c>
      <c r="C28" s="99">
        <v>954.94290708028711</v>
      </c>
    </row>
    <row r="29" spans="1:10" x14ac:dyDescent="0.35">
      <c r="B29" s="95" t="s">
        <v>83</v>
      </c>
      <c r="C29" s="99">
        <v>3.6950759619877518</v>
      </c>
    </row>
    <row r="30" spans="1:10" x14ac:dyDescent="0.35">
      <c r="B30" s="95" t="s">
        <v>84</v>
      </c>
      <c r="C30" s="99">
        <v>-1.7380559700083145</v>
      </c>
    </row>
    <row r="31" spans="1:10" x14ac:dyDescent="0.35">
      <c r="B31" s="95" t="s">
        <v>85</v>
      </c>
      <c r="C31" s="99">
        <v>107.04729902499821</v>
      </c>
    </row>
    <row r="32" spans="1:10" x14ac:dyDescent="0.35">
      <c r="B32" s="95" t="s">
        <v>86</v>
      </c>
      <c r="C32" s="99">
        <v>14.424628261476755</v>
      </c>
    </row>
    <row r="33" spans="2:3" x14ac:dyDescent="0.35">
      <c r="B33" s="95" t="s">
        <v>87</v>
      </c>
      <c r="C33" s="99">
        <v>121.47192728647497</v>
      </c>
    </row>
    <row r="34" spans="2:3" x14ac:dyDescent="0.35">
      <c r="B34" s="95" t="s">
        <v>88</v>
      </c>
      <c r="C34" s="99">
        <v>894.33032371598529</v>
      </c>
    </row>
    <row r="35" spans="2:3" x14ac:dyDescent="0.35">
      <c r="B35" s="95" t="s">
        <v>89</v>
      </c>
      <c r="C35" s="99">
        <v>10</v>
      </c>
    </row>
    <row r="36" spans="2:3" ht="17" thickBot="1" x14ac:dyDescent="0.4">
      <c r="B36" s="96" t="s">
        <v>90</v>
      </c>
      <c r="C36" s="100">
        <v>22.10606678752562</v>
      </c>
    </row>
  </sheetData>
  <mergeCells count="1">
    <mergeCell ref="I3:J3"/>
  </mergeCells>
  <conditionalFormatting sqref="H9:H18">
    <cfRule type="cellIs" dxfId="2" priority="2" operator="lessThan">
      <formula>45000</formula>
    </cfRule>
    <cfRule type="cellIs" dxfId="1" priority="3" operator="greaterThan">
      <formula>45000</formula>
    </cfRule>
  </conditionalFormatting>
  <conditionalFormatting sqref="J5">
    <cfRule type="cellIs" dxfId="0" priority="1" operator="greaterThan">
      <formula>45000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16D2-3437-4DEA-A671-42CBC1FE0A07}">
  <dimension ref="B1:N67"/>
  <sheetViews>
    <sheetView zoomScale="92" zoomScaleNormal="141" workbookViewId="0">
      <selection activeCell="I6" sqref="I6"/>
    </sheetView>
  </sheetViews>
  <sheetFormatPr defaultColWidth="8.81640625" defaultRowHeight="14.5" x14ac:dyDescent="0.35"/>
  <cols>
    <col min="1" max="1" width="8.81640625" style="57"/>
    <col min="2" max="2" width="17.90625" style="57" customWidth="1"/>
    <col min="3" max="3" width="15.6328125" style="57" customWidth="1"/>
    <col min="4" max="4" width="14.08984375" style="57" customWidth="1"/>
    <col min="5" max="5" width="13.453125" style="57" customWidth="1"/>
    <col min="6" max="6" width="14" style="57" customWidth="1"/>
    <col min="7" max="7" width="13.7265625" style="57" customWidth="1"/>
    <col min="8" max="8" width="18.54296875" style="57" customWidth="1"/>
    <col min="9" max="9" width="18.81640625" style="57" customWidth="1"/>
    <col min="10" max="10" width="8.81640625" style="57"/>
    <col min="11" max="11" width="15.90625" style="57" customWidth="1"/>
    <col min="12" max="12" width="14.08984375" style="57" customWidth="1"/>
    <col min="13" max="13" width="13.1796875" style="57" customWidth="1"/>
    <col min="14" max="16384" width="8.81640625" style="57"/>
  </cols>
  <sheetData>
    <row r="1" spans="2:14" ht="15" thickBot="1" x14ac:dyDescent="0.4"/>
    <row r="2" spans="2:14" x14ac:dyDescent="0.35">
      <c r="B2" s="253" t="s">
        <v>94</v>
      </c>
      <c r="C2" s="269">
        <v>0.1</v>
      </c>
      <c r="E2" s="271" t="s">
        <v>135</v>
      </c>
      <c r="F2" s="273">
        <v>0.4</v>
      </c>
      <c r="H2" s="271" t="s">
        <v>136</v>
      </c>
      <c r="I2" s="266">
        <v>350</v>
      </c>
    </row>
    <row r="3" spans="2:14" ht="15" thickBot="1" x14ac:dyDescent="0.4">
      <c r="B3" s="268"/>
      <c r="C3" s="270"/>
      <c r="E3" s="272"/>
      <c r="F3" s="274"/>
      <c r="H3" s="272"/>
      <c r="I3" s="267"/>
    </row>
    <row r="4" spans="2:14" ht="15" thickBot="1" x14ac:dyDescent="0.4"/>
    <row r="5" spans="2:14" ht="26.15" customHeight="1" thickBot="1" x14ac:dyDescent="0.4">
      <c r="B5" s="23"/>
      <c r="C5" s="171" t="s">
        <v>139</v>
      </c>
      <c r="D5" s="253" t="s">
        <v>138</v>
      </c>
      <c r="E5" s="242"/>
      <c r="F5" s="242"/>
      <c r="G5" s="242"/>
      <c r="H5" s="243"/>
      <c r="I5" s="171" t="s">
        <v>137</v>
      </c>
    </row>
    <row r="6" spans="2:14" ht="29.4" customHeight="1" thickBot="1" x14ac:dyDescent="0.4">
      <c r="B6" s="143" t="s">
        <v>151</v>
      </c>
      <c r="C6" s="168">
        <v>-200</v>
      </c>
      <c r="D6" s="168">
        <v>50</v>
      </c>
      <c r="E6" s="168">
        <v>50</v>
      </c>
      <c r="F6" s="168">
        <v>50</v>
      </c>
      <c r="G6" s="168">
        <v>50</v>
      </c>
      <c r="H6" s="160">
        <v>50</v>
      </c>
      <c r="I6" s="162">
        <v>0</v>
      </c>
      <c r="K6" s="143" t="s">
        <v>153</v>
      </c>
      <c r="L6" s="118" t="s">
        <v>140</v>
      </c>
      <c r="M6" s="144" t="s">
        <v>93</v>
      </c>
      <c r="N6" s="118" t="s">
        <v>95</v>
      </c>
    </row>
    <row r="7" spans="2:14" ht="29.4" customHeight="1" thickBot="1" x14ac:dyDescent="0.4">
      <c r="B7" s="142" t="s">
        <v>149</v>
      </c>
      <c r="C7" s="169">
        <v>10</v>
      </c>
      <c r="D7" s="169">
        <f>(D6-($I$2/5))</f>
        <v>-20</v>
      </c>
      <c r="E7" s="169">
        <f t="shared" ref="E7:H7" si="0">(E6-($I$2/5))</f>
        <v>-20</v>
      </c>
      <c r="F7" s="169">
        <f t="shared" si="0"/>
        <v>-20</v>
      </c>
      <c r="G7" s="145">
        <f t="shared" si="0"/>
        <v>-20</v>
      </c>
      <c r="H7" s="163">
        <f t="shared" si="0"/>
        <v>-20</v>
      </c>
      <c r="I7" s="146">
        <f>(C6+C7+I2)+I6</f>
        <v>160</v>
      </c>
      <c r="K7" s="275">
        <f>SUM(D11:I11)</f>
        <v>226</v>
      </c>
      <c r="L7" s="277">
        <f>SUM(C9:I10)</f>
        <v>28</v>
      </c>
      <c r="M7" s="277">
        <f>SUM(C8:I8)</f>
        <v>-19.873332050095975</v>
      </c>
      <c r="N7" s="279">
        <f>IRR(C6:I6)</f>
        <v>7.9308261160397242E-2</v>
      </c>
    </row>
    <row r="8" spans="2:14" ht="28.75" customHeight="1" thickBot="1" x14ac:dyDescent="0.4">
      <c r="B8" s="142" t="s">
        <v>93</v>
      </c>
      <c r="C8" s="169">
        <f>C6</f>
        <v>-200</v>
      </c>
      <c r="D8" s="169">
        <f>D11/((1+$C$2)^1)</f>
        <v>52.72727272727272</v>
      </c>
      <c r="E8" s="169">
        <f>E11/((1+$C$2)^2)</f>
        <v>47.933884297520656</v>
      </c>
      <c r="F8" s="169">
        <f>F11/((1+$C$2)^3)</f>
        <v>43.576258452291498</v>
      </c>
      <c r="G8" s="145">
        <f>G11/((1+$C$2)^4)</f>
        <v>39.614780411174088</v>
      </c>
      <c r="H8" s="163">
        <f>H11/((1+$C$2)^5)</f>
        <v>36.013436737430986</v>
      </c>
      <c r="I8" s="146">
        <f>I11/((1+$C$2)^5)</f>
        <v>-39.738964675785915</v>
      </c>
      <c r="K8" s="276"/>
      <c r="L8" s="278"/>
      <c r="M8" s="278"/>
      <c r="N8" s="280"/>
    </row>
    <row r="9" spans="2:14" x14ac:dyDescent="0.35">
      <c r="B9" s="253" t="s">
        <v>140</v>
      </c>
      <c r="C9" s="286">
        <f>C7*F2</f>
        <v>4</v>
      </c>
      <c r="D9" s="286">
        <f>$F$2*D7</f>
        <v>-8</v>
      </c>
      <c r="E9" s="286">
        <f t="shared" ref="E9:H9" si="1">$F$2*E7</f>
        <v>-8</v>
      </c>
      <c r="F9" s="286">
        <f t="shared" si="1"/>
        <v>-8</v>
      </c>
      <c r="G9" s="287">
        <f t="shared" si="1"/>
        <v>-8</v>
      </c>
      <c r="H9" s="288">
        <f t="shared" si="1"/>
        <v>-8</v>
      </c>
      <c r="I9" s="281">
        <f>$F$2*I7</f>
        <v>64</v>
      </c>
      <c r="L9" s="138"/>
      <c r="M9" s="129"/>
      <c r="N9" s="130"/>
    </row>
    <row r="10" spans="2:14" ht="15" thickBot="1" x14ac:dyDescent="0.4">
      <c r="B10" s="268"/>
      <c r="C10" s="286"/>
      <c r="D10" s="286"/>
      <c r="E10" s="286"/>
      <c r="F10" s="286"/>
      <c r="G10" s="287"/>
      <c r="H10" s="288"/>
      <c r="I10" s="281"/>
      <c r="M10" s="141"/>
    </row>
    <row r="11" spans="2:14" ht="28.25" customHeight="1" thickBot="1" x14ac:dyDescent="0.4">
      <c r="B11" s="143" t="s">
        <v>152</v>
      </c>
      <c r="C11" s="170">
        <f>C6+C9</f>
        <v>-196</v>
      </c>
      <c r="D11" s="170">
        <f t="shared" ref="D11:H11" si="2">D6-D9</f>
        <v>58</v>
      </c>
      <c r="E11" s="170">
        <f t="shared" si="2"/>
        <v>58</v>
      </c>
      <c r="F11" s="170">
        <f t="shared" si="2"/>
        <v>58</v>
      </c>
      <c r="G11" s="147">
        <f t="shared" si="2"/>
        <v>58</v>
      </c>
      <c r="H11" s="164">
        <f t="shared" si="2"/>
        <v>58</v>
      </c>
      <c r="I11" s="165">
        <f>I6-I9</f>
        <v>-64</v>
      </c>
      <c r="M11" s="141"/>
    </row>
    <row r="12" spans="2:14" s="22" customFormat="1" x14ac:dyDescent="0.35">
      <c r="D12" s="140"/>
      <c r="E12" s="140"/>
      <c r="F12" s="140"/>
      <c r="G12" s="140"/>
      <c r="H12" s="140"/>
      <c r="I12" s="140"/>
    </row>
    <row r="13" spans="2:14" s="22" customFormat="1" x14ac:dyDescent="0.35">
      <c r="B13" s="282"/>
      <c r="C13" s="283"/>
      <c r="D13" s="140"/>
      <c r="E13" s="282"/>
      <c r="F13" s="284"/>
      <c r="H13" s="282"/>
      <c r="I13" s="285"/>
    </row>
    <row r="14" spans="2:14" s="22" customFormat="1" x14ac:dyDescent="0.35">
      <c r="B14" s="282"/>
      <c r="C14" s="283"/>
      <c r="D14" s="140"/>
      <c r="E14" s="282"/>
      <c r="F14" s="284"/>
      <c r="H14" s="282"/>
      <c r="I14" s="282"/>
    </row>
    <row r="15" spans="2:14" s="22" customFormat="1" ht="24.9" customHeight="1" thickBot="1" x14ac:dyDescent="0.4">
      <c r="D15" s="282"/>
      <c r="E15" s="282"/>
      <c r="F15" s="282"/>
      <c r="G15" s="282"/>
      <c r="H15" s="282"/>
    </row>
    <row r="16" spans="2:14" s="22" customFormat="1" ht="20.149999999999999" customHeight="1" x14ac:dyDescent="0.35">
      <c r="B16" s="253" t="s">
        <v>94</v>
      </c>
      <c r="C16" s="269">
        <v>0.1</v>
      </c>
      <c r="D16" s="57"/>
      <c r="E16" s="271" t="s">
        <v>135</v>
      </c>
      <c r="F16" s="273">
        <v>0.4</v>
      </c>
      <c r="G16" s="57"/>
      <c r="H16" s="271" t="s">
        <v>136</v>
      </c>
      <c r="I16" s="266">
        <v>300</v>
      </c>
      <c r="J16" s="57"/>
      <c r="K16" s="57"/>
      <c r="L16" s="57"/>
      <c r="M16" s="57"/>
      <c r="N16" s="57"/>
    </row>
    <row r="17" spans="2:14" s="22" customFormat="1" ht="18.649999999999999" customHeight="1" thickBot="1" x14ac:dyDescent="0.4">
      <c r="B17" s="268"/>
      <c r="C17" s="270"/>
      <c r="D17" s="57"/>
      <c r="E17" s="272"/>
      <c r="F17" s="274"/>
      <c r="G17" s="57"/>
      <c r="H17" s="272"/>
      <c r="I17" s="267"/>
      <c r="J17" s="57"/>
      <c r="K17" s="57"/>
      <c r="L17" s="57"/>
      <c r="M17" s="57"/>
      <c r="N17" s="57"/>
    </row>
    <row r="18" spans="2:14" s="22" customFormat="1" ht="28.5" customHeight="1" thickBot="1" x14ac:dyDescent="0.4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2:14" s="22" customFormat="1" ht="32.15" customHeight="1" thickBot="1" x14ac:dyDescent="0.4">
      <c r="B19" s="23"/>
      <c r="C19" s="171" t="s">
        <v>139</v>
      </c>
      <c r="D19" s="253" t="s">
        <v>138</v>
      </c>
      <c r="E19" s="242"/>
      <c r="F19" s="242"/>
      <c r="G19" s="242"/>
      <c r="H19" s="243"/>
      <c r="I19" s="171" t="s">
        <v>137</v>
      </c>
      <c r="J19" s="57"/>
      <c r="K19" s="57"/>
      <c r="L19" s="57"/>
      <c r="M19" s="57"/>
      <c r="N19" s="57"/>
    </row>
    <row r="20" spans="2:14" s="22" customFormat="1" ht="31.25" customHeight="1" thickBot="1" x14ac:dyDescent="0.4">
      <c r="B20" s="158" t="s">
        <v>151</v>
      </c>
      <c r="C20" s="168">
        <v>-360</v>
      </c>
      <c r="D20" s="168">
        <v>0</v>
      </c>
      <c r="E20" s="168">
        <v>0</v>
      </c>
      <c r="F20" s="168">
        <v>0</v>
      </c>
      <c r="G20" s="168">
        <v>0</v>
      </c>
      <c r="H20" s="160">
        <v>0</v>
      </c>
      <c r="I20" s="162">
        <v>0</v>
      </c>
      <c r="J20" s="57"/>
      <c r="K20" s="158" t="s">
        <v>153</v>
      </c>
      <c r="L20" s="118" t="s">
        <v>140</v>
      </c>
      <c r="M20" s="159" t="s">
        <v>93</v>
      </c>
      <c r="N20" s="118" t="s">
        <v>95</v>
      </c>
    </row>
    <row r="21" spans="2:14" s="22" customFormat="1" ht="30.65" customHeight="1" thickBot="1" x14ac:dyDescent="0.4">
      <c r="B21" s="157" t="s">
        <v>149</v>
      </c>
      <c r="C21" s="169">
        <v>60</v>
      </c>
      <c r="D21" s="169">
        <f>(D20-($I$16/5))</f>
        <v>-60</v>
      </c>
      <c r="E21" s="169">
        <f>(E20-($I$16/5))</f>
        <v>-60</v>
      </c>
      <c r="F21" s="169">
        <f t="shared" ref="F21:H21" si="3">(F20-($I$16/5))</f>
        <v>-60</v>
      </c>
      <c r="G21" s="169">
        <f t="shared" si="3"/>
        <v>-60</v>
      </c>
      <c r="H21" s="163">
        <f t="shared" si="3"/>
        <v>-60</v>
      </c>
      <c r="I21" s="146">
        <f>(C20+I16)+I20</f>
        <v>-60</v>
      </c>
      <c r="J21" s="57"/>
      <c r="K21" s="275">
        <f>SUM(D25:I25)</f>
        <v>144</v>
      </c>
      <c r="L21" s="277">
        <f>SUM(C23:I24)</f>
        <v>-140</v>
      </c>
      <c r="M21" s="277">
        <f>SUM(C22:I22)</f>
        <v>-254.11900578077757</v>
      </c>
      <c r="N21" s="279" t="e">
        <f>IRR(C20:I20)</f>
        <v>#NUM!</v>
      </c>
    </row>
    <row r="22" spans="2:14" s="22" customFormat="1" ht="32.15" customHeight="1" thickBot="1" x14ac:dyDescent="0.4">
      <c r="B22" s="157" t="s">
        <v>93</v>
      </c>
      <c r="C22" s="169">
        <f>C20</f>
        <v>-360</v>
      </c>
      <c r="D22" s="169">
        <f>D25/((1+$C$16)^1)</f>
        <v>21.818181818181817</v>
      </c>
      <c r="E22" s="169">
        <f>E25/((1+C16)^2)</f>
        <v>19.834710743801651</v>
      </c>
      <c r="F22" s="169">
        <f>F25/((1+$C$16)^3)</f>
        <v>18.031555221637859</v>
      </c>
      <c r="G22" s="145">
        <f>G25/((1+$C$16)^4)</f>
        <v>16.392322928761693</v>
      </c>
      <c r="H22" s="163">
        <f>H25/((1+$C$16)^5)</f>
        <v>14.902111753419719</v>
      </c>
      <c r="I22" s="146">
        <f>I25/((1+$C$16)^5)</f>
        <v>14.902111753419719</v>
      </c>
      <c r="J22" s="57"/>
      <c r="K22" s="276"/>
      <c r="L22" s="278"/>
      <c r="M22" s="278"/>
      <c r="N22" s="280"/>
    </row>
    <row r="23" spans="2:14" x14ac:dyDescent="0.35">
      <c r="B23" s="253" t="s">
        <v>140</v>
      </c>
      <c r="C23" s="286">
        <v>4</v>
      </c>
      <c r="D23" s="286">
        <f>$F$16*D21</f>
        <v>-24</v>
      </c>
      <c r="E23" s="286">
        <f t="shared" ref="E23:H23" si="4">$F$16*E21</f>
        <v>-24</v>
      </c>
      <c r="F23" s="286">
        <f t="shared" si="4"/>
        <v>-24</v>
      </c>
      <c r="G23" s="286">
        <f t="shared" si="4"/>
        <v>-24</v>
      </c>
      <c r="H23" s="288">
        <f t="shared" si="4"/>
        <v>-24</v>
      </c>
      <c r="I23" s="281">
        <f>$F$16*I21</f>
        <v>-24</v>
      </c>
      <c r="L23" s="138"/>
      <c r="M23" s="129"/>
      <c r="N23" s="130"/>
    </row>
    <row r="24" spans="2:14" ht="15" customHeight="1" thickBot="1" x14ac:dyDescent="0.4">
      <c r="B24" s="268"/>
      <c r="C24" s="286"/>
      <c r="D24" s="286"/>
      <c r="E24" s="286"/>
      <c r="F24" s="286"/>
      <c r="G24" s="286"/>
      <c r="H24" s="288"/>
      <c r="I24" s="281"/>
      <c r="M24" s="141"/>
    </row>
    <row r="25" spans="2:14" ht="30.9" customHeight="1" thickBot="1" x14ac:dyDescent="0.4">
      <c r="B25" s="158" t="s">
        <v>152</v>
      </c>
      <c r="C25" s="170">
        <f>C20+C23</f>
        <v>-356</v>
      </c>
      <c r="D25" s="170">
        <f t="shared" ref="D25:H25" si="5">D20-D23</f>
        <v>24</v>
      </c>
      <c r="E25" s="170">
        <f t="shared" si="5"/>
        <v>24</v>
      </c>
      <c r="F25" s="170">
        <f t="shared" si="5"/>
        <v>24</v>
      </c>
      <c r="G25" s="147">
        <f t="shared" si="5"/>
        <v>24</v>
      </c>
      <c r="H25" s="164">
        <f t="shared" si="5"/>
        <v>24</v>
      </c>
      <c r="I25" s="165">
        <f>I20-I23</f>
        <v>24</v>
      </c>
      <c r="M25" s="141"/>
    </row>
    <row r="26" spans="2:14" x14ac:dyDescent="0.35">
      <c r="B26" s="22"/>
      <c r="C26" s="22"/>
      <c r="D26" s="140"/>
      <c r="E26" s="140"/>
      <c r="F26" s="140"/>
      <c r="G26" s="140"/>
      <c r="H26" s="140"/>
      <c r="I26" s="140"/>
      <c r="J26" s="22"/>
      <c r="K26" s="22"/>
      <c r="L26" s="22"/>
      <c r="M26" s="22"/>
      <c r="N26" s="22"/>
    </row>
    <row r="27" spans="2:14" x14ac:dyDescent="0.35">
      <c r="B27" s="282"/>
      <c r="C27" s="283"/>
      <c r="D27" s="140"/>
      <c r="E27" s="282"/>
      <c r="F27" s="284"/>
      <c r="G27" s="22"/>
      <c r="H27" s="282"/>
      <c r="I27" s="285"/>
      <c r="J27" s="22"/>
      <c r="K27" s="22"/>
      <c r="L27" s="22"/>
      <c r="M27" s="22"/>
      <c r="N27" s="22"/>
    </row>
    <row r="28" spans="2:14" x14ac:dyDescent="0.35">
      <c r="B28" s="282"/>
      <c r="C28" s="283"/>
      <c r="D28" s="140"/>
      <c r="E28" s="282"/>
      <c r="F28" s="284"/>
      <c r="G28" s="22"/>
      <c r="H28" s="282"/>
      <c r="I28" s="282"/>
      <c r="J28" s="22"/>
      <c r="K28" s="22"/>
      <c r="L28" s="22"/>
      <c r="M28" s="22"/>
      <c r="N28" s="22"/>
    </row>
    <row r="29" spans="2:14" x14ac:dyDescent="0.35">
      <c r="C29" s="133"/>
      <c r="D29" s="131"/>
      <c r="F29" s="22"/>
      <c r="G29" s="22"/>
      <c r="H29" s="22"/>
    </row>
    <row r="30" spans="2:14" x14ac:dyDescent="0.35">
      <c r="C30" s="133"/>
      <c r="D30" s="131"/>
    </row>
    <row r="31" spans="2:14" x14ac:dyDescent="0.35">
      <c r="C31" s="133"/>
      <c r="D31" s="131"/>
    </row>
    <row r="32" spans="2:14" x14ac:dyDescent="0.35">
      <c r="C32" s="132"/>
      <c r="D32" s="131"/>
    </row>
    <row r="33" spans="3:4" x14ac:dyDescent="0.35">
      <c r="C33" s="132"/>
      <c r="D33" s="131"/>
    </row>
    <row r="34" spans="3:4" x14ac:dyDescent="0.35">
      <c r="C34" s="132"/>
      <c r="D34" s="131"/>
    </row>
    <row r="35" spans="3:4" x14ac:dyDescent="0.35">
      <c r="C35" s="132"/>
      <c r="D35" s="131"/>
    </row>
    <row r="36" spans="3:4" x14ac:dyDescent="0.35">
      <c r="C36" s="132"/>
      <c r="D36" s="131"/>
    </row>
    <row r="37" spans="3:4" x14ac:dyDescent="0.35">
      <c r="C37" s="132"/>
      <c r="D37" s="131"/>
    </row>
    <row r="38" spans="3:4" x14ac:dyDescent="0.35">
      <c r="C38" s="132"/>
      <c r="D38" s="131"/>
    </row>
    <row r="39" spans="3:4" x14ac:dyDescent="0.35">
      <c r="C39" s="132"/>
      <c r="D39" s="131"/>
    </row>
    <row r="40" spans="3:4" x14ac:dyDescent="0.35">
      <c r="C40" s="132"/>
      <c r="D40" s="131"/>
    </row>
    <row r="41" spans="3:4" x14ac:dyDescent="0.35">
      <c r="C41" s="132"/>
      <c r="D41" s="131"/>
    </row>
    <row r="42" spans="3:4" x14ac:dyDescent="0.35">
      <c r="C42" s="132"/>
      <c r="D42" s="131"/>
    </row>
    <row r="43" spans="3:4" x14ac:dyDescent="0.35">
      <c r="C43" s="132"/>
      <c r="D43" s="131"/>
    </row>
    <row r="44" spans="3:4" x14ac:dyDescent="0.35">
      <c r="C44" s="132"/>
      <c r="D44" s="131"/>
    </row>
    <row r="45" spans="3:4" x14ac:dyDescent="0.35">
      <c r="C45" s="132"/>
      <c r="D45" s="131"/>
    </row>
    <row r="46" spans="3:4" x14ac:dyDescent="0.35">
      <c r="C46" s="132"/>
      <c r="D46" s="131"/>
    </row>
    <row r="47" spans="3:4" x14ac:dyDescent="0.35">
      <c r="C47" s="132"/>
      <c r="D47" s="131"/>
    </row>
    <row r="48" spans="3:4" x14ac:dyDescent="0.35">
      <c r="C48" s="132"/>
      <c r="D48" s="131"/>
    </row>
    <row r="49" spans="3:4" x14ac:dyDescent="0.35">
      <c r="C49" s="132"/>
      <c r="D49" s="131"/>
    </row>
    <row r="50" spans="3:4" x14ac:dyDescent="0.35">
      <c r="C50" s="132"/>
    </row>
    <row r="51" spans="3:4" x14ac:dyDescent="0.35">
      <c r="C51" s="132"/>
    </row>
    <row r="52" spans="3:4" x14ac:dyDescent="0.35">
      <c r="C52" s="132"/>
    </row>
    <row r="53" spans="3:4" x14ac:dyDescent="0.35">
      <c r="C53" s="132"/>
    </row>
    <row r="54" spans="3:4" x14ac:dyDescent="0.35">
      <c r="C54" s="132"/>
    </row>
    <row r="55" spans="3:4" x14ac:dyDescent="0.35">
      <c r="C55" s="132"/>
    </row>
    <row r="56" spans="3:4" x14ac:dyDescent="0.35">
      <c r="C56" s="132"/>
    </row>
    <row r="57" spans="3:4" x14ac:dyDescent="0.35">
      <c r="C57" s="132"/>
    </row>
    <row r="58" spans="3:4" x14ac:dyDescent="0.35">
      <c r="C58" s="132"/>
    </row>
    <row r="59" spans="3:4" x14ac:dyDescent="0.35">
      <c r="C59" s="132"/>
    </row>
    <row r="60" spans="3:4" x14ac:dyDescent="0.35">
      <c r="C60" s="132"/>
    </row>
    <row r="61" spans="3:4" x14ac:dyDescent="0.35">
      <c r="C61" s="132"/>
    </row>
    <row r="62" spans="3:4" x14ac:dyDescent="0.35">
      <c r="C62" s="132"/>
    </row>
    <row r="63" spans="3:4" x14ac:dyDescent="0.35">
      <c r="C63" s="132"/>
    </row>
    <row r="64" spans="3:4" x14ac:dyDescent="0.35">
      <c r="C64" s="132"/>
    </row>
    <row r="65" spans="3:3" x14ac:dyDescent="0.35">
      <c r="C65" s="132"/>
    </row>
    <row r="66" spans="3:3" x14ac:dyDescent="0.35">
      <c r="C66" s="132"/>
    </row>
    <row r="67" spans="3:3" x14ac:dyDescent="0.35">
      <c r="C67" s="132"/>
    </row>
  </sheetData>
  <mergeCells count="51">
    <mergeCell ref="B27:B28"/>
    <mergeCell ref="C27:C28"/>
    <mergeCell ref="E27:E28"/>
    <mergeCell ref="F27:F28"/>
    <mergeCell ref="H27:H28"/>
    <mergeCell ref="N21:N22"/>
    <mergeCell ref="B23:B24"/>
    <mergeCell ref="C23:C24"/>
    <mergeCell ref="D23:D24"/>
    <mergeCell ref="E23:E24"/>
    <mergeCell ref="F23:F24"/>
    <mergeCell ref="G23:G24"/>
    <mergeCell ref="H23:H24"/>
    <mergeCell ref="I23:I24"/>
    <mergeCell ref="L21:L22"/>
    <mergeCell ref="I16:I17"/>
    <mergeCell ref="D19:H19"/>
    <mergeCell ref="K21:K22"/>
    <mergeCell ref="I27:I28"/>
    <mergeCell ref="M21:M22"/>
    <mergeCell ref="D15:H15"/>
    <mergeCell ref="B16:B17"/>
    <mergeCell ref="C16:C17"/>
    <mergeCell ref="E16:E17"/>
    <mergeCell ref="G9:G10"/>
    <mergeCell ref="H9:H10"/>
    <mergeCell ref="F16:F17"/>
    <mergeCell ref="H16:H17"/>
    <mergeCell ref="I9:I10"/>
    <mergeCell ref="B13:B14"/>
    <mergeCell ref="C13:C14"/>
    <mergeCell ref="E13:E14"/>
    <mergeCell ref="F13:F14"/>
    <mergeCell ref="H13:H14"/>
    <mergeCell ref="I13:I14"/>
    <mergeCell ref="B9:B10"/>
    <mergeCell ref="C9:C10"/>
    <mergeCell ref="D9:D10"/>
    <mergeCell ref="E9:E10"/>
    <mergeCell ref="F9:F10"/>
    <mergeCell ref="D5:H5"/>
    <mergeCell ref="K7:K8"/>
    <mergeCell ref="L7:L8"/>
    <mergeCell ref="M7:M8"/>
    <mergeCell ref="N7:N8"/>
    <mergeCell ref="I2:I3"/>
    <mergeCell ref="B2:B3"/>
    <mergeCell ref="C2:C3"/>
    <mergeCell ref="E2:E3"/>
    <mergeCell ref="F2:F3"/>
    <mergeCell ref="H2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2741-7F93-451B-88E6-54B69C032930}">
  <dimension ref="B1:N68"/>
  <sheetViews>
    <sheetView zoomScale="85" zoomScaleNormal="85" workbookViewId="0">
      <selection activeCell="C6" sqref="C6:I6"/>
    </sheetView>
  </sheetViews>
  <sheetFormatPr defaultColWidth="8.81640625" defaultRowHeight="14.5" x14ac:dyDescent="0.35"/>
  <cols>
    <col min="1" max="1" width="8.81640625" style="57"/>
    <col min="2" max="2" width="17.90625" style="57" customWidth="1"/>
    <col min="3" max="3" width="15.6328125" style="57" customWidth="1"/>
    <col min="4" max="4" width="14.08984375" style="57" customWidth="1"/>
    <col min="5" max="5" width="13.453125" style="57" customWidth="1"/>
    <col min="6" max="6" width="14" style="57" customWidth="1"/>
    <col min="7" max="7" width="13.7265625" style="57" customWidth="1"/>
    <col min="8" max="8" width="18.54296875" style="57" customWidth="1"/>
    <col min="9" max="9" width="18.81640625" style="57" customWidth="1"/>
    <col min="10" max="10" width="8.81640625" style="57"/>
    <col min="11" max="11" width="15.90625" style="57" customWidth="1"/>
    <col min="12" max="12" width="14.08984375" style="57" customWidth="1"/>
    <col min="13" max="13" width="13.1796875" style="57" customWidth="1"/>
    <col min="14" max="16384" width="8.81640625" style="57"/>
  </cols>
  <sheetData>
    <row r="1" spans="2:14" ht="15" thickBot="1" x14ac:dyDescent="0.4"/>
    <row r="2" spans="2:14" x14ac:dyDescent="0.35">
      <c r="B2" s="253" t="s">
        <v>94</v>
      </c>
      <c r="C2" s="269">
        <v>0.1</v>
      </c>
      <c r="E2" s="271" t="s">
        <v>135</v>
      </c>
      <c r="F2" s="273">
        <v>0.4</v>
      </c>
      <c r="H2" s="271" t="s">
        <v>136</v>
      </c>
      <c r="I2" s="266">
        <v>150</v>
      </c>
    </row>
    <row r="3" spans="2:14" ht="15" thickBot="1" x14ac:dyDescent="0.4">
      <c r="B3" s="268"/>
      <c r="C3" s="270"/>
      <c r="E3" s="272"/>
      <c r="F3" s="274"/>
      <c r="H3" s="272"/>
      <c r="I3" s="267"/>
    </row>
    <row r="4" spans="2:14" ht="15" thickBot="1" x14ac:dyDescent="0.4"/>
    <row r="5" spans="2:14" ht="26.15" customHeight="1" thickBot="1" x14ac:dyDescent="0.4">
      <c r="B5" s="23"/>
      <c r="C5" s="118" t="s">
        <v>139</v>
      </c>
      <c r="D5" s="289" t="s">
        <v>138</v>
      </c>
      <c r="E5" s="290"/>
      <c r="F5" s="290"/>
      <c r="G5" s="290"/>
      <c r="H5" s="291"/>
      <c r="I5" s="118" t="s">
        <v>137</v>
      </c>
    </row>
    <row r="6" spans="2:14" ht="29.4" customHeight="1" thickBot="1" x14ac:dyDescent="0.4">
      <c r="B6" s="143" t="s">
        <v>151</v>
      </c>
      <c r="C6" s="160">
        <v>-200</v>
      </c>
      <c r="D6" s="161">
        <v>50</v>
      </c>
      <c r="E6" s="161">
        <v>50</v>
      </c>
      <c r="F6" s="161">
        <v>50</v>
      </c>
      <c r="G6" s="161">
        <v>50</v>
      </c>
      <c r="H6" s="161">
        <v>50</v>
      </c>
      <c r="I6" s="162">
        <v>20</v>
      </c>
      <c r="K6" s="143" t="s">
        <v>153</v>
      </c>
      <c r="L6" s="118" t="s">
        <v>140</v>
      </c>
      <c r="M6" s="144" t="s">
        <v>93</v>
      </c>
      <c r="N6" s="118" t="s">
        <v>95</v>
      </c>
    </row>
    <row r="7" spans="2:14" ht="29.4" customHeight="1" thickBot="1" x14ac:dyDescent="0.4">
      <c r="B7" s="142" t="s">
        <v>149</v>
      </c>
      <c r="C7" s="163">
        <f>C6</f>
        <v>-200</v>
      </c>
      <c r="D7" s="145">
        <f>(D6-($I$2/5))</f>
        <v>20</v>
      </c>
      <c r="E7" s="145">
        <f t="shared" ref="E7:H7" si="0">(E6-($I$2/5))</f>
        <v>20</v>
      </c>
      <c r="F7" s="145">
        <f t="shared" si="0"/>
        <v>20</v>
      </c>
      <c r="G7" s="145">
        <f t="shared" si="0"/>
        <v>20</v>
      </c>
      <c r="H7" s="145">
        <f t="shared" si="0"/>
        <v>20</v>
      </c>
      <c r="I7" s="146">
        <f>(C6+I2)+I6</f>
        <v>-30</v>
      </c>
      <c r="K7" s="275">
        <f>SUM(C11:I11)</f>
        <v>42</v>
      </c>
      <c r="L7" s="277">
        <f>SUM(C9:I10)</f>
        <v>28</v>
      </c>
      <c r="M7" s="277">
        <f>SUM(C8:I8)</f>
        <v>-20.917473346952253</v>
      </c>
      <c r="N7" s="279">
        <f>IRR(C6:I6)</f>
        <v>0.10152361499696361</v>
      </c>
    </row>
    <row r="8" spans="2:14" ht="28.75" customHeight="1" thickBot="1" x14ac:dyDescent="0.4">
      <c r="B8" s="142" t="s">
        <v>93</v>
      </c>
      <c r="C8" s="163">
        <f>C6</f>
        <v>-200</v>
      </c>
      <c r="D8" s="145">
        <f>D11/((1+$C$2)^1)</f>
        <v>38.18181818181818</v>
      </c>
      <c r="E8" s="145">
        <f>E11/((1+$C$2)^2)</f>
        <v>34.710743801652889</v>
      </c>
      <c r="F8" s="145">
        <f>F11/((1+$C$2)^3)</f>
        <v>31.555221637866257</v>
      </c>
      <c r="G8" s="145">
        <f>G11/((1+$C$2)^4)</f>
        <v>28.686565125332962</v>
      </c>
      <c r="H8" s="145">
        <f>H11/((1+$C$2)^5)</f>
        <v>26.078695568484509</v>
      </c>
      <c r="I8" s="146">
        <f>I11/((1+$C$2)^5)</f>
        <v>19.869482337892958</v>
      </c>
      <c r="K8" s="276"/>
      <c r="L8" s="278"/>
      <c r="M8" s="278"/>
      <c r="N8" s="280"/>
    </row>
    <row r="9" spans="2:14" x14ac:dyDescent="0.35">
      <c r="B9" s="253" t="s">
        <v>140</v>
      </c>
      <c r="C9" s="288">
        <v>0</v>
      </c>
      <c r="D9" s="287">
        <f>$F$2*D7</f>
        <v>8</v>
      </c>
      <c r="E9" s="287">
        <f t="shared" ref="E9:H9" si="1">$F$2*E7</f>
        <v>8</v>
      </c>
      <c r="F9" s="287">
        <f t="shared" si="1"/>
        <v>8</v>
      </c>
      <c r="G9" s="287">
        <f t="shared" si="1"/>
        <v>8</v>
      </c>
      <c r="H9" s="287">
        <f t="shared" si="1"/>
        <v>8</v>
      </c>
      <c r="I9" s="281">
        <f>$F$2*I7</f>
        <v>-12</v>
      </c>
      <c r="L9" s="138"/>
      <c r="M9" s="129"/>
      <c r="N9" s="130"/>
    </row>
    <row r="10" spans="2:14" ht="15" thickBot="1" x14ac:dyDescent="0.4">
      <c r="B10" s="268"/>
      <c r="C10" s="288"/>
      <c r="D10" s="287"/>
      <c r="E10" s="287"/>
      <c r="F10" s="287"/>
      <c r="G10" s="287"/>
      <c r="H10" s="287"/>
      <c r="I10" s="281"/>
      <c r="M10" s="141"/>
    </row>
    <row r="11" spans="2:14" ht="28.25" customHeight="1" thickBot="1" x14ac:dyDescent="0.4">
      <c r="B11" s="143" t="s">
        <v>152</v>
      </c>
      <c r="C11" s="164">
        <f>C6-C9</f>
        <v>-200</v>
      </c>
      <c r="D11" s="147">
        <f t="shared" ref="D11:H11" si="2">D6-D9</f>
        <v>42</v>
      </c>
      <c r="E11" s="147">
        <f t="shared" si="2"/>
        <v>42</v>
      </c>
      <c r="F11" s="147">
        <f t="shared" si="2"/>
        <v>42</v>
      </c>
      <c r="G11" s="147">
        <f t="shared" si="2"/>
        <v>42</v>
      </c>
      <c r="H11" s="147">
        <f t="shared" si="2"/>
        <v>42</v>
      </c>
      <c r="I11" s="165">
        <f>I6-I9</f>
        <v>32</v>
      </c>
      <c r="M11" s="141"/>
    </row>
    <row r="12" spans="2:14" s="22" customFormat="1" x14ac:dyDescent="0.35">
      <c r="D12" s="140"/>
      <c r="E12" s="140"/>
      <c r="F12" s="140"/>
      <c r="G12" s="140"/>
      <c r="H12" s="140"/>
      <c r="I12" s="140"/>
    </row>
    <row r="13" spans="2:14" s="22" customFormat="1" x14ac:dyDescent="0.35">
      <c r="B13" s="282"/>
      <c r="C13" s="283"/>
      <c r="D13" s="140"/>
      <c r="E13" s="282"/>
      <c r="F13" s="284"/>
      <c r="H13" s="282"/>
      <c r="I13" s="285"/>
    </row>
    <row r="14" spans="2:14" s="22" customFormat="1" x14ac:dyDescent="0.35">
      <c r="B14" s="282"/>
      <c r="C14" s="283"/>
      <c r="D14" s="140"/>
      <c r="E14" s="282"/>
      <c r="F14" s="284"/>
      <c r="H14" s="282"/>
      <c r="I14" s="282"/>
    </row>
    <row r="15" spans="2:14" s="22" customFormat="1" x14ac:dyDescent="0.35">
      <c r="D15" s="140"/>
      <c r="E15" s="140"/>
      <c r="F15" s="140"/>
      <c r="G15" s="140"/>
      <c r="H15" s="140"/>
      <c r="I15" s="140"/>
    </row>
    <row r="16" spans="2:14" s="22" customFormat="1" ht="24.9" customHeight="1" x14ac:dyDescent="0.35">
      <c r="D16" s="282"/>
      <c r="E16" s="282"/>
      <c r="F16" s="282"/>
      <c r="G16" s="282"/>
      <c r="H16" s="282"/>
    </row>
    <row r="17" spans="2:14" s="22" customFormat="1" ht="30.25" customHeight="1" x14ac:dyDescent="0.35">
      <c r="C17" s="128"/>
      <c r="D17" s="128"/>
      <c r="E17" s="128"/>
      <c r="F17" s="128"/>
      <c r="G17" s="128"/>
      <c r="H17" s="128"/>
      <c r="I17" s="128"/>
    </row>
    <row r="18" spans="2:14" s="22" customFormat="1" ht="30.25" customHeight="1" x14ac:dyDescent="0.35">
      <c r="C18" s="128"/>
      <c r="D18" s="128"/>
      <c r="E18" s="128"/>
      <c r="F18" s="128"/>
      <c r="G18" s="128"/>
      <c r="H18" s="128"/>
      <c r="I18" s="128"/>
      <c r="K18" s="282"/>
      <c r="L18" s="293"/>
      <c r="M18" s="293"/>
      <c r="N18" s="292"/>
    </row>
    <row r="19" spans="2:14" s="22" customFormat="1" ht="28.5" customHeight="1" x14ac:dyDescent="0.35">
      <c r="C19" s="128"/>
      <c r="D19" s="128"/>
      <c r="E19" s="128"/>
      <c r="F19" s="128"/>
      <c r="G19" s="128"/>
      <c r="H19" s="128"/>
      <c r="I19" s="128"/>
      <c r="K19" s="282"/>
      <c r="L19" s="293"/>
      <c r="M19" s="293"/>
      <c r="N19" s="292"/>
    </row>
    <row r="20" spans="2:14" s="22" customFormat="1" x14ac:dyDescent="0.35">
      <c r="B20" s="282"/>
      <c r="C20" s="294"/>
    </row>
    <row r="21" spans="2:14" s="22" customFormat="1" x14ac:dyDescent="0.35">
      <c r="B21" s="282"/>
      <c r="C21" s="282"/>
      <c r="D21" s="166"/>
    </row>
    <row r="22" spans="2:14" s="22" customFormat="1" x14ac:dyDescent="0.35">
      <c r="B22" s="139"/>
      <c r="C22" s="167"/>
      <c r="D22" s="166"/>
      <c r="E22" s="139"/>
      <c r="F22" s="139"/>
      <c r="G22" s="128"/>
      <c r="H22" s="139"/>
      <c r="I22" s="139"/>
      <c r="J22" s="139"/>
      <c r="K22" s="139"/>
    </row>
    <row r="23" spans="2:14" s="22" customFormat="1" x14ac:dyDescent="0.35">
      <c r="C23" s="167"/>
      <c r="D23" s="166"/>
    </row>
    <row r="24" spans="2:14" x14ac:dyDescent="0.35">
      <c r="C24" s="133"/>
      <c r="D24" s="131"/>
      <c r="F24" s="22"/>
      <c r="G24" s="22"/>
      <c r="H24" s="22"/>
    </row>
    <row r="25" spans="2:14" x14ac:dyDescent="0.35">
      <c r="C25" s="133"/>
      <c r="D25" s="131"/>
      <c r="F25" s="22"/>
      <c r="G25" s="22"/>
      <c r="H25" s="22"/>
    </row>
    <row r="26" spans="2:14" x14ac:dyDescent="0.35">
      <c r="C26" s="133"/>
      <c r="D26" s="131"/>
      <c r="F26" s="22"/>
      <c r="G26" s="22"/>
      <c r="H26" s="22"/>
    </row>
    <row r="27" spans="2:14" x14ac:dyDescent="0.35">
      <c r="C27" s="133"/>
      <c r="D27" s="131"/>
      <c r="F27" s="22"/>
      <c r="G27" s="22"/>
      <c r="H27" s="22"/>
    </row>
    <row r="28" spans="2:14" x14ac:dyDescent="0.35">
      <c r="C28" s="133"/>
      <c r="D28" s="131"/>
      <c r="F28" s="22"/>
      <c r="G28" s="22"/>
      <c r="H28" s="22"/>
    </row>
    <row r="29" spans="2:14" x14ac:dyDescent="0.35">
      <c r="C29" s="133"/>
      <c r="D29" s="131"/>
      <c r="F29" s="22"/>
      <c r="G29" s="22"/>
      <c r="H29" s="22"/>
    </row>
    <row r="30" spans="2:14" x14ac:dyDescent="0.35">
      <c r="C30" s="133"/>
      <c r="D30" s="131"/>
      <c r="F30" s="22"/>
      <c r="G30" s="22"/>
      <c r="H30" s="22"/>
    </row>
    <row r="31" spans="2:14" x14ac:dyDescent="0.35">
      <c r="C31" s="133"/>
      <c r="D31" s="131"/>
    </row>
    <row r="32" spans="2:14" x14ac:dyDescent="0.35">
      <c r="C32" s="133"/>
      <c r="D32" s="131"/>
    </row>
    <row r="33" spans="3:4" x14ac:dyDescent="0.35">
      <c r="C33" s="132"/>
      <c r="D33" s="131"/>
    </row>
    <row r="34" spans="3:4" x14ac:dyDescent="0.35">
      <c r="C34" s="132"/>
      <c r="D34" s="131"/>
    </row>
    <row r="35" spans="3:4" x14ac:dyDescent="0.35">
      <c r="C35" s="132"/>
      <c r="D35" s="131"/>
    </row>
    <row r="36" spans="3:4" x14ac:dyDescent="0.35">
      <c r="C36" s="132"/>
      <c r="D36" s="131"/>
    </row>
    <row r="37" spans="3:4" x14ac:dyDescent="0.35">
      <c r="C37" s="132"/>
      <c r="D37" s="131"/>
    </row>
    <row r="38" spans="3:4" x14ac:dyDescent="0.35">
      <c r="C38" s="132"/>
      <c r="D38" s="131"/>
    </row>
    <row r="39" spans="3:4" x14ac:dyDescent="0.35">
      <c r="C39" s="132"/>
      <c r="D39" s="131"/>
    </row>
    <row r="40" spans="3:4" x14ac:dyDescent="0.35">
      <c r="C40" s="132"/>
      <c r="D40" s="131"/>
    </row>
    <row r="41" spans="3:4" x14ac:dyDescent="0.35">
      <c r="C41" s="132"/>
      <c r="D41" s="131"/>
    </row>
    <row r="42" spans="3:4" x14ac:dyDescent="0.35">
      <c r="C42" s="132"/>
      <c r="D42" s="131"/>
    </row>
    <row r="43" spans="3:4" x14ac:dyDescent="0.35">
      <c r="C43" s="132"/>
      <c r="D43" s="131"/>
    </row>
    <row r="44" spans="3:4" x14ac:dyDescent="0.35">
      <c r="C44" s="132"/>
      <c r="D44" s="131"/>
    </row>
    <row r="45" spans="3:4" x14ac:dyDescent="0.35">
      <c r="C45" s="132"/>
      <c r="D45" s="131"/>
    </row>
    <row r="46" spans="3:4" x14ac:dyDescent="0.35">
      <c r="C46" s="132"/>
      <c r="D46" s="131"/>
    </row>
    <row r="47" spans="3:4" x14ac:dyDescent="0.35">
      <c r="C47" s="132"/>
      <c r="D47" s="131"/>
    </row>
    <row r="48" spans="3:4" x14ac:dyDescent="0.35">
      <c r="C48" s="132"/>
      <c r="D48" s="131"/>
    </row>
    <row r="49" spans="3:4" x14ac:dyDescent="0.35">
      <c r="C49" s="132"/>
      <c r="D49" s="131"/>
    </row>
    <row r="50" spans="3:4" x14ac:dyDescent="0.35">
      <c r="C50" s="132"/>
      <c r="D50" s="131"/>
    </row>
    <row r="51" spans="3:4" x14ac:dyDescent="0.35">
      <c r="C51" s="132"/>
    </row>
    <row r="52" spans="3:4" x14ac:dyDescent="0.35">
      <c r="C52" s="132"/>
    </row>
    <row r="53" spans="3:4" x14ac:dyDescent="0.35">
      <c r="C53" s="132"/>
    </row>
    <row r="54" spans="3:4" x14ac:dyDescent="0.35">
      <c r="C54" s="132"/>
    </row>
    <row r="55" spans="3:4" x14ac:dyDescent="0.35">
      <c r="C55" s="132"/>
    </row>
    <row r="56" spans="3:4" x14ac:dyDescent="0.35">
      <c r="C56" s="132"/>
    </row>
    <row r="57" spans="3:4" x14ac:dyDescent="0.35">
      <c r="C57" s="132"/>
    </row>
    <row r="58" spans="3:4" x14ac:dyDescent="0.35">
      <c r="C58" s="132"/>
    </row>
    <row r="59" spans="3:4" x14ac:dyDescent="0.35">
      <c r="C59" s="132"/>
    </row>
    <row r="60" spans="3:4" x14ac:dyDescent="0.35">
      <c r="C60" s="132"/>
    </row>
    <row r="61" spans="3:4" x14ac:dyDescent="0.35">
      <c r="C61" s="132"/>
    </row>
    <row r="62" spans="3:4" x14ac:dyDescent="0.35">
      <c r="C62" s="132"/>
    </row>
    <row r="63" spans="3:4" x14ac:dyDescent="0.35">
      <c r="C63" s="132"/>
    </row>
    <row r="64" spans="3:4" x14ac:dyDescent="0.35">
      <c r="C64" s="132"/>
    </row>
    <row r="65" spans="3:3" x14ac:dyDescent="0.35">
      <c r="C65" s="132"/>
    </row>
    <row r="66" spans="3:3" x14ac:dyDescent="0.35">
      <c r="C66" s="132"/>
    </row>
    <row r="67" spans="3:3" x14ac:dyDescent="0.35">
      <c r="C67" s="132"/>
    </row>
    <row r="68" spans="3:3" x14ac:dyDescent="0.35">
      <c r="C68" s="132"/>
    </row>
  </sheetData>
  <mergeCells count="32">
    <mergeCell ref="B20:B21"/>
    <mergeCell ref="C20:C21"/>
    <mergeCell ref="B13:B14"/>
    <mergeCell ref="C13:C14"/>
    <mergeCell ref="M7:M8"/>
    <mergeCell ref="N7:N8"/>
    <mergeCell ref="L7:L8"/>
    <mergeCell ref="N18:N19"/>
    <mergeCell ref="D16:H16"/>
    <mergeCell ref="F13:F14"/>
    <mergeCell ref="E13:E14"/>
    <mergeCell ref="H13:H14"/>
    <mergeCell ref="I13:I14"/>
    <mergeCell ref="H9:H10"/>
    <mergeCell ref="I9:I10"/>
    <mergeCell ref="M18:M19"/>
    <mergeCell ref="K7:K8"/>
    <mergeCell ref="K18:K19"/>
    <mergeCell ref="L18:L19"/>
    <mergeCell ref="I2:I3"/>
    <mergeCell ref="B9:B10"/>
    <mergeCell ref="C9:C10"/>
    <mergeCell ref="D9:D10"/>
    <mergeCell ref="E9:E10"/>
    <mergeCell ref="F9:F10"/>
    <mergeCell ref="G9:G10"/>
    <mergeCell ref="B2:B3"/>
    <mergeCell ref="C2:C3"/>
    <mergeCell ref="D5:H5"/>
    <mergeCell ref="F2:F3"/>
    <mergeCell ref="E2:E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Binomial Distribution</vt:lpstr>
      <vt:lpstr>Normal Distribution</vt:lpstr>
      <vt:lpstr>Speakers Optimization</vt:lpstr>
      <vt:lpstr>Scenario Manager Stocks</vt:lpstr>
      <vt:lpstr>Risk and Scenario Manager</vt:lpstr>
      <vt:lpstr>Stargrove Bernoulli</vt:lpstr>
      <vt:lpstr>Stargrove Norm Dist.</vt:lpstr>
      <vt:lpstr>Depreciation tax calc</vt:lpstr>
      <vt:lpstr>NPV IRR Calc</vt:lpstr>
      <vt:lpstr>Initial Investment</vt:lpstr>
      <vt:lpstr>Operating Phase</vt:lpstr>
      <vt:lpstr>Terminal Phase</vt:lpstr>
      <vt:lpstr>Balance Sheet Equation</vt:lpstr>
      <vt:lpstr>Master Sheet</vt:lpstr>
      <vt:lpstr>Balance Sheet Parts</vt:lpstr>
      <vt:lpstr>Income Statement</vt:lpstr>
      <vt:lpstr>'Speakers Optimization'!Aec</vt:lpstr>
      <vt:lpstr>'Speakers Optimization'!Aei</vt:lpstr>
      <vt:lpstr>'Speakers Optimization'!Asc</vt:lpstr>
      <vt:lpstr>'Speakers Optimization'!Asi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Garg</dc:creator>
  <cp:lastModifiedBy>Akshat Garg</cp:lastModifiedBy>
  <dcterms:created xsi:type="dcterms:W3CDTF">2020-07-29T03:07:17Z</dcterms:created>
  <dcterms:modified xsi:type="dcterms:W3CDTF">2020-11-24T21:42:00Z</dcterms:modified>
</cp:coreProperties>
</file>