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shat/Downloads/"/>
    </mc:Choice>
  </mc:AlternateContent>
  <xr:revisionPtr revIDLastSave="0" documentId="13_ncr:1_{1D45D169-E3CC-5C42-8BD2-3F1BF2B23DBE}" xr6:coauthVersionLast="47" xr6:coauthVersionMax="47" xr10:uidLastSave="{00000000-0000-0000-0000-000000000000}"/>
  <bookViews>
    <workbookView xWindow="0" yWindow="0" windowWidth="33600" windowHeight="21000" tabRatio="897" firstSheet="4" activeTab="12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85" r:id="rId6"/>
    <sheet name="Income Statement items" sheetId="186" r:id="rId7"/>
    <sheet name="Automotive" sheetId="187" r:id="rId8"/>
    <sheet name="Deliveries" sheetId="188" r:id="rId9"/>
    <sheet name="Deliveries comparables" sheetId="189" r:id="rId10"/>
    <sheet name="Revenue automotive" sheetId="190" r:id="rId11"/>
    <sheet name="GP% automotive" sheetId="191" r:id="rId12"/>
    <sheet name="GP automotive" sheetId="192" r:id="rId13"/>
    <sheet name="COGS Automative" sheetId="193" r:id="rId14"/>
    <sheet name="Revenue &amp; GP autom" sheetId="194" r:id="rId15"/>
    <sheet name="Energy &amp; Other" sheetId="195" r:id="rId16"/>
    <sheet name="Revenue Energy &amp; Other" sheetId="196" r:id="rId17"/>
    <sheet name="GP Energy &amp; Other" sheetId="197" r:id="rId18"/>
    <sheet name="Cost of sales Energy &amp; Other" sheetId="198" r:id="rId19"/>
    <sheet name="Operating expenses" sheetId="199" r:id="rId20"/>
    <sheet name="Opex comparables" sheetId="200" r:id="rId21"/>
    <sheet name="Opex" sheetId="201" r:id="rId22"/>
    <sheet name="Balance Sheet --&gt;" sheetId="202" r:id="rId23"/>
    <sheet name="PP&amp;E --&gt;" sheetId="203" r:id="rId24"/>
    <sheet name="PP&amp;E" sheetId="204" r:id="rId25"/>
    <sheet name="PP&amp;E Comparables" sheetId="205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92" l="1"/>
  <c r="E7" i="192"/>
  <c r="F7" i="192"/>
  <c r="G7" i="192"/>
  <c r="C7" i="192"/>
  <c r="B3" i="161" l="1"/>
  <c r="D10" i="204"/>
  <c r="E10" i="204"/>
  <c r="F10" i="204"/>
  <c r="G7" i="204" s="1"/>
  <c r="G10" i="204"/>
  <c r="H7" i="204" s="1"/>
  <c r="C10" i="204"/>
  <c r="D7" i="204" s="1"/>
  <c r="F16" i="205"/>
  <c r="C16" i="205"/>
  <c r="D15" i="205"/>
  <c r="G14" i="205"/>
  <c r="D14" i="205"/>
  <c r="G13" i="205"/>
  <c r="D13" i="205"/>
  <c r="G12" i="205"/>
  <c r="D12" i="205"/>
  <c r="G11" i="205"/>
  <c r="D11" i="205"/>
  <c r="G10" i="205"/>
  <c r="D10" i="205"/>
  <c r="G9" i="205"/>
  <c r="D9" i="205"/>
  <c r="G8" i="205"/>
  <c r="D8" i="205"/>
  <c r="G7" i="205"/>
  <c r="D7" i="205"/>
  <c r="B43" i="204"/>
  <c r="B40" i="204"/>
  <c r="B37" i="204"/>
  <c r="G28" i="204"/>
  <c r="F28" i="204"/>
  <c r="E28" i="204"/>
  <c r="D28" i="204"/>
  <c r="C28" i="204"/>
  <c r="B3" i="204"/>
  <c r="I17" i="204" l="1"/>
  <c r="K17" i="204"/>
  <c r="L17" i="204"/>
  <c r="M17" i="204"/>
  <c r="N17" i="204"/>
  <c r="O17" i="204"/>
  <c r="P17" i="204"/>
  <c r="Q17" i="204"/>
  <c r="H17" i="204"/>
  <c r="J17" i="204"/>
  <c r="G16" i="205"/>
  <c r="H40" i="204" s="1"/>
  <c r="H43" i="204" s="1"/>
  <c r="D16" i="205"/>
  <c r="H39" i="204" s="1"/>
  <c r="H42" i="204" s="1"/>
  <c r="D8" i="204"/>
  <c r="E7" i="204"/>
  <c r="E8" i="204" s="1"/>
  <c r="F7" i="204"/>
  <c r="C8" i="204"/>
  <c r="G8" i="204"/>
  <c r="F8" i="204"/>
  <c r="H36" i="204" l="1"/>
  <c r="H32" i="204" s="1"/>
  <c r="H8" i="204" s="1"/>
  <c r="I39" i="204"/>
  <c r="I40" i="204"/>
  <c r="H37" i="204"/>
  <c r="H33" i="204" s="1"/>
  <c r="I36" i="204"/>
  <c r="I32" i="204" s="1"/>
  <c r="I42" i="204"/>
  <c r="J39" i="204"/>
  <c r="J40" i="204"/>
  <c r="I37" i="204"/>
  <c r="I33" i="204" s="1"/>
  <c r="I43" i="204"/>
  <c r="I18" i="204" l="1"/>
  <c r="J18" i="204"/>
  <c r="K18" i="204"/>
  <c r="H18" i="204"/>
  <c r="H28" i="204" s="1"/>
  <c r="H9" i="204" s="1"/>
  <c r="H10" i="204" s="1"/>
  <c r="I7" i="204" s="1"/>
  <c r="I8" i="204" s="1"/>
  <c r="L18" i="204"/>
  <c r="M18" i="204"/>
  <c r="N18" i="204"/>
  <c r="O18" i="204"/>
  <c r="Q18" i="204"/>
  <c r="P18" i="204"/>
  <c r="K40" i="204"/>
  <c r="J37" i="204"/>
  <c r="J33" i="204" s="1"/>
  <c r="J43" i="204"/>
  <c r="K39" i="204"/>
  <c r="J36" i="204"/>
  <c r="J32" i="204" s="1"/>
  <c r="J42" i="204"/>
  <c r="N19" i="204" l="1"/>
  <c r="P19" i="204"/>
  <c r="Q19" i="204"/>
  <c r="M19" i="204"/>
  <c r="J19" i="204"/>
  <c r="K19" i="204"/>
  <c r="O19" i="204"/>
  <c r="L19" i="204"/>
  <c r="I19" i="204"/>
  <c r="I28" i="204" s="1"/>
  <c r="I9" i="204" s="1"/>
  <c r="I10" i="204" s="1"/>
  <c r="J7" i="204" s="1"/>
  <c r="J8" i="204" s="1"/>
  <c r="K20" i="204" s="1"/>
  <c r="K36" i="204"/>
  <c r="K32" i="204" s="1"/>
  <c r="L39" i="204"/>
  <c r="K42" i="204"/>
  <c r="K37" i="204"/>
  <c r="K33" i="204" s="1"/>
  <c r="K43" i="204"/>
  <c r="L40" i="204"/>
  <c r="Q20" i="204" l="1"/>
  <c r="P20" i="204"/>
  <c r="O20" i="204"/>
  <c r="M20" i="204"/>
  <c r="N20" i="204"/>
  <c r="J20" i="204"/>
  <c r="J28" i="204" s="1"/>
  <c r="J9" i="204" s="1"/>
  <c r="J10" i="204" s="1"/>
  <c r="K7" i="204" s="1"/>
  <c r="L20" i="204"/>
  <c r="K8" i="204"/>
  <c r="L43" i="204"/>
  <c r="L37" i="204"/>
  <c r="L33" i="204" s="1"/>
  <c r="M40" i="204"/>
  <c r="L42" i="204"/>
  <c r="M39" i="204"/>
  <c r="L36" i="204"/>
  <c r="L32" i="204" s="1"/>
  <c r="L21" i="204" l="1"/>
  <c r="Q21" i="204"/>
  <c r="M21" i="204"/>
  <c r="N21" i="204"/>
  <c r="P21" i="204"/>
  <c r="K21" i="204"/>
  <c r="K28" i="204" s="1"/>
  <c r="K9" i="204" s="1"/>
  <c r="K10" i="204" s="1"/>
  <c r="L7" i="204" s="1"/>
  <c r="O21" i="204"/>
  <c r="N39" i="204"/>
  <c r="M42" i="204"/>
  <c r="M36" i="204"/>
  <c r="M32" i="204" s="1"/>
  <c r="N40" i="204"/>
  <c r="M37" i="204"/>
  <c r="M33" i="204" s="1"/>
  <c r="M43" i="204"/>
  <c r="L8" i="204" l="1"/>
  <c r="N37" i="204"/>
  <c r="N33" i="204" s="1"/>
  <c r="N43" i="204"/>
  <c r="O40" i="204"/>
  <c r="O39" i="204"/>
  <c r="N42" i="204"/>
  <c r="N36" i="204"/>
  <c r="N32" i="204" s="1"/>
  <c r="L22" i="204" l="1"/>
  <c r="L28" i="204" s="1"/>
  <c r="L9" i="204" s="1"/>
  <c r="L10" i="204" s="1"/>
  <c r="M7" i="204" s="1"/>
  <c r="N22" i="204"/>
  <c r="Q22" i="204"/>
  <c r="M22" i="204"/>
  <c r="O22" i="204"/>
  <c r="P22" i="204"/>
  <c r="O36" i="204"/>
  <c r="O32" i="204" s="1"/>
  <c r="O42" i="204"/>
  <c r="P39" i="204"/>
  <c r="P42" i="204" s="1"/>
  <c r="O43" i="204"/>
  <c r="O37" i="204"/>
  <c r="O33" i="204" s="1"/>
  <c r="P40" i="204"/>
  <c r="M8" i="204" l="1"/>
  <c r="P37" i="204"/>
  <c r="P33" i="204" s="1"/>
  <c r="P43" i="204"/>
  <c r="Q40" i="204"/>
  <c r="Q39" i="204"/>
  <c r="P36" i="204"/>
  <c r="P32" i="204" s="1"/>
  <c r="P23" i="204" l="1"/>
  <c r="M23" i="204"/>
  <c r="M28" i="204" s="1"/>
  <c r="M9" i="204" s="1"/>
  <c r="M10" i="204" s="1"/>
  <c r="N7" i="204" s="1"/>
  <c r="O23" i="204"/>
  <c r="Q23" i="204"/>
  <c r="N23" i="204"/>
  <c r="Q42" i="204"/>
  <c r="Q36" i="204"/>
  <c r="Q32" i="204" s="1"/>
  <c r="Q43" i="204"/>
  <c r="Q37" i="204"/>
  <c r="Q33" i="204" s="1"/>
  <c r="N8" i="204" l="1"/>
  <c r="P24" i="204" l="1"/>
  <c r="N24" i="204"/>
  <c r="N28" i="204" s="1"/>
  <c r="N9" i="204" s="1"/>
  <c r="N10" i="204" s="1"/>
  <c r="O7" i="204" s="1"/>
  <c r="Q24" i="204"/>
  <c r="O24" i="204"/>
  <c r="O8" i="204" l="1"/>
  <c r="O25" i="204" l="1"/>
  <c r="O28" i="204" s="1"/>
  <c r="O9" i="204" s="1"/>
  <c r="O10" i="204" s="1"/>
  <c r="P7" i="204" s="1"/>
  <c r="P25" i="204"/>
  <c r="Q25" i="204"/>
  <c r="P8" i="204" l="1"/>
  <c r="Q26" i="204" l="1"/>
  <c r="P26" i="204"/>
  <c r="P28" i="204" s="1"/>
  <c r="P9" i="204" s="1"/>
  <c r="P10" i="204"/>
  <c r="Q7" i="204" s="1"/>
  <c r="Q8" i="204" l="1"/>
  <c r="Q27" i="204" s="1"/>
  <c r="Q28" i="204" s="1"/>
  <c r="Q9" i="204" s="1"/>
  <c r="Q10" i="204" s="1"/>
  <c r="D7" i="201" l="1"/>
  <c r="E7" i="201"/>
  <c r="F7" i="201"/>
  <c r="G7" i="201"/>
  <c r="C7" i="201"/>
  <c r="C18" i="200"/>
  <c r="D16" i="200"/>
  <c r="D15" i="200"/>
  <c r="D11" i="200"/>
  <c r="D10" i="200"/>
  <c r="D9" i="200"/>
  <c r="D8" i="200"/>
  <c r="D7" i="200"/>
  <c r="D18" i="200" l="1"/>
  <c r="K17" i="201"/>
  <c r="Q17" i="201"/>
  <c r="P17" i="201"/>
  <c r="O17" i="201"/>
  <c r="N17" i="201"/>
  <c r="M17" i="201"/>
  <c r="L17" i="201"/>
  <c r="J17" i="201"/>
  <c r="I17" i="201"/>
  <c r="H17" i="201"/>
  <c r="I20" i="201" l="1"/>
  <c r="I14" i="201"/>
  <c r="I10" i="201" s="1"/>
  <c r="I6" i="201" s="1"/>
  <c r="M20" i="201"/>
  <c r="M14" i="201"/>
  <c r="M10" i="201" s="1"/>
  <c r="M6" i="201" s="1"/>
  <c r="K20" i="201"/>
  <c r="K14" i="201"/>
  <c r="K10" i="201" s="1"/>
  <c r="K6" i="201" s="1"/>
  <c r="J20" i="201"/>
  <c r="J14" i="201"/>
  <c r="J10" i="201" s="1"/>
  <c r="J6" i="201" s="1"/>
  <c r="N14" i="201"/>
  <c r="N10" i="201" s="1"/>
  <c r="N6" i="201" s="1"/>
  <c r="N20" i="201"/>
  <c r="P20" i="201"/>
  <c r="P14" i="201"/>
  <c r="P10" i="201" s="1"/>
  <c r="P6" i="201" s="1"/>
  <c r="H14" i="201"/>
  <c r="H10" i="201" s="1"/>
  <c r="H20" i="201"/>
  <c r="H6" i="201"/>
  <c r="L14" i="201"/>
  <c r="L10" i="201" s="1"/>
  <c r="L6" i="201" s="1"/>
  <c r="L20" i="201"/>
  <c r="O20" i="201"/>
  <c r="O14" i="201"/>
  <c r="O10" i="201" s="1"/>
  <c r="O6" i="201" s="1"/>
  <c r="Q20" i="201"/>
  <c r="Q14" i="201"/>
  <c r="Q10" i="201" s="1"/>
  <c r="Q6" i="201" s="1"/>
  <c r="E5" i="198" l="1"/>
  <c r="L11" i="197"/>
  <c r="M11" i="197"/>
  <c r="N11" i="197"/>
  <c r="O11" i="197"/>
  <c r="I15" i="197"/>
  <c r="I11" i="197" s="1"/>
  <c r="J15" i="197"/>
  <c r="J11" i="197" s="1"/>
  <c r="K15" i="197"/>
  <c r="K11" i="197" s="1"/>
  <c r="L15" i="197"/>
  <c r="M15" i="197"/>
  <c r="N15" i="197"/>
  <c r="O15" i="197"/>
  <c r="P15" i="197"/>
  <c r="P11" i="197" s="1"/>
  <c r="Q15" i="197"/>
  <c r="Q11" i="197" s="1"/>
  <c r="I21" i="197"/>
  <c r="J21" i="197"/>
  <c r="K21" i="197"/>
  <c r="L21" i="197"/>
  <c r="M21" i="197"/>
  <c r="N21" i="197"/>
  <c r="O21" i="197"/>
  <c r="P21" i="197"/>
  <c r="Q21" i="197"/>
  <c r="H21" i="197"/>
  <c r="H15" i="197"/>
  <c r="H11" i="197" s="1"/>
  <c r="D6" i="197"/>
  <c r="D7" i="197" s="1"/>
  <c r="E6" i="197"/>
  <c r="F6" i="197"/>
  <c r="G6" i="197"/>
  <c r="C6" i="197"/>
  <c r="D5" i="197"/>
  <c r="E5" i="197"/>
  <c r="F5" i="197"/>
  <c r="F7" i="197" s="1"/>
  <c r="G5" i="197"/>
  <c r="C5" i="197"/>
  <c r="K10" i="196"/>
  <c r="P10" i="196"/>
  <c r="Q10" i="196"/>
  <c r="H10" i="196"/>
  <c r="I20" i="196"/>
  <c r="J20" i="196"/>
  <c r="K20" i="196"/>
  <c r="L20" i="196"/>
  <c r="M20" i="196"/>
  <c r="N20" i="196"/>
  <c r="O20" i="196"/>
  <c r="P20" i="196"/>
  <c r="Q20" i="196"/>
  <c r="H20" i="196"/>
  <c r="I14" i="196"/>
  <c r="I10" i="196" s="1"/>
  <c r="J14" i="196"/>
  <c r="J10" i="196" s="1"/>
  <c r="K14" i="196"/>
  <c r="L14" i="196"/>
  <c r="L10" i="196" s="1"/>
  <c r="M14" i="196"/>
  <c r="M10" i="196" s="1"/>
  <c r="N14" i="196"/>
  <c r="N10" i="196" s="1"/>
  <c r="O14" i="196"/>
  <c r="O10" i="196" s="1"/>
  <c r="P14" i="196"/>
  <c r="Q14" i="196"/>
  <c r="H14" i="196"/>
  <c r="D6" i="196"/>
  <c r="D6" i="198" s="1"/>
  <c r="E6" i="196"/>
  <c r="E6" i="198" s="1"/>
  <c r="E7" i="198" s="1"/>
  <c r="F6" i="196"/>
  <c r="F6" i="198" s="1"/>
  <c r="G6" i="196"/>
  <c r="G6" i="198" s="1"/>
  <c r="G7" i="198" s="1"/>
  <c r="C6" i="196"/>
  <c r="C6" i="198" s="1"/>
  <c r="D5" i="196"/>
  <c r="D5" i="198" s="1"/>
  <c r="E5" i="196"/>
  <c r="F5" i="196"/>
  <c r="F5" i="198" s="1"/>
  <c r="G5" i="196"/>
  <c r="G5" i="198" s="1"/>
  <c r="C5" i="196"/>
  <c r="C5" i="198" s="1"/>
  <c r="D4" i="194"/>
  <c r="E4" i="194"/>
  <c r="F4" i="194"/>
  <c r="C4" i="194"/>
  <c r="E7" i="197"/>
  <c r="E18" i="197" s="1"/>
  <c r="E7" i="196"/>
  <c r="F7" i="198" l="1"/>
  <c r="D7" i="196"/>
  <c r="G7" i="197"/>
  <c r="G18" i="197" s="1"/>
  <c r="C7" i="197"/>
  <c r="D7" i="198"/>
  <c r="C7" i="198"/>
  <c r="E17" i="196"/>
  <c r="C7" i="196"/>
  <c r="F7" i="196"/>
  <c r="G7" i="196"/>
  <c r="F17" i="196" l="1"/>
  <c r="D18" i="197"/>
  <c r="D17" i="196"/>
  <c r="C18" i="197"/>
  <c r="F18" i="197"/>
  <c r="G17" i="196"/>
  <c r="H7" i="196"/>
  <c r="H7" i="197" l="1"/>
  <c r="H7" i="198" s="1"/>
  <c r="I7" i="196"/>
  <c r="I7" i="197" l="1"/>
  <c r="I7" i="198" s="1"/>
  <c r="J7" i="196"/>
  <c r="J7" i="197" l="1"/>
  <c r="J7" i="198" s="1"/>
  <c r="K7" i="196"/>
  <c r="K7" i="197" l="1"/>
  <c r="K7" i="198"/>
  <c r="L7" i="196"/>
  <c r="L7" i="197" l="1"/>
  <c r="L7" i="198" s="1"/>
  <c r="M7" i="196"/>
  <c r="M7" i="197" l="1"/>
  <c r="M7" i="198" s="1"/>
  <c r="N7" i="196"/>
  <c r="N7" i="197" l="1"/>
  <c r="N7" i="198"/>
  <c r="O7" i="196"/>
  <c r="O7" i="197" l="1"/>
  <c r="O7" i="198" s="1"/>
  <c r="P7" i="196"/>
  <c r="P7" i="197" l="1"/>
  <c r="P7" i="198" s="1"/>
  <c r="Q7" i="196"/>
  <c r="Q7" i="197" l="1"/>
  <c r="Q7" i="198" s="1"/>
  <c r="D7" i="193"/>
  <c r="E7" i="193"/>
  <c r="F7" i="193"/>
  <c r="G7" i="193"/>
  <c r="C7" i="193"/>
  <c r="H11" i="192"/>
  <c r="I11" i="192"/>
  <c r="J11" i="192"/>
  <c r="K11" i="192"/>
  <c r="L11" i="192"/>
  <c r="M11" i="192"/>
  <c r="N11" i="192"/>
  <c r="O11" i="192"/>
  <c r="P11" i="192"/>
  <c r="Q11" i="192"/>
  <c r="I10" i="192"/>
  <c r="J10" i="192"/>
  <c r="K10" i="192"/>
  <c r="L10" i="192"/>
  <c r="M10" i="192"/>
  <c r="N10" i="192"/>
  <c r="O10" i="192"/>
  <c r="P10" i="192"/>
  <c r="Q10" i="192"/>
  <c r="H10" i="192"/>
  <c r="C13" i="191"/>
  <c r="C12" i="191"/>
  <c r="H6" i="191" s="1"/>
  <c r="H7" i="191"/>
  <c r="D43" i="154"/>
  <c r="E43" i="154"/>
  <c r="F43" i="154"/>
  <c r="G43" i="154"/>
  <c r="C43" i="154"/>
  <c r="D42" i="154"/>
  <c r="E42" i="154"/>
  <c r="F42" i="154"/>
  <c r="G42" i="154"/>
  <c r="C42" i="154"/>
  <c r="D32" i="155"/>
  <c r="E32" i="155"/>
  <c r="F32" i="155"/>
  <c r="G32" i="155"/>
  <c r="C32" i="155"/>
  <c r="D29" i="155"/>
  <c r="E29" i="155"/>
  <c r="F29" i="155"/>
  <c r="G29" i="155"/>
  <c r="D30" i="155"/>
  <c r="E30" i="155"/>
  <c r="F30" i="155"/>
  <c r="G30" i="155"/>
  <c r="D31" i="155"/>
  <c r="E31" i="155"/>
  <c r="F31" i="155"/>
  <c r="G31" i="155"/>
  <c r="C30" i="155"/>
  <c r="C31" i="155"/>
  <c r="C29" i="155"/>
  <c r="E28" i="155"/>
  <c r="F28" i="155"/>
  <c r="G28" i="155"/>
  <c r="E27" i="155"/>
  <c r="F27" i="155"/>
  <c r="G27" i="155"/>
  <c r="D27" i="155"/>
  <c r="D28" i="155"/>
  <c r="E26" i="155"/>
  <c r="F26" i="155"/>
  <c r="G26" i="155"/>
  <c r="D26" i="155"/>
  <c r="E7" i="191"/>
  <c r="D7" i="191"/>
  <c r="F6" i="191"/>
  <c r="E6" i="191"/>
  <c r="O19" i="192" l="1"/>
  <c r="H18" i="192"/>
  <c r="K19" i="192"/>
  <c r="Q18" i="192"/>
  <c r="J19" i="192"/>
  <c r="P18" i="192"/>
  <c r="I19" i="192"/>
  <c r="O18" i="192"/>
  <c r="H19" i="192"/>
  <c r="N18" i="192"/>
  <c r="M18" i="192"/>
  <c r="L18" i="192"/>
  <c r="K18" i="192"/>
  <c r="J18" i="192"/>
  <c r="I18" i="192"/>
  <c r="Q19" i="192"/>
  <c r="N19" i="192"/>
  <c r="M19" i="192"/>
  <c r="L19" i="192"/>
  <c r="P19" i="192"/>
  <c r="C12" i="189" l="1"/>
  <c r="H11" i="190"/>
  <c r="I11" i="190"/>
  <c r="J11" i="190"/>
  <c r="K11" i="190"/>
  <c r="L11" i="190"/>
  <c r="M11" i="190"/>
  <c r="N11" i="190"/>
  <c r="O11" i="190"/>
  <c r="P11" i="190"/>
  <c r="Q11" i="190"/>
  <c r="I10" i="190"/>
  <c r="J10" i="190"/>
  <c r="K10" i="190"/>
  <c r="L10" i="190"/>
  <c r="M10" i="190"/>
  <c r="N10" i="190"/>
  <c r="O10" i="190"/>
  <c r="P10" i="190"/>
  <c r="Q10" i="190"/>
  <c r="H10" i="190"/>
  <c r="D7" i="190"/>
  <c r="D5" i="201" s="1"/>
  <c r="D6" i="201" s="1"/>
  <c r="E7" i="190"/>
  <c r="E5" i="201" s="1"/>
  <c r="E6" i="201" s="1"/>
  <c r="F7" i="190"/>
  <c r="F5" i="201" s="1"/>
  <c r="F6" i="201" s="1"/>
  <c r="D6" i="190"/>
  <c r="E6" i="190"/>
  <c r="F6" i="190"/>
  <c r="G6" i="190"/>
  <c r="C6" i="190"/>
  <c r="D5" i="190"/>
  <c r="E5" i="190"/>
  <c r="F5" i="190"/>
  <c r="G5" i="190"/>
  <c r="G7" i="190" s="1"/>
  <c r="G5" i="201" s="1"/>
  <c r="G6" i="201" s="1"/>
  <c r="C5" i="190"/>
  <c r="C7" i="190" s="1"/>
  <c r="C5" i="201" s="1"/>
  <c r="C6" i="201" s="1"/>
  <c r="H6" i="188" l="1"/>
  <c r="H6" i="190" s="1"/>
  <c r="I6" i="188"/>
  <c r="I6" i="190" s="1"/>
  <c r="H5" i="188"/>
  <c r="H5" i="190" s="1"/>
  <c r="G11" i="188"/>
  <c r="F11" i="188"/>
  <c r="E11" i="188"/>
  <c r="D11" i="188"/>
  <c r="G12" i="188"/>
  <c r="F12" i="188"/>
  <c r="E12" i="188"/>
  <c r="D12" i="188"/>
  <c r="G7" i="188"/>
  <c r="F7" i="188"/>
  <c r="E7" i="188"/>
  <c r="D7" i="188"/>
  <c r="C7" i="188"/>
  <c r="I6" i="192" l="1"/>
  <c r="I6" i="193" s="1"/>
  <c r="J6" i="188"/>
  <c r="H5" i="192"/>
  <c r="H7" i="192" s="1"/>
  <c r="G5" i="194" s="1"/>
  <c r="H7" i="190"/>
  <c r="H6" i="192"/>
  <c r="H6" i="193" s="1"/>
  <c r="I5" i="188"/>
  <c r="I5" i="190" s="1"/>
  <c r="H7" i="188"/>
  <c r="D17" i="189" s="1"/>
  <c r="I7" i="188"/>
  <c r="J5" i="188" l="1"/>
  <c r="I5" i="192"/>
  <c r="I7" i="192" s="1"/>
  <c r="H5" i="194" s="1"/>
  <c r="I5" i="193"/>
  <c r="I7" i="193" s="1"/>
  <c r="I7" i="190"/>
  <c r="G4" i="194"/>
  <c r="G6" i="194" s="1"/>
  <c r="H5" i="201"/>
  <c r="H7" i="201" s="1"/>
  <c r="J6" i="190"/>
  <c r="K6" i="188"/>
  <c r="H5" i="193"/>
  <c r="H7" i="193" s="1"/>
  <c r="J6" i="192" l="1"/>
  <c r="J6" i="193"/>
  <c r="K6" i="190"/>
  <c r="L6" i="188"/>
  <c r="H4" i="194"/>
  <c r="I5" i="201"/>
  <c r="I7" i="201" s="1"/>
  <c r="H6" i="194"/>
  <c r="J5" i="190"/>
  <c r="K5" i="188"/>
  <c r="J7" i="188"/>
  <c r="J7" i="190" l="1"/>
  <c r="J5" i="192"/>
  <c r="K6" i="192"/>
  <c r="K6" i="193"/>
  <c r="K5" i="190"/>
  <c r="K7" i="188"/>
  <c r="L5" i="188"/>
  <c r="L6" i="190"/>
  <c r="L6" i="192" s="1"/>
  <c r="L6" i="193" s="1"/>
  <c r="M6" i="188"/>
  <c r="L5" i="190" l="1"/>
  <c r="L7" i="188"/>
  <c r="D18" i="189" s="1"/>
  <c r="M5" i="188"/>
  <c r="K7" i="190"/>
  <c r="K5" i="192"/>
  <c r="J5" i="193"/>
  <c r="J7" i="193" s="1"/>
  <c r="J7" i="192"/>
  <c r="I5" i="194" s="1"/>
  <c r="I6" i="194" s="1"/>
  <c r="M6" i="190"/>
  <c r="N6" i="188"/>
  <c r="I4" i="194"/>
  <c r="J5" i="201"/>
  <c r="J7" i="201" s="1"/>
  <c r="O6" i="188" l="1"/>
  <c r="N6" i="190"/>
  <c r="N6" i="192" s="1"/>
  <c r="N6" i="193" s="1"/>
  <c r="M5" i="190"/>
  <c r="M7" i="188"/>
  <c r="N5" i="188"/>
  <c r="K5" i="193"/>
  <c r="K7" i="193" s="1"/>
  <c r="K7" i="192"/>
  <c r="J5" i="194" s="1"/>
  <c r="J6" i="194" s="1"/>
  <c r="M6" i="193"/>
  <c r="M6" i="192"/>
  <c r="J4" i="194"/>
  <c r="K5" i="201"/>
  <c r="K7" i="201" s="1"/>
  <c r="L5" i="192"/>
  <c r="L7" i="192" s="1"/>
  <c r="K5" i="194" s="1"/>
  <c r="L7" i="190"/>
  <c r="N5" i="190" l="1"/>
  <c r="N7" i="188"/>
  <c r="O5" i="188"/>
  <c r="M5" i="192"/>
  <c r="M7" i="192" s="1"/>
  <c r="L5" i="194" s="1"/>
  <c r="M7" i="190"/>
  <c r="M5" i="193"/>
  <c r="M7" i="193" s="1"/>
  <c r="K6" i="194"/>
  <c r="L5" i="193"/>
  <c r="L7" i="193" s="1"/>
  <c r="K4" i="194"/>
  <c r="L5" i="201"/>
  <c r="L7" i="201" s="1"/>
  <c r="P6" i="188"/>
  <c r="O6" i="190"/>
  <c r="O6" i="192" s="1"/>
  <c r="O6" i="193" s="1"/>
  <c r="C25" i="154"/>
  <c r="D25" i="154"/>
  <c r="E25" i="154"/>
  <c r="E9" i="154"/>
  <c r="D9" i="154"/>
  <c r="D19" i="154" s="1"/>
  <c r="C9" i="154"/>
  <c r="C19" i="154" s="1"/>
  <c r="E7" i="155"/>
  <c r="D7" i="155"/>
  <c r="C7" i="155"/>
  <c r="C11" i="155" l="1"/>
  <c r="C41" i="154"/>
  <c r="C44" i="154" s="1"/>
  <c r="D11" i="155"/>
  <c r="D41" i="154"/>
  <c r="D44" i="154" s="1"/>
  <c r="Q6" i="188"/>
  <c r="Q6" i="190" s="1"/>
  <c r="Q6" i="192" s="1"/>
  <c r="Q6" i="193" s="1"/>
  <c r="P6" i="190"/>
  <c r="L4" i="194"/>
  <c r="L6" i="194" s="1"/>
  <c r="M5" i="201"/>
  <c r="M7" i="201" s="1"/>
  <c r="D40" i="154"/>
  <c r="D39" i="154"/>
  <c r="E30" i="154"/>
  <c r="E40" i="154"/>
  <c r="E39" i="154"/>
  <c r="O5" i="190"/>
  <c r="O7" i="188"/>
  <c r="P5" i="188"/>
  <c r="E11" i="155"/>
  <c r="E41" i="154"/>
  <c r="E44" i="154" s="1"/>
  <c r="C30" i="154"/>
  <c r="C40" i="154"/>
  <c r="C39" i="154"/>
  <c r="N7" i="190"/>
  <c r="N5" i="192"/>
  <c r="N7" i="192" s="1"/>
  <c r="M5" i="194" s="1"/>
  <c r="N5" i="193"/>
  <c r="N7" i="193" s="1"/>
  <c r="E19" i="154"/>
  <c r="F9" i="154"/>
  <c r="F19" i="154" s="1"/>
  <c r="F7" i="155"/>
  <c r="E35" i="154" l="1"/>
  <c r="E46" i="154"/>
  <c r="C46" i="154"/>
  <c r="C35" i="154"/>
  <c r="F11" i="155"/>
  <c r="F41" i="154"/>
  <c r="F44" i="154" s="1"/>
  <c r="P6" i="192"/>
  <c r="P6" i="193" s="1"/>
  <c r="M4" i="194"/>
  <c r="N5" i="201"/>
  <c r="N7" i="201" s="1"/>
  <c r="P5" i="190"/>
  <c r="P7" i="188"/>
  <c r="Q5" i="188"/>
  <c r="E15" i="155"/>
  <c r="D5" i="194"/>
  <c r="D6" i="194" s="1"/>
  <c r="O5" i="192"/>
  <c r="O7" i="190"/>
  <c r="D15" i="155"/>
  <c r="C5" i="194"/>
  <c r="C6" i="194" s="1"/>
  <c r="M6" i="194"/>
  <c r="N4" i="194" l="1"/>
  <c r="O5" i="201"/>
  <c r="O7" i="201" s="1"/>
  <c r="P7" i="190"/>
  <c r="P5" i="192"/>
  <c r="P7" i="192" s="1"/>
  <c r="O5" i="194" s="1"/>
  <c r="P5" i="193"/>
  <c r="P7" i="193" s="1"/>
  <c r="D33" i="155"/>
  <c r="D47" i="154"/>
  <c r="D19" i="155"/>
  <c r="D21" i="155" s="1"/>
  <c r="D23" i="155" s="1"/>
  <c r="O5" i="193"/>
  <c r="O7" i="193" s="1"/>
  <c r="O7" i="192"/>
  <c r="N5" i="194" s="1"/>
  <c r="N6" i="194" s="1"/>
  <c r="E33" i="155"/>
  <c r="E47" i="154"/>
  <c r="E19" i="155"/>
  <c r="E21" i="155" s="1"/>
  <c r="E23" i="155" s="1"/>
  <c r="F15" i="155"/>
  <c r="E5" i="194"/>
  <c r="E6" i="194" s="1"/>
  <c r="Q5" i="190"/>
  <c r="Q7" i="188"/>
  <c r="D19" i="189" s="1"/>
  <c r="G25" i="154"/>
  <c r="G9" i="154"/>
  <c r="G19" i="154" s="1"/>
  <c r="G7" i="155"/>
  <c r="O4" i="194" l="1"/>
  <c r="O6" i="194" s="1"/>
  <c r="P5" i="201"/>
  <c r="P7" i="201" s="1"/>
  <c r="D35" i="155"/>
  <c r="D34" i="155"/>
  <c r="D36" i="155"/>
  <c r="G11" i="155"/>
  <c r="F5" i="194" s="1"/>
  <c r="F6" i="194" s="1"/>
  <c r="G41" i="154"/>
  <c r="G44" i="154" s="1"/>
  <c r="G40" i="154"/>
  <c r="G39" i="154"/>
  <c r="Q7" i="190"/>
  <c r="Q5" i="192"/>
  <c r="Q7" i="192" s="1"/>
  <c r="P5" i="194" s="1"/>
  <c r="F33" i="155"/>
  <c r="F47" i="154"/>
  <c r="F19" i="155"/>
  <c r="F21" i="155" s="1"/>
  <c r="F23" i="155" s="1"/>
  <c r="E35" i="155"/>
  <c r="E34" i="155"/>
  <c r="E36" i="155"/>
  <c r="G15" i="155"/>
  <c r="G30" i="154"/>
  <c r="P4" i="194" l="1"/>
  <c r="Q5" i="201"/>
  <c r="Q7" i="201" s="1"/>
  <c r="G35" i="154"/>
  <c r="G46" i="154"/>
  <c r="G33" i="155"/>
  <c r="G47" i="154"/>
  <c r="P6" i="194"/>
  <c r="F36" i="155"/>
  <c r="F35" i="155"/>
  <c r="F34" i="155"/>
  <c r="Q5" i="193"/>
  <c r="Q7" i="193" s="1"/>
  <c r="G19" i="155"/>
  <c r="G21" i="155" s="1"/>
  <c r="G23" i="155" s="1"/>
  <c r="G36" i="155" l="1"/>
  <c r="G35" i="155"/>
  <c r="G34" i="155"/>
  <c r="C15" i="155"/>
  <c r="F25" i="154"/>
  <c r="D30" i="154"/>
  <c r="D35" i="154" l="1"/>
  <c r="D46" i="154"/>
  <c r="F30" i="154"/>
  <c r="F40" i="154"/>
  <c r="F39" i="154"/>
  <c r="C33" i="155"/>
  <c r="C47" i="154"/>
  <c r="C19" i="155"/>
  <c r="C21" i="155" s="1"/>
  <c r="C23" i="155" s="1"/>
  <c r="C36" i="155" l="1"/>
  <c r="C34" i="155"/>
  <c r="C35" i="155"/>
  <c r="F35" i="154"/>
  <c r="F46" i="154"/>
</calcChain>
</file>

<file path=xl/sharedStrings.xml><?xml version="1.0" encoding="utf-8"?>
<sst xmlns="http://schemas.openxmlformats.org/spreadsheetml/2006/main" count="575" uniqueCount="239">
  <si>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</si>
  <si>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</si>
  <si>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</si>
  <si>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</si>
  <si>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</si>
  <si>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</si>
  <si>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</si>
  <si>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</si>
  <si>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</si>
  <si>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</si>
  <si>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</si>
  <si>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</si>
  <si>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</si>
  <si>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</si>
  <si>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</si>
  <si>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</si>
  <si>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</si>
  <si>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Other assets</t>
  </si>
  <si>
    <t>Total assets</t>
  </si>
  <si>
    <t>Accounts payable</t>
  </si>
  <si>
    <t>Deferred revenue</t>
  </si>
  <si>
    <t>Current portion of long-term debt and capital leases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</si>
  <si>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</si>
  <si>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</si>
  <si>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</si>
  <si>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</si>
  <si>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</si>
  <si>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</si>
  <si>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</si>
  <si>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</si>
  <si>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</si>
  <si>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(in thousands)</t>
  </si>
  <si>
    <t>Accrued liabilities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</si>
  <si>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</si>
  <si>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</si>
  <si>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</si>
  <si>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</si>
  <si>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</si>
  <si>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DSO</t>
  </si>
  <si>
    <t>DIO</t>
  </si>
  <si>
    <t>DPO</t>
  </si>
  <si>
    <t>Net Trading Cycle</t>
  </si>
  <si>
    <t>ROA</t>
  </si>
  <si>
    <t>ROE</t>
  </si>
  <si>
    <t>EBIT %</t>
  </si>
  <si>
    <t>Minority interests</t>
  </si>
  <si>
    <t>GP% automotive</t>
  </si>
  <si>
    <t>GP% energy generation and automotive</t>
  </si>
  <si>
    <t>GP% services and other</t>
  </si>
  <si>
    <t>Overall GP%</t>
  </si>
  <si>
    <t>Other liabilities</t>
  </si>
  <si>
    <t>Input --&gt;</t>
  </si>
  <si>
    <t>Drivers</t>
  </si>
  <si>
    <t>Selected case</t>
  </si>
  <si>
    <t>Automotive revenues</t>
  </si>
  <si>
    <t>Corporate tax rate</t>
  </si>
  <si>
    <t>Expected inflation</t>
  </si>
  <si>
    <t>P&amp;L Input</t>
  </si>
  <si>
    <t>Balance Sheet Input</t>
  </si>
  <si>
    <t>Restructuring and other</t>
  </si>
  <si>
    <t>KPIs</t>
  </si>
  <si>
    <t>Currency</t>
  </si>
  <si>
    <t>Domestic country</t>
  </si>
  <si>
    <t>Market risk premium US</t>
  </si>
  <si>
    <t>Tesla</t>
  </si>
  <si>
    <t>Company analysis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</si>
  <si>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</si>
  <si>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</si>
  <si>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</si>
  <si>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</si>
  <si>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</si>
  <si>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</si>
  <si>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</si>
  <si>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</si>
  <si>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</si>
  <si>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Company</t>
  </si>
  <si>
    <t>Operating lease right-of-use assets</t>
  </si>
  <si>
    <t>Tesla, Inc.</t>
  </si>
  <si>
    <t>USD</t>
  </si>
  <si>
    <t>United States</t>
  </si>
  <si>
    <t>10-year treasury yield (Nov 7 2025)</t>
  </si>
  <si>
    <t>Company beta (Nov 7 2025)</t>
  </si>
  <si>
    <t>Tesla share price (Nov 7 2025)</t>
  </si>
  <si>
    <t>Bond Yield (Nov 7 2025)</t>
  </si>
  <si>
    <t>31 Dec 
2024</t>
  </si>
  <si>
    <t>Digital Assets, net</t>
  </si>
  <si>
    <t>Goodwill</t>
  </si>
  <si>
    <t>Deferred Tax assets</t>
  </si>
  <si>
    <t>Deferred Revenue, net of current portion</t>
  </si>
  <si>
    <t>31 Dec 
2023</t>
  </si>
  <si>
    <t>31 Dec 
2022</t>
  </si>
  <si>
    <t>31 Dec
2021</t>
  </si>
  <si>
    <t>2024
Act</t>
  </si>
  <si>
    <t>2023
Act</t>
  </si>
  <si>
    <t>2022
Act</t>
  </si>
  <si>
    <t>-</t>
  </si>
  <si>
    <t>Net lncome incl. minority interests</t>
  </si>
  <si>
    <t>Net Income</t>
  </si>
  <si>
    <t>2021
Act</t>
  </si>
  <si>
    <t>2020
Act</t>
  </si>
  <si>
    <t>Short-term investments</t>
  </si>
  <si>
    <t>Customer Deposits</t>
  </si>
  <si>
    <t>Redeemable non controlling interest in subsidaries</t>
  </si>
  <si>
    <t>31 Dec
2020</t>
  </si>
  <si>
    <t>Convertible Senior Notes</t>
  </si>
  <si>
    <t>Workings  --&gt;</t>
  </si>
  <si>
    <t>Income Statement items</t>
  </si>
  <si>
    <t xml:space="preserve"> </t>
  </si>
  <si>
    <t>Automotive</t>
  </si>
  <si>
    <t>Deliveries</t>
  </si>
  <si>
    <t>Tesla Deliveries</t>
  </si>
  <si>
    <t>Vehicle</t>
  </si>
  <si>
    <t>2025
Fcst</t>
  </si>
  <si>
    <t>2026
Fcst</t>
  </si>
  <si>
    <t>2027
Fcst</t>
  </si>
  <si>
    <t>2028
Fcst</t>
  </si>
  <si>
    <t>2029
Fcst</t>
  </si>
  <si>
    <t>Total</t>
  </si>
  <si>
    <t>y-o-y growth %</t>
  </si>
  <si>
    <t>n.a.</t>
  </si>
  <si>
    <t>2030
Fcst</t>
  </si>
  <si>
    <t>2031
Fcst</t>
  </si>
  <si>
    <t>2032
Fcst</t>
  </si>
  <si>
    <t>2033
Fcst</t>
  </si>
  <si>
    <t>2034
Fcst</t>
  </si>
  <si>
    <t>Tesla Model 3 and Y</t>
  </si>
  <si>
    <t>Tesla Model S, X, and Others</t>
  </si>
  <si>
    <t>Tesla Model S, X and Others</t>
  </si>
  <si>
    <t>Forecast Additional Info:</t>
  </si>
  <si>
    <t>2) YoY growth rate assumed to be average car production market rate i.e. 5%</t>
  </si>
  <si>
    <t>Deliveries comparables</t>
  </si>
  <si>
    <t xml:space="preserve">  </t>
  </si>
  <si>
    <t>Average</t>
  </si>
  <si>
    <t>Adj. Average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</si>
  <si>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</si>
  <si>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</si>
  <si>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</si>
  <si>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</si>
  <si>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</si>
  <si>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</si>
  <si>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</si>
  <si>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</si>
  <si>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</si>
  <si>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</si>
  <si>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</si>
  <si>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Tesla Expected Deliveries</t>
  </si>
  <si>
    <t>Comparables 2020-2024</t>
  </si>
  <si>
    <t>Vehicle Sales 2020-2024 - average</t>
  </si>
  <si>
    <t>Average Price ($)</t>
  </si>
  <si>
    <t>1) Tesla splits its total car production into only 2 groups i.e. Model 3/Y and Model S/X/Others</t>
  </si>
  <si>
    <t>Revenue Automotive</t>
  </si>
  <si>
    <t>Tesla Revenue Automotive (in mln $)</t>
  </si>
  <si>
    <t>Best case</t>
  </si>
  <si>
    <t>Base case</t>
  </si>
  <si>
    <t>Worst case</t>
  </si>
  <si>
    <t>Tesla Model S, X, and others</t>
  </si>
  <si>
    <t>GP %</t>
  </si>
  <si>
    <t>Comparable companies</t>
  </si>
  <si>
    <t>GP %
Comp. 1</t>
  </si>
  <si>
    <t>GP %
Comp. 2</t>
  </si>
  <si>
    <t>GP %
Comp. 3</t>
  </si>
  <si>
    <t>GM, Ford, Fiat Chrysler</t>
  </si>
  <si>
    <t>Historic</t>
  </si>
  <si>
    <t>BMW, Mercedes Cars, Volkswagen</t>
  </si>
  <si>
    <t>Historical</t>
  </si>
  <si>
    <t>Historic Average GP%</t>
  </si>
  <si>
    <t>Gross Profit</t>
  </si>
  <si>
    <t>Tesla Gross Profit (in mln $)</t>
  </si>
  <si>
    <t>Net Income%</t>
  </si>
  <si>
    <t>Cost of Sales Automotive</t>
  </si>
  <si>
    <t>Tesla Cost of Sales (in mln $)</t>
  </si>
  <si>
    <t>Revenue and Gross Profit automotive</t>
  </si>
  <si>
    <t>Revenue automotive</t>
  </si>
  <si>
    <t>Gross Profit automotive</t>
  </si>
  <si>
    <t>GP%</t>
  </si>
  <si>
    <t>Energy &amp; Other</t>
  </si>
  <si>
    <t>Revenue Energy &amp; Other</t>
  </si>
  <si>
    <t>Tesla Revenue Energy &amp; Other (in mln $)</t>
  </si>
  <si>
    <t>($ in million)</t>
  </si>
  <si>
    <t>Total Energy and Other</t>
  </si>
  <si>
    <t>Y-o-Y %</t>
  </si>
  <si>
    <t>Gross Profit Energy &amp; Other</t>
  </si>
  <si>
    <t>Tesla GP% Energy and Other (in mln $)</t>
  </si>
  <si>
    <t>Cost of sales Energy &amp; Other</t>
  </si>
  <si>
    <t>Tesla Cost of sales Energy &amp; Other (in mln $)</t>
  </si>
  <si>
    <t>Comparables 2024</t>
  </si>
  <si>
    <t>Operating expenses</t>
  </si>
  <si>
    <t>Opex comparables</t>
  </si>
  <si>
    <t>Opex</t>
  </si>
  <si>
    <t>Tesla Opex (in mln $)</t>
  </si>
  <si>
    <t>Revenues</t>
  </si>
  <si>
    <t>Opex as a % of revenues</t>
  </si>
  <si>
    <t>Opex as a % of revenue</t>
  </si>
  <si>
    <t>Opex %</t>
  </si>
  <si>
    <t>Comparables - 2024</t>
  </si>
  <si>
    <t>Balance Sheet --&gt;</t>
  </si>
  <si>
    <t>Property, Plant &amp; Equipment</t>
  </si>
  <si>
    <t>Fixed asset roll forward</t>
  </si>
  <si>
    <t>Tesla PP&amp;E (in mln $)</t>
  </si>
  <si>
    <t>31Dec2015
Act</t>
  </si>
  <si>
    <t>31Dec2016
Act</t>
  </si>
  <si>
    <t>31Dec2017
Act</t>
  </si>
  <si>
    <t>31Dec2018
Act</t>
  </si>
  <si>
    <t>31Dec2019
Act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</si>
  <si>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</si>
  <si>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</si>
  <si>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</si>
  <si>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</si>
  <si>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</si>
  <si>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</si>
  <si>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</si>
  <si>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</si>
  <si>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</si>
  <si>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31Dec2029
Fcst</t>
  </si>
  <si>
    <t>Beginning PP&amp;E</t>
  </si>
  <si>
    <t>Capex</t>
  </si>
  <si>
    <t>D&amp;A</t>
  </si>
  <si>
    <t>Ending PP&amp;E</t>
  </si>
  <si>
    <t>Tesla D&amp;A (in mln $)</t>
  </si>
  <si>
    <t>Total D&amp;A</t>
  </si>
  <si>
    <t>Capex as a % of PP&amp;E</t>
  </si>
  <si>
    <t>Capex as a % of revenue</t>
  </si>
  <si>
    <t>Capex %</t>
  </si>
  <si>
    <t>PP&amp;E comparables</t>
  </si>
  <si>
    <t>CAPEX as a % of PP&amp;E</t>
  </si>
  <si>
    <t>CAPEX as a % of revenues</t>
  </si>
  <si>
    <t>Mercedes</t>
  </si>
  <si>
    <t>31Dec2020
Act</t>
  </si>
  <si>
    <t>31Dec2021
Act</t>
  </si>
  <si>
    <t>31Dec2022
Act</t>
  </si>
  <si>
    <t>31Dec2023
Act</t>
  </si>
  <si>
    <t>31Dec2024
Act</t>
  </si>
  <si>
    <t>31Dec2030
Fcst</t>
  </si>
  <si>
    <t>31Dec2031
Fcst</t>
  </si>
  <si>
    <t>31Dec2032
Fcst</t>
  </si>
  <si>
    <t>31Dec2033
Fcst</t>
  </si>
  <si>
    <t>31Dec2034
Fcst</t>
  </si>
  <si>
    <t>Useful life Capex (Years)</t>
  </si>
  <si>
    <t>Useful life historical assets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</si>
</sst>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_);_(* \(#,##0\);_(* &quot;-&quot;?_);@_)"/>
    <numFmt numFmtId="167" formatCode="_-* #,##0.00_-;\-* #,##0.00_-;_-* &quot;-&quot;??_-;_-@_-"/>
  </numFmts>
  <fonts count="29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sz val="10"/>
      <color rgb="FF002060"/>
      <name val="Arial"/>
      <family val="2"/>
      <charset val="204"/>
    </font>
    <font>
      <u/>
      <sz val="10"/>
      <color theme="10"/>
      <name val="Arial"/>
      <family val="2"/>
      <charset val="204"/>
    </font>
    <font>
      <sz val="9"/>
      <name val="Arial"/>
      <family val="2"/>
    </font>
    <font>
      <b/>
      <i/>
      <sz val="8"/>
      <name val="Arial"/>
      <family val="2"/>
      <charset val="204"/>
    </font>
    <font>
      <sz val="8"/>
      <name val="Arial"/>
      <family val="2"/>
    </font>
    <font>
      <b/>
      <i/>
      <sz val="9"/>
      <color rgb="FF002060"/>
      <name val="Arial"/>
      <family val="2"/>
      <charset val="204"/>
    </font>
    <font>
      <b/>
      <sz val="9"/>
      <name val="Arial"/>
      <family val="2"/>
    </font>
    <font>
      <sz val="10"/>
      <name val="Arial"/>
      <family val="2"/>
    </font>
    <font>
      <b/>
      <i/>
      <sz val="10"/>
      <color rgb="FF002060"/>
      <name val="Arial"/>
      <family val="2"/>
      <charset val="204"/>
    </font>
    <font>
      <i/>
      <sz val="8"/>
      <name val="Arial"/>
      <family val="2"/>
      <charset val="204"/>
    </font>
    <font>
      <b/>
      <sz val="8"/>
      <name val="Arial"/>
      <family val="2"/>
      <charset val="204"/>
    </font>
    <font>
      <b/>
      <i/>
      <sz val="9"/>
      <name val="Arial"/>
      <family val="2"/>
      <charset val="204"/>
    </font>
    <font>
      <b/>
      <sz val="10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u/>
      <sz val="9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5">
    <xf numFmtId="0" fontId="0" fillId="0" borderId="0">
      <alignment vertical="top"/>
    </xf>
    <xf numFmtId="43" fontId="1" fillId="0" borderId="0">
      <alignment vertical="top"/>
    </xf>
    <xf numFmtId="9" fontId="1" fillId="0" borderId="0">
      <alignment vertical="top"/>
    </xf>
    <xf numFmtId="0" fontId="15" fillId="0" borderId="0" applyNumberFormat="0" applyFill="0" applyBorder="0" applyAlignment="0" applyProtection="0">
      <alignment vertical="top"/>
    </xf>
    <xf numFmtId="0" fontId="21" fillId="0" borderId="0">
      <alignment vertical="top"/>
    </xf>
  </cellStyleXfs>
  <cellXfs count="123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4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4" borderId="0" xfId="0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>
      <alignment vertical="top"/>
    </xf>
    <xf numFmtId="0" fontId="11" fillId="3" borderId="0" xfId="0" applyFont="1" applyFill="1" applyAlignment="1"/>
    <xf numFmtId="2" fontId="11" fillId="3" borderId="0" xfId="0" applyNumberFormat="1" applyFont="1" applyFill="1" applyAlignment="1"/>
    <xf numFmtId="0" fontId="12" fillId="3" borderId="0" xfId="0" applyFont="1" applyFill="1" applyAlignment="1"/>
    <xf numFmtId="0" fontId="10" fillId="3" borderId="0" xfId="0" applyFont="1" applyFill="1" applyAlignment="1"/>
    <xf numFmtId="0" fontId="13" fillId="3" borderId="0" xfId="0" applyFont="1" applyFill="1" applyAlignment="1"/>
    <xf numFmtId="166" fontId="4" fillId="2" borderId="0" xfId="0" applyNumberFormat="1" applyFont="1" applyFill="1" applyAlignment="1">
      <alignment horizontal="right" vertical="top"/>
    </xf>
    <xf numFmtId="166" fontId="3" fillId="2" borderId="1" xfId="0" applyNumberFormat="1" applyFont="1" applyFill="1" applyBorder="1" applyAlignment="1">
      <alignment horizontal="right" vertical="top"/>
    </xf>
    <xf numFmtId="166" fontId="3" fillId="2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66" fontId="4" fillId="2" borderId="0" xfId="1" applyNumberFormat="1" applyFont="1" applyFill="1" applyAlignment="1">
      <alignment horizontal="right" vertical="top"/>
    </xf>
    <xf numFmtId="166" fontId="3" fillId="2" borderId="1" xfId="1" applyNumberFormat="1" applyFont="1" applyFill="1" applyBorder="1" applyAlignment="1">
      <alignment horizontal="right" vertical="top"/>
    </xf>
    <xf numFmtId="166" fontId="3" fillId="2" borderId="2" xfId="1" applyNumberFormat="1" applyFont="1" applyFill="1" applyBorder="1" applyAlignment="1">
      <alignment horizontal="right" vertical="top"/>
    </xf>
    <xf numFmtId="166" fontId="3" fillId="2" borderId="0" xfId="1" applyNumberFormat="1" applyFont="1" applyFill="1" applyAlignment="1">
      <alignment horizontal="right" vertical="top"/>
    </xf>
    <xf numFmtId="166" fontId="4" fillId="2" borderId="0" xfId="0" applyNumberFormat="1" applyFont="1" applyFill="1">
      <alignment vertical="top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4" fillId="2" borderId="0" xfId="0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2" fontId="11" fillId="3" borderId="0" xfId="0" applyNumberFormat="1" applyFont="1" applyFill="1" applyAlignment="1">
      <alignment horizontal="right"/>
    </xf>
    <xf numFmtId="0" fontId="15" fillId="0" borderId="0" xfId="3">
      <alignment vertical="top"/>
    </xf>
    <xf numFmtId="166" fontId="0" fillId="2" borderId="0" xfId="0" applyNumberFormat="1" applyFill="1">
      <alignment vertical="top"/>
    </xf>
    <xf numFmtId="165" fontId="1" fillId="0" borderId="0" xfId="2" applyNumberFormat="1">
      <alignment vertical="top"/>
    </xf>
    <xf numFmtId="0" fontId="16" fillId="2" borderId="0" xfId="0" applyFont="1" applyFill="1">
      <alignment vertical="top"/>
    </xf>
    <xf numFmtId="166" fontId="16" fillId="2" borderId="0" xfId="1" applyNumberFormat="1" applyFont="1" applyFill="1" applyAlignment="1">
      <alignment horizontal="right" vertical="top"/>
    </xf>
    <xf numFmtId="166" fontId="16" fillId="2" borderId="0" xfId="0" applyNumberFormat="1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right" vertical="top" wrapText="1"/>
    </xf>
    <xf numFmtId="166" fontId="4" fillId="5" borderId="0" xfId="0" applyNumberFormat="1" applyFont="1" applyFill="1" applyAlignment="1">
      <alignment horizontal="right" vertical="top"/>
    </xf>
    <xf numFmtId="0" fontId="3" fillId="2" borderId="4" xfId="0" applyFont="1" applyFill="1" applyBorder="1" applyAlignment="1"/>
    <xf numFmtId="164" fontId="3" fillId="2" borderId="4" xfId="0" applyNumberFormat="1" applyFont="1" applyFill="1" applyBorder="1" applyAlignment="1"/>
    <xf numFmtId="0" fontId="17" fillId="3" borderId="0" xfId="0" applyFont="1" applyFill="1">
      <alignment vertical="top"/>
    </xf>
    <xf numFmtId="0" fontId="9" fillId="3" borderId="0" xfId="0" applyFont="1" applyFill="1">
      <alignment vertical="top"/>
    </xf>
    <xf numFmtId="0" fontId="9" fillId="3" borderId="0" xfId="0" applyFont="1" applyFill="1" applyAlignment="1">
      <alignment horizontal="right" vertical="top"/>
    </xf>
    <xf numFmtId="9" fontId="9" fillId="3" borderId="0" xfId="2" applyFont="1" applyFill="1" applyAlignment="1">
      <alignment horizontal="right" vertical="top"/>
    </xf>
    <xf numFmtId="9" fontId="9" fillId="3" borderId="0" xfId="0" applyNumberFormat="1" applyFont="1" applyFill="1" applyAlignment="1">
      <alignment horizontal="right" vertical="top"/>
    </xf>
    <xf numFmtId="9" fontId="9" fillId="3" borderId="0" xfId="0" applyNumberFormat="1" applyFont="1" applyFill="1">
      <alignment vertical="top"/>
    </xf>
    <xf numFmtId="9" fontId="18" fillId="3" borderId="0" xfId="0" applyNumberFormat="1" applyFont="1" applyFill="1" applyAlignment="1">
      <alignment horizontal="right" vertical="top"/>
    </xf>
    <xf numFmtId="0" fontId="19" fillId="2" borderId="0" xfId="0" applyFont="1" applyFill="1">
      <alignment vertical="top"/>
    </xf>
    <xf numFmtId="0" fontId="3" fillId="2" borderId="3" xfId="0" applyFont="1" applyFill="1" applyBorder="1" applyAlignment="1">
      <alignment horizontal="left"/>
    </xf>
    <xf numFmtId="164" fontId="4" fillId="2" borderId="0" xfId="1" applyNumberFormat="1" applyFont="1" applyFill="1">
      <alignment vertical="top"/>
    </xf>
    <xf numFmtId="2" fontId="4" fillId="2" borderId="0" xfId="0" applyNumberFormat="1" applyFont="1" applyFill="1">
      <alignment vertical="top"/>
    </xf>
    <xf numFmtId="0" fontId="21" fillId="2" borderId="0" xfId="4" applyFill="1">
      <alignment vertical="top"/>
    </xf>
    <xf numFmtId="0" fontId="5" fillId="2" borderId="0" xfId="4" applyFont="1" applyFill="1">
      <alignment vertical="top"/>
    </xf>
    <xf numFmtId="0" fontId="4" fillId="2" borderId="0" xfId="4" applyFont="1" applyFill="1">
      <alignment vertical="top"/>
    </xf>
    <xf numFmtId="166" fontId="4" fillId="2" borderId="0" xfId="4" applyNumberFormat="1" applyFont="1" applyFill="1">
      <alignment vertical="top"/>
    </xf>
    <xf numFmtId="166" fontId="4" fillId="2" borderId="0" xfId="4" applyNumberFormat="1" applyFont="1" applyFill="1" applyAlignment="1">
      <alignment horizontal="right" vertical="top"/>
    </xf>
    <xf numFmtId="0" fontId="3" fillId="2" borderId="3" xfId="4" applyFont="1" applyFill="1" applyBorder="1" applyAlignment="1">
      <alignment horizontal="left" wrapText="1"/>
    </xf>
    <xf numFmtId="0" fontId="3" fillId="2" borderId="3" xfId="4" applyFont="1" applyFill="1" applyBorder="1" applyAlignment="1">
      <alignment horizontal="right" vertical="top" wrapText="1"/>
    </xf>
    <xf numFmtId="0" fontId="3" fillId="5" borderId="3" xfId="4" applyFont="1" applyFill="1" applyBorder="1" applyAlignment="1">
      <alignment horizontal="right" vertical="top" wrapText="1"/>
    </xf>
    <xf numFmtId="0" fontId="3" fillId="2" borderId="3" xfId="4" applyFont="1" applyFill="1" applyBorder="1" applyAlignment="1">
      <alignment horizontal="right" wrapText="1"/>
    </xf>
    <xf numFmtId="166" fontId="4" fillId="5" borderId="0" xfId="4" applyNumberFormat="1" applyFont="1" applyFill="1">
      <alignment vertical="top"/>
    </xf>
    <xf numFmtId="0" fontId="3" fillId="2" borderId="4" xfId="4" applyFont="1" applyFill="1" applyBorder="1" applyAlignment="1"/>
    <xf numFmtId="164" fontId="3" fillId="2" borderId="4" xfId="4" applyNumberFormat="1" applyFont="1" applyFill="1" applyBorder="1" applyAlignment="1"/>
    <xf numFmtId="166" fontId="3" fillId="2" borderId="2" xfId="1" applyNumberFormat="1" applyFont="1" applyFill="1" applyBorder="1">
      <alignment vertical="top"/>
    </xf>
    <xf numFmtId="0" fontId="17" fillId="3" borderId="0" xfId="4" applyFont="1" applyFill="1">
      <alignment vertical="top"/>
    </xf>
    <xf numFmtId="0" fontId="9" fillId="3" borderId="0" xfId="4" applyFont="1" applyFill="1">
      <alignment vertical="top"/>
    </xf>
    <xf numFmtId="0" fontId="9" fillId="2" borderId="0" xfId="4" applyFont="1" applyFill="1">
      <alignment vertical="top"/>
    </xf>
    <xf numFmtId="0" fontId="9" fillId="3" borderId="0" xfId="4" applyFont="1" applyFill="1" applyAlignment="1">
      <alignment horizontal="right" vertical="top"/>
    </xf>
    <xf numFmtId="9" fontId="9" fillId="3" borderId="0" xfId="4" applyNumberFormat="1" applyFont="1" applyFill="1">
      <alignment vertical="top"/>
    </xf>
    <xf numFmtId="0" fontId="3" fillId="2" borderId="0" xfId="0" applyFont="1" applyFill="1" applyAlignment="1">
      <alignment horizontal="right" wrapText="1"/>
    </xf>
    <xf numFmtId="164" fontId="20" fillId="2" borderId="1" xfId="1" applyNumberFormat="1" applyFont="1" applyFill="1" applyBorder="1">
      <alignment vertical="top"/>
    </xf>
    <xf numFmtId="0" fontId="22" fillId="2" borderId="0" xfId="4" applyFont="1" applyFill="1">
      <alignment vertical="top"/>
    </xf>
    <xf numFmtId="0" fontId="4" fillId="2" borderId="0" xfId="4" applyFont="1" applyFill="1" applyAlignment="1">
      <alignment horizontal="right" vertical="top"/>
    </xf>
    <xf numFmtId="165" fontId="4" fillId="2" borderId="0" xfId="2" applyNumberFormat="1" applyFont="1" applyFill="1">
      <alignment vertical="top"/>
    </xf>
    <xf numFmtId="165" fontId="4" fillId="6" borderId="0" xfId="4" applyNumberFormat="1" applyFont="1" applyFill="1">
      <alignment vertical="top"/>
    </xf>
    <xf numFmtId="165" fontId="4" fillId="2" borderId="0" xfId="4" applyNumberFormat="1" applyFont="1" applyFill="1" applyAlignment="1">
      <alignment horizontal="right" vertical="top"/>
    </xf>
    <xf numFmtId="9" fontId="4" fillId="2" borderId="0" xfId="4" applyNumberFormat="1" applyFont="1" applyFill="1" applyAlignment="1">
      <alignment horizontal="right" vertical="top"/>
    </xf>
    <xf numFmtId="165" fontId="9" fillId="3" borderId="0" xfId="2" applyNumberFormat="1" applyFont="1" applyFill="1" applyAlignment="1">
      <alignment horizontal="right" vertical="top"/>
    </xf>
    <xf numFmtId="9" fontId="23" fillId="2" borderId="0" xfId="2" applyFont="1" applyFill="1">
      <alignment vertical="top"/>
    </xf>
    <xf numFmtId="9" fontId="23" fillId="5" borderId="0" xfId="4" applyNumberFormat="1" applyFont="1" applyFill="1">
      <alignment vertical="top"/>
    </xf>
    <xf numFmtId="9" fontId="4" fillId="2" borderId="0" xfId="4" applyNumberFormat="1" applyFont="1" applyFill="1">
      <alignment vertical="top"/>
    </xf>
    <xf numFmtId="0" fontId="6" fillId="2" borderId="0" xfId="4" applyFont="1" applyFill="1">
      <alignment vertical="top"/>
    </xf>
    <xf numFmtId="0" fontId="3" fillId="2" borderId="3" xfId="4" applyFont="1" applyFill="1" applyBorder="1" applyAlignment="1"/>
    <xf numFmtId="166" fontId="4" fillId="5" borderId="0" xfId="4" applyNumberFormat="1" applyFont="1" applyFill="1" applyAlignment="1">
      <alignment horizontal="right" vertical="top"/>
    </xf>
    <xf numFmtId="0" fontId="3" fillId="2" borderId="1" xfId="4" applyFont="1" applyFill="1" applyBorder="1">
      <alignment vertical="top"/>
    </xf>
    <xf numFmtId="166" fontId="3" fillId="2" borderId="1" xfId="4" applyNumberFormat="1" applyFont="1" applyFill="1" applyBorder="1">
      <alignment vertical="top"/>
    </xf>
    <xf numFmtId="166" fontId="3" fillId="5" borderId="1" xfId="4" applyNumberFormat="1" applyFont="1" applyFill="1" applyBorder="1">
      <alignment vertical="top"/>
    </xf>
    <xf numFmtId="0" fontId="24" fillId="3" borderId="0" xfId="4" applyFont="1" applyFill="1">
      <alignment vertical="top"/>
    </xf>
    <xf numFmtId="0" fontId="3" fillId="2" borderId="2" xfId="4" applyFont="1" applyFill="1" applyBorder="1">
      <alignment vertical="top"/>
    </xf>
    <xf numFmtId="9" fontId="4" fillId="3" borderId="0" xfId="2" applyFont="1" applyFill="1">
      <alignment vertical="top"/>
    </xf>
    <xf numFmtId="9" fontId="9" fillId="3" borderId="0" xfId="4" applyNumberFormat="1" applyFont="1" applyFill="1" applyAlignment="1">
      <alignment horizontal="right" vertical="top"/>
    </xf>
    <xf numFmtId="9" fontId="4" fillId="0" borderId="0" xfId="2" applyFont="1">
      <alignment vertical="top"/>
    </xf>
    <xf numFmtId="0" fontId="4" fillId="3" borderId="0" xfId="4" applyFont="1" applyFill="1">
      <alignment vertical="top"/>
    </xf>
    <xf numFmtId="9" fontId="4" fillId="3" borderId="0" xfId="4" applyNumberFormat="1" applyFont="1" applyFill="1" applyAlignment="1">
      <alignment horizontal="right" vertical="top"/>
    </xf>
    <xf numFmtId="9" fontId="3" fillId="2" borderId="1" xfId="4" applyNumberFormat="1" applyFont="1" applyFill="1" applyBorder="1">
      <alignment vertical="top"/>
    </xf>
    <xf numFmtId="166" fontId="3" fillId="5" borderId="1" xfId="4" applyNumberFormat="1" applyFont="1" applyFill="1" applyBorder="1" applyAlignment="1">
      <alignment horizontal="right" vertical="top"/>
    </xf>
    <xf numFmtId="9" fontId="4" fillId="7" borderId="0" xfId="2" applyFont="1" applyFill="1">
      <alignment vertical="top"/>
    </xf>
    <xf numFmtId="9" fontId="4" fillId="5" borderId="0" xfId="2" applyFont="1" applyFill="1">
      <alignment vertical="top"/>
    </xf>
    <xf numFmtId="0" fontId="21" fillId="2" borderId="0" xfId="4" applyFill="1" applyAlignment="1"/>
    <xf numFmtId="0" fontId="5" fillId="2" borderId="0" xfId="4" applyFont="1" applyFill="1" applyAlignment="1"/>
    <xf numFmtId="0" fontId="25" fillId="2" borderId="0" xfId="4" applyFont="1" applyFill="1" applyAlignment="1"/>
    <xf numFmtId="0" fontId="26" fillId="4" borderId="0" xfId="4" applyFont="1" applyFill="1" applyAlignment="1"/>
    <xf numFmtId="0" fontId="26" fillId="2" borderId="0" xfId="4" applyFont="1" applyFill="1" applyAlignment="1"/>
    <xf numFmtId="0" fontId="8" fillId="2" borderId="0" xfId="4" applyFont="1" applyFill="1" applyAlignment="1"/>
    <xf numFmtId="164" fontId="8" fillId="2" borderId="0" xfId="1" applyNumberFormat="1" applyFont="1" applyFill="1" applyAlignment="1"/>
    <xf numFmtId="164" fontId="4" fillId="2" borderId="0" xfId="4" applyNumberFormat="1" applyFont="1" applyFill="1" applyAlignment="1">
      <alignment horizontal="right" vertical="top"/>
    </xf>
    <xf numFmtId="164" fontId="4" fillId="5" borderId="0" xfId="4" applyNumberFormat="1" applyFont="1" applyFill="1" applyAlignment="1">
      <alignment horizontal="right" vertical="top"/>
    </xf>
    <xf numFmtId="164" fontId="4" fillId="2" borderId="0" xfId="4" applyNumberFormat="1" applyFont="1" applyFill="1" applyAlignment="1"/>
    <xf numFmtId="0" fontId="27" fillId="2" borderId="0" xfId="4" applyFont="1" applyFill="1" applyAlignment="1"/>
    <xf numFmtId="0" fontId="28" fillId="2" borderId="0" xfId="4" applyFont="1" applyFill="1" applyAlignment="1"/>
    <xf numFmtId="167" fontId="21" fillId="2" borderId="0" xfId="4" applyNumberFormat="1" applyFill="1" applyAlignment="1"/>
    <xf numFmtId="9" fontId="4" fillId="3" borderId="0" xfId="4" applyNumberFormat="1" applyFont="1" applyFill="1">
      <alignment vertical="top"/>
    </xf>
    <xf numFmtId="9" fontId="3" fillId="2" borderId="1" xfId="4" applyNumberFormat="1" applyFont="1" applyFill="1" applyBorder="1" applyAlignment="1">
      <alignment horizontal="right" vertical="top"/>
    </xf>
    <xf numFmtId="164" fontId="4" fillId="5" borderId="0" xfId="1" applyNumberFormat="1" applyFont="1" applyFill="1">
      <alignment vertical="top"/>
    </xf>
    <xf numFmtId="0" fontId="7" fillId="4" borderId="0" xfId="0" applyFont="1" applyFill="1" applyAlignment="1">
      <alignment horizontal="center" vertical="top"/>
    </xf>
    <xf numFmtId="0" fontId="7" fillId="4" borderId="0" xfId="4" applyFont="1" applyFill="1" applyAlignment="1">
      <alignment horizontal="center" vertical="top"/>
    </xf>
  </cellXfs>
  <cellStyles count="5">
    <cellStyle name="Comma" xfId="1" builtinId="3"/>
    <cellStyle name="Hyperlink" xfId="3" builtinId="8"/>
    <cellStyle name="Normal" xfId="0" builtinId="0"/>
    <cellStyle name="Normal 2" xfId="4" xr:uid="{3851AA92-A027-4D66-A03F-77450D8C86D3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2021
Act</c:v>
                </c:pt>
                <c:pt idx="1">
                  <c:v>2022
Act</c:v>
                </c:pt>
                <c:pt idx="2">
                  <c:v>2023
Act</c:v>
                </c:pt>
                <c:pt idx="3">
                  <c:v>2024
Act</c:v>
                </c:pt>
                <c:pt idx="4">
                  <c:v>2025
Fcst</c:v>
                </c:pt>
                <c:pt idx="5">
                  <c:v>2026
Fcst</c:v>
                </c:pt>
                <c:pt idx="6">
                  <c:v>2027
Fcst</c:v>
                </c:pt>
                <c:pt idx="7">
                  <c:v>2028
Fcst</c:v>
                </c:pt>
                <c:pt idx="8">
                  <c:v>2029
Fcst</c:v>
                </c:pt>
                <c:pt idx="9">
                  <c:v>2030
Fcst</c:v>
                </c:pt>
                <c:pt idx="10">
                  <c:v>2031
Fcst</c:v>
                </c:pt>
                <c:pt idx="11">
                  <c:v>2032
Fcst</c:v>
                </c:pt>
                <c:pt idx="12">
                  <c:v>2033
Fcst</c:v>
                </c:pt>
                <c:pt idx="13">
                  <c:v>2034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47232</c:v>
                </c:pt>
                <c:pt idx="1">
                  <c:v>71462</c:v>
                </c:pt>
                <c:pt idx="2">
                  <c:v>82419</c:v>
                </c:pt>
                <c:pt idx="3">
                  <c:v>77070</c:v>
                </c:pt>
                <c:pt idx="4">
                  <c:v>78438.557736000002</c:v>
                </c:pt>
                <c:pt idx="5">
                  <c:v>82360.485622799999</c:v>
                </c:pt>
                <c:pt idx="6">
                  <c:v>86478.509903939994</c:v>
                </c:pt>
                <c:pt idx="7">
                  <c:v>90802.435399137001</c:v>
                </c:pt>
                <c:pt idx="8">
                  <c:v>95342.557169093852</c:v>
                </c:pt>
                <c:pt idx="9">
                  <c:v>100109.68502754856</c:v>
                </c:pt>
                <c:pt idx="10">
                  <c:v>105115.16927892598</c:v>
                </c:pt>
                <c:pt idx="11">
                  <c:v>110370.92774287229</c:v>
                </c:pt>
                <c:pt idx="12">
                  <c:v>115889.47413001589</c:v>
                </c:pt>
                <c:pt idx="13">
                  <c:v>121683.94783651669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6-4B5C-A901-DF05656801C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2021
Act</c:v>
                </c:pt>
                <c:pt idx="1">
                  <c:v>2022
Act</c:v>
                </c:pt>
                <c:pt idx="2">
                  <c:v>2023
Act</c:v>
                </c:pt>
                <c:pt idx="3">
                  <c:v>2024
Act</c:v>
                </c:pt>
                <c:pt idx="4">
                  <c:v>2025
Fcst</c:v>
                </c:pt>
                <c:pt idx="5">
                  <c:v>2026
Fcst</c:v>
                </c:pt>
                <c:pt idx="6">
                  <c:v>2027
Fcst</c:v>
                </c:pt>
                <c:pt idx="7">
                  <c:v>2028
Fcst</c:v>
                </c:pt>
                <c:pt idx="8">
                  <c:v>2029
Fcst</c:v>
                </c:pt>
                <c:pt idx="9">
                  <c:v>2030
Fcst</c:v>
                </c:pt>
                <c:pt idx="10">
                  <c:v>2031
Fcst</c:v>
                </c:pt>
                <c:pt idx="11">
                  <c:v>2032
Fcst</c:v>
                </c:pt>
                <c:pt idx="12">
                  <c:v>2033
Fcst</c:v>
                </c:pt>
                <c:pt idx="13">
                  <c:v>2034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13606</c:v>
                </c:pt>
                <c:pt idx="1">
                  <c:v>20853</c:v>
                </c:pt>
                <c:pt idx="2">
                  <c:v>17660</c:v>
                </c:pt>
                <c:pt idx="3">
                  <c:v>17450</c:v>
                </c:pt>
                <c:pt idx="4">
                  <c:v>18668.376741167998</c:v>
                </c:pt>
                <c:pt idx="5">
                  <c:v>19601.7955782264</c:v>
                </c:pt>
                <c:pt idx="6">
                  <c:v>20581.885357137719</c:v>
                </c:pt>
                <c:pt idx="7">
                  <c:v>21610.979624994601</c:v>
                </c:pt>
                <c:pt idx="8">
                  <c:v>22691.528606244337</c:v>
                </c:pt>
                <c:pt idx="9">
                  <c:v>23826.105036556557</c:v>
                </c:pt>
                <c:pt idx="10">
                  <c:v>25017.410288384381</c:v>
                </c:pt>
                <c:pt idx="11">
                  <c:v>26268.280802803605</c:v>
                </c:pt>
                <c:pt idx="12">
                  <c:v>27581.694842943783</c:v>
                </c:pt>
                <c:pt idx="13">
                  <c:v>28960.779585090972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56-4B5C-A901-DF0565680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2021
Act</c:v>
                </c:pt>
                <c:pt idx="1">
                  <c:v>2022
Act</c:v>
                </c:pt>
                <c:pt idx="2">
                  <c:v>2023
Act</c:v>
                </c:pt>
                <c:pt idx="3">
                  <c:v>2024
Act</c:v>
                </c:pt>
                <c:pt idx="4">
                  <c:v>2025
Fcst</c:v>
                </c:pt>
                <c:pt idx="5">
                  <c:v>2026
Fcst</c:v>
                </c:pt>
                <c:pt idx="6">
                  <c:v>2027
Fcst</c:v>
                </c:pt>
                <c:pt idx="7">
                  <c:v>2028
Fcst</c:v>
                </c:pt>
                <c:pt idx="8">
                  <c:v>2029
Fcst</c:v>
                </c:pt>
                <c:pt idx="9">
                  <c:v>2030
Fcst</c:v>
                </c:pt>
                <c:pt idx="10">
                  <c:v>2031
Fcst</c:v>
                </c:pt>
                <c:pt idx="11">
                  <c:v>2032
Fcst</c:v>
                </c:pt>
                <c:pt idx="12">
                  <c:v>2033
Fcst</c:v>
                </c:pt>
                <c:pt idx="13">
                  <c:v>2034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0.28806741192411922</c:v>
                </c:pt>
                <c:pt idx="1">
                  <c:v>0.29180543505639361</c:v>
                </c:pt>
                <c:pt idx="2">
                  <c:v>0.21427098120578994</c:v>
                </c:pt>
                <c:pt idx="3">
                  <c:v>0.22641754249383678</c:v>
                </c:pt>
                <c:pt idx="4">
                  <c:v>0.23799999999999996</c:v>
                </c:pt>
                <c:pt idx="5">
                  <c:v>0.23799999999999999</c:v>
                </c:pt>
                <c:pt idx="6">
                  <c:v>0.23799999999999999</c:v>
                </c:pt>
                <c:pt idx="7">
                  <c:v>0.23799999999999993</c:v>
                </c:pt>
                <c:pt idx="8">
                  <c:v>0.23800000000000002</c:v>
                </c:pt>
                <c:pt idx="9">
                  <c:v>0.23799999999999999</c:v>
                </c:pt>
                <c:pt idx="10">
                  <c:v>0.23799999999999996</c:v>
                </c:pt>
                <c:pt idx="11">
                  <c:v>0.23800000000000002</c:v>
                </c:pt>
                <c:pt idx="12">
                  <c:v>0.23800000000000002</c:v>
                </c:pt>
                <c:pt idx="13">
                  <c:v>0.23799999999999999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A56-4B5C-A901-DF0565680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179294</xdr:colOff>
      <xdr:row>0</xdr:row>
      <xdr:rowOff>0</xdr:rowOff>
    </xdr:from>
    <xdr:to>
      <xdr:col>10</xdr:col>
      <xdr:colOff>430306</xdr:colOff>
      <xdr:row>20</xdr:row>
      <xdr:rowOff>107577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0E30CB-C37A-2324-F4E0-E5888B5DB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7318" y="0"/>
          <a:ext cx="5504329" cy="308385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22</xdr:col>
      <xdr:colOff>421341</xdr:colOff>
      <xdr:row>38</xdr:row>
      <xdr:rowOff>80682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C85E0DE-1811-CBD7-B4E3-DDE0BFC82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9553" y="197224"/>
          <a:ext cx="7772400" cy="5468470"/>
        </a:xfrm>
        <a:prstGeom prst="rect">
          <a:avLst/>
        </a:prstGeom>
      </xdr:spPr>
    </xdr:pic>
    <xdr:clientData/>
  </xdr:twoCellAnchor>
  <xdr:twoCellAnchor editAs="oneCell">
    <xdr:from>
      <xdr:col>3</xdr:col>
      <xdr:colOff>242047</xdr:colOff>
      <xdr:row>22</xdr:row>
      <xdr:rowOff>1</xdr:rowOff>
    </xdr:from>
    <xdr:to>
      <xdr:col>10</xdr:col>
      <xdr:colOff>439272</xdr:colOff>
      <xdr:row>38</xdr:row>
      <xdr:rowOff>116542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018001F-4CF9-448A-10AA-967EB3662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0071" y="3263154"/>
          <a:ext cx="5450542" cy="2438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D6073-3A0B-4F1E-8F57-045DB7D0D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9" spans="2:3" ht="49" x14ac:dyDescent="0.15">
      <c r="B9" s="10" t="s">
        <v>64</v>
      </c>
      <c r="C9" s="33"/>
    </row>
    <row r="10" spans="2:3" ht="49" x14ac:dyDescent="0.15">
      <c r="B10" s="10" t="s">
        <v>65</v>
      </c>
      <c r="C10" s="3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topLeftCell="B1" zoomScale="85" zoomScaleNormal="85" workbookViewId="0">
      <selection activeCell="C3" sqref="C3"/>
    </sheetView>
  </sheetViews>
  <sheetFormatPr baseColWidth="10" defaultColWidth="9.1640625" defaultRowHeight="12" x14ac:dyDescent="0.15"/>
  <cols>
    <col min="1" max="1" width="2" style="7" customWidth="1"/>
    <col min="2" max="2" width="27.33203125" style="7" bestFit="1" customWidth="1"/>
    <col min="3" max="6" width="11.33203125" style="7" bestFit="1" customWidth="1"/>
    <col min="7" max="7" width="11.5" style="7" bestFit="1" customWidth="1"/>
    <col min="8" max="11" width="10.33203125" style="7" bestFit="1" customWidth="1"/>
    <col min="12" max="16" width="10.5" style="7" bestFit="1" customWidth="1"/>
    <col min="17" max="16384" width="9.1640625" style="7"/>
  </cols>
  <sheetData>
    <row r="1" spans="1:6" ht="16" x14ac:dyDescent="0.15">
      <c r="A1" s="1"/>
      <c r="B1" s="2" t="s">
        <v>52</v>
      </c>
    </row>
    <row r="3" spans="1:6" ht="13" x14ac:dyDescent="0.15">
      <c r="B3" s="7" t="str">
        <f>"Selected Case:"&amp;CHOOSE(C3," Best Case", " Base Case", " Worst Case")</f>
        <v>Selected Case: Best Case</v>
      </c>
      <c r="C3" s="11">
        <v>1</v>
      </c>
      <c r="E3" s="4"/>
      <c r="F3" s="4"/>
    </row>
    <row r="4" spans="1:6" ht="13" x14ac:dyDescent="0.15">
      <c r="B4" s="7" t="s">
        <v>75</v>
      </c>
      <c r="C4" s="34" t="s">
        <v>77</v>
      </c>
      <c r="E4" s="4"/>
      <c r="F4" s="4"/>
    </row>
    <row r="5" spans="1:6" x14ac:dyDescent="0.15">
      <c r="B5" s="7" t="s">
        <v>61</v>
      </c>
      <c r="C5" s="31" t="s">
        <v>78</v>
      </c>
    </row>
    <row r="6" spans="1:6" x14ac:dyDescent="0.15">
      <c r="B6" s="7" t="s">
        <v>62</v>
      </c>
      <c r="C6" s="31" t="s">
        <v>79</v>
      </c>
    </row>
    <row r="7" spans="1:6" x14ac:dyDescent="0.15">
      <c r="B7" s="7" t="s">
        <v>80</v>
      </c>
      <c r="C7" s="32">
        <v>4.0890000000000003E-2</v>
      </c>
    </row>
    <row r="8" spans="1:6" x14ac:dyDescent="0.15">
      <c r="B8" s="7" t="s">
        <v>63</v>
      </c>
      <c r="C8" s="14">
        <v>0.05</v>
      </c>
    </row>
    <row r="9" spans="1:6" x14ac:dyDescent="0.15">
      <c r="B9" s="7" t="s">
        <v>81</v>
      </c>
      <c r="C9" s="7">
        <v>1.87</v>
      </c>
    </row>
    <row r="10" spans="1:6" x14ac:dyDescent="0.15">
      <c r="B10" s="7" t="s">
        <v>82</v>
      </c>
      <c r="C10" s="7">
        <v>433.33</v>
      </c>
    </row>
    <row r="11" spans="1:6" x14ac:dyDescent="0.15">
      <c r="B11" s="12" t="s">
        <v>83</v>
      </c>
      <c r="C11" s="13">
        <v>5.2999999999999999E-2</v>
      </c>
    </row>
    <row r="12" spans="1:6" x14ac:dyDescent="0.15">
      <c r="B12" s="7" t="s">
        <v>55</v>
      </c>
      <c r="C12" s="14">
        <v>0.21</v>
      </c>
    </row>
    <row r="13" spans="1:6" x14ac:dyDescent="0.15">
      <c r="B13" s="7" t="s">
        <v>56</v>
      </c>
      <c r="C13" s="14">
        <v>0.02</v>
      </c>
    </row>
    <row r="26" spans="5:5" ht="13" x14ac:dyDescent="0.15">
      <c r="E26" s="36"/>
    </row>
  </sheetData>
  <dataValidations count="1">
    <dataValidation type="list" allowBlank="1" showInputMessage="1" showErrorMessage="1" sqref="C3" xr:uid="{03EF4AAD-1589-4073-B9D1-35EC76DB9665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9" sqref="C9"/>
    </sheetView>
  </sheetViews>
  <sheetFormatPr baseColWidth="10" defaultColWidth="9.1640625" defaultRowHeight="13" x14ac:dyDescent="0.15"/>
  <cols>
    <col min="1" max="1" width="2" style="1" customWidth="1"/>
    <col min="2" max="2" width="41.6640625" style="1" bestFit="1" customWidth="1"/>
    <col min="3" max="5" width="11.33203125" style="1" bestFit="1" customWidth="1"/>
    <col min="6" max="6" width="11.5" style="1" customWidth="1"/>
    <col min="7" max="7" width="11.5" style="1" bestFit="1" customWidth="1"/>
    <col min="8" max="8" width="10.33203125" style="1" bestFit="1" customWidth="1"/>
    <col min="9" max="9" width="9.1640625" style="1"/>
    <col min="10" max="10" width="10.33203125" style="1" bestFit="1" customWidth="1"/>
    <col min="11" max="11" width="9.1640625" style="1"/>
    <col min="12" max="13" width="10.33203125" style="1" bestFit="1" customWidth="1"/>
    <col min="14" max="16384" width="9.1640625" style="1"/>
  </cols>
  <sheetData>
    <row r="1" spans="2:13" ht="16" x14ac:dyDescent="0.15">
      <c r="B1" s="2" t="s">
        <v>57</v>
      </c>
    </row>
    <row r="3" spans="2:13" ht="26" x14ac:dyDescent="0.15">
      <c r="B3" s="5" t="s">
        <v>31</v>
      </c>
      <c r="C3" s="6" t="s">
        <v>99</v>
      </c>
      <c r="D3" s="6" t="s">
        <v>98</v>
      </c>
      <c r="E3" s="6" t="s">
        <v>94</v>
      </c>
      <c r="F3" s="6" t="s">
        <v>93</v>
      </c>
      <c r="G3" s="6" t="s">
        <v>92</v>
      </c>
    </row>
    <row r="4" spans="2:13" x14ac:dyDescent="0.15">
      <c r="B4" s="7" t="s">
        <v>54</v>
      </c>
      <c r="C4" s="22">
        <v>27236000</v>
      </c>
      <c r="D4" s="22">
        <v>47232000</v>
      </c>
      <c r="E4" s="22">
        <v>71462000</v>
      </c>
      <c r="F4" s="22">
        <v>82419000</v>
      </c>
      <c r="G4" s="22">
        <v>77070000</v>
      </c>
      <c r="H4" s="38"/>
      <c r="J4" s="37"/>
      <c r="K4" s="37"/>
      <c r="L4" s="37"/>
      <c r="M4" s="37"/>
    </row>
    <row r="5" spans="2:13" x14ac:dyDescent="0.15">
      <c r="B5" s="7" t="s">
        <v>3</v>
      </c>
      <c r="C5" s="22">
        <v>1994000</v>
      </c>
      <c r="D5" s="22">
        <v>2789000</v>
      </c>
      <c r="E5" s="22">
        <v>3909000</v>
      </c>
      <c r="F5" s="22">
        <v>6035000</v>
      </c>
      <c r="G5" s="22">
        <v>10086000</v>
      </c>
    </row>
    <row r="6" spans="2:13" x14ac:dyDescent="0.15">
      <c r="B6" s="7" t="s">
        <v>2</v>
      </c>
      <c r="C6" s="22">
        <v>2306000</v>
      </c>
      <c r="D6" s="22">
        <v>3802000</v>
      </c>
      <c r="E6" s="22">
        <v>6091000</v>
      </c>
      <c r="F6" s="22">
        <v>8319000</v>
      </c>
      <c r="G6" s="22">
        <v>10534000</v>
      </c>
    </row>
    <row r="7" spans="2:13" x14ac:dyDescent="0.15">
      <c r="B7" s="8" t="s">
        <v>0</v>
      </c>
      <c r="C7" s="23">
        <f>SUM(C4:C6)</f>
        <v>31536000</v>
      </c>
      <c r="D7" s="23">
        <f>SUM(D4:D6)</f>
        <v>53823000</v>
      </c>
      <c r="E7" s="23">
        <f>SUM(E4:E6)</f>
        <v>81462000</v>
      </c>
      <c r="F7" s="23">
        <f>SUM(F4:F6)</f>
        <v>96773000</v>
      </c>
      <c r="G7" s="23">
        <f>SUM(G4:G6)</f>
        <v>97690000</v>
      </c>
    </row>
    <row r="8" spans="2:13" x14ac:dyDescent="0.15">
      <c r="B8" s="7" t="s">
        <v>35</v>
      </c>
      <c r="C8" s="22">
        <v>-20259000</v>
      </c>
      <c r="D8" s="22">
        <v>-33393000</v>
      </c>
      <c r="E8" s="22">
        <v>-51108000</v>
      </c>
      <c r="F8" s="22">
        <v>-66389000</v>
      </c>
      <c r="G8" s="22">
        <v>-62873000</v>
      </c>
    </row>
    <row r="9" spans="2:13" x14ac:dyDescent="0.15">
      <c r="B9" s="7" t="s">
        <v>33</v>
      </c>
      <c r="C9" s="22">
        <v>-1976000</v>
      </c>
      <c r="D9" s="22">
        <v>-2918000</v>
      </c>
      <c r="E9" s="22">
        <v>-3621000</v>
      </c>
      <c r="F9" s="22">
        <v>-4894000</v>
      </c>
      <c r="G9" s="22">
        <v>-7446000</v>
      </c>
      <c r="I9" s="37"/>
      <c r="J9" s="37"/>
    </row>
    <row r="10" spans="2:13" x14ac:dyDescent="0.15">
      <c r="B10" s="7" t="s">
        <v>34</v>
      </c>
      <c r="C10" s="22">
        <v>-2671000</v>
      </c>
      <c r="D10" s="22">
        <v>-3906000</v>
      </c>
      <c r="E10" s="22">
        <v>-5880000</v>
      </c>
      <c r="F10" s="22">
        <v>-7830000</v>
      </c>
      <c r="G10" s="22">
        <v>-9921000</v>
      </c>
      <c r="I10" s="37"/>
      <c r="J10" s="37"/>
    </row>
    <row r="11" spans="2:13" x14ac:dyDescent="0.15">
      <c r="B11" s="8" t="s">
        <v>1</v>
      </c>
      <c r="C11" s="23">
        <f>SUM(C7:C10)</f>
        <v>6630000</v>
      </c>
      <c r="D11" s="23">
        <f>SUM(D7:D10)</f>
        <v>13606000</v>
      </c>
      <c r="E11" s="23">
        <f>SUM(E7:E10)</f>
        <v>20853000</v>
      </c>
      <c r="F11" s="23">
        <f>SUM(F7:F10)</f>
        <v>17660000</v>
      </c>
      <c r="G11" s="23">
        <f>SUM(G7:G10)</f>
        <v>17450000</v>
      </c>
    </row>
    <row r="12" spans="2:13" x14ac:dyDescent="0.15">
      <c r="B12" s="7" t="s">
        <v>4</v>
      </c>
      <c r="C12" s="22">
        <v>-1491000</v>
      </c>
      <c r="D12" s="22">
        <v>-2593000</v>
      </c>
      <c r="E12" s="22">
        <v>-3075000</v>
      </c>
      <c r="F12" s="22">
        <v>-3969000</v>
      </c>
      <c r="G12" s="22">
        <v>-4540000</v>
      </c>
    </row>
    <row r="13" spans="2:13" x14ac:dyDescent="0.15">
      <c r="B13" s="7" t="s">
        <v>28</v>
      </c>
      <c r="C13" s="22">
        <v>-3145000</v>
      </c>
      <c r="D13" s="22">
        <v>-4517000</v>
      </c>
      <c r="E13" s="22">
        <v>-3946000</v>
      </c>
      <c r="F13" s="22">
        <v>-4800000</v>
      </c>
      <c r="G13" s="22">
        <v>-5150000</v>
      </c>
    </row>
    <row r="14" spans="2:13" x14ac:dyDescent="0.15">
      <c r="B14" s="7" t="s">
        <v>59</v>
      </c>
      <c r="C14" s="22" t="s">
        <v>95</v>
      </c>
      <c r="D14" s="22">
        <v>27000</v>
      </c>
      <c r="E14" s="22">
        <v>-176000</v>
      </c>
      <c r="F14" s="22" t="s">
        <v>95</v>
      </c>
      <c r="G14" s="22">
        <v>-684000</v>
      </c>
    </row>
    <row r="15" spans="2:13" x14ac:dyDescent="0.15">
      <c r="B15" s="8" t="s">
        <v>36</v>
      </c>
      <c r="C15" s="23">
        <f>SUM(C11:C14)</f>
        <v>1994000</v>
      </c>
      <c r="D15" s="23">
        <f>SUM(D11:D14)</f>
        <v>6523000</v>
      </c>
      <c r="E15" s="23">
        <f>SUM(E11:E14)</f>
        <v>13656000</v>
      </c>
      <c r="F15" s="23">
        <f>SUM(F11:F14)</f>
        <v>8891000</v>
      </c>
      <c r="G15" s="23">
        <f>SUM(G11:G14)</f>
        <v>7076000</v>
      </c>
    </row>
    <row r="16" spans="2:13" x14ac:dyDescent="0.15">
      <c r="B16" s="7" t="s">
        <v>29</v>
      </c>
      <c r="C16" s="22">
        <v>30000</v>
      </c>
      <c r="D16" s="22">
        <v>56000</v>
      </c>
      <c r="E16" s="22">
        <v>297000</v>
      </c>
      <c r="F16" s="22">
        <v>1066000</v>
      </c>
      <c r="G16" s="22">
        <v>1569000</v>
      </c>
    </row>
    <row r="17" spans="2:7" x14ac:dyDescent="0.15">
      <c r="B17" s="7" t="s">
        <v>5</v>
      </c>
      <c r="C17" s="22">
        <v>-748000</v>
      </c>
      <c r="D17" s="22">
        <v>-371000</v>
      </c>
      <c r="E17" s="22">
        <v>-191000</v>
      </c>
      <c r="F17" s="22">
        <v>-156000</v>
      </c>
      <c r="G17" s="22">
        <v>-350000</v>
      </c>
    </row>
    <row r="18" spans="2:7" x14ac:dyDescent="0.15">
      <c r="B18" s="7" t="s">
        <v>30</v>
      </c>
      <c r="C18" s="22">
        <v>-122000</v>
      </c>
      <c r="D18" s="22">
        <v>135000</v>
      </c>
      <c r="E18" s="22">
        <v>-43000</v>
      </c>
      <c r="F18" s="22">
        <v>172000</v>
      </c>
      <c r="G18" s="22">
        <v>695000</v>
      </c>
    </row>
    <row r="19" spans="2:7" x14ac:dyDescent="0.15">
      <c r="B19" s="8" t="s">
        <v>37</v>
      </c>
      <c r="C19" s="23">
        <f>SUM(C15:C18)</f>
        <v>1154000</v>
      </c>
      <c r="D19" s="23">
        <f>SUM(D15:D18)</f>
        <v>6343000</v>
      </c>
      <c r="E19" s="23">
        <f>SUM(E15:E18)</f>
        <v>13719000</v>
      </c>
      <c r="F19" s="23">
        <f>SUM(F15:F18)</f>
        <v>9973000</v>
      </c>
      <c r="G19" s="23">
        <f>SUM(G15:G18)</f>
        <v>8990000</v>
      </c>
    </row>
    <row r="20" spans="2:7" x14ac:dyDescent="0.15">
      <c r="B20" s="7" t="s">
        <v>6</v>
      </c>
      <c r="C20" s="22">
        <v>-292000</v>
      </c>
      <c r="D20" s="22">
        <v>-699000</v>
      </c>
      <c r="E20" s="22">
        <v>-1132000</v>
      </c>
      <c r="F20" s="22">
        <v>5001000</v>
      </c>
      <c r="G20" s="22">
        <v>-1837000</v>
      </c>
    </row>
    <row r="21" spans="2:7" x14ac:dyDescent="0.15">
      <c r="B21" s="8" t="s">
        <v>96</v>
      </c>
      <c r="C21" s="23">
        <f>SUM(C19:C20)</f>
        <v>862000</v>
      </c>
      <c r="D21" s="23">
        <f>SUM(D19:D20)</f>
        <v>5644000</v>
      </c>
      <c r="E21" s="23">
        <f>SUM(E19:E20)</f>
        <v>12587000</v>
      </c>
      <c r="F21" s="23">
        <f>SUM(F19:F20)</f>
        <v>14974000</v>
      </c>
      <c r="G21" s="23">
        <f>SUM(G19:G20)</f>
        <v>7153000</v>
      </c>
    </row>
    <row r="22" spans="2:7" s="3" customFormat="1" x14ac:dyDescent="0.15">
      <c r="B22" s="7" t="s">
        <v>45</v>
      </c>
      <c r="C22" s="22">
        <v>-141000</v>
      </c>
      <c r="D22" s="22">
        <v>-125000</v>
      </c>
      <c r="E22" s="22">
        <v>-31000</v>
      </c>
      <c r="F22" s="22">
        <v>23000</v>
      </c>
      <c r="G22" s="22">
        <v>-62000</v>
      </c>
    </row>
    <row r="23" spans="2:7" s="3" customFormat="1" ht="14" thickBot="1" x14ac:dyDescent="0.2">
      <c r="B23" s="9" t="s">
        <v>97</v>
      </c>
      <c r="C23" s="24">
        <f>SUM(C21:C22)</f>
        <v>721000</v>
      </c>
      <c r="D23" s="24">
        <f>SUM(D21:D22)</f>
        <v>5519000</v>
      </c>
      <c r="E23" s="24">
        <f>SUM(E21:E22)</f>
        <v>12556000</v>
      </c>
      <c r="F23" s="24">
        <f>SUM(F21:F22)</f>
        <v>14997000</v>
      </c>
      <c r="G23" s="24">
        <f>SUM(G21:G22)</f>
        <v>7091000</v>
      </c>
    </row>
    <row r="25" spans="2:7" x14ac:dyDescent="0.15">
      <c r="B25" s="21" t="s">
        <v>60</v>
      </c>
      <c r="C25" s="20"/>
      <c r="D25" s="20"/>
      <c r="E25" s="20"/>
      <c r="F25" s="20"/>
      <c r="G25" s="20"/>
    </row>
    <row r="26" spans="2:7" x14ac:dyDescent="0.15">
      <c r="B26" s="20" t="s">
        <v>66</v>
      </c>
      <c r="C26" s="25"/>
      <c r="D26" s="25">
        <f>D4/C4-1</f>
        <v>0.73417535614627694</v>
      </c>
      <c r="E26" s="25">
        <f t="shared" ref="E26:G26" si="0">E4/D4-1</f>
        <v>0.51299966124661256</v>
      </c>
      <c r="F26" s="25">
        <f t="shared" si="0"/>
        <v>0.15332624331812705</v>
      </c>
      <c r="G26" s="25">
        <f t="shared" si="0"/>
        <v>-6.4900083718560042E-2</v>
      </c>
    </row>
    <row r="27" spans="2:7" x14ac:dyDescent="0.15">
      <c r="B27" s="20" t="s">
        <v>67</v>
      </c>
      <c r="C27" s="25"/>
      <c r="D27" s="25">
        <f t="shared" ref="D27:G28" si="1">D5/C5-1</f>
        <v>0.3986960882647943</v>
      </c>
      <c r="E27" s="25">
        <f t="shared" si="1"/>
        <v>0.40157762638938688</v>
      </c>
      <c r="F27" s="25">
        <f t="shared" si="1"/>
        <v>0.54387311332821686</v>
      </c>
      <c r="G27" s="25">
        <f t="shared" si="1"/>
        <v>0.67125103562551791</v>
      </c>
    </row>
    <row r="28" spans="2:7" x14ac:dyDescent="0.15">
      <c r="B28" s="20" t="s">
        <v>68</v>
      </c>
      <c r="C28" s="25"/>
      <c r="D28" s="25">
        <f t="shared" si="1"/>
        <v>0.64874241110147435</v>
      </c>
      <c r="E28" s="25">
        <f t="shared" si="1"/>
        <v>0.60205155181483438</v>
      </c>
      <c r="F28" s="25">
        <f t="shared" si="1"/>
        <v>0.36578558528977179</v>
      </c>
      <c r="G28" s="25">
        <f t="shared" si="1"/>
        <v>0.26625796369755972</v>
      </c>
    </row>
    <row r="29" spans="2:7" x14ac:dyDescent="0.15">
      <c r="B29" s="20" t="s">
        <v>46</v>
      </c>
      <c r="C29" s="25">
        <f>(C4+C8)/C4</f>
        <v>0.25616830665295931</v>
      </c>
      <c r="D29" s="25">
        <f t="shared" ref="D29:G29" si="2">(D4+D8)/D4</f>
        <v>0.29300050813008133</v>
      </c>
      <c r="E29" s="25">
        <f t="shared" si="2"/>
        <v>0.28482270297500767</v>
      </c>
      <c r="F29" s="25">
        <f t="shared" si="2"/>
        <v>0.19449398803673909</v>
      </c>
      <c r="G29" s="25">
        <f t="shared" si="2"/>
        <v>0.18420916050343844</v>
      </c>
    </row>
    <row r="30" spans="2:7" x14ac:dyDescent="0.15">
      <c r="B30" s="20" t="s">
        <v>47</v>
      </c>
      <c r="C30" s="25">
        <f t="shared" ref="C30:G31" si="3">(C5+C9)/C5</f>
        <v>9.0270812437311942E-3</v>
      </c>
      <c r="D30" s="25">
        <f t="shared" si="3"/>
        <v>-4.6253137325206167E-2</v>
      </c>
      <c r="E30" s="25">
        <f t="shared" si="3"/>
        <v>7.3676132003069841E-2</v>
      </c>
      <c r="F30" s="25">
        <f t="shared" si="3"/>
        <v>0.18906379453189726</v>
      </c>
      <c r="G30" s="25">
        <f t="shared" si="3"/>
        <v>0.26174895895300415</v>
      </c>
    </row>
    <row r="31" spans="2:7" x14ac:dyDescent="0.15">
      <c r="B31" s="20" t="s">
        <v>48</v>
      </c>
      <c r="C31" s="25">
        <f t="shared" si="3"/>
        <v>-0.15828274067649609</v>
      </c>
      <c r="D31" s="25">
        <f t="shared" si="3"/>
        <v>-2.7354024197790636E-2</v>
      </c>
      <c r="E31" s="25">
        <f t="shared" si="3"/>
        <v>3.4641274010835658E-2</v>
      </c>
      <c r="F31" s="25">
        <f t="shared" si="3"/>
        <v>5.8781103498016588E-2</v>
      </c>
      <c r="G31" s="25">
        <f t="shared" si="3"/>
        <v>5.8192519460793624E-2</v>
      </c>
    </row>
    <row r="32" spans="2:7" x14ac:dyDescent="0.15">
      <c r="B32" s="20" t="s">
        <v>49</v>
      </c>
      <c r="C32" s="25">
        <f>(SUM(C4:C6)+SUM(C8:C10))/SUM(C4:C6)</f>
        <v>0.2102359208523592</v>
      </c>
      <c r="D32" s="25">
        <f t="shared" ref="D32:G32" si="4">(SUM(D4:D6)+SUM(D8:D10))/SUM(D4:D6)</f>
        <v>0.25279155751258753</v>
      </c>
      <c r="E32" s="25">
        <f t="shared" si="4"/>
        <v>0.25598438535759005</v>
      </c>
      <c r="F32" s="25">
        <f t="shared" si="4"/>
        <v>0.18248891736331416</v>
      </c>
      <c r="G32" s="25">
        <f t="shared" si="4"/>
        <v>0.17862626676220697</v>
      </c>
    </row>
    <row r="33" spans="2:7" x14ac:dyDescent="0.15">
      <c r="B33" s="20" t="s">
        <v>44</v>
      </c>
      <c r="C33" s="25">
        <f>C15/C7</f>
        <v>6.3229325215626589E-2</v>
      </c>
      <c r="D33" s="25">
        <f t="shared" ref="D33:G33" si="5">D15/D7</f>
        <v>0.12119354179440016</v>
      </c>
      <c r="E33" s="25">
        <f t="shared" si="5"/>
        <v>0.16763644398615304</v>
      </c>
      <c r="F33" s="25">
        <f t="shared" si="5"/>
        <v>9.1874799789197395E-2</v>
      </c>
      <c r="G33" s="25">
        <f t="shared" si="5"/>
        <v>7.2433207083631893E-2</v>
      </c>
    </row>
    <row r="34" spans="2:7" x14ac:dyDescent="0.15">
      <c r="B34" s="20" t="s">
        <v>168</v>
      </c>
      <c r="C34" s="25">
        <f>C23/C7</f>
        <v>2.2862760020294266E-2</v>
      </c>
      <c r="D34" s="25">
        <f t="shared" ref="D34:G34" si="6">D23/D7</f>
        <v>0.10253980640246735</v>
      </c>
      <c r="E34" s="25">
        <f t="shared" si="6"/>
        <v>0.15413321548697553</v>
      </c>
      <c r="F34" s="25">
        <f t="shared" si="6"/>
        <v>0.15497091130790613</v>
      </c>
      <c r="G34" s="25">
        <f t="shared" si="6"/>
        <v>7.258675401781145E-2</v>
      </c>
    </row>
    <row r="35" spans="2:7" x14ac:dyDescent="0.15">
      <c r="B35" s="20" t="s">
        <v>42</v>
      </c>
      <c r="C35" s="25">
        <f>C23/'Balance Sheet Input'!C19</f>
        <v>1.3826033596686355E-2</v>
      </c>
      <c r="D35" s="25">
        <f>D23/'Balance Sheet Input'!D19</f>
        <v>8.8828443128229059E-2</v>
      </c>
      <c r="E35" s="25">
        <f>E23/'Balance Sheet Input'!E19</f>
        <v>0.1524933809419709</v>
      </c>
      <c r="F35" s="25">
        <f>F23/'Balance Sheet Input'!F19</f>
        <v>0.1406610516047947</v>
      </c>
      <c r="G35" s="25">
        <f>G23/'Balance Sheet Input'!G19</f>
        <v>5.8089620709429017E-2</v>
      </c>
    </row>
    <row r="36" spans="2:7" x14ac:dyDescent="0.15">
      <c r="B36" s="20" t="s">
        <v>43</v>
      </c>
      <c r="C36" s="25">
        <f>C23/'Balance Sheet Input'!C33</f>
        <v>3.2440944881889762E-2</v>
      </c>
      <c r="D36" s="25">
        <f>D23/'Balance Sheet Input'!D33</f>
        <v>0.18281493259134121</v>
      </c>
      <c r="E36" s="25">
        <f>E23/'Balance Sheet Input'!E33</f>
        <v>0.28086972083035078</v>
      </c>
      <c r="F36" s="25">
        <f>F23/'Balance Sheet Input'!F33</f>
        <v>0.23943864354823258</v>
      </c>
      <c r="G36" s="25">
        <f>G23/'Balance Sheet Input'!G33</f>
        <v>9.7252890431061681E-2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6" sqref="C46"/>
    </sheetView>
  </sheetViews>
  <sheetFormatPr baseColWidth="10" defaultColWidth="9.1640625" defaultRowHeight="12" x14ac:dyDescent="0.15"/>
  <cols>
    <col min="1" max="1" width="2" style="7" customWidth="1"/>
    <col min="2" max="2" width="44.83203125" style="7" bestFit="1" customWidth="1"/>
    <col min="3" max="4" width="12.83203125" style="7" bestFit="1" customWidth="1"/>
    <col min="5" max="5" width="14" style="7" bestFit="1" customWidth="1"/>
    <col min="6" max="6" width="12.83203125" style="7" bestFit="1" customWidth="1"/>
    <col min="7" max="7" width="14" style="7" bestFit="1" customWidth="1"/>
    <col min="8" max="8" width="9.1640625" style="7"/>
    <col min="9" max="10" width="10.33203125" style="7" bestFit="1" customWidth="1"/>
    <col min="11" max="16384" width="9.1640625" style="7"/>
  </cols>
  <sheetData>
    <row r="1" spans="2:8" ht="16" x14ac:dyDescent="0.15">
      <c r="B1" s="2" t="s">
        <v>58</v>
      </c>
    </row>
    <row r="3" spans="2:8" ht="26" x14ac:dyDescent="0.15">
      <c r="B3" s="5" t="s">
        <v>31</v>
      </c>
      <c r="C3" s="15" t="s">
        <v>103</v>
      </c>
      <c r="D3" s="15" t="s">
        <v>91</v>
      </c>
      <c r="E3" s="15" t="s">
        <v>90</v>
      </c>
      <c r="F3" s="15" t="s">
        <v>89</v>
      </c>
      <c r="G3" s="15" t="s">
        <v>84</v>
      </c>
    </row>
    <row r="4" spans="2:8" x14ac:dyDescent="0.15">
      <c r="B4" s="7" t="s">
        <v>7</v>
      </c>
      <c r="C4" s="26">
        <v>19384000</v>
      </c>
      <c r="D4" s="26">
        <v>17576000</v>
      </c>
      <c r="E4" s="26">
        <v>16253000</v>
      </c>
      <c r="F4" s="26">
        <v>16398000</v>
      </c>
      <c r="G4" s="26">
        <v>16139000</v>
      </c>
      <c r="H4" s="30"/>
    </row>
    <row r="5" spans="2:8" x14ac:dyDescent="0.15">
      <c r="B5" s="7" t="s">
        <v>100</v>
      </c>
      <c r="C5" s="26">
        <v>0</v>
      </c>
      <c r="D5" s="26">
        <v>131000</v>
      </c>
      <c r="E5" s="26">
        <v>5932000</v>
      </c>
      <c r="F5" s="26">
        <v>12696000</v>
      </c>
      <c r="G5" s="26">
        <v>20424000</v>
      </c>
      <c r="H5" s="30"/>
    </row>
    <row r="6" spans="2:8" x14ac:dyDescent="0.15">
      <c r="B6" s="7" t="s">
        <v>8</v>
      </c>
      <c r="C6" s="26">
        <v>1886000</v>
      </c>
      <c r="D6" s="26">
        <v>1913000</v>
      </c>
      <c r="E6" s="26">
        <v>2952000</v>
      </c>
      <c r="F6" s="26">
        <v>3508000</v>
      </c>
      <c r="G6" s="26">
        <v>4418000</v>
      </c>
      <c r="H6" s="30"/>
    </row>
    <row r="7" spans="2:8" x14ac:dyDescent="0.15">
      <c r="B7" s="7" t="s">
        <v>9</v>
      </c>
      <c r="C7" s="26">
        <v>4101000</v>
      </c>
      <c r="D7" s="26">
        <v>5757000</v>
      </c>
      <c r="E7" s="26">
        <v>12839000</v>
      </c>
      <c r="F7" s="26">
        <v>13626000</v>
      </c>
      <c r="G7" s="26">
        <v>12017000</v>
      </c>
      <c r="H7" s="30"/>
    </row>
    <row r="8" spans="2:8" x14ac:dyDescent="0.15">
      <c r="B8" s="7" t="s">
        <v>10</v>
      </c>
      <c r="C8" s="26">
        <v>1346000</v>
      </c>
      <c r="D8" s="26">
        <v>1723000</v>
      </c>
      <c r="E8" s="26">
        <v>2941000</v>
      </c>
      <c r="F8" s="26">
        <v>3388000</v>
      </c>
      <c r="G8" s="26">
        <v>5362000</v>
      </c>
      <c r="H8" s="30"/>
    </row>
    <row r="9" spans="2:8" x14ac:dyDescent="0.15">
      <c r="B9" s="8" t="s">
        <v>11</v>
      </c>
      <c r="C9" s="27">
        <f>SUM(C4:C8)</f>
        <v>26717000</v>
      </c>
      <c r="D9" s="27">
        <f>SUM(D4:D8)</f>
        <v>27100000</v>
      </c>
      <c r="E9" s="27">
        <f>SUM(E4:E8)</f>
        <v>40917000</v>
      </c>
      <c r="F9" s="27">
        <f>SUM(F4:F8)</f>
        <v>49616000</v>
      </c>
      <c r="G9" s="27">
        <f>SUM(G4:G8)</f>
        <v>58360000</v>
      </c>
      <c r="H9" s="30"/>
    </row>
    <row r="10" spans="2:8" x14ac:dyDescent="0.15">
      <c r="B10" s="7" t="s">
        <v>12</v>
      </c>
      <c r="C10" s="26">
        <v>3091000</v>
      </c>
      <c r="D10" s="26">
        <v>4511000</v>
      </c>
      <c r="E10" s="26">
        <v>5035000</v>
      </c>
      <c r="F10" s="26">
        <v>5989000</v>
      </c>
      <c r="G10" s="26">
        <v>5581000</v>
      </c>
      <c r="H10" s="30"/>
    </row>
    <row r="11" spans="2:8" x14ac:dyDescent="0.15">
      <c r="B11" s="7" t="s">
        <v>13</v>
      </c>
      <c r="C11" s="26">
        <v>5979000</v>
      </c>
      <c r="D11" s="26">
        <v>5765000</v>
      </c>
      <c r="E11" s="26">
        <v>5489000</v>
      </c>
      <c r="F11" s="26">
        <v>5229000</v>
      </c>
      <c r="G11" s="26">
        <v>4924000</v>
      </c>
      <c r="H11" s="30"/>
    </row>
    <row r="12" spans="2:8" x14ac:dyDescent="0.15">
      <c r="B12" s="7" t="s">
        <v>14</v>
      </c>
      <c r="C12" s="26">
        <v>12747000</v>
      </c>
      <c r="D12" s="26">
        <v>18884000</v>
      </c>
      <c r="E12" s="26">
        <v>23548000</v>
      </c>
      <c r="F12" s="26">
        <v>29725000</v>
      </c>
      <c r="G12" s="26">
        <v>35836000</v>
      </c>
      <c r="H12" s="30"/>
    </row>
    <row r="13" spans="2:8" x14ac:dyDescent="0.15">
      <c r="B13" s="7" t="s">
        <v>76</v>
      </c>
      <c r="C13" s="26">
        <v>1558000</v>
      </c>
      <c r="D13" s="26">
        <v>2016000</v>
      </c>
      <c r="E13" s="26">
        <v>2563000</v>
      </c>
      <c r="F13" s="26">
        <v>4180000</v>
      </c>
      <c r="G13" s="26">
        <v>5160000</v>
      </c>
      <c r="H13" s="30"/>
    </row>
    <row r="14" spans="2:8" x14ac:dyDescent="0.15">
      <c r="B14" s="7" t="s">
        <v>85</v>
      </c>
      <c r="C14" s="26">
        <v>0</v>
      </c>
      <c r="D14" s="26">
        <v>1260000</v>
      </c>
      <c r="E14" s="26">
        <v>184000</v>
      </c>
      <c r="F14" s="26">
        <v>184000</v>
      </c>
      <c r="G14" s="26">
        <v>1076000</v>
      </c>
      <c r="H14" s="30"/>
    </row>
    <row r="15" spans="2:8" x14ac:dyDescent="0.15">
      <c r="B15" s="7" t="s">
        <v>15</v>
      </c>
      <c r="C15" s="26">
        <v>313000</v>
      </c>
      <c r="D15" s="26">
        <v>257000</v>
      </c>
      <c r="E15" s="26">
        <v>215000</v>
      </c>
      <c r="F15" s="26">
        <v>178000</v>
      </c>
      <c r="G15" s="26">
        <v>150000</v>
      </c>
      <c r="H15" s="30"/>
    </row>
    <row r="16" spans="2:8" x14ac:dyDescent="0.15">
      <c r="B16" s="39" t="s">
        <v>86</v>
      </c>
      <c r="C16" s="40">
        <v>207000</v>
      </c>
      <c r="D16" s="40">
        <v>200000</v>
      </c>
      <c r="E16" s="40">
        <v>194000</v>
      </c>
      <c r="F16" s="40">
        <v>253000</v>
      </c>
      <c r="G16" s="40">
        <v>244000</v>
      </c>
      <c r="H16" s="30"/>
    </row>
    <row r="17" spans="2:8" x14ac:dyDescent="0.15">
      <c r="B17" s="7" t="s">
        <v>87</v>
      </c>
      <c r="C17" s="26" t="s">
        <v>95</v>
      </c>
      <c r="D17" s="26" t="s">
        <v>95</v>
      </c>
      <c r="E17" s="26" t="s">
        <v>95</v>
      </c>
      <c r="F17" s="26">
        <v>6733000</v>
      </c>
      <c r="G17" s="26">
        <v>6524000</v>
      </c>
      <c r="H17" s="30"/>
    </row>
    <row r="18" spans="2:8" x14ac:dyDescent="0.15">
      <c r="B18" s="7" t="s">
        <v>17</v>
      </c>
      <c r="C18" s="26">
        <v>1536000</v>
      </c>
      <c r="D18" s="26">
        <v>2138000</v>
      </c>
      <c r="E18" s="26">
        <v>4193000</v>
      </c>
      <c r="F18" s="26">
        <v>4531000</v>
      </c>
      <c r="G18" s="26">
        <v>4215000</v>
      </c>
      <c r="H18" s="30"/>
    </row>
    <row r="19" spans="2:8" ht="13" thickBot="1" x14ac:dyDescent="0.2">
      <c r="B19" s="9" t="s">
        <v>18</v>
      </c>
      <c r="C19" s="28">
        <f>SUM(C9:C18)</f>
        <v>52148000</v>
      </c>
      <c r="D19" s="28">
        <f>SUM(D9:D18)</f>
        <v>62131000</v>
      </c>
      <c r="E19" s="28">
        <f>SUM(E9:E18)</f>
        <v>82338000</v>
      </c>
      <c r="F19" s="28">
        <f>SUM(F9:F18)</f>
        <v>106618000</v>
      </c>
      <c r="G19" s="28">
        <f>SUM(G9:G18)</f>
        <v>122070000</v>
      </c>
      <c r="H19" s="30"/>
    </row>
    <row r="20" spans="2:8" x14ac:dyDescent="0.15">
      <c r="B20" s="7" t="s">
        <v>19</v>
      </c>
      <c r="C20" s="26">
        <v>6051000</v>
      </c>
      <c r="D20" s="26">
        <v>10025000</v>
      </c>
      <c r="E20" s="26">
        <v>15255000</v>
      </c>
      <c r="F20" s="26">
        <v>14431000</v>
      </c>
      <c r="G20" s="26">
        <v>12474000</v>
      </c>
      <c r="H20" s="30"/>
    </row>
    <row r="21" spans="2:8" x14ac:dyDescent="0.15">
      <c r="B21" s="7" t="s">
        <v>32</v>
      </c>
      <c r="C21" s="26">
        <v>3855000</v>
      </c>
      <c r="D21" s="26">
        <v>5719000</v>
      </c>
      <c r="E21" s="26">
        <v>7142000</v>
      </c>
      <c r="F21" s="26">
        <v>9080000</v>
      </c>
      <c r="G21" s="26">
        <v>10723000</v>
      </c>
      <c r="H21" s="30"/>
    </row>
    <row r="22" spans="2:8" x14ac:dyDescent="0.15">
      <c r="B22" s="7" t="s">
        <v>20</v>
      </c>
      <c r="C22" s="26">
        <v>1458000</v>
      </c>
      <c r="D22" s="26">
        <v>1447000</v>
      </c>
      <c r="E22" s="26">
        <v>1747000</v>
      </c>
      <c r="F22" s="26">
        <v>2864000</v>
      </c>
      <c r="G22" s="26">
        <v>3168000</v>
      </c>
      <c r="H22" s="30"/>
    </row>
    <row r="23" spans="2:8" x14ac:dyDescent="0.15">
      <c r="B23" s="7" t="s">
        <v>101</v>
      </c>
      <c r="C23" s="26">
        <v>752000</v>
      </c>
      <c r="D23" s="26">
        <v>925000</v>
      </c>
      <c r="E23" s="26">
        <v>1063000</v>
      </c>
      <c r="F23" s="26" t="s">
        <v>95</v>
      </c>
      <c r="G23" s="26" t="s">
        <v>95</v>
      </c>
      <c r="H23" s="30"/>
    </row>
    <row r="24" spans="2:8" x14ac:dyDescent="0.15">
      <c r="B24" s="7" t="s">
        <v>21</v>
      </c>
      <c r="C24" s="26">
        <v>2132000</v>
      </c>
      <c r="D24" s="26">
        <v>1589000</v>
      </c>
      <c r="E24" s="26">
        <v>1502000</v>
      </c>
      <c r="F24" s="26">
        <v>2373000</v>
      </c>
      <c r="G24" s="26">
        <v>2456000</v>
      </c>
      <c r="H24" s="30"/>
    </row>
    <row r="25" spans="2:8" x14ac:dyDescent="0.15">
      <c r="B25" s="8" t="s">
        <v>22</v>
      </c>
      <c r="C25" s="27">
        <f>SUM(C20:C24)</f>
        <v>14248000</v>
      </c>
      <c r="D25" s="27">
        <f>SUM(D20:D24)</f>
        <v>19705000</v>
      </c>
      <c r="E25" s="27">
        <f>SUM(E20:E24)</f>
        <v>26709000</v>
      </c>
      <c r="F25" s="27">
        <f>SUM(F20:F24)</f>
        <v>28748000</v>
      </c>
      <c r="G25" s="27">
        <f>SUM(G20:G24)</f>
        <v>28821000</v>
      </c>
      <c r="H25" s="30"/>
    </row>
    <row r="26" spans="2:8" x14ac:dyDescent="0.15">
      <c r="B26" s="7" t="s">
        <v>23</v>
      </c>
      <c r="C26" s="26"/>
      <c r="D26" s="26"/>
      <c r="E26" s="26"/>
      <c r="F26" s="26"/>
      <c r="G26" s="26"/>
      <c r="H26" s="30"/>
    </row>
    <row r="27" spans="2:8" x14ac:dyDescent="0.15">
      <c r="B27" s="7" t="s">
        <v>16</v>
      </c>
      <c r="C27" s="26">
        <v>9556000</v>
      </c>
      <c r="D27" s="26">
        <v>5245000</v>
      </c>
      <c r="E27" s="26">
        <v>1597000</v>
      </c>
      <c r="F27" s="26">
        <v>2857000</v>
      </c>
      <c r="G27" s="26">
        <v>5757000</v>
      </c>
      <c r="H27" s="30"/>
    </row>
    <row r="28" spans="2:8" x14ac:dyDescent="0.15">
      <c r="B28" s="7" t="s">
        <v>88</v>
      </c>
      <c r="C28" s="26">
        <v>1284000</v>
      </c>
      <c r="D28" s="26">
        <v>2052000</v>
      </c>
      <c r="E28" s="26">
        <v>2804000</v>
      </c>
      <c r="F28" s="26">
        <v>3251000</v>
      </c>
      <c r="G28" s="26">
        <v>3317000</v>
      </c>
      <c r="H28" s="30"/>
    </row>
    <row r="29" spans="2:8" x14ac:dyDescent="0.15">
      <c r="B29" s="7" t="s">
        <v>50</v>
      </c>
      <c r="C29" s="22">
        <v>3330000</v>
      </c>
      <c r="D29" s="22">
        <v>3546000</v>
      </c>
      <c r="E29" s="22">
        <v>5330000</v>
      </c>
      <c r="F29" s="22">
        <v>8153000</v>
      </c>
      <c r="G29" s="22">
        <v>10495000</v>
      </c>
      <c r="H29" s="30"/>
    </row>
    <row r="30" spans="2:8" x14ac:dyDescent="0.15">
      <c r="B30" s="16" t="s">
        <v>24</v>
      </c>
      <c r="C30" s="29">
        <f>SUM(C25:C29)</f>
        <v>28418000</v>
      </c>
      <c r="D30" s="29">
        <f>SUM(D25:D29)</f>
        <v>30548000</v>
      </c>
      <c r="E30" s="29">
        <f>SUM(E25:E29)</f>
        <v>36440000</v>
      </c>
      <c r="F30" s="29">
        <f>SUM(F25:F29)</f>
        <v>43009000</v>
      </c>
      <c r="G30" s="29">
        <f>SUM(G25:G29)</f>
        <v>48390000</v>
      </c>
      <c r="H30" s="30"/>
    </row>
    <row r="31" spans="2:8" s="39" customFormat="1" x14ac:dyDescent="0.15">
      <c r="B31" s="39" t="s">
        <v>102</v>
      </c>
      <c r="C31" s="40">
        <v>604000</v>
      </c>
      <c r="D31" s="40">
        <v>568000</v>
      </c>
      <c r="E31" s="40">
        <v>409000</v>
      </c>
      <c r="F31" s="40">
        <v>242000</v>
      </c>
      <c r="G31" s="40">
        <v>63000</v>
      </c>
      <c r="H31" s="41"/>
    </row>
    <row r="32" spans="2:8" s="39" customFormat="1" x14ac:dyDescent="0.15">
      <c r="B32" s="39" t="s">
        <v>104</v>
      </c>
      <c r="C32" s="40">
        <v>51000</v>
      </c>
      <c r="D32" s="40" t="s">
        <v>95</v>
      </c>
      <c r="E32" s="40" t="s">
        <v>95</v>
      </c>
      <c r="F32" s="40" t="s">
        <v>95</v>
      </c>
      <c r="G32" s="40" t="s">
        <v>95</v>
      </c>
      <c r="H32" s="41"/>
    </row>
    <row r="33" spans="2:8" x14ac:dyDescent="0.15">
      <c r="B33" s="16" t="s">
        <v>25</v>
      </c>
      <c r="C33" s="29">
        <v>22225000</v>
      </c>
      <c r="D33" s="29">
        <v>30189000</v>
      </c>
      <c r="E33" s="29">
        <v>44704000</v>
      </c>
      <c r="F33" s="29">
        <v>62634000</v>
      </c>
      <c r="G33" s="29">
        <v>72913000</v>
      </c>
      <c r="H33" s="30"/>
    </row>
    <row r="34" spans="2:8" x14ac:dyDescent="0.15">
      <c r="B34" s="7" t="s">
        <v>26</v>
      </c>
      <c r="C34" s="26">
        <v>850000</v>
      </c>
      <c r="D34" s="26">
        <v>826000</v>
      </c>
      <c r="E34" s="26">
        <v>785000</v>
      </c>
      <c r="F34" s="26">
        <v>733000</v>
      </c>
      <c r="G34" s="26">
        <v>704000</v>
      </c>
      <c r="H34" s="30"/>
    </row>
    <row r="35" spans="2:8" ht="13" thickBot="1" x14ac:dyDescent="0.2">
      <c r="B35" s="9" t="s">
        <v>27</v>
      </c>
      <c r="C35" s="28">
        <f>SUM(C30:C34)</f>
        <v>52148000</v>
      </c>
      <c r="D35" s="28">
        <f>SUM(D30:D34)</f>
        <v>62131000</v>
      </c>
      <c r="E35" s="28">
        <f>SUM(E30:E34)</f>
        <v>82338000</v>
      </c>
      <c r="F35" s="28">
        <f>SUM(F30:F34)</f>
        <v>106618000</v>
      </c>
      <c r="G35" s="28">
        <f>SUM(G30:G34)</f>
        <v>122070000</v>
      </c>
      <c r="H35" s="30"/>
    </row>
    <row r="37" spans="2:8" x14ac:dyDescent="0.15">
      <c r="B37" s="19" t="s">
        <v>60</v>
      </c>
      <c r="C37" s="18"/>
      <c r="D37" s="18"/>
      <c r="E37" s="18"/>
      <c r="F37" s="18"/>
      <c r="G37" s="18"/>
    </row>
    <row r="38" spans="2:8" x14ac:dyDescent="0.15">
      <c r="B38" s="19" t="s">
        <v>69</v>
      </c>
      <c r="C38" s="18"/>
      <c r="D38" s="18"/>
      <c r="E38" s="18"/>
      <c r="F38" s="18"/>
      <c r="G38" s="18"/>
    </row>
    <row r="39" spans="2:8" x14ac:dyDescent="0.15">
      <c r="B39" s="17" t="s">
        <v>71</v>
      </c>
      <c r="C39" s="18">
        <f>(C4+C5+C6)/C25</f>
        <v>1.4928411005053341</v>
      </c>
      <c r="D39" s="18">
        <f t="shared" ref="D39:G39" si="0">(D4+D5+D6)/D25</f>
        <v>0.99568637401674698</v>
      </c>
      <c r="E39" s="18">
        <f t="shared" si="0"/>
        <v>0.94114343479725937</v>
      </c>
      <c r="F39" s="18">
        <f t="shared" si="0"/>
        <v>1.1340614999304299</v>
      </c>
      <c r="G39" s="18">
        <f t="shared" si="0"/>
        <v>1.421914576177093</v>
      </c>
    </row>
    <row r="40" spans="2:8" x14ac:dyDescent="0.15">
      <c r="B40" s="17" t="s">
        <v>72</v>
      </c>
      <c r="C40" s="18">
        <f>(C4+C5)/C25</f>
        <v>1.360471645143178</v>
      </c>
      <c r="D40" s="18">
        <f t="shared" ref="D40:G40" si="1">(D4+D5)/D25</f>
        <v>0.89860441512306521</v>
      </c>
      <c r="E40" s="18">
        <f t="shared" si="1"/>
        <v>0.83061889250814336</v>
      </c>
      <c r="F40" s="18">
        <f t="shared" si="1"/>
        <v>1.0120356198692082</v>
      </c>
      <c r="G40" s="18">
        <f t="shared" si="1"/>
        <v>1.2686235730890669</v>
      </c>
    </row>
    <row r="41" spans="2:8" x14ac:dyDescent="0.15">
      <c r="B41" s="17" t="s">
        <v>38</v>
      </c>
      <c r="C41" s="18">
        <f>(C6/'P&amp;L Input'!C7)*360</f>
        <v>21.529680365296802</v>
      </c>
      <c r="D41" s="18">
        <f>(D6/'P&amp;L Input'!D7)*360</f>
        <v>12.795273396131766</v>
      </c>
      <c r="E41" s="18">
        <f>(E6/'P&amp;L Input'!E7)*360</f>
        <v>13.045591809678132</v>
      </c>
      <c r="F41" s="18">
        <f>(F6/'P&amp;L Input'!F7)*360</f>
        <v>13.049920949025038</v>
      </c>
      <c r="G41" s="18">
        <f>(G6/'P&amp;L Input'!G7)*360</f>
        <v>16.280888524925786</v>
      </c>
    </row>
    <row r="42" spans="2:8" x14ac:dyDescent="0.15">
      <c r="B42" s="17" t="s">
        <v>39</v>
      </c>
      <c r="C42" s="18">
        <f>-(C7/(SUM('P&amp;L Input'!C8:C10))*360)</f>
        <v>59.277282582510239</v>
      </c>
      <c r="D42" s="18">
        <f>-(D7/(SUM('P&amp;L Input'!D8:D10))*360)</f>
        <v>51.533431136086726</v>
      </c>
      <c r="E42" s="18">
        <f>-(E7/(SUM('P&amp;L Input'!E8:E10))*360)</f>
        <v>76.259961391872494</v>
      </c>
      <c r="F42" s="18">
        <f>-(F7/(SUM('P&amp;L Input'!F8:F10))*360)</f>
        <v>62.004474612263479</v>
      </c>
      <c r="G42" s="18">
        <f>-(G7/(SUM('P&amp;L Input'!G8:G10))*360)</f>
        <v>53.914755732801595</v>
      </c>
    </row>
    <row r="43" spans="2:8" x14ac:dyDescent="0.15">
      <c r="B43" s="17" t="s">
        <v>40</v>
      </c>
      <c r="C43" s="18">
        <f>-(C20/SUM('P&amp;L Input'!C8:C10))*360</f>
        <v>87.463261864610942</v>
      </c>
      <c r="D43" s="18">
        <f>-(D20/SUM('P&amp;L Input'!D8:D10))*360</f>
        <v>89.738170425441979</v>
      </c>
      <c r="E43" s="18">
        <f>-(E20/SUM('P&amp;L Input'!E8:E10))*360</f>
        <v>90.610305400188096</v>
      </c>
      <c r="F43" s="18">
        <f>-(F20/SUM('P&amp;L Input'!F8:F10))*360</f>
        <v>65.667589397444161</v>
      </c>
      <c r="G43" s="18">
        <f>-(G20/SUM('P&amp;L Input'!G8:G10))*360</f>
        <v>55.96510468594218</v>
      </c>
    </row>
    <row r="44" spans="2:8" x14ac:dyDescent="0.15">
      <c r="B44" s="17" t="s">
        <v>41</v>
      </c>
      <c r="C44" s="18">
        <f>C41+C42-C43</f>
        <v>-6.6562989168039053</v>
      </c>
      <c r="D44" s="18">
        <f t="shared" ref="D44:G44" si="2">D41+D42-D43</f>
        <v>-25.409465893223484</v>
      </c>
      <c r="E44" s="18">
        <f t="shared" si="2"/>
        <v>-1.3047521986374733</v>
      </c>
      <c r="F44" s="18">
        <f t="shared" si="2"/>
        <v>9.386806163844355</v>
      </c>
      <c r="G44" s="18">
        <f t="shared" si="2"/>
        <v>14.230539571785201</v>
      </c>
    </row>
    <row r="45" spans="2:8" x14ac:dyDescent="0.15">
      <c r="B45" s="19" t="s">
        <v>73</v>
      </c>
      <c r="C45" s="18"/>
      <c r="D45" s="18"/>
      <c r="E45" s="18"/>
      <c r="F45" s="18"/>
      <c r="G45" s="18"/>
    </row>
    <row r="46" spans="2:8" x14ac:dyDescent="0.15">
      <c r="B46" s="17" t="s">
        <v>70</v>
      </c>
      <c r="C46" s="18">
        <f>C30/C19</f>
        <v>0.54494899133236174</v>
      </c>
      <c r="D46" s="18">
        <f t="shared" ref="D46:G46" si="3">D30/D19</f>
        <v>0.49167082454813216</v>
      </c>
      <c r="E46" s="18">
        <f t="shared" si="3"/>
        <v>0.44256600840438193</v>
      </c>
      <c r="F46" s="18">
        <f t="shared" si="3"/>
        <v>0.40339342324935751</v>
      </c>
      <c r="G46" s="18">
        <f t="shared" si="3"/>
        <v>0.39641189481445072</v>
      </c>
    </row>
    <row r="47" spans="2:8" x14ac:dyDescent="0.15">
      <c r="B47" s="17" t="s">
        <v>74</v>
      </c>
      <c r="C47" s="35">
        <f>-'P&amp;L Input'!C15/'P&amp;L Input'!C17</f>
        <v>2.6657754010695189</v>
      </c>
      <c r="D47" s="35">
        <f>-'P&amp;L Input'!D15/'P&amp;L Input'!D17</f>
        <v>17.5822102425876</v>
      </c>
      <c r="E47" s="35">
        <f>-'P&amp;L Input'!E15/'P&amp;L Input'!E17</f>
        <v>71.497382198952877</v>
      </c>
      <c r="F47" s="35">
        <f>-'P&amp;L Input'!F15/'P&amp;L Input'!F17</f>
        <v>56.993589743589745</v>
      </c>
      <c r="G47" s="35">
        <f>-'P&amp;L Input'!G15/'P&amp;L Input'!G17</f>
        <v>20.217142857142857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C9F8-FA59-4C2B-9ACB-35517FEE974C}">
  <sheetPr>
    <tabColor rgb="FF002060"/>
  </sheetPr>
  <dimension ref="B14"/>
  <sheetViews>
    <sheetView topLeftCell="A7" workbookViewId="0">
      <selection activeCell="B1" sqref="B1"/>
    </sheetView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81FE-29A6-4E64-A8DC-F4EEDFB4D00F}">
  <sheetPr>
    <tabColor rgb="FFC00000"/>
  </sheetPr>
  <dimension ref="B14:G29"/>
  <sheetViews>
    <sheetView workbookViewId="0">
      <selection activeCell="B1" sqref="B1"/>
    </sheetView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106</v>
      </c>
    </row>
    <row r="29" spans="7:7" x14ac:dyDescent="0.15">
      <c r="G29" s="1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2E17-A9B7-4F11-A272-14CC19559284}">
  <sheetPr>
    <tabColor theme="5"/>
  </sheetPr>
  <dimension ref="B14"/>
  <sheetViews>
    <sheetView workbookViewId="0">
      <selection activeCell="B1" sqref="B1"/>
    </sheetView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432B-0836-4881-8949-AAE061766C1E}">
  <dimension ref="A1:Q17"/>
  <sheetViews>
    <sheetView workbookViewId="0">
      <pane xSplit="2" ySplit="4" topLeftCell="C5" activePane="bottomRight" state="frozen"/>
      <selection activeCell="B1" sqref="B1"/>
      <selection pane="topRight" activeCell="B1" sqref="B1"/>
      <selection pane="bottomLeft" activeCell="B1" sqref="B1"/>
      <selection pane="bottomRight" activeCell="G18" sqref="G18"/>
    </sheetView>
  </sheetViews>
  <sheetFormatPr baseColWidth="10" defaultColWidth="9.1640625" defaultRowHeight="12" x14ac:dyDescent="0.15"/>
  <cols>
    <col min="1" max="1" width="2" style="7" customWidth="1"/>
    <col min="2" max="2" width="28.5" style="7" customWidth="1"/>
    <col min="3" max="4" width="11.33203125" style="7" bestFit="1" customWidth="1"/>
    <col min="5" max="5" width="10" style="7" bestFit="1" customWidth="1"/>
    <col min="6" max="6" width="11.5" style="7" bestFit="1" customWidth="1"/>
    <col min="7" max="7" width="11" style="7" bestFit="1" customWidth="1"/>
    <col min="8" max="8" width="10.33203125" style="7" bestFit="1" customWidth="1"/>
    <col min="9" max="12" width="10.5" style="7" bestFit="1" customWidth="1"/>
    <col min="13" max="17" width="10" style="7" bestFit="1" customWidth="1"/>
    <col min="18" max="16384" width="9.1640625" style="7"/>
  </cols>
  <sheetData>
    <row r="1" spans="1:17" ht="16" x14ac:dyDescent="0.15">
      <c r="A1" s="1"/>
      <c r="B1" s="2" t="s">
        <v>109</v>
      </c>
    </row>
    <row r="2" spans="1:17" ht="16" x14ac:dyDescent="0.15">
      <c r="A2" s="1"/>
      <c r="B2" s="2"/>
    </row>
    <row r="3" spans="1:17" x14ac:dyDescent="0.15">
      <c r="C3" s="121" t="s">
        <v>110</v>
      </c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</row>
    <row r="4" spans="1:17" ht="26" x14ac:dyDescent="0.15">
      <c r="B4" s="42" t="s">
        <v>111</v>
      </c>
      <c r="C4" s="6" t="s">
        <v>99</v>
      </c>
      <c r="D4" s="6" t="s">
        <v>98</v>
      </c>
      <c r="E4" s="6" t="s">
        <v>94</v>
      </c>
      <c r="F4" s="6" t="s">
        <v>93</v>
      </c>
      <c r="G4" s="6" t="s">
        <v>92</v>
      </c>
      <c r="H4" s="43" t="s">
        <v>112</v>
      </c>
      <c r="I4" s="43" t="s">
        <v>113</v>
      </c>
      <c r="J4" s="43" t="s">
        <v>114</v>
      </c>
      <c r="K4" s="43" t="s">
        <v>115</v>
      </c>
      <c r="L4" s="43" t="s">
        <v>116</v>
      </c>
      <c r="M4" s="43" t="s">
        <v>120</v>
      </c>
      <c r="N4" s="43" t="s">
        <v>121</v>
      </c>
      <c r="O4" s="43" t="s">
        <v>122</v>
      </c>
      <c r="P4" s="43" t="s">
        <v>123</v>
      </c>
      <c r="Q4" s="43" t="s">
        <v>124</v>
      </c>
    </row>
    <row r="5" spans="1:17" x14ac:dyDescent="0.15">
      <c r="B5" s="7" t="s">
        <v>125</v>
      </c>
      <c r="C5" s="22">
        <v>375754</v>
      </c>
      <c r="D5" s="22">
        <v>783964</v>
      </c>
      <c r="E5" s="22">
        <v>1146350</v>
      </c>
      <c r="F5" s="22">
        <v>1311736</v>
      </c>
      <c r="G5" s="22">
        <v>1199755</v>
      </c>
      <c r="H5" s="44">
        <f>G5*(1+H11)</f>
        <v>1259742.75</v>
      </c>
      <c r="I5" s="44">
        <f t="shared" ref="I5:Q6" si="0">H5*(1+I11)</f>
        <v>1322729.8875</v>
      </c>
      <c r="J5" s="44">
        <f t="shared" si="0"/>
        <v>1388866.381875</v>
      </c>
      <c r="K5" s="44">
        <f t="shared" si="0"/>
        <v>1458309.7009687501</v>
      </c>
      <c r="L5" s="44">
        <f t="shared" si="0"/>
        <v>1531225.1860171875</v>
      </c>
      <c r="M5" s="44">
        <f t="shared" si="0"/>
        <v>1607786.445318047</v>
      </c>
      <c r="N5" s="44">
        <f t="shared" si="0"/>
        <v>1688175.7675839495</v>
      </c>
      <c r="O5" s="44">
        <f t="shared" si="0"/>
        <v>1772584.555963147</v>
      </c>
      <c r="P5" s="44">
        <f t="shared" si="0"/>
        <v>1861213.7837613043</v>
      </c>
      <c r="Q5" s="44">
        <f t="shared" si="0"/>
        <v>1954274.4729493696</v>
      </c>
    </row>
    <row r="6" spans="1:17" x14ac:dyDescent="0.15">
      <c r="B6" s="7" t="s">
        <v>127</v>
      </c>
      <c r="C6" s="22">
        <v>57039</v>
      </c>
      <c r="D6" s="22">
        <v>24964</v>
      </c>
      <c r="E6" s="22">
        <v>60000</v>
      </c>
      <c r="F6" s="22">
        <v>75000</v>
      </c>
      <c r="G6" s="22">
        <v>85133</v>
      </c>
      <c r="H6" s="44">
        <f>G6*(1+H12)</f>
        <v>89389.650000000009</v>
      </c>
      <c r="I6" s="44">
        <f t="shared" si="0"/>
        <v>93859.132500000007</v>
      </c>
      <c r="J6" s="44">
        <f t="shared" si="0"/>
        <v>98552.089125000013</v>
      </c>
      <c r="K6" s="44">
        <f t="shared" si="0"/>
        <v>103479.69358125002</v>
      </c>
      <c r="L6" s="44">
        <f t="shared" si="0"/>
        <v>108653.67826031252</v>
      </c>
      <c r="M6" s="44">
        <f t="shared" si="0"/>
        <v>114086.36217332815</v>
      </c>
      <c r="N6" s="44">
        <f t="shared" si="0"/>
        <v>119790.68028199456</v>
      </c>
      <c r="O6" s="44">
        <f t="shared" si="0"/>
        <v>125780.21429609429</v>
      </c>
      <c r="P6" s="44">
        <f t="shared" si="0"/>
        <v>132069.22501089901</v>
      </c>
      <c r="Q6" s="44">
        <f t="shared" si="0"/>
        <v>138672.68626144397</v>
      </c>
    </row>
    <row r="7" spans="1:17" ht="13" thickBot="1" x14ac:dyDescent="0.2">
      <c r="B7" s="45" t="s">
        <v>117</v>
      </c>
      <c r="C7" s="46">
        <f t="shared" ref="C7:Q7" si="1">SUM(C5:C6)</f>
        <v>432793</v>
      </c>
      <c r="D7" s="46">
        <f t="shared" si="1"/>
        <v>808928</v>
      </c>
      <c r="E7" s="46">
        <f t="shared" si="1"/>
        <v>1206350</v>
      </c>
      <c r="F7" s="46">
        <f t="shared" si="1"/>
        <v>1386736</v>
      </c>
      <c r="G7" s="46">
        <f t="shared" si="1"/>
        <v>1284888</v>
      </c>
      <c r="H7" s="46">
        <f t="shared" si="1"/>
        <v>1349132.4</v>
      </c>
      <c r="I7" s="46">
        <f t="shared" si="1"/>
        <v>1416589.02</v>
      </c>
      <c r="J7" s="46">
        <f t="shared" si="1"/>
        <v>1487418.4709999999</v>
      </c>
      <c r="K7" s="46">
        <f t="shared" si="1"/>
        <v>1561789.3945500001</v>
      </c>
      <c r="L7" s="46">
        <f t="shared" si="1"/>
        <v>1639878.8642775</v>
      </c>
      <c r="M7" s="46">
        <f t="shared" si="1"/>
        <v>1721872.8074913751</v>
      </c>
      <c r="N7" s="46">
        <f t="shared" si="1"/>
        <v>1807966.4478659441</v>
      </c>
      <c r="O7" s="46">
        <f t="shared" si="1"/>
        <v>1898364.7702592413</v>
      </c>
      <c r="P7" s="46">
        <f t="shared" si="1"/>
        <v>1993283.0087722032</v>
      </c>
      <c r="Q7" s="46">
        <f t="shared" si="1"/>
        <v>2092947.1592108135</v>
      </c>
    </row>
    <row r="8" spans="1:17" ht="3" customHeight="1" x14ac:dyDescent="0.15"/>
    <row r="9" spans="1:17" x14ac:dyDescent="0.15">
      <c r="B9" s="47" t="s">
        <v>118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</row>
    <row r="10" spans="1:17" ht="3" customHeight="1" x14ac:dyDescent="0.15"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x14ac:dyDescent="0.15">
      <c r="B11" s="48" t="s">
        <v>125</v>
      </c>
      <c r="C11" s="49" t="s">
        <v>119</v>
      </c>
      <c r="D11" s="53">
        <f>D5/C5-1</f>
        <v>1.0863756606716097</v>
      </c>
      <c r="E11" s="53">
        <f t="shared" ref="E11:G11" si="2">E5/D5-1</f>
        <v>0.46224826650203332</v>
      </c>
      <c r="F11" s="53">
        <f t="shared" si="2"/>
        <v>0.14427181925240973</v>
      </c>
      <c r="G11" s="53">
        <f t="shared" si="2"/>
        <v>-8.5368549769160862E-2</v>
      </c>
      <c r="H11" s="50">
        <v>0.05</v>
      </c>
      <c r="I11" s="50">
        <v>0.05</v>
      </c>
      <c r="J11" s="50">
        <v>0.05</v>
      </c>
      <c r="K11" s="50">
        <v>0.05</v>
      </c>
      <c r="L11" s="50">
        <v>0.05</v>
      </c>
      <c r="M11" s="50">
        <v>0.05</v>
      </c>
      <c r="N11" s="50">
        <v>0.05</v>
      </c>
      <c r="O11" s="50">
        <v>0.05</v>
      </c>
      <c r="P11" s="50">
        <v>0.05</v>
      </c>
      <c r="Q11" s="50">
        <v>0.05</v>
      </c>
    </row>
    <row r="12" spans="1:17" x14ac:dyDescent="0.15">
      <c r="B12" s="48" t="s">
        <v>126</v>
      </c>
      <c r="C12" s="49" t="s">
        <v>119</v>
      </c>
      <c r="D12" s="25">
        <f>D6/C6-1</f>
        <v>-0.56233454303196062</v>
      </c>
      <c r="E12" s="25">
        <f>E6/D6-1</f>
        <v>1.403460983816696</v>
      </c>
      <c r="F12" s="25">
        <f>F6/E6-1</f>
        <v>0.25</v>
      </c>
      <c r="G12" s="25">
        <f>G6/F6-1</f>
        <v>0.13510666666666671</v>
      </c>
      <c r="H12" s="51">
        <v>0.05</v>
      </c>
      <c r="I12" s="51">
        <v>0.05</v>
      </c>
      <c r="J12" s="51">
        <v>0.05</v>
      </c>
      <c r="K12" s="51">
        <v>0.05</v>
      </c>
      <c r="L12" s="51">
        <v>0.05</v>
      </c>
      <c r="M12" s="51">
        <v>0.05</v>
      </c>
      <c r="N12" s="51">
        <v>0.05</v>
      </c>
      <c r="O12" s="51">
        <v>0.05</v>
      </c>
      <c r="P12" s="51">
        <v>0.05</v>
      </c>
      <c r="Q12" s="51">
        <v>0.05</v>
      </c>
    </row>
    <row r="13" spans="1:17" x14ac:dyDescent="0.15">
      <c r="B13" s="48"/>
      <c r="C13" s="49"/>
      <c r="D13" s="49"/>
      <c r="E13" s="49"/>
      <c r="F13" s="48"/>
      <c r="G13" s="48"/>
      <c r="H13" s="49"/>
      <c r="I13" s="52"/>
      <c r="J13" s="52"/>
      <c r="K13" s="52"/>
      <c r="L13" s="52"/>
      <c r="M13" s="52"/>
      <c r="N13" s="52"/>
      <c r="O13" s="52"/>
      <c r="P13" s="52"/>
      <c r="Q13" s="52"/>
    </row>
    <row r="16" spans="1:17" x14ac:dyDescent="0.15">
      <c r="B16" s="7" t="s">
        <v>128</v>
      </c>
      <c r="C16" s="7" t="s">
        <v>149</v>
      </c>
    </row>
    <row r="17" spans="3:3" x14ac:dyDescent="0.15">
      <c r="C17" s="7" t="s">
        <v>129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DDE8-D191-4AF8-B21F-034C50933EC0}">
  <dimension ref="A1:F19"/>
  <sheetViews>
    <sheetView workbookViewId="0">
      <selection activeCell="E11" sqref="E11"/>
    </sheetView>
  </sheetViews>
  <sheetFormatPr baseColWidth="10" defaultColWidth="9.1640625" defaultRowHeight="12" x14ac:dyDescent="0.15"/>
  <cols>
    <col min="1" max="1" width="2" style="7" customWidth="1"/>
    <col min="2" max="2" width="29.6640625" style="7" bestFit="1" customWidth="1"/>
    <col min="3" max="3" width="23.33203125" style="7" customWidth="1"/>
    <col min="4" max="4" width="11.6640625" style="7" customWidth="1"/>
    <col min="5" max="5" width="10.83203125" style="7" bestFit="1" customWidth="1"/>
    <col min="6" max="6" width="9.1640625" style="7"/>
    <col min="7" max="7" width="10.5" style="7" bestFit="1" customWidth="1"/>
    <col min="8" max="16384" width="9.1640625" style="7"/>
  </cols>
  <sheetData>
    <row r="1" spans="1:6" ht="16" x14ac:dyDescent="0.15">
      <c r="A1" s="1"/>
      <c r="B1" s="2" t="s">
        <v>130</v>
      </c>
    </row>
    <row r="2" spans="1:6" ht="16" x14ac:dyDescent="0.15">
      <c r="A2" s="1"/>
      <c r="B2" s="2"/>
    </row>
    <row r="3" spans="1:6" x14ac:dyDescent="0.15">
      <c r="B3" s="54" t="s">
        <v>146</v>
      </c>
    </row>
    <row r="5" spans="1:6" x14ac:dyDescent="0.15">
      <c r="F5" s="7" t="s">
        <v>131</v>
      </c>
    </row>
    <row r="6" spans="1:6" ht="13" x14ac:dyDescent="0.15">
      <c r="B6" s="55" t="s">
        <v>147</v>
      </c>
      <c r="C6" s="15" t="s">
        <v>132</v>
      </c>
      <c r="D6" s="76"/>
    </row>
    <row r="7" spans="1:6" x14ac:dyDescent="0.15">
      <c r="B7" s="7" t="s">
        <v>134</v>
      </c>
      <c r="C7" s="26">
        <v>6100000</v>
      </c>
      <c r="D7" s="76"/>
    </row>
    <row r="8" spans="1:6" x14ac:dyDescent="0.15">
      <c r="B8" s="7" t="s">
        <v>135</v>
      </c>
      <c r="C8" s="56">
        <v>4200000</v>
      </c>
      <c r="D8" s="76"/>
    </row>
    <row r="9" spans="1:6" x14ac:dyDescent="0.15">
      <c r="B9" s="7" t="s">
        <v>136</v>
      </c>
      <c r="C9" s="56">
        <v>1300000</v>
      </c>
      <c r="D9" s="76"/>
    </row>
    <row r="10" spans="1:6" x14ac:dyDescent="0.15">
      <c r="B10" s="7" t="s">
        <v>137</v>
      </c>
      <c r="C10" s="56">
        <v>2300000</v>
      </c>
      <c r="D10" s="76"/>
    </row>
    <row r="11" spans="1:6" x14ac:dyDescent="0.15">
      <c r="B11" s="7" t="s">
        <v>138</v>
      </c>
      <c r="C11" s="56">
        <v>9000000</v>
      </c>
      <c r="D11" s="76"/>
    </row>
    <row r="12" spans="1:6" x14ac:dyDescent="0.15">
      <c r="B12" s="8" t="s">
        <v>132</v>
      </c>
      <c r="C12" s="77">
        <f>SUM(C7:C11)</f>
        <v>22900000</v>
      </c>
      <c r="D12" s="76"/>
    </row>
    <row r="13" spans="1:6" x14ac:dyDescent="0.15">
      <c r="C13" s="57"/>
      <c r="D13" s="57"/>
    </row>
    <row r="16" spans="1:6" x14ac:dyDescent="0.15">
      <c r="B16" s="55" t="s">
        <v>145</v>
      </c>
      <c r="C16" s="15"/>
      <c r="D16" s="15"/>
    </row>
    <row r="17" spans="2:4" x14ac:dyDescent="0.15">
      <c r="B17" s="7">
        <v>2025</v>
      </c>
      <c r="D17" s="56">
        <f>Deliveries!H7</f>
        <v>1349132.4</v>
      </c>
    </row>
    <row r="18" spans="2:4" x14ac:dyDescent="0.15">
      <c r="B18" s="7">
        <v>2029</v>
      </c>
      <c r="D18" s="56">
        <f>Deliveries!L7</f>
        <v>1639878.8642775</v>
      </c>
    </row>
    <row r="19" spans="2:4" x14ac:dyDescent="0.15">
      <c r="B19" s="7">
        <v>2034</v>
      </c>
      <c r="D19" s="56">
        <f>Deliveries!Q7</f>
        <v>2092947.1592108135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8559-58D2-450E-A2B9-53CAE51FCD34}">
  <dimension ref="A1:R2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:Q4"/>
    </sheetView>
  </sheetViews>
  <sheetFormatPr baseColWidth="10" defaultColWidth="9.1640625" defaultRowHeight="12" x14ac:dyDescent="0.15"/>
  <cols>
    <col min="1" max="1" width="2" style="60" customWidth="1"/>
    <col min="2" max="2" width="24.5" style="60" bestFit="1" customWidth="1"/>
    <col min="3" max="3" width="10.6640625" style="60" customWidth="1"/>
    <col min="4" max="4" width="11.5" style="60" customWidth="1"/>
    <col min="5" max="5" width="11" style="60" customWidth="1"/>
    <col min="6" max="7" width="14.5" style="60" bestFit="1" customWidth="1"/>
    <col min="8" max="8" width="10.5" style="60" customWidth="1"/>
    <col min="9" max="17" width="9.6640625" style="60" customWidth="1"/>
    <col min="18" max="18" width="15.1640625" style="60" customWidth="1"/>
    <col min="19" max="19" width="9.1640625" style="60"/>
    <col min="20" max="22" width="9.1640625" style="60" customWidth="1"/>
    <col min="23" max="16384" width="9.1640625" style="60"/>
  </cols>
  <sheetData>
    <row r="1" spans="1:18" ht="16" x14ac:dyDescent="0.15">
      <c r="A1" s="58"/>
      <c r="B1" s="59" t="s">
        <v>150</v>
      </c>
      <c r="F1" s="61"/>
      <c r="G1" s="61"/>
      <c r="R1" s="60" t="s">
        <v>107</v>
      </c>
    </row>
    <row r="2" spans="1:18" ht="16" x14ac:dyDescent="0.15">
      <c r="A2" s="58"/>
      <c r="B2" s="59"/>
      <c r="C2" s="62"/>
      <c r="D2" s="62"/>
      <c r="E2" s="62"/>
      <c r="F2" s="62"/>
      <c r="G2" s="62"/>
    </row>
    <row r="3" spans="1:18" x14ac:dyDescent="0.15">
      <c r="C3" s="122" t="s">
        <v>151</v>
      </c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</row>
    <row r="4" spans="1:18" ht="26" x14ac:dyDescent="0.15">
      <c r="B4" s="63" t="s">
        <v>111</v>
      </c>
      <c r="C4" s="6" t="s">
        <v>99</v>
      </c>
      <c r="D4" s="6" t="s">
        <v>98</v>
      </c>
      <c r="E4" s="6" t="s">
        <v>94</v>
      </c>
      <c r="F4" s="6" t="s">
        <v>93</v>
      </c>
      <c r="G4" s="6" t="s">
        <v>92</v>
      </c>
      <c r="H4" s="43" t="s">
        <v>112</v>
      </c>
      <c r="I4" s="43" t="s">
        <v>113</v>
      </c>
      <c r="J4" s="43" t="s">
        <v>114</v>
      </c>
      <c r="K4" s="43" t="s">
        <v>115</v>
      </c>
      <c r="L4" s="43" t="s">
        <v>116</v>
      </c>
      <c r="M4" s="43" t="s">
        <v>120</v>
      </c>
      <c r="N4" s="43" t="s">
        <v>121</v>
      </c>
      <c r="O4" s="43" t="s">
        <v>122</v>
      </c>
      <c r="P4" s="43" t="s">
        <v>123</v>
      </c>
      <c r="Q4" s="43" t="s">
        <v>124</v>
      </c>
      <c r="R4" s="66" t="s">
        <v>148</v>
      </c>
    </row>
    <row r="5" spans="1:18" ht="13.25" customHeight="1" x14ac:dyDescent="0.15">
      <c r="B5" s="60" t="s">
        <v>125</v>
      </c>
      <c r="C5" s="22">
        <f>($R$5*Deliveries!C5)/1000000</f>
        <v>21417.977999999999</v>
      </c>
      <c r="D5" s="22">
        <f>($R$5*Deliveries!D5)/1000000</f>
        <v>44685.947999999997</v>
      </c>
      <c r="E5" s="22">
        <f>($R$5*Deliveries!E5)/1000000</f>
        <v>65341.95</v>
      </c>
      <c r="F5" s="22">
        <f>($R$5*Deliveries!F5)/1000000</f>
        <v>74768.952000000005</v>
      </c>
      <c r="G5" s="22">
        <f>($R$5*Deliveries!G5)/1000000</f>
        <v>68386.035000000003</v>
      </c>
      <c r="H5" s="22">
        <f>($R$5*Deliveries!H5*H10)/1000000</f>
        <v>73241.443484999996</v>
      </c>
      <c r="I5" s="22">
        <f>($R$5*Deliveries!I5*I10)/1000000</f>
        <v>76903.515659249999</v>
      </c>
      <c r="J5" s="22">
        <f>($R$5*Deliveries!J5*J10)/1000000</f>
        <v>80748.691442212497</v>
      </c>
      <c r="K5" s="22">
        <f>($R$5*Deliveries!K5*K10)/1000000</f>
        <v>84786.126014323119</v>
      </c>
      <c r="L5" s="22">
        <f>($R$5*Deliveries!L5*L10)/1000000</f>
        <v>89025.432315039288</v>
      </c>
      <c r="M5" s="22">
        <f>($R$5*Deliveries!M5*M10)/1000000</f>
        <v>93476.703930791264</v>
      </c>
      <c r="N5" s="22">
        <f>($R$5*Deliveries!N5*N10)/1000000</f>
        <v>98150.53912733082</v>
      </c>
      <c r="O5" s="22">
        <f>($R$5*Deliveries!O5*O10)/1000000</f>
        <v>103058.06608369737</v>
      </c>
      <c r="P5" s="22">
        <f>($R$5*Deliveries!P5*P10)/1000000</f>
        <v>108210.96938788223</v>
      </c>
      <c r="Q5" s="22">
        <f>($R$5*Deliveries!Q5*Q10)/1000000</f>
        <v>113621.51785727634</v>
      </c>
      <c r="R5" s="22">
        <v>57000</v>
      </c>
    </row>
    <row r="6" spans="1:18" x14ac:dyDescent="0.15">
      <c r="B6" s="60" t="s">
        <v>155</v>
      </c>
      <c r="C6" s="22">
        <f>($R$6*Deliveries!C6)/1000000</f>
        <v>5817.9780000000001</v>
      </c>
      <c r="D6" s="22">
        <f>($R$6*Deliveries!D6)/1000000</f>
        <v>2546.328</v>
      </c>
      <c r="E6" s="22">
        <f>($R$6*Deliveries!E6)/1000000</f>
        <v>6120</v>
      </c>
      <c r="F6" s="22">
        <f>($R$6*Deliveries!F6)/1000000</f>
        <v>7650</v>
      </c>
      <c r="G6" s="22">
        <f>($R$6*Deliveries!G6)/1000000</f>
        <v>8683.5660000000007</v>
      </c>
      <c r="H6" s="22">
        <f>($R$5*Deliveries!H6*H11)/1000000</f>
        <v>5197.1142510000009</v>
      </c>
      <c r="I6" s="22">
        <f>($R$5*Deliveries!I6*I11)/1000000</f>
        <v>5456.9699635500001</v>
      </c>
      <c r="J6" s="22">
        <f>($R$5*Deliveries!J6*J11)/1000000</f>
        <v>5729.818461727501</v>
      </c>
      <c r="K6" s="22">
        <f>($R$5*Deliveries!K6*K11)/1000000</f>
        <v>6016.309384813876</v>
      </c>
      <c r="L6" s="22">
        <f>($R$5*Deliveries!L6*L11)/1000000</f>
        <v>6317.1248540545703</v>
      </c>
      <c r="M6" s="22">
        <f>($R$5*Deliveries!M6*M11)/1000000</f>
        <v>6632.9810967572985</v>
      </c>
      <c r="N6" s="22">
        <f>($R$5*Deliveries!N6*N11)/1000000</f>
        <v>6964.6301515951636</v>
      </c>
      <c r="O6" s="22">
        <f>($R$5*Deliveries!O6*O11)/1000000</f>
        <v>7312.8616591749224</v>
      </c>
      <c r="P6" s="22">
        <f>($R$5*Deliveries!P6*P11)/1000000</f>
        <v>7678.5047421336685</v>
      </c>
      <c r="Q6" s="22">
        <f>($R$5*Deliveries!Q6*Q11)/1000000</f>
        <v>8062.4299792403526</v>
      </c>
      <c r="R6" s="22">
        <v>102000</v>
      </c>
    </row>
    <row r="7" spans="1:18" ht="13" thickBot="1" x14ac:dyDescent="0.2">
      <c r="B7" s="68" t="s">
        <v>117</v>
      </c>
      <c r="C7" s="69">
        <f>SUM(C5:C6)</f>
        <v>27235.955999999998</v>
      </c>
      <c r="D7" s="69">
        <f t="shared" ref="D7:Q7" si="0">SUM(D5:D6)</f>
        <v>47232.275999999998</v>
      </c>
      <c r="E7" s="69">
        <f t="shared" si="0"/>
        <v>71461.95</v>
      </c>
      <c r="F7" s="69">
        <f t="shared" si="0"/>
        <v>82418.952000000005</v>
      </c>
      <c r="G7" s="69">
        <f t="shared" si="0"/>
        <v>77069.60100000001</v>
      </c>
      <c r="H7" s="69">
        <f t="shared" si="0"/>
        <v>78438.557736000002</v>
      </c>
      <c r="I7" s="69">
        <f t="shared" si="0"/>
        <v>82360.485622799999</v>
      </c>
      <c r="J7" s="69">
        <f t="shared" si="0"/>
        <v>86478.509903939994</v>
      </c>
      <c r="K7" s="69">
        <f t="shared" si="0"/>
        <v>90802.435399137001</v>
      </c>
      <c r="L7" s="69">
        <f t="shared" si="0"/>
        <v>95342.557169093852</v>
      </c>
      <c r="M7" s="69">
        <f t="shared" si="0"/>
        <v>100109.68502754856</v>
      </c>
      <c r="N7" s="69">
        <f t="shared" si="0"/>
        <v>105115.16927892598</v>
      </c>
      <c r="O7" s="69">
        <f t="shared" si="0"/>
        <v>110370.92774287229</v>
      </c>
      <c r="P7" s="69">
        <f t="shared" si="0"/>
        <v>115889.47413001589</v>
      </c>
      <c r="Q7" s="69">
        <f t="shared" si="0"/>
        <v>121683.94783651669</v>
      </c>
      <c r="R7" s="70"/>
    </row>
    <row r="8" spans="1:18" ht="3" customHeight="1" x14ac:dyDescent="0.15"/>
    <row r="9" spans="1:18" x14ac:dyDescent="0.15">
      <c r="B9" s="71" t="s">
        <v>53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3"/>
    </row>
    <row r="10" spans="1:18" x14ac:dyDescent="0.15">
      <c r="B10" s="72" t="s">
        <v>125</v>
      </c>
      <c r="C10" s="74"/>
      <c r="D10" s="74"/>
      <c r="E10" s="74"/>
      <c r="F10" s="74"/>
      <c r="G10" s="72"/>
      <c r="H10" s="50">
        <f>CHOOSE(Drivers!$C$3,'Revenue automotive'!H14,'Revenue automotive'!H18,'Revenue automotive'!H22)</f>
        <v>1.02</v>
      </c>
      <c r="I10" s="50">
        <f>CHOOSE(Drivers!$C$3,'Revenue automotive'!I14,'Revenue automotive'!I18,'Revenue automotive'!I22)</f>
        <v>1.02</v>
      </c>
      <c r="J10" s="50">
        <f>CHOOSE(Drivers!$C$3,'Revenue automotive'!J14,'Revenue automotive'!J18,'Revenue automotive'!J22)</f>
        <v>1.02</v>
      </c>
      <c r="K10" s="50">
        <f>CHOOSE(Drivers!$C$3,'Revenue automotive'!K14,'Revenue automotive'!K18,'Revenue automotive'!K22)</f>
        <v>1.02</v>
      </c>
      <c r="L10" s="50">
        <f>CHOOSE(Drivers!$C$3,'Revenue automotive'!L14,'Revenue automotive'!L18,'Revenue automotive'!L22)</f>
        <v>1.02</v>
      </c>
      <c r="M10" s="50">
        <f>CHOOSE(Drivers!$C$3,'Revenue automotive'!M14,'Revenue automotive'!M18,'Revenue automotive'!M22)</f>
        <v>1.02</v>
      </c>
      <c r="N10" s="50">
        <f>CHOOSE(Drivers!$C$3,'Revenue automotive'!N14,'Revenue automotive'!N18,'Revenue automotive'!N22)</f>
        <v>1.02</v>
      </c>
      <c r="O10" s="50">
        <f>CHOOSE(Drivers!$C$3,'Revenue automotive'!O14,'Revenue automotive'!O18,'Revenue automotive'!O22)</f>
        <v>1.02</v>
      </c>
      <c r="P10" s="50">
        <f>CHOOSE(Drivers!$C$3,'Revenue automotive'!P14,'Revenue automotive'!P18,'Revenue automotive'!P22)</f>
        <v>1.02</v>
      </c>
      <c r="Q10" s="50">
        <f>CHOOSE(Drivers!$C$3,'Revenue automotive'!Q14,'Revenue automotive'!Q18,'Revenue automotive'!Q22)</f>
        <v>1.02</v>
      </c>
      <c r="R10" s="73"/>
    </row>
    <row r="11" spans="1:18" x14ac:dyDescent="0.15">
      <c r="B11" s="72" t="s">
        <v>155</v>
      </c>
      <c r="C11" s="74"/>
      <c r="D11" s="25"/>
      <c r="E11" s="25"/>
      <c r="F11" s="25"/>
      <c r="G11" s="72"/>
      <c r="H11" s="50">
        <f>CHOOSE(Drivers!$C$3,'Revenue automotive'!H15,'Revenue automotive'!H19,'Revenue automotive'!H23)</f>
        <v>1.02</v>
      </c>
      <c r="I11" s="50">
        <f>CHOOSE(Drivers!$C$3,'Revenue automotive'!I15,'Revenue automotive'!I19,'Revenue automotive'!I23)</f>
        <v>1.02</v>
      </c>
      <c r="J11" s="50">
        <f>CHOOSE(Drivers!$C$3,'Revenue automotive'!J15,'Revenue automotive'!J19,'Revenue automotive'!J23)</f>
        <v>1.02</v>
      </c>
      <c r="K11" s="50">
        <f>CHOOSE(Drivers!$C$3,'Revenue automotive'!K15,'Revenue automotive'!K19,'Revenue automotive'!K23)</f>
        <v>1.02</v>
      </c>
      <c r="L11" s="50">
        <f>CHOOSE(Drivers!$C$3,'Revenue automotive'!L15,'Revenue automotive'!L19,'Revenue automotive'!L23)</f>
        <v>1.02</v>
      </c>
      <c r="M11" s="50">
        <f>CHOOSE(Drivers!$C$3,'Revenue automotive'!M15,'Revenue automotive'!M19,'Revenue automotive'!M23)</f>
        <v>1.02</v>
      </c>
      <c r="N11" s="50">
        <f>CHOOSE(Drivers!$C$3,'Revenue automotive'!N15,'Revenue automotive'!N19,'Revenue automotive'!N23)</f>
        <v>1.02</v>
      </c>
      <c r="O11" s="50">
        <f>CHOOSE(Drivers!$C$3,'Revenue automotive'!O15,'Revenue automotive'!O19,'Revenue automotive'!O23)</f>
        <v>1.02</v>
      </c>
      <c r="P11" s="50">
        <f>CHOOSE(Drivers!$C$3,'Revenue automotive'!P15,'Revenue automotive'!P19,'Revenue automotive'!P23)</f>
        <v>1.02</v>
      </c>
      <c r="Q11" s="50">
        <f>CHOOSE(Drivers!$C$3,'Revenue automotive'!Q15,'Revenue automotive'!Q19,'Revenue automotive'!Q23)</f>
        <v>1.02</v>
      </c>
      <c r="R11" s="73"/>
    </row>
    <row r="12" spans="1:18" x14ac:dyDescent="0.15">
      <c r="B12" s="72"/>
      <c r="C12" s="74"/>
      <c r="D12" s="74"/>
      <c r="E12" s="74"/>
      <c r="F12" s="74"/>
      <c r="G12" s="72"/>
      <c r="H12" s="74"/>
      <c r="I12" s="75"/>
      <c r="J12" s="75"/>
      <c r="K12" s="75"/>
      <c r="L12" s="75"/>
      <c r="M12" s="75"/>
      <c r="N12" s="75"/>
      <c r="O12" s="75"/>
      <c r="P12" s="75"/>
      <c r="Q12" s="75"/>
      <c r="R12" s="73"/>
    </row>
    <row r="13" spans="1:18" x14ac:dyDescent="0.15">
      <c r="B13" s="71" t="s">
        <v>152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3"/>
    </row>
    <row r="14" spans="1:18" x14ac:dyDescent="0.15">
      <c r="B14" s="72" t="s">
        <v>125</v>
      </c>
      <c r="C14" s="74"/>
      <c r="D14" s="74"/>
      <c r="E14" s="74"/>
      <c r="F14" s="74"/>
      <c r="G14" s="72"/>
      <c r="H14" s="50">
        <v>1.02</v>
      </c>
      <c r="I14" s="50">
        <v>1.02</v>
      </c>
      <c r="J14" s="50">
        <v>1.02</v>
      </c>
      <c r="K14" s="50">
        <v>1.02</v>
      </c>
      <c r="L14" s="50">
        <v>1.02</v>
      </c>
      <c r="M14" s="50">
        <v>1.02</v>
      </c>
      <c r="N14" s="50">
        <v>1.02</v>
      </c>
      <c r="O14" s="50">
        <v>1.02</v>
      </c>
      <c r="P14" s="50">
        <v>1.02</v>
      </c>
      <c r="Q14" s="50">
        <v>1.02</v>
      </c>
      <c r="R14" s="73"/>
    </row>
    <row r="15" spans="1:18" x14ac:dyDescent="0.15">
      <c r="B15" s="72" t="s">
        <v>155</v>
      </c>
      <c r="C15" s="74"/>
      <c r="D15" s="25"/>
      <c r="E15" s="25"/>
      <c r="F15" s="25"/>
      <c r="G15" s="72"/>
      <c r="H15" s="50">
        <v>1.02</v>
      </c>
      <c r="I15" s="50">
        <v>1.02</v>
      </c>
      <c r="J15" s="50">
        <v>1.02</v>
      </c>
      <c r="K15" s="50">
        <v>1.02</v>
      </c>
      <c r="L15" s="50">
        <v>1.02</v>
      </c>
      <c r="M15" s="50">
        <v>1.02</v>
      </c>
      <c r="N15" s="50">
        <v>1.02</v>
      </c>
      <c r="O15" s="50">
        <v>1.02</v>
      </c>
      <c r="P15" s="50">
        <v>1.02</v>
      </c>
      <c r="Q15" s="50">
        <v>1.02</v>
      </c>
      <c r="R15" s="73"/>
    </row>
    <row r="16" spans="1:18" x14ac:dyDescent="0.15">
      <c r="B16" s="72"/>
      <c r="C16" s="74"/>
      <c r="D16" s="74"/>
      <c r="E16" s="74"/>
      <c r="F16" s="74"/>
      <c r="G16" s="72"/>
      <c r="H16" s="74"/>
      <c r="I16" s="75"/>
      <c r="J16" s="75"/>
      <c r="K16" s="75"/>
      <c r="L16" s="75"/>
      <c r="M16" s="75"/>
      <c r="N16" s="75"/>
      <c r="O16" s="75"/>
      <c r="P16" s="75"/>
      <c r="Q16" s="75"/>
      <c r="R16" s="73"/>
    </row>
    <row r="17" spans="2:18" x14ac:dyDescent="0.15">
      <c r="B17" s="71" t="s">
        <v>153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3"/>
    </row>
    <row r="18" spans="2:18" x14ac:dyDescent="0.15">
      <c r="B18" s="72" t="s">
        <v>125</v>
      </c>
      <c r="C18" s="74"/>
      <c r="D18" s="74"/>
      <c r="E18" s="74"/>
      <c r="F18" s="74"/>
      <c r="G18" s="72"/>
      <c r="H18" s="50">
        <v>1</v>
      </c>
      <c r="I18" s="50">
        <v>1</v>
      </c>
      <c r="J18" s="50">
        <v>1</v>
      </c>
      <c r="K18" s="50">
        <v>1</v>
      </c>
      <c r="L18" s="50">
        <v>1</v>
      </c>
      <c r="M18" s="50">
        <v>1</v>
      </c>
      <c r="N18" s="50">
        <v>1</v>
      </c>
      <c r="O18" s="50">
        <v>1</v>
      </c>
      <c r="P18" s="50">
        <v>1</v>
      </c>
      <c r="Q18" s="50">
        <v>1</v>
      </c>
      <c r="R18" s="73"/>
    </row>
    <row r="19" spans="2:18" x14ac:dyDescent="0.15">
      <c r="B19" s="72" t="s">
        <v>155</v>
      </c>
      <c r="C19" s="74"/>
      <c r="D19" s="25"/>
      <c r="E19" s="25"/>
      <c r="F19" s="25"/>
      <c r="G19" s="72"/>
      <c r="H19" s="50">
        <v>1</v>
      </c>
      <c r="I19" s="50">
        <v>1</v>
      </c>
      <c r="J19" s="50">
        <v>1</v>
      </c>
      <c r="K19" s="50">
        <v>1</v>
      </c>
      <c r="L19" s="50">
        <v>1</v>
      </c>
      <c r="M19" s="50">
        <v>1</v>
      </c>
      <c r="N19" s="50">
        <v>1</v>
      </c>
      <c r="O19" s="50">
        <v>1</v>
      </c>
      <c r="P19" s="50">
        <v>1</v>
      </c>
      <c r="Q19" s="50">
        <v>1</v>
      </c>
      <c r="R19" s="73"/>
    </row>
    <row r="20" spans="2:18" x14ac:dyDescent="0.15">
      <c r="B20" s="72"/>
      <c r="C20" s="74"/>
      <c r="D20" s="74"/>
      <c r="E20" s="74"/>
      <c r="F20" s="74"/>
      <c r="G20" s="72"/>
      <c r="H20" s="74"/>
      <c r="I20" s="75"/>
      <c r="J20" s="75"/>
      <c r="K20" s="75"/>
      <c r="L20" s="75"/>
      <c r="M20" s="75"/>
      <c r="N20" s="75"/>
      <c r="O20" s="75"/>
      <c r="P20" s="75"/>
      <c r="Q20" s="75"/>
      <c r="R20" s="73"/>
    </row>
    <row r="21" spans="2:18" x14ac:dyDescent="0.15">
      <c r="B21" s="71" t="s">
        <v>154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3"/>
    </row>
    <row r="22" spans="2:18" x14ac:dyDescent="0.15">
      <c r="B22" s="72" t="s">
        <v>125</v>
      </c>
      <c r="C22" s="74"/>
      <c r="D22" s="74"/>
      <c r="E22" s="74"/>
      <c r="F22" s="74"/>
      <c r="G22" s="72"/>
      <c r="H22" s="50">
        <v>0.98</v>
      </c>
      <c r="I22" s="50">
        <v>0.98</v>
      </c>
      <c r="J22" s="50">
        <v>0.98</v>
      </c>
      <c r="K22" s="50">
        <v>0.98</v>
      </c>
      <c r="L22" s="50">
        <v>0.98</v>
      </c>
      <c r="M22" s="50">
        <v>0.98</v>
      </c>
      <c r="N22" s="50">
        <v>0.98</v>
      </c>
      <c r="O22" s="50">
        <v>0.98</v>
      </c>
      <c r="P22" s="50">
        <v>0.98</v>
      </c>
      <c r="Q22" s="50">
        <v>0.98</v>
      </c>
      <c r="R22" s="73"/>
    </row>
    <row r="23" spans="2:18" x14ac:dyDescent="0.15">
      <c r="B23" s="72" t="s">
        <v>155</v>
      </c>
      <c r="C23" s="74"/>
      <c r="D23" s="25"/>
      <c r="E23" s="25"/>
      <c r="F23" s="25"/>
      <c r="G23" s="72"/>
      <c r="H23" s="50">
        <v>0.98</v>
      </c>
      <c r="I23" s="50">
        <v>0.98</v>
      </c>
      <c r="J23" s="50">
        <v>0.98</v>
      </c>
      <c r="K23" s="50">
        <v>0.98</v>
      </c>
      <c r="L23" s="50">
        <v>0.98</v>
      </c>
      <c r="M23" s="50">
        <v>0.98</v>
      </c>
      <c r="N23" s="50">
        <v>0.98</v>
      </c>
      <c r="O23" s="50">
        <v>0.98</v>
      </c>
      <c r="P23" s="50">
        <v>0.98</v>
      </c>
      <c r="Q23" s="50">
        <v>0.98</v>
      </c>
      <c r="R23" s="73"/>
    </row>
    <row r="24" spans="2:18" x14ac:dyDescent="0.15">
      <c r="B24" s="72"/>
      <c r="C24" s="74"/>
      <c r="D24" s="74"/>
      <c r="E24" s="74"/>
      <c r="F24" s="74"/>
      <c r="G24" s="72"/>
      <c r="H24" s="74"/>
      <c r="I24" s="75"/>
      <c r="J24" s="75"/>
      <c r="K24" s="75"/>
      <c r="L24" s="75"/>
      <c r="M24" s="75"/>
      <c r="N24" s="75"/>
      <c r="O24" s="75"/>
      <c r="P24" s="75"/>
      <c r="Q24" s="75"/>
      <c r="R24" s="73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1DA9-4FEA-4E6D-AE60-EDEAF026B97A}">
  <dimension ref="A1:I13"/>
  <sheetViews>
    <sheetView topLeftCell="B1" workbookViewId="0">
      <selection activeCell="B4" sqref="B4"/>
    </sheetView>
  </sheetViews>
  <sheetFormatPr baseColWidth="10" defaultColWidth="9.1640625" defaultRowHeight="12" x14ac:dyDescent="0.15"/>
  <cols>
    <col min="1" max="1" width="2" style="60" customWidth="1"/>
    <col min="2" max="2" width="22.1640625" style="60" bestFit="1" customWidth="1"/>
    <col min="3" max="3" width="33.33203125" style="60" customWidth="1"/>
    <col min="4" max="5" width="9.1640625" style="60"/>
    <col min="6" max="6" width="12" style="60" bestFit="1" customWidth="1"/>
    <col min="7" max="7" width="4.5" style="60" customWidth="1"/>
    <col min="8" max="16384" width="9.1640625" style="60"/>
  </cols>
  <sheetData>
    <row r="1" spans="1:9" ht="16" x14ac:dyDescent="0.15">
      <c r="A1" s="58"/>
      <c r="B1" s="59" t="s">
        <v>156</v>
      </c>
    </row>
    <row r="2" spans="1:9" ht="16" x14ac:dyDescent="0.15">
      <c r="A2" s="58"/>
      <c r="B2" s="59"/>
    </row>
    <row r="3" spans="1:9" ht="13" x14ac:dyDescent="0.15">
      <c r="A3" s="58"/>
      <c r="B3" s="78" t="s">
        <v>185</v>
      </c>
    </row>
    <row r="5" spans="1:9" ht="26" x14ac:dyDescent="0.15">
      <c r="B5" s="63" t="s">
        <v>111</v>
      </c>
      <c r="C5" s="63" t="s">
        <v>157</v>
      </c>
      <c r="D5" s="66" t="s">
        <v>158</v>
      </c>
      <c r="E5" s="66" t="s">
        <v>159</v>
      </c>
      <c r="F5" s="66" t="s">
        <v>160</v>
      </c>
      <c r="G5" s="79"/>
      <c r="H5" s="66" t="s">
        <v>132</v>
      </c>
    </row>
    <row r="6" spans="1:9" x14ac:dyDescent="0.15">
      <c r="B6" s="60" t="s">
        <v>125</v>
      </c>
      <c r="C6" s="60" t="s">
        <v>161</v>
      </c>
      <c r="D6" s="80">
        <v>0.187</v>
      </c>
      <c r="E6" s="80">
        <f>(((155900-134693)/155900)+((160338-136269)/160338))/2</f>
        <v>0.14307181999290131</v>
      </c>
      <c r="F6" s="80">
        <f>(((108187-93164)/108187)+((110412-95011)/110412))/2</f>
        <v>0.13917403294178585</v>
      </c>
      <c r="G6" s="79"/>
      <c r="H6" s="81">
        <f>C12</f>
        <v>0.18935157427008875</v>
      </c>
      <c r="I6" s="60" t="s">
        <v>162</v>
      </c>
    </row>
    <row r="7" spans="1:9" x14ac:dyDescent="0.15">
      <c r="B7" s="60" t="s">
        <v>126</v>
      </c>
      <c r="C7" s="60" t="s">
        <v>163</v>
      </c>
      <c r="D7" s="82">
        <f>((13620/91682)+(13928/85846))/2</f>
        <v>0.15540049350548607</v>
      </c>
      <c r="E7" s="82">
        <f>((33067/167362)+(29165/172745))/2</f>
        <v>0.18320518912380251</v>
      </c>
      <c r="F7" s="82">
        <v>0.17199999999999999</v>
      </c>
      <c r="G7" s="79"/>
      <c r="H7" s="81">
        <f>C13</f>
        <v>0.18935157427008875</v>
      </c>
      <c r="I7" s="60" t="s">
        <v>162</v>
      </c>
    </row>
    <row r="9" spans="1:9" x14ac:dyDescent="0.15">
      <c r="B9" s="60" t="s">
        <v>164</v>
      </c>
    </row>
    <row r="10" spans="1:9" x14ac:dyDescent="0.15">
      <c r="F10" s="60" t="s">
        <v>131</v>
      </c>
    </row>
    <row r="11" spans="1:9" ht="13" x14ac:dyDescent="0.15">
      <c r="B11" s="63" t="s">
        <v>111</v>
      </c>
      <c r="C11" s="63" t="s">
        <v>165</v>
      </c>
    </row>
    <row r="12" spans="1:9" x14ac:dyDescent="0.15">
      <c r="B12" s="60" t="s">
        <v>125</v>
      </c>
      <c r="C12" s="82">
        <f>AVERAGE('P&amp;L Input'!$F$29,'P&amp;L Input'!$G$29)</f>
        <v>0.18935157427008875</v>
      </c>
    </row>
    <row r="13" spans="1:9" x14ac:dyDescent="0.15">
      <c r="B13" s="60" t="s">
        <v>155</v>
      </c>
      <c r="C13" s="82">
        <f>AVERAGE('P&amp;L Input'!$F$29,'P&amp;L Input'!$G$29)</f>
        <v>0.18935157427008875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17A0-965F-4922-B3A0-E293DCECED19}">
  <dimension ref="A1:Q24"/>
  <sheetViews>
    <sheetView tabSelected="1" zoomScale="101" zoomScaleNormal="101" workbookViewId="0">
      <pane xSplit="2" ySplit="4" topLeftCell="C5" activePane="bottomRight" state="frozen"/>
      <selection activeCell="H38" sqref="H38"/>
      <selection pane="topRight" activeCell="H38" sqref="H38"/>
      <selection pane="bottomLeft" activeCell="H38" sqref="H38"/>
      <selection pane="bottomRight" activeCell="N32" sqref="N32"/>
    </sheetView>
  </sheetViews>
  <sheetFormatPr baseColWidth="10" defaultColWidth="9.1640625" defaultRowHeight="12" x14ac:dyDescent="0.15"/>
  <cols>
    <col min="1" max="1" width="2" style="60" customWidth="1"/>
    <col min="2" max="2" width="22.1640625" style="60" bestFit="1" customWidth="1"/>
    <col min="3" max="4" width="11.33203125" style="60" bestFit="1" customWidth="1"/>
    <col min="5" max="5" width="9.1640625" style="60"/>
    <col min="6" max="6" width="11.5" style="60" bestFit="1" customWidth="1"/>
    <col min="7" max="7" width="10.33203125" style="60" customWidth="1"/>
    <col min="8" max="8" width="10.33203125" style="60" bestFit="1" customWidth="1"/>
    <col min="9" max="12" width="10.5" style="60" bestFit="1" customWidth="1"/>
    <col min="13" max="16384" width="9.1640625" style="60"/>
  </cols>
  <sheetData>
    <row r="1" spans="1:17" ht="16" x14ac:dyDescent="0.15">
      <c r="A1" s="58"/>
      <c r="B1" s="59" t="s">
        <v>166</v>
      </c>
    </row>
    <row r="2" spans="1:17" ht="16" x14ac:dyDescent="0.15">
      <c r="A2" s="58"/>
      <c r="B2" s="59"/>
    </row>
    <row r="3" spans="1:17" x14ac:dyDescent="0.15">
      <c r="C3" s="122" t="s">
        <v>167</v>
      </c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</row>
    <row r="4" spans="1:17" ht="26" x14ac:dyDescent="0.15">
      <c r="B4" s="63" t="s">
        <v>111</v>
      </c>
      <c r="C4" s="6" t="s">
        <v>99</v>
      </c>
      <c r="D4" s="6" t="s">
        <v>98</v>
      </c>
      <c r="E4" s="6" t="s">
        <v>94</v>
      </c>
      <c r="F4" s="6" t="s">
        <v>93</v>
      </c>
      <c r="G4" s="6" t="s">
        <v>92</v>
      </c>
      <c r="H4" s="43" t="s">
        <v>112</v>
      </c>
      <c r="I4" s="43" t="s">
        <v>113</v>
      </c>
      <c r="J4" s="43" t="s">
        <v>114</v>
      </c>
      <c r="K4" s="43" t="s">
        <v>115</v>
      </c>
      <c r="L4" s="43" t="s">
        <v>116</v>
      </c>
      <c r="M4" s="43" t="s">
        <v>120</v>
      </c>
      <c r="N4" s="43" t="s">
        <v>121</v>
      </c>
      <c r="O4" s="43" t="s">
        <v>122</v>
      </c>
      <c r="P4" s="43" t="s">
        <v>123</v>
      </c>
      <c r="Q4" s="43" t="s">
        <v>124</v>
      </c>
    </row>
    <row r="5" spans="1:17" x14ac:dyDescent="0.15">
      <c r="B5" s="60" t="s">
        <v>125</v>
      </c>
      <c r="C5" s="62" t="s">
        <v>119</v>
      </c>
      <c r="D5" s="62" t="s">
        <v>119</v>
      </c>
      <c r="E5" s="62" t="s">
        <v>119</v>
      </c>
      <c r="F5" s="62" t="s">
        <v>119</v>
      </c>
      <c r="G5" s="62" t="s">
        <v>119</v>
      </c>
      <c r="H5" s="67">
        <f>'Revenue automotive'!H5*'GP automotive'!H10</f>
        <v>17431.463549429998</v>
      </c>
      <c r="I5" s="67">
        <f>'Revenue automotive'!I5*'GP automotive'!I10</f>
        <v>18303.036726901501</v>
      </c>
      <c r="J5" s="67">
        <f>'Revenue automotive'!J5*'GP automotive'!J10</f>
        <v>19218.188563246575</v>
      </c>
      <c r="K5" s="67">
        <f>'Revenue automotive'!K5*'GP automotive'!K10</f>
        <v>20179.0979914089</v>
      </c>
      <c r="L5" s="67">
        <f>'Revenue automotive'!L5*'GP automotive'!L10</f>
        <v>21188.05289097935</v>
      </c>
      <c r="M5" s="67">
        <f>'Revenue automotive'!M5*'GP automotive'!M10</f>
        <v>22247.455535528319</v>
      </c>
      <c r="N5" s="67">
        <f>'Revenue automotive'!N5*'GP automotive'!N10</f>
        <v>23359.828312304733</v>
      </c>
      <c r="O5" s="67">
        <f>'Revenue automotive'!O5*'GP automotive'!O10</f>
        <v>24527.819727919974</v>
      </c>
      <c r="P5" s="67">
        <f>'Revenue automotive'!P5*'GP automotive'!P10</f>
        <v>25754.21071431597</v>
      </c>
      <c r="Q5" s="67">
        <f>'Revenue automotive'!Q5*'GP automotive'!Q10</f>
        <v>27041.921250031766</v>
      </c>
    </row>
    <row r="6" spans="1:17" x14ac:dyDescent="0.15">
      <c r="B6" s="60" t="s">
        <v>126</v>
      </c>
      <c r="C6" s="62" t="s">
        <v>119</v>
      </c>
      <c r="D6" s="62" t="s">
        <v>119</v>
      </c>
      <c r="E6" s="62" t="s">
        <v>119</v>
      </c>
      <c r="F6" s="62" t="s">
        <v>119</v>
      </c>
      <c r="G6" s="62" t="s">
        <v>119</v>
      </c>
      <c r="H6" s="67">
        <f>'Revenue automotive'!H6*'GP automotive'!H11</f>
        <v>1236.9131917380003</v>
      </c>
      <c r="I6" s="67">
        <f>'Revenue automotive'!I6*'GP automotive'!I11</f>
        <v>1298.7588513249</v>
      </c>
      <c r="J6" s="67">
        <f>'Revenue automotive'!J6*'GP automotive'!J11</f>
        <v>1363.6967938911453</v>
      </c>
      <c r="K6" s="67">
        <f>'Revenue automotive'!K6*'GP automotive'!K11</f>
        <v>1431.8816335857025</v>
      </c>
      <c r="L6" s="67">
        <f>'Revenue automotive'!L6*'GP automotive'!L11</f>
        <v>1503.4757152649877</v>
      </c>
      <c r="M6" s="67">
        <f>'Revenue automotive'!M6*'GP automotive'!M11</f>
        <v>1578.649501028237</v>
      </c>
      <c r="N6" s="67">
        <f>'Revenue automotive'!N6*'GP automotive'!N11</f>
        <v>1657.5819760796489</v>
      </c>
      <c r="O6" s="67">
        <f>'Revenue automotive'!O6*'GP automotive'!O11</f>
        <v>1740.4610748836315</v>
      </c>
      <c r="P6" s="67">
        <f>'Revenue automotive'!P6*'GP automotive'!P11</f>
        <v>1827.4841286278131</v>
      </c>
      <c r="Q6" s="67">
        <f>'Revenue automotive'!Q6*'GP automotive'!Q11</f>
        <v>1918.8583350592039</v>
      </c>
    </row>
    <row r="7" spans="1:17" ht="13" thickBot="1" x14ac:dyDescent="0.2">
      <c r="B7" s="68" t="s">
        <v>117</v>
      </c>
      <c r="C7" s="69">
        <f>'P&amp;L Input'!C11/1000</f>
        <v>6630</v>
      </c>
      <c r="D7" s="69">
        <f>'P&amp;L Input'!D11/1000</f>
        <v>13606</v>
      </c>
      <c r="E7" s="69">
        <f>'P&amp;L Input'!E11/1000</f>
        <v>20853</v>
      </c>
      <c r="F7" s="69">
        <f>'P&amp;L Input'!F11/1000</f>
        <v>17660</v>
      </c>
      <c r="G7" s="69">
        <f>'P&amp;L Input'!G11/1000</f>
        <v>17450</v>
      </c>
      <c r="H7" s="69">
        <f t="shared" ref="H7:Q7" si="0">SUM(H5:H6)</f>
        <v>18668.376741167998</v>
      </c>
      <c r="I7" s="69">
        <f t="shared" si="0"/>
        <v>19601.7955782264</v>
      </c>
      <c r="J7" s="69">
        <f t="shared" si="0"/>
        <v>20581.885357137719</v>
      </c>
      <c r="K7" s="69">
        <f t="shared" si="0"/>
        <v>21610.979624994601</v>
      </c>
      <c r="L7" s="69">
        <f t="shared" si="0"/>
        <v>22691.528606244337</v>
      </c>
      <c r="M7" s="69">
        <f t="shared" si="0"/>
        <v>23826.105036556557</v>
      </c>
      <c r="N7" s="69">
        <f t="shared" si="0"/>
        <v>25017.410288384381</v>
      </c>
      <c r="O7" s="69">
        <f t="shared" si="0"/>
        <v>26268.280802803605</v>
      </c>
      <c r="P7" s="69">
        <f t="shared" si="0"/>
        <v>27581.694842943783</v>
      </c>
      <c r="Q7" s="69">
        <f t="shared" si="0"/>
        <v>28960.779585090972</v>
      </c>
    </row>
    <row r="8" spans="1:17" ht="3" customHeight="1" x14ac:dyDescent="0.15"/>
    <row r="9" spans="1:17" x14ac:dyDescent="0.15">
      <c r="B9" s="71" t="s">
        <v>53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</row>
    <row r="10" spans="1:17" x14ac:dyDescent="0.15">
      <c r="B10" s="72" t="s">
        <v>125</v>
      </c>
      <c r="C10" s="74"/>
      <c r="D10" s="74"/>
      <c r="E10" s="74"/>
      <c r="F10" s="74"/>
      <c r="G10" s="50"/>
      <c r="H10" s="50">
        <f>CHOOSE(Drivers!$C$3,'GP automotive'!H14,'GP automotive'!H18,'GP automotive'!H22)</f>
        <v>0.23799999999999999</v>
      </c>
      <c r="I10" s="50">
        <f>CHOOSE(Drivers!$C$3,'GP automotive'!I14,'GP automotive'!I18,'GP automotive'!I22)</f>
        <v>0.23799999999999999</v>
      </c>
      <c r="J10" s="50">
        <f>CHOOSE(Drivers!$C$3,'GP automotive'!J14,'GP automotive'!J18,'GP automotive'!J22)</f>
        <v>0.23799999999999999</v>
      </c>
      <c r="K10" s="50">
        <f>CHOOSE(Drivers!$C$3,'GP automotive'!K14,'GP automotive'!K18,'GP automotive'!K22)</f>
        <v>0.23799999999999999</v>
      </c>
      <c r="L10" s="50">
        <f>CHOOSE(Drivers!$C$3,'GP automotive'!L14,'GP automotive'!L18,'GP automotive'!L22)</f>
        <v>0.23799999999999999</v>
      </c>
      <c r="M10" s="50">
        <f>CHOOSE(Drivers!$C$3,'GP automotive'!M14,'GP automotive'!M18,'GP automotive'!M22)</f>
        <v>0.23799999999999999</v>
      </c>
      <c r="N10" s="50">
        <f>CHOOSE(Drivers!$C$3,'GP automotive'!N14,'GP automotive'!N18,'GP automotive'!N22)</f>
        <v>0.23799999999999999</v>
      </c>
      <c r="O10" s="50">
        <f>CHOOSE(Drivers!$C$3,'GP automotive'!O14,'GP automotive'!O18,'GP automotive'!O22)</f>
        <v>0.23799999999999999</v>
      </c>
      <c r="P10" s="50">
        <f>CHOOSE(Drivers!$C$3,'GP automotive'!P14,'GP automotive'!P18,'GP automotive'!P22)</f>
        <v>0.23799999999999999</v>
      </c>
      <c r="Q10" s="50">
        <f>CHOOSE(Drivers!$C$3,'GP automotive'!Q14,'GP automotive'!Q18,'GP automotive'!Q22)</f>
        <v>0.23799999999999999</v>
      </c>
    </row>
    <row r="11" spans="1:17" x14ac:dyDescent="0.15">
      <c r="B11" s="72" t="s">
        <v>126</v>
      </c>
      <c r="C11" s="74"/>
      <c r="D11" s="25"/>
      <c r="E11" s="25"/>
      <c r="F11" s="25"/>
      <c r="G11" s="50"/>
      <c r="H11" s="50">
        <f>CHOOSE(Drivers!$C$3,'GP automotive'!H15,'GP automotive'!H19,'GP automotive'!H23)</f>
        <v>0.23799999999999999</v>
      </c>
      <c r="I11" s="50">
        <f>CHOOSE(Drivers!$C$3,'GP automotive'!I15,'GP automotive'!I19,'GP automotive'!I23)</f>
        <v>0.23799999999999999</v>
      </c>
      <c r="J11" s="50">
        <f>CHOOSE(Drivers!$C$3,'GP automotive'!J15,'GP automotive'!J19,'GP automotive'!J23)</f>
        <v>0.23799999999999999</v>
      </c>
      <c r="K11" s="50">
        <f>CHOOSE(Drivers!$C$3,'GP automotive'!K15,'GP automotive'!K19,'GP automotive'!K23)</f>
        <v>0.23799999999999999</v>
      </c>
      <c r="L11" s="50">
        <f>CHOOSE(Drivers!$C$3,'GP automotive'!L15,'GP automotive'!L19,'GP automotive'!L23)</f>
        <v>0.23799999999999999</v>
      </c>
      <c r="M11" s="50">
        <f>CHOOSE(Drivers!$C$3,'GP automotive'!M15,'GP automotive'!M19,'GP automotive'!M23)</f>
        <v>0.23799999999999999</v>
      </c>
      <c r="N11" s="50">
        <f>CHOOSE(Drivers!$C$3,'GP automotive'!N15,'GP automotive'!N19,'GP automotive'!N23)</f>
        <v>0.23799999999999999</v>
      </c>
      <c r="O11" s="50">
        <f>CHOOSE(Drivers!$C$3,'GP automotive'!O15,'GP automotive'!O19,'GP automotive'!O23)</f>
        <v>0.23799999999999999</v>
      </c>
      <c r="P11" s="50">
        <f>CHOOSE(Drivers!$C$3,'GP automotive'!P15,'GP automotive'!P19,'GP automotive'!P23)</f>
        <v>0.23799999999999999</v>
      </c>
      <c r="Q11" s="50">
        <f>CHOOSE(Drivers!$C$3,'GP automotive'!Q15,'GP automotive'!Q19,'GP automotive'!Q23)</f>
        <v>0.23799999999999999</v>
      </c>
    </row>
    <row r="12" spans="1:17" x14ac:dyDescent="0.15">
      <c r="B12" s="72"/>
      <c r="C12" s="74"/>
      <c r="D12" s="74"/>
      <c r="E12" s="74"/>
      <c r="F12" s="74"/>
      <c r="G12" s="74"/>
      <c r="H12" s="74"/>
      <c r="I12" s="75"/>
      <c r="J12" s="75"/>
      <c r="K12" s="75"/>
      <c r="L12" s="75"/>
      <c r="M12" s="75"/>
      <c r="N12" s="75"/>
      <c r="O12" s="75"/>
      <c r="P12" s="75"/>
      <c r="Q12" s="75"/>
    </row>
    <row r="13" spans="1:17" x14ac:dyDescent="0.15">
      <c r="B13" s="71" t="s">
        <v>152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</row>
    <row r="14" spans="1:17" x14ac:dyDescent="0.15">
      <c r="B14" s="72" t="s">
        <v>125</v>
      </c>
      <c r="C14" s="74"/>
      <c r="D14" s="74"/>
      <c r="E14" s="74"/>
      <c r="F14" s="74"/>
      <c r="G14" s="50"/>
      <c r="H14" s="84">
        <v>0.23799999999999999</v>
      </c>
      <c r="I14" s="84">
        <v>0.23799999999999999</v>
      </c>
      <c r="J14" s="84">
        <v>0.23799999999999999</v>
      </c>
      <c r="K14" s="84">
        <v>0.23799999999999999</v>
      </c>
      <c r="L14" s="84">
        <v>0.23799999999999999</v>
      </c>
      <c r="M14" s="84">
        <v>0.23799999999999999</v>
      </c>
      <c r="N14" s="84">
        <v>0.23799999999999999</v>
      </c>
      <c r="O14" s="84">
        <v>0.23799999999999999</v>
      </c>
      <c r="P14" s="84">
        <v>0.23799999999999999</v>
      </c>
      <c r="Q14" s="84">
        <v>0.23799999999999999</v>
      </c>
    </row>
    <row r="15" spans="1:17" x14ac:dyDescent="0.15">
      <c r="B15" s="72" t="s">
        <v>126</v>
      </c>
      <c r="C15" s="74"/>
      <c r="D15" s="25"/>
      <c r="E15" s="25"/>
      <c r="F15" s="25"/>
      <c r="G15" s="50"/>
      <c r="H15" s="84">
        <v>0.23799999999999999</v>
      </c>
      <c r="I15" s="84">
        <v>0.23799999999999999</v>
      </c>
      <c r="J15" s="84">
        <v>0.23799999999999999</v>
      </c>
      <c r="K15" s="84">
        <v>0.23799999999999999</v>
      </c>
      <c r="L15" s="84">
        <v>0.23799999999999999</v>
      </c>
      <c r="M15" s="84">
        <v>0.23799999999999999</v>
      </c>
      <c r="N15" s="84">
        <v>0.23799999999999999</v>
      </c>
      <c r="O15" s="84">
        <v>0.23799999999999999</v>
      </c>
      <c r="P15" s="84">
        <v>0.23799999999999999</v>
      </c>
      <c r="Q15" s="84">
        <v>0.23799999999999999</v>
      </c>
    </row>
    <row r="16" spans="1:17" x14ac:dyDescent="0.15">
      <c r="B16" s="72"/>
      <c r="C16" s="74"/>
      <c r="D16" s="74"/>
      <c r="E16" s="74"/>
      <c r="F16" s="74"/>
      <c r="G16" s="74"/>
      <c r="H16" s="74"/>
      <c r="I16" s="75"/>
      <c r="J16" s="75"/>
      <c r="K16" s="75"/>
      <c r="L16" s="75"/>
      <c r="M16" s="75"/>
      <c r="N16" s="75"/>
      <c r="O16" s="75"/>
      <c r="P16" s="75"/>
      <c r="Q16" s="75"/>
    </row>
    <row r="17" spans="2:17" x14ac:dyDescent="0.15">
      <c r="B17" s="71" t="s">
        <v>153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</row>
    <row r="18" spans="2:17" x14ac:dyDescent="0.15">
      <c r="B18" s="72" t="s">
        <v>125</v>
      </c>
      <c r="C18" s="74"/>
      <c r="D18" s="74"/>
      <c r="E18" s="74"/>
      <c r="F18" s="74"/>
      <c r="G18" s="50"/>
      <c r="H18" s="84">
        <f>'GP% automotive'!$H$6</f>
        <v>0.18935157427008875</v>
      </c>
      <c r="I18" s="84">
        <f>'GP% automotive'!$H$6</f>
        <v>0.18935157427008875</v>
      </c>
      <c r="J18" s="84">
        <f>'GP% automotive'!$H$6</f>
        <v>0.18935157427008875</v>
      </c>
      <c r="K18" s="84">
        <f>'GP% automotive'!$H$6</f>
        <v>0.18935157427008875</v>
      </c>
      <c r="L18" s="84">
        <f>'GP% automotive'!$H$6</f>
        <v>0.18935157427008875</v>
      </c>
      <c r="M18" s="84">
        <f>'GP% automotive'!$H$6</f>
        <v>0.18935157427008875</v>
      </c>
      <c r="N18" s="84">
        <f>'GP% automotive'!$H$6</f>
        <v>0.18935157427008875</v>
      </c>
      <c r="O18" s="84">
        <f>'GP% automotive'!$H$6</f>
        <v>0.18935157427008875</v>
      </c>
      <c r="P18" s="84">
        <f>'GP% automotive'!$H$6</f>
        <v>0.18935157427008875</v>
      </c>
      <c r="Q18" s="84">
        <f>'GP% automotive'!$H$6</f>
        <v>0.18935157427008875</v>
      </c>
    </row>
    <row r="19" spans="2:17" x14ac:dyDescent="0.15">
      <c r="B19" s="72" t="s">
        <v>126</v>
      </c>
      <c r="C19" s="74"/>
      <c r="D19" s="25"/>
      <c r="E19" s="25"/>
      <c r="F19" s="25"/>
      <c r="G19" s="50"/>
      <c r="H19" s="84">
        <f>'GP% automotive'!$H$6</f>
        <v>0.18935157427008875</v>
      </c>
      <c r="I19" s="84">
        <f>'GP% automotive'!$H$6</f>
        <v>0.18935157427008875</v>
      </c>
      <c r="J19" s="84">
        <f>'GP% automotive'!$H$6</f>
        <v>0.18935157427008875</v>
      </c>
      <c r="K19" s="84">
        <f>'GP% automotive'!$H$6</f>
        <v>0.18935157427008875</v>
      </c>
      <c r="L19" s="84">
        <f>'GP% automotive'!$H$6</f>
        <v>0.18935157427008875</v>
      </c>
      <c r="M19" s="84">
        <f>'GP% automotive'!$H$6</f>
        <v>0.18935157427008875</v>
      </c>
      <c r="N19" s="84">
        <f>'GP% automotive'!$H$6</f>
        <v>0.18935157427008875</v>
      </c>
      <c r="O19" s="84">
        <f>'GP% automotive'!$H$6</f>
        <v>0.18935157427008875</v>
      </c>
      <c r="P19" s="84">
        <f>'GP% automotive'!$H$6</f>
        <v>0.18935157427008875</v>
      </c>
      <c r="Q19" s="84">
        <f>'GP% automotive'!$H$6</f>
        <v>0.18935157427008875</v>
      </c>
    </row>
    <row r="20" spans="2:17" x14ac:dyDescent="0.15">
      <c r="B20" s="72"/>
      <c r="C20" s="74"/>
      <c r="D20" s="74"/>
      <c r="E20" s="74"/>
      <c r="F20" s="74"/>
      <c r="G20" s="74"/>
      <c r="H20" s="74"/>
      <c r="I20" s="75"/>
      <c r="J20" s="75"/>
      <c r="K20" s="75"/>
      <c r="L20" s="75"/>
      <c r="M20" s="75"/>
      <c r="N20" s="75"/>
      <c r="O20" s="75"/>
      <c r="P20" s="75"/>
      <c r="Q20" s="75"/>
    </row>
    <row r="21" spans="2:17" x14ac:dyDescent="0.15">
      <c r="B21" s="71" t="s">
        <v>154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</row>
    <row r="22" spans="2:17" x14ac:dyDescent="0.15">
      <c r="B22" s="72" t="s">
        <v>125</v>
      </c>
      <c r="C22" s="74"/>
      <c r="D22" s="74"/>
      <c r="E22" s="74"/>
      <c r="F22" s="74"/>
      <c r="G22" s="50"/>
      <c r="H22" s="84">
        <v>0.20799999999999999</v>
      </c>
      <c r="I22" s="84">
        <v>0.20799999999999999</v>
      </c>
      <c r="J22" s="84">
        <v>0.20799999999999999</v>
      </c>
      <c r="K22" s="84">
        <v>0.20799999999999999</v>
      </c>
      <c r="L22" s="84">
        <v>0.20799999999999999</v>
      </c>
      <c r="M22" s="84">
        <v>0.20799999999999999</v>
      </c>
      <c r="N22" s="84">
        <v>0.20799999999999999</v>
      </c>
      <c r="O22" s="84">
        <v>0.20799999999999999</v>
      </c>
      <c r="P22" s="84">
        <v>0.20799999999999999</v>
      </c>
      <c r="Q22" s="84">
        <v>0.20799999999999999</v>
      </c>
    </row>
    <row r="23" spans="2:17" x14ac:dyDescent="0.15">
      <c r="B23" s="72" t="s">
        <v>126</v>
      </c>
      <c r="C23" s="74"/>
      <c r="D23" s="25"/>
      <c r="E23" s="25"/>
      <c r="F23" s="25"/>
      <c r="G23" s="50"/>
      <c r="H23" s="84">
        <v>0.20799999999999999</v>
      </c>
      <c r="I23" s="84">
        <v>0.20799999999999999</v>
      </c>
      <c r="J23" s="84">
        <v>0.20799999999999999</v>
      </c>
      <c r="K23" s="84">
        <v>0.20799999999999999</v>
      </c>
      <c r="L23" s="84">
        <v>0.20799999999999999</v>
      </c>
      <c r="M23" s="84">
        <v>0.20799999999999999</v>
      </c>
      <c r="N23" s="84">
        <v>0.20799999999999999</v>
      </c>
      <c r="O23" s="84">
        <v>0.20799999999999999</v>
      </c>
      <c r="P23" s="84">
        <v>0.20799999999999999</v>
      </c>
      <c r="Q23" s="84">
        <v>0.20799999999999999</v>
      </c>
    </row>
    <row r="24" spans="2:17" x14ac:dyDescent="0.15">
      <c r="B24" s="72"/>
      <c r="C24" s="74"/>
      <c r="D24" s="74"/>
      <c r="E24" s="74"/>
      <c r="F24" s="74"/>
      <c r="G24" s="72"/>
      <c r="H24" s="74"/>
      <c r="I24" s="75"/>
      <c r="J24" s="75"/>
      <c r="K24" s="75"/>
      <c r="L24" s="75"/>
      <c r="M24" s="75"/>
      <c r="N24" s="75"/>
      <c r="O24" s="75"/>
      <c r="P24" s="75"/>
      <c r="Q24" s="75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795B-0BF0-41A7-ADAA-8A7AAB06D0F9}">
  <dimension ref="B1:Q7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:Q4"/>
    </sheetView>
  </sheetViews>
  <sheetFormatPr baseColWidth="10" defaultColWidth="8.83203125" defaultRowHeight="13" x14ac:dyDescent="0.15"/>
  <cols>
    <col min="1" max="1" width="1.6640625" customWidth="1"/>
    <col min="2" max="2" width="29.83203125" customWidth="1"/>
  </cols>
  <sheetData>
    <row r="1" spans="2:17" ht="16" x14ac:dyDescent="0.15">
      <c r="B1" s="59" t="s">
        <v>169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2:17" ht="16" x14ac:dyDescent="0.15">
      <c r="B2" s="59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2:17" x14ac:dyDescent="0.15">
      <c r="B3" s="60"/>
      <c r="C3" s="122" t="s">
        <v>170</v>
      </c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</row>
    <row r="4" spans="2:17" ht="26" x14ac:dyDescent="0.15">
      <c r="B4" s="63" t="s">
        <v>111</v>
      </c>
      <c r="C4" s="6" t="s">
        <v>99</v>
      </c>
      <c r="D4" s="6" t="s">
        <v>98</v>
      </c>
      <c r="E4" s="6" t="s">
        <v>94</v>
      </c>
      <c r="F4" s="6" t="s">
        <v>93</v>
      </c>
      <c r="G4" s="6" t="s">
        <v>92</v>
      </c>
      <c r="H4" s="43" t="s">
        <v>112</v>
      </c>
      <c r="I4" s="43" t="s">
        <v>113</v>
      </c>
      <c r="J4" s="43" t="s">
        <v>114</v>
      </c>
      <c r="K4" s="43" t="s">
        <v>115</v>
      </c>
      <c r="L4" s="43" t="s">
        <v>116</v>
      </c>
      <c r="M4" s="43" t="s">
        <v>120</v>
      </c>
      <c r="N4" s="43" t="s">
        <v>121</v>
      </c>
      <c r="O4" s="43" t="s">
        <v>122</v>
      </c>
      <c r="P4" s="43" t="s">
        <v>123</v>
      </c>
      <c r="Q4" s="43" t="s">
        <v>124</v>
      </c>
    </row>
    <row r="5" spans="2:17" x14ac:dyDescent="0.15">
      <c r="B5" s="60" t="s">
        <v>125</v>
      </c>
      <c r="C5" s="62" t="s">
        <v>119</v>
      </c>
      <c r="D5" s="62" t="s">
        <v>119</v>
      </c>
      <c r="E5" s="62" t="s">
        <v>119</v>
      </c>
      <c r="F5" s="62" t="s">
        <v>119</v>
      </c>
      <c r="G5" s="62" t="s">
        <v>119</v>
      </c>
      <c r="H5" s="67">
        <f>-'Revenue automotive'!H5-'GP automotive'!H5</f>
        <v>-90672.907034429998</v>
      </c>
      <c r="I5" s="67">
        <f>-'Revenue automotive'!I5-'GP automotive'!I5</f>
        <v>-95206.552386151496</v>
      </c>
      <c r="J5" s="67">
        <f>-'Revenue automotive'!J5-'GP automotive'!J5</f>
        <v>-99966.880005459068</v>
      </c>
      <c r="K5" s="67">
        <f>-'Revenue automotive'!K5-'GP automotive'!K5</f>
        <v>-104965.22400573202</v>
      </c>
      <c r="L5" s="67">
        <f>-'Revenue automotive'!L5-'GP automotive'!L5</f>
        <v>-110213.48520601864</v>
      </c>
      <c r="M5" s="67">
        <f>-'Revenue automotive'!M5-'GP automotive'!M5</f>
        <v>-115724.15946631959</v>
      </c>
      <c r="N5" s="67">
        <f>-'Revenue automotive'!N5-'GP automotive'!N5</f>
        <v>-121510.36743963555</v>
      </c>
      <c r="O5" s="67">
        <f>-'Revenue automotive'!O5-'GP automotive'!O5</f>
        <v>-127585.88581161734</v>
      </c>
      <c r="P5" s="67">
        <f>-'Revenue automotive'!P5-'GP automotive'!P5</f>
        <v>-133965.18010219821</v>
      </c>
      <c r="Q5" s="67">
        <f>-'Revenue automotive'!Q5-'GP automotive'!Q5</f>
        <v>-140663.43910730811</v>
      </c>
    </row>
    <row r="6" spans="2:17" x14ac:dyDescent="0.15">
      <c r="B6" s="60" t="s">
        <v>126</v>
      </c>
      <c r="C6" s="62" t="s">
        <v>119</v>
      </c>
      <c r="D6" s="62" t="s">
        <v>119</v>
      </c>
      <c r="E6" s="62" t="s">
        <v>119</v>
      </c>
      <c r="F6" s="62" t="s">
        <v>119</v>
      </c>
      <c r="G6" s="62" t="s">
        <v>119</v>
      </c>
      <c r="H6" s="67">
        <f>-'Revenue automotive'!H6-'GP automotive'!H6</f>
        <v>-6434.0274427380009</v>
      </c>
      <c r="I6" s="67">
        <f>-'Revenue automotive'!I6-'GP automotive'!I6</f>
        <v>-6755.7288148749003</v>
      </c>
      <c r="J6" s="67">
        <f>-'Revenue automotive'!J6-'GP automotive'!J6</f>
        <v>-7093.5152556186458</v>
      </c>
      <c r="K6" s="67">
        <f>-'Revenue automotive'!K6-'GP automotive'!K6</f>
        <v>-7448.1910183995788</v>
      </c>
      <c r="L6" s="67">
        <f>-'Revenue automotive'!L6-'GP automotive'!L6</f>
        <v>-7820.6005693195584</v>
      </c>
      <c r="M6" s="67">
        <f>-'Revenue automotive'!M6-'GP automotive'!M6</f>
        <v>-8211.6305977855354</v>
      </c>
      <c r="N6" s="67">
        <f>-'Revenue automotive'!N6-'GP automotive'!N6</f>
        <v>-8622.212127674813</v>
      </c>
      <c r="O6" s="67">
        <f>-'Revenue automotive'!O6-'GP automotive'!O6</f>
        <v>-9053.3227340585545</v>
      </c>
      <c r="P6" s="67">
        <f>-'Revenue automotive'!P6-'GP automotive'!P6</f>
        <v>-9505.9888707614809</v>
      </c>
      <c r="Q6" s="67">
        <f>-'Revenue automotive'!Q6-'GP automotive'!Q6</f>
        <v>-9981.2883142995561</v>
      </c>
    </row>
    <row r="7" spans="2:17" ht="14" thickBot="1" x14ac:dyDescent="0.2">
      <c r="B7" s="68" t="s">
        <v>117</v>
      </c>
      <c r="C7" s="69">
        <f>'P&amp;L Input'!C8/1000</f>
        <v>-20259</v>
      </c>
      <c r="D7" s="69">
        <f>'P&amp;L Input'!D8/1000</f>
        <v>-33393</v>
      </c>
      <c r="E7" s="69">
        <f>'P&amp;L Input'!E8/1000</f>
        <v>-51108</v>
      </c>
      <c r="F7" s="69">
        <f>'P&amp;L Input'!F8/1000</f>
        <v>-66389</v>
      </c>
      <c r="G7" s="69">
        <f>'P&amp;L Input'!G8/1000</f>
        <v>-62873</v>
      </c>
      <c r="H7" s="69">
        <f t="shared" ref="H7:Q7" si="0">SUM(H5:H6)</f>
        <v>-97106.934477168004</v>
      </c>
      <c r="I7" s="69">
        <f t="shared" si="0"/>
        <v>-101962.2812010264</v>
      </c>
      <c r="J7" s="69">
        <f t="shared" si="0"/>
        <v>-107060.39526107772</v>
      </c>
      <c r="K7" s="69">
        <f t="shared" si="0"/>
        <v>-112413.41502413159</v>
      </c>
      <c r="L7" s="69">
        <f t="shared" si="0"/>
        <v>-118034.0857753382</v>
      </c>
      <c r="M7" s="69">
        <f t="shared" si="0"/>
        <v>-123935.79006410512</v>
      </c>
      <c r="N7" s="69">
        <f t="shared" si="0"/>
        <v>-130132.57956731036</v>
      </c>
      <c r="O7" s="69">
        <f t="shared" si="0"/>
        <v>-136639.20854567588</v>
      </c>
      <c r="P7" s="69">
        <f t="shared" si="0"/>
        <v>-143471.16897295968</v>
      </c>
      <c r="Q7" s="69">
        <f t="shared" si="0"/>
        <v>-150644.72742160765</v>
      </c>
    </row>
  </sheetData>
  <mergeCells count="1">
    <mergeCell ref="C3:Q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0B6A-F4BA-4B66-911B-608AEEAC1240}">
  <dimension ref="A1:P9"/>
  <sheetViews>
    <sheetView workbookViewId="0">
      <selection activeCell="S5" sqref="S5"/>
    </sheetView>
  </sheetViews>
  <sheetFormatPr baseColWidth="10" defaultColWidth="9.1640625" defaultRowHeight="12" x14ac:dyDescent="0.15"/>
  <cols>
    <col min="1" max="1" width="2" style="60" customWidth="1"/>
    <col min="2" max="2" width="41.33203125" style="60" bestFit="1" customWidth="1"/>
    <col min="3" max="4" width="11.33203125" style="60" bestFit="1" customWidth="1"/>
    <col min="5" max="5" width="9.1640625" style="60"/>
    <col min="6" max="6" width="11.5" style="60" bestFit="1" customWidth="1"/>
    <col min="7" max="7" width="10.33203125" style="60" bestFit="1" customWidth="1"/>
    <col min="8" max="11" width="10.5" style="60" bestFit="1" customWidth="1"/>
    <col min="12" max="16384" width="9.1640625" style="60"/>
  </cols>
  <sheetData>
    <row r="1" spans="1:16" ht="16" x14ac:dyDescent="0.15">
      <c r="A1" s="58"/>
      <c r="B1" s="59" t="s">
        <v>171</v>
      </c>
    </row>
    <row r="2" spans="1:16" ht="16" x14ac:dyDescent="0.15">
      <c r="A2" s="58"/>
      <c r="B2" s="59"/>
    </row>
    <row r="3" spans="1:16" ht="26" x14ac:dyDescent="0.15">
      <c r="A3" s="58"/>
      <c r="B3" s="63" t="s">
        <v>111</v>
      </c>
      <c r="C3" s="6" t="s">
        <v>98</v>
      </c>
      <c r="D3" s="6" t="s">
        <v>94</v>
      </c>
      <c r="E3" s="6" t="s">
        <v>93</v>
      </c>
      <c r="F3" s="6" t="s">
        <v>92</v>
      </c>
      <c r="G3" s="43" t="s">
        <v>112</v>
      </c>
      <c r="H3" s="43" t="s">
        <v>113</v>
      </c>
      <c r="I3" s="43" t="s">
        <v>114</v>
      </c>
      <c r="J3" s="43" t="s">
        <v>115</v>
      </c>
      <c r="K3" s="43" t="s">
        <v>116</v>
      </c>
      <c r="L3" s="43" t="s">
        <v>120</v>
      </c>
      <c r="M3" s="43" t="s">
        <v>121</v>
      </c>
      <c r="N3" s="43" t="s">
        <v>122</v>
      </c>
      <c r="O3" s="43" t="s">
        <v>123</v>
      </c>
      <c r="P3" s="43" t="s">
        <v>124</v>
      </c>
    </row>
    <row r="4" spans="1:16" x14ac:dyDescent="0.15">
      <c r="B4" s="60" t="s">
        <v>172</v>
      </c>
      <c r="C4" s="61">
        <f>'P&amp;L Input'!D4/1000</f>
        <v>47232</v>
      </c>
      <c r="D4" s="61">
        <f>'P&amp;L Input'!E4/1000</f>
        <v>71462</v>
      </c>
      <c r="E4" s="61">
        <f>'P&amp;L Input'!F4/1000</f>
        <v>82419</v>
      </c>
      <c r="F4" s="61">
        <f>'P&amp;L Input'!G4/1000</f>
        <v>77070</v>
      </c>
      <c r="G4" s="67">
        <f>'Revenue automotive'!H7</f>
        <v>78438.557736000002</v>
      </c>
      <c r="H4" s="67">
        <f>'Revenue automotive'!I7</f>
        <v>82360.485622799999</v>
      </c>
      <c r="I4" s="67">
        <f>'Revenue automotive'!J7</f>
        <v>86478.509903939994</v>
      </c>
      <c r="J4" s="67">
        <f>'Revenue automotive'!K7</f>
        <v>90802.435399137001</v>
      </c>
      <c r="K4" s="67">
        <f>'Revenue automotive'!L7</f>
        <v>95342.557169093852</v>
      </c>
      <c r="L4" s="67">
        <f>'Revenue automotive'!M7</f>
        <v>100109.68502754856</v>
      </c>
      <c r="M4" s="67">
        <f>'Revenue automotive'!N7</f>
        <v>105115.16927892598</v>
      </c>
      <c r="N4" s="67">
        <f>'Revenue automotive'!O7</f>
        <v>110370.92774287229</v>
      </c>
      <c r="O4" s="67">
        <f>'Revenue automotive'!P7</f>
        <v>115889.47413001589</v>
      </c>
      <c r="P4" s="67">
        <f>'Revenue automotive'!Q7</f>
        <v>121683.94783651669</v>
      </c>
    </row>
    <row r="5" spans="1:16" x14ac:dyDescent="0.15">
      <c r="B5" s="60" t="s">
        <v>173</v>
      </c>
      <c r="C5" s="61">
        <f>'P&amp;L Input'!D11/1000</f>
        <v>13606</v>
      </c>
      <c r="D5" s="61">
        <f>'P&amp;L Input'!E11/1000</f>
        <v>20853</v>
      </c>
      <c r="E5" s="61">
        <f>'P&amp;L Input'!F11/1000</f>
        <v>17660</v>
      </c>
      <c r="F5" s="61">
        <f>'P&amp;L Input'!G11/1000</f>
        <v>17450</v>
      </c>
      <c r="G5" s="67">
        <f>'GP automotive'!H7</f>
        <v>18668.376741167998</v>
      </c>
      <c r="H5" s="67">
        <f>'GP automotive'!I7</f>
        <v>19601.7955782264</v>
      </c>
      <c r="I5" s="67">
        <f>'GP automotive'!J7</f>
        <v>20581.885357137719</v>
      </c>
      <c r="J5" s="67">
        <f>'GP automotive'!K7</f>
        <v>21610.979624994601</v>
      </c>
      <c r="K5" s="67">
        <f>'GP automotive'!L7</f>
        <v>22691.528606244337</v>
      </c>
      <c r="L5" s="67">
        <f>'GP automotive'!M7</f>
        <v>23826.105036556557</v>
      </c>
      <c r="M5" s="67">
        <f>'GP automotive'!N7</f>
        <v>25017.410288384381</v>
      </c>
      <c r="N5" s="67">
        <f>'GP automotive'!O7</f>
        <v>26268.280802803605</v>
      </c>
      <c r="O5" s="67">
        <f>'GP automotive'!P7</f>
        <v>27581.694842943783</v>
      </c>
      <c r="P5" s="67">
        <f>'GP automotive'!Q7</f>
        <v>28960.779585090972</v>
      </c>
    </row>
    <row r="6" spans="1:16" x14ac:dyDescent="0.15">
      <c r="B6" s="60" t="s">
        <v>174</v>
      </c>
      <c r="C6" s="85">
        <f>C5/C4</f>
        <v>0.28806741192411922</v>
      </c>
      <c r="D6" s="85">
        <f>D5/D4</f>
        <v>0.29180543505639361</v>
      </c>
      <c r="E6" s="85">
        <f>E5/E4</f>
        <v>0.21427098120578994</v>
      </c>
      <c r="F6" s="85">
        <f>F5/F4</f>
        <v>0.22641754249383678</v>
      </c>
      <c r="G6" s="86">
        <f t="shared" ref="G6:P6" si="0">G5/G4</f>
        <v>0.23799999999999996</v>
      </c>
      <c r="H6" s="86">
        <f t="shared" si="0"/>
        <v>0.23799999999999999</v>
      </c>
      <c r="I6" s="86">
        <f t="shared" si="0"/>
        <v>0.23799999999999999</v>
      </c>
      <c r="J6" s="86">
        <f t="shared" si="0"/>
        <v>0.23799999999999993</v>
      </c>
      <c r="K6" s="86">
        <f t="shared" si="0"/>
        <v>0.23800000000000002</v>
      </c>
      <c r="L6" s="86">
        <f t="shared" si="0"/>
        <v>0.23799999999999999</v>
      </c>
      <c r="M6" s="86">
        <f t="shared" si="0"/>
        <v>0.23799999999999996</v>
      </c>
      <c r="N6" s="86">
        <f t="shared" si="0"/>
        <v>0.23800000000000002</v>
      </c>
      <c r="O6" s="86">
        <f t="shared" si="0"/>
        <v>0.23800000000000002</v>
      </c>
      <c r="P6" s="86">
        <f t="shared" si="0"/>
        <v>0.23799999999999999</v>
      </c>
    </row>
    <row r="7" spans="1:16" x14ac:dyDescent="0.15">
      <c r="J7" s="87"/>
      <c r="K7" s="87"/>
      <c r="L7" s="87"/>
      <c r="M7" s="87"/>
      <c r="N7" s="87"/>
      <c r="O7" s="87"/>
      <c r="P7" s="87"/>
    </row>
    <row r="8" spans="1:16" x14ac:dyDescent="0.15">
      <c r="J8" s="87"/>
      <c r="K8" s="87"/>
      <c r="L8" s="87"/>
      <c r="M8" s="87"/>
      <c r="N8" s="87"/>
      <c r="O8" s="87"/>
      <c r="P8" s="87"/>
    </row>
    <row r="9" spans="1:16" x14ac:dyDescent="0.15">
      <c r="J9" s="87"/>
      <c r="K9" s="87"/>
      <c r="L9" s="87"/>
      <c r="M9" s="87"/>
      <c r="N9" s="87"/>
      <c r="O9" s="87"/>
      <c r="P9" s="87"/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6677-5253-41EA-9828-A92FFC573516}">
  <sheetPr>
    <tabColor theme="5"/>
  </sheetPr>
  <dimension ref="B14"/>
  <sheetViews>
    <sheetView topLeftCell="F1" workbookViewId="0">
      <selection activeCell="D5" sqref="D5"/>
    </sheetView>
  </sheetViews>
  <sheetFormatPr baseColWidth="10" defaultColWidth="9.1640625" defaultRowHeight="13" x14ac:dyDescent="0.15"/>
  <cols>
    <col min="1" max="1" width="2" style="58" customWidth="1"/>
    <col min="2" max="16384" width="9.1640625" style="58"/>
  </cols>
  <sheetData>
    <row r="14" spans="2:2" ht="49" x14ac:dyDescent="0.15">
      <c r="B14" s="88" t="s">
        <v>175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CDEA-8DC6-47BB-AA16-D2B2714859A9}">
  <dimension ref="A1:Q20"/>
  <sheetViews>
    <sheetView workbookViewId="0">
      <pane xSplit="2" ySplit="4" topLeftCell="C5" activePane="bottomRight" state="frozen"/>
      <selection activeCell="D5" sqref="D5"/>
      <selection pane="topRight" activeCell="D5" sqref="D5"/>
      <selection pane="bottomLeft" activeCell="D5" sqref="D5"/>
      <selection pane="bottomRight" activeCell="C6" sqref="C6"/>
    </sheetView>
  </sheetViews>
  <sheetFormatPr baseColWidth="10" defaultColWidth="9.1640625" defaultRowHeight="12" x14ac:dyDescent="0.15"/>
  <cols>
    <col min="1" max="1" width="2" style="60" customWidth="1"/>
    <col min="2" max="2" width="28" style="60" customWidth="1"/>
    <col min="3" max="12" width="9.6640625" style="60" customWidth="1"/>
    <col min="13" max="16384" width="9.1640625" style="60"/>
  </cols>
  <sheetData>
    <row r="1" spans="1:17" ht="16" x14ac:dyDescent="0.15">
      <c r="A1" s="58"/>
      <c r="B1" s="59" t="s">
        <v>176</v>
      </c>
    </row>
    <row r="2" spans="1:17" ht="16" x14ac:dyDescent="0.15">
      <c r="A2" s="58"/>
      <c r="B2" s="59"/>
    </row>
    <row r="3" spans="1:17" x14ac:dyDescent="0.15">
      <c r="C3" s="122" t="s">
        <v>177</v>
      </c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</row>
    <row r="4" spans="1:17" ht="26" x14ac:dyDescent="0.15">
      <c r="B4" s="89" t="s">
        <v>178</v>
      </c>
      <c r="C4" s="6" t="s">
        <v>99</v>
      </c>
      <c r="D4" s="6" t="s">
        <v>98</v>
      </c>
      <c r="E4" s="6" t="s">
        <v>94</v>
      </c>
      <c r="F4" s="6" t="s">
        <v>93</v>
      </c>
      <c r="G4" s="6" t="s">
        <v>92</v>
      </c>
      <c r="H4" s="43" t="s">
        <v>112</v>
      </c>
      <c r="I4" s="43" t="s">
        <v>113</v>
      </c>
      <c r="J4" s="43" t="s">
        <v>114</v>
      </c>
      <c r="K4" s="43" t="s">
        <v>115</v>
      </c>
      <c r="L4" s="43" t="s">
        <v>116</v>
      </c>
      <c r="M4" s="43" t="s">
        <v>120</v>
      </c>
      <c r="N4" s="43" t="s">
        <v>121</v>
      </c>
      <c r="O4" s="43" t="s">
        <v>122</v>
      </c>
      <c r="P4" s="43" t="s">
        <v>123</v>
      </c>
      <c r="Q4" s="43" t="s">
        <v>124</v>
      </c>
    </row>
    <row r="5" spans="1:17" x14ac:dyDescent="0.15">
      <c r="B5" s="60" t="s">
        <v>3</v>
      </c>
      <c r="C5" s="61">
        <f>'P&amp;L Input'!C5/1000</f>
        <v>1994</v>
      </c>
      <c r="D5" s="61">
        <f>'P&amp;L Input'!D5/1000</f>
        <v>2789</v>
      </c>
      <c r="E5" s="61">
        <f>'P&amp;L Input'!E5/1000</f>
        <v>3909</v>
      </c>
      <c r="F5" s="61">
        <f>'P&amp;L Input'!F5/1000</f>
        <v>6035</v>
      </c>
      <c r="G5" s="61">
        <f>'P&amp;L Input'!G5/1000</f>
        <v>10086</v>
      </c>
      <c r="H5" s="90" t="s">
        <v>119</v>
      </c>
      <c r="I5" s="90" t="s">
        <v>119</v>
      </c>
      <c r="J5" s="90" t="s">
        <v>119</v>
      </c>
      <c r="K5" s="90" t="s">
        <v>119</v>
      </c>
      <c r="L5" s="90" t="s">
        <v>119</v>
      </c>
      <c r="M5" s="90" t="s">
        <v>119</v>
      </c>
      <c r="N5" s="90" t="s">
        <v>119</v>
      </c>
      <c r="O5" s="90" t="s">
        <v>119</v>
      </c>
      <c r="P5" s="90" t="s">
        <v>119</v>
      </c>
      <c r="Q5" s="90" t="s">
        <v>119</v>
      </c>
    </row>
    <row r="6" spans="1:17" x14ac:dyDescent="0.15">
      <c r="B6" s="60" t="s">
        <v>2</v>
      </c>
      <c r="C6" s="61">
        <f>'P&amp;L Input'!C6/1000</f>
        <v>2306</v>
      </c>
      <c r="D6" s="61">
        <f>'P&amp;L Input'!D6/1000</f>
        <v>3802</v>
      </c>
      <c r="E6" s="61">
        <f>'P&amp;L Input'!E6/1000</f>
        <v>6091</v>
      </c>
      <c r="F6" s="61">
        <f>'P&amp;L Input'!F6/1000</f>
        <v>8319</v>
      </c>
      <c r="G6" s="61">
        <f>'P&amp;L Input'!G6/1000</f>
        <v>10534</v>
      </c>
      <c r="H6" s="90" t="s">
        <v>119</v>
      </c>
      <c r="I6" s="90" t="s">
        <v>119</v>
      </c>
      <c r="J6" s="90" t="s">
        <v>119</v>
      </c>
      <c r="K6" s="90" t="s">
        <v>119</v>
      </c>
      <c r="L6" s="90" t="s">
        <v>119</v>
      </c>
      <c r="M6" s="90" t="s">
        <v>119</v>
      </c>
      <c r="N6" s="90" t="s">
        <v>119</v>
      </c>
      <c r="O6" s="90" t="s">
        <v>119</v>
      </c>
      <c r="P6" s="90" t="s">
        <v>119</v>
      </c>
      <c r="Q6" s="90" t="s">
        <v>119</v>
      </c>
    </row>
    <row r="7" spans="1:17" x14ac:dyDescent="0.15">
      <c r="B7" s="91" t="s">
        <v>179</v>
      </c>
      <c r="C7" s="92">
        <f t="shared" ref="C7:G7" si="0">SUM(C5:C6)</f>
        <v>4300</v>
      </c>
      <c r="D7" s="92">
        <f t="shared" si="0"/>
        <v>6591</v>
      </c>
      <c r="E7" s="92">
        <f t="shared" si="0"/>
        <v>10000</v>
      </c>
      <c r="F7" s="92">
        <f t="shared" si="0"/>
        <v>14354</v>
      </c>
      <c r="G7" s="92">
        <f t="shared" si="0"/>
        <v>20620</v>
      </c>
      <c r="H7" s="93">
        <f t="shared" ref="H7:Q7" si="1">G7*(1+H10)</f>
        <v>29280.399999999998</v>
      </c>
      <c r="I7" s="93">
        <f t="shared" si="1"/>
        <v>38650.127999999997</v>
      </c>
      <c r="J7" s="93">
        <f t="shared" si="1"/>
        <v>47153.156159999999</v>
      </c>
      <c r="K7" s="93">
        <f t="shared" si="1"/>
        <v>51868.471776000006</v>
      </c>
      <c r="L7" s="93">
        <f t="shared" si="1"/>
        <v>57055.318953600014</v>
      </c>
      <c r="M7" s="93">
        <f t="shared" si="1"/>
        <v>62760.850848960021</v>
      </c>
      <c r="N7" s="93">
        <f t="shared" si="1"/>
        <v>69036.935933856032</v>
      </c>
      <c r="O7" s="93">
        <f t="shared" si="1"/>
        <v>75940.629527241646</v>
      </c>
      <c r="P7" s="93">
        <f t="shared" si="1"/>
        <v>83534.692479965815</v>
      </c>
      <c r="Q7" s="93">
        <f t="shared" si="1"/>
        <v>91888.161727962404</v>
      </c>
    </row>
    <row r="8" spans="1:17" ht="3" customHeight="1" x14ac:dyDescent="0.15"/>
    <row r="9" spans="1:17" x14ac:dyDescent="0.15">
      <c r="B9" s="71" t="s">
        <v>53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</row>
    <row r="10" spans="1:17" x14ac:dyDescent="0.15">
      <c r="B10" s="72" t="s">
        <v>179</v>
      </c>
      <c r="C10" s="74"/>
      <c r="D10" s="74"/>
      <c r="E10" s="74"/>
      <c r="F10" s="74"/>
      <c r="G10" s="72"/>
      <c r="H10" s="50">
        <f>CHOOSE(Drivers!$C$3,'Revenue Energy &amp; Other'!H14,'Revenue Energy &amp; Other'!H17,'Revenue Energy &amp; Other'!H20)</f>
        <v>0.42000000000000004</v>
      </c>
      <c r="I10" s="50">
        <f>CHOOSE(Drivers!$C$3,'Revenue Energy &amp; Other'!I14,'Revenue Energy &amp; Other'!I17,'Revenue Energy &amp; Other'!I20)</f>
        <v>0.32</v>
      </c>
      <c r="J10" s="50">
        <f>CHOOSE(Drivers!$C$3,'Revenue Energy &amp; Other'!J14,'Revenue Energy &amp; Other'!J17,'Revenue Energy &amp; Other'!J20)</f>
        <v>0.22</v>
      </c>
      <c r="K10" s="50">
        <f>CHOOSE(Drivers!$C$3,'Revenue Energy &amp; Other'!K14,'Revenue Energy &amp; Other'!K17,'Revenue Energy &amp; Other'!K20)</f>
        <v>0.1</v>
      </c>
      <c r="L10" s="50">
        <f>CHOOSE(Drivers!$C$3,'Revenue Energy &amp; Other'!L14,'Revenue Energy &amp; Other'!L17,'Revenue Energy &amp; Other'!L20)</f>
        <v>0.1</v>
      </c>
      <c r="M10" s="50">
        <f>CHOOSE(Drivers!$C$3,'Revenue Energy &amp; Other'!M14,'Revenue Energy &amp; Other'!M17,'Revenue Energy &amp; Other'!M20)</f>
        <v>0.1</v>
      </c>
      <c r="N10" s="50">
        <f>CHOOSE(Drivers!$C$3,'Revenue Energy &amp; Other'!N14,'Revenue Energy &amp; Other'!N17,'Revenue Energy &amp; Other'!N20)</f>
        <v>0.1</v>
      </c>
      <c r="O10" s="50">
        <f>CHOOSE(Drivers!$C$3,'Revenue Energy &amp; Other'!O14,'Revenue Energy &amp; Other'!O17,'Revenue Energy &amp; Other'!O20)</f>
        <v>0.1</v>
      </c>
      <c r="P10" s="50">
        <f>CHOOSE(Drivers!$C$3,'Revenue Energy &amp; Other'!P14,'Revenue Energy &amp; Other'!P17,'Revenue Energy &amp; Other'!P20)</f>
        <v>0.1</v>
      </c>
      <c r="Q10" s="50">
        <f>CHOOSE(Drivers!$C$3,'Revenue Energy &amp; Other'!Q14,'Revenue Energy &amp; Other'!Q17,'Revenue Energy &amp; Other'!Q20)</f>
        <v>0.1</v>
      </c>
    </row>
    <row r="11" spans="1:17" x14ac:dyDescent="0.15">
      <c r="B11" s="72"/>
      <c r="C11" s="74"/>
      <c r="D11" s="74"/>
      <c r="E11" s="74"/>
      <c r="F11" s="74"/>
      <c r="G11" s="72"/>
      <c r="H11" s="74"/>
      <c r="I11" s="75"/>
      <c r="J11" s="75"/>
      <c r="K11" s="75"/>
      <c r="L11" s="75"/>
      <c r="M11" s="75"/>
      <c r="N11" s="75"/>
      <c r="O11" s="75"/>
      <c r="P11" s="75"/>
      <c r="Q11" s="75"/>
    </row>
    <row r="12" spans="1:17" x14ac:dyDescent="0.15">
      <c r="B12" s="94" t="s">
        <v>180</v>
      </c>
      <c r="C12" s="74"/>
      <c r="D12" s="74"/>
      <c r="E12" s="74"/>
      <c r="F12" s="74"/>
      <c r="G12" s="72"/>
      <c r="H12" s="74"/>
      <c r="I12" s="75"/>
      <c r="J12" s="75"/>
      <c r="K12" s="75"/>
      <c r="L12" s="75"/>
      <c r="M12" s="75"/>
      <c r="N12" s="75"/>
      <c r="O12" s="75"/>
      <c r="P12" s="75"/>
      <c r="Q12" s="75"/>
    </row>
    <row r="13" spans="1:17" x14ac:dyDescent="0.15">
      <c r="B13" s="71" t="s">
        <v>152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</row>
    <row r="14" spans="1:17" x14ac:dyDescent="0.15">
      <c r="B14" s="72" t="s">
        <v>179</v>
      </c>
      <c r="C14" s="74"/>
      <c r="D14" s="25"/>
      <c r="E14" s="25"/>
      <c r="F14" s="25"/>
      <c r="G14" s="72"/>
      <c r="H14" s="25">
        <f>H17+0.02</f>
        <v>0.42000000000000004</v>
      </c>
      <c r="I14" s="25">
        <f t="shared" ref="I14:Q14" si="2">I17+0.02</f>
        <v>0.32</v>
      </c>
      <c r="J14" s="25">
        <f t="shared" si="2"/>
        <v>0.22</v>
      </c>
      <c r="K14" s="25">
        <f t="shared" si="2"/>
        <v>0.1</v>
      </c>
      <c r="L14" s="25">
        <f t="shared" si="2"/>
        <v>0.1</v>
      </c>
      <c r="M14" s="25">
        <f t="shared" si="2"/>
        <v>0.1</v>
      </c>
      <c r="N14" s="25">
        <f t="shared" si="2"/>
        <v>0.1</v>
      </c>
      <c r="O14" s="25">
        <f t="shared" si="2"/>
        <v>0.1</v>
      </c>
      <c r="P14" s="25">
        <f t="shared" si="2"/>
        <v>0.1</v>
      </c>
      <c r="Q14" s="25">
        <f t="shared" si="2"/>
        <v>0.1</v>
      </c>
    </row>
    <row r="15" spans="1:17" x14ac:dyDescent="0.15">
      <c r="B15" s="72"/>
      <c r="C15" s="74"/>
      <c r="D15" s="74"/>
      <c r="E15" s="74"/>
      <c r="F15" s="74"/>
      <c r="G15" s="72"/>
      <c r="H15" s="74"/>
      <c r="I15" s="75"/>
      <c r="J15" s="75"/>
      <c r="K15" s="75"/>
      <c r="L15" s="75"/>
      <c r="M15" s="75"/>
      <c r="N15" s="75"/>
      <c r="O15" s="75"/>
      <c r="P15" s="75"/>
      <c r="Q15" s="75"/>
    </row>
    <row r="16" spans="1:17" x14ac:dyDescent="0.15">
      <c r="B16" s="71" t="s">
        <v>153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</row>
    <row r="17" spans="2:17" x14ac:dyDescent="0.15">
      <c r="B17" s="72" t="s">
        <v>179</v>
      </c>
      <c r="C17" s="74"/>
      <c r="D17" s="25">
        <f>D7/C7-1</f>
        <v>0.53279069767441856</v>
      </c>
      <c r="E17" s="25">
        <f t="shared" ref="E17:F17" si="3">E7/D7-1</f>
        <v>0.51722045213169476</v>
      </c>
      <c r="F17" s="25">
        <f t="shared" si="3"/>
        <v>0.43540000000000001</v>
      </c>
      <c r="G17" s="25">
        <f>G7/F7-1</f>
        <v>0.43653337048906238</v>
      </c>
      <c r="H17" s="50">
        <v>0.4</v>
      </c>
      <c r="I17" s="50">
        <v>0.3</v>
      </c>
      <c r="J17" s="50">
        <v>0.2</v>
      </c>
      <c r="K17" s="50">
        <v>0.08</v>
      </c>
      <c r="L17" s="50">
        <v>0.08</v>
      </c>
      <c r="M17" s="50">
        <v>0.08</v>
      </c>
      <c r="N17" s="50">
        <v>0.08</v>
      </c>
      <c r="O17" s="50">
        <v>0.08</v>
      </c>
      <c r="P17" s="50">
        <v>0.08</v>
      </c>
      <c r="Q17" s="50">
        <v>0.08</v>
      </c>
    </row>
    <row r="18" spans="2:17" x14ac:dyDescent="0.15">
      <c r="B18" s="72"/>
      <c r="C18" s="74"/>
      <c r="D18" s="74"/>
      <c r="E18" s="74"/>
      <c r="F18" s="74"/>
      <c r="G18" s="72"/>
      <c r="H18" s="74"/>
      <c r="I18" s="75"/>
      <c r="J18" s="75"/>
      <c r="K18" s="75"/>
      <c r="L18" s="75"/>
      <c r="M18" s="75"/>
      <c r="N18" s="75"/>
      <c r="O18" s="75"/>
      <c r="P18" s="75"/>
      <c r="Q18" s="75"/>
    </row>
    <row r="19" spans="2:17" x14ac:dyDescent="0.15">
      <c r="B19" s="71" t="s">
        <v>154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</row>
    <row r="20" spans="2:17" x14ac:dyDescent="0.15">
      <c r="B20" s="72" t="s">
        <v>179</v>
      </c>
      <c r="C20" s="74"/>
      <c r="D20" s="25"/>
      <c r="E20" s="25"/>
      <c r="F20" s="25"/>
      <c r="G20" s="72"/>
      <c r="H20" s="25">
        <f>H17-0.02</f>
        <v>0.38</v>
      </c>
      <c r="I20" s="25">
        <f t="shared" ref="I20:Q20" si="4">I17-0.02</f>
        <v>0.27999999999999997</v>
      </c>
      <c r="J20" s="25">
        <f t="shared" si="4"/>
        <v>0.18000000000000002</v>
      </c>
      <c r="K20" s="25">
        <f t="shared" si="4"/>
        <v>0.06</v>
      </c>
      <c r="L20" s="25">
        <f t="shared" si="4"/>
        <v>0.06</v>
      </c>
      <c r="M20" s="25">
        <f t="shared" si="4"/>
        <v>0.06</v>
      </c>
      <c r="N20" s="25">
        <f t="shared" si="4"/>
        <v>0.06</v>
      </c>
      <c r="O20" s="25">
        <f t="shared" si="4"/>
        <v>0.06</v>
      </c>
      <c r="P20" s="25">
        <f t="shared" si="4"/>
        <v>0.06</v>
      </c>
      <c r="Q20" s="25">
        <f t="shared" si="4"/>
        <v>0.06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3B5F-2CD3-4779-A2DF-CA8A26A85944}">
  <dimension ref="A1:Q21"/>
  <sheetViews>
    <sheetView workbookViewId="0">
      <pane xSplit="2" ySplit="4" topLeftCell="C5" activePane="bottomRight" state="frozen"/>
      <selection activeCell="D5" sqref="D5"/>
      <selection pane="topRight" activeCell="D5" sqref="D5"/>
      <selection pane="bottomLeft" activeCell="D5" sqref="D5"/>
      <selection pane="bottomRight" activeCell="O7" sqref="O7"/>
    </sheetView>
  </sheetViews>
  <sheetFormatPr baseColWidth="10" defaultColWidth="9.1640625" defaultRowHeight="12" x14ac:dyDescent="0.15"/>
  <cols>
    <col min="1" max="1" width="2" style="60" customWidth="1"/>
    <col min="2" max="2" width="28.83203125" style="60" customWidth="1"/>
    <col min="3" max="12" width="9.6640625" style="60" customWidth="1"/>
    <col min="13" max="16384" width="9.1640625" style="60"/>
  </cols>
  <sheetData>
    <row r="1" spans="1:17" ht="16" x14ac:dyDescent="0.15">
      <c r="A1" s="58"/>
      <c r="B1" s="59" t="s">
        <v>181</v>
      </c>
    </row>
    <row r="2" spans="1:17" ht="16" x14ac:dyDescent="0.15">
      <c r="A2" s="58"/>
      <c r="B2" s="59"/>
    </row>
    <row r="3" spans="1:17" x14ac:dyDescent="0.15">
      <c r="C3" s="122" t="s">
        <v>182</v>
      </c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</row>
    <row r="4" spans="1:17" ht="26" x14ac:dyDescent="0.15">
      <c r="B4" s="89" t="s">
        <v>178</v>
      </c>
      <c r="C4" s="6" t="s">
        <v>99</v>
      </c>
      <c r="D4" s="6" t="s">
        <v>98</v>
      </c>
      <c r="E4" s="6" t="s">
        <v>94</v>
      </c>
      <c r="F4" s="6" t="s">
        <v>93</v>
      </c>
      <c r="G4" s="6" t="s">
        <v>92</v>
      </c>
      <c r="H4" s="43" t="s">
        <v>112</v>
      </c>
      <c r="I4" s="43" t="s">
        <v>113</v>
      </c>
      <c r="J4" s="43" t="s">
        <v>114</v>
      </c>
      <c r="K4" s="43" t="s">
        <v>115</v>
      </c>
      <c r="L4" s="43" t="s">
        <v>116</v>
      </c>
      <c r="M4" s="43" t="s">
        <v>120</v>
      </c>
      <c r="N4" s="43" t="s">
        <v>121</v>
      </c>
      <c r="O4" s="43" t="s">
        <v>122</v>
      </c>
      <c r="P4" s="43" t="s">
        <v>123</v>
      </c>
      <c r="Q4" s="43" t="s">
        <v>124</v>
      </c>
    </row>
    <row r="5" spans="1:17" x14ac:dyDescent="0.15">
      <c r="B5" s="60" t="s">
        <v>3</v>
      </c>
      <c r="C5" s="56">
        <f>('P&amp;L Input'!C5+'P&amp;L Input'!C9)/1000</f>
        <v>18</v>
      </c>
      <c r="D5" s="56">
        <f>('P&amp;L Input'!D5+'P&amp;L Input'!D9)/1000</f>
        <v>-129</v>
      </c>
      <c r="E5" s="56">
        <f>('P&amp;L Input'!E5+'P&amp;L Input'!E9)/1000</f>
        <v>288</v>
      </c>
      <c r="F5" s="56">
        <f>('P&amp;L Input'!F5+'P&amp;L Input'!F9)/1000</f>
        <v>1141</v>
      </c>
      <c r="G5" s="56">
        <f>('P&amp;L Input'!G5+'P&amp;L Input'!G9)/1000</f>
        <v>2640</v>
      </c>
      <c r="H5" s="90" t="s">
        <v>119</v>
      </c>
      <c r="I5" s="90" t="s">
        <v>119</v>
      </c>
      <c r="J5" s="90" t="s">
        <v>119</v>
      </c>
      <c r="K5" s="90" t="s">
        <v>119</v>
      </c>
      <c r="L5" s="90" t="s">
        <v>119</v>
      </c>
      <c r="M5" s="90" t="s">
        <v>119</v>
      </c>
      <c r="N5" s="90" t="s">
        <v>119</v>
      </c>
      <c r="O5" s="90" t="s">
        <v>119</v>
      </c>
      <c r="P5" s="90" t="s">
        <v>119</v>
      </c>
      <c r="Q5" s="90" t="s">
        <v>119</v>
      </c>
    </row>
    <row r="6" spans="1:17" x14ac:dyDescent="0.15">
      <c r="B6" s="60" t="s">
        <v>2</v>
      </c>
      <c r="C6" s="56">
        <f>('P&amp;L Input'!C6+'P&amp;L Input'!C10)/1000</f>
        <v>-365</v>
      </c>
      <c r="D6" s="56">
        <f>('P&amp;L Input'!D6+'P&amp;L Input'!D10)/1000</f>
        <v>-104</v>
      </c>
      <c r="E6" s="56">
        <f>('P&amp;L Input'!E6+'P&amp;L Input'!E10)/1000</f>
        <v>211</v>
      </c>
      <c r="F6" s="56">
        <f>('P&amp;L Input'!F6+'P&amp;L Input'!F10)/1000</f>
        <v>489</v>
      </c>
      <c r="G6" s="56">
        <f>('P&amp;L Input'!G6+'P&amp;L Input'!G10)/1000</f>
        <v>613</v>
      </c>
      <c r="H6" s="90" t="s">
        <v>119</v>
      </c>
      <c r="I6" s="90" t="s">
        <v>119</v>
      </c>
      <c r="J6" s="90" t="s">
        <v>119</v>
      </c>
      <c r="K6" s="90" t="s">
        <v>119</v>
      </c>
      <c r="L6" s="90" t="s">
        <v>119</v>
      </c>
      <c r="M6" s="90" t="s">
        <v>119</v>
      </c>
      <c r="N6" s="90" t="s">
        <v>119</v>
      </c>
      <c r="O6" s="90" t="s">
        <v>119</v>
      </c>
      <c r="P6" s="90" t="s">
        <v>119</v>
      </c>
      <c r="Q6" s="90" t="s">
        <v>119</v>
      </c>
    </row>
    <row r="7" spans="1:17" ht="13" thickBot="1" x14ac:dyDescent="0.2">
      <c r="B7" s="95" t="s">
        <v>179</v>
      </c>
      <c r="C7" s="69">
        <f>SUM(C5:C6)</f>
        <v>-347</v>
      </c>
      <c r="D7" s="69">
        <f t="shared" ref="D7:G7" si="0">SUM(D5:D6)</f>
        <v>-233</v>
      </c>
      <c r="E7" s="69">
        <f t="shared" si="0"/>
        <v>499</v>
      </c>
      <c r="F7" s="69">
        <f t="shared" si="0"/>
        <v>1630</v>
      </c>
      <c r="G7" s="69">
        <f t="shared" si="0"/>
        <v>3253</v>
      </c>
      <c r="H7" s="69">
        <f>'Revenue Energy &amp; Other'!H7*'GP Energy &amp; Other'!H11</f>
        <v>5856.079999999999</v>
      </c>
      <c r="I7" s="69">
        <f>'Revenue Energy &amp; Other'!I7*'GP Energy &amp; Other'!I11</f>
        <v>7730.025599999999</v>
      </c>
      <c r="J7" s="69">
        <f>'Revenue Energy &amp; Other'!J7*'GP Energy &amp; Other'!J11</f>
        <v>9430.6312319999997</v>
      </c>
      <c r="K7" s="69">
        <f>'Revenue Energy &amp; Other'!K7*'GP Energy &amp; Other'!K11</f>
        <v>10373.694355200001</v>
      </c>
      <c r="L7" s="69">
        <f>'Revenue Energy &amp; Other'!L7*'GP Energy &amp; Other'!L11</f>
        <v>11411.063790720002</v>
      </c>
      <c r="M7" s="69">
        <f>'Revenue Energy &amp; Other'!M7*'GP Energy &amp; Other'!M11</f>
        <v>12552.170169792003</v>
      </c>
      <c r="N7" s="69">
        <f>'Revenue Energy &amp; Other'!N7*'GP Energy &amp; Other'!N11</f>
        <v>13807.387186771206</v>
      </c>
      <c r="O7" s="69">
        <f>'Revenue Energy &amp; Other'!O7*'GP Energy &amp; Other'!O11</f>
        <v>15188.125905448329</v>
      </c>
      <c r="P7" s="69">
        <f>'Revenue Energy &amp; Other'!P7*'GP Energy &amp; Other'!P11</f>
        <v>16706.938495993163</v>
      </c>
      <c r="Q7" s="69">
        <f>'Revenue Energy &amp; Other'!Q7*'GP Energy &amp; Other'!Q11</f>
        <v>18377.632345592479</v>
      </c>
    </row>
    <row r="9" spans="1:17" ht="3" customHeight="1" x14ac:dyDescent="0.15"/>
    <row r="10" spans="1:17" x14ac:dyDescent="0.15">
      <c r="B10" s="71" t="s">
        <v>53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</row>
    <row r="11" spans="1:17" x14ac:dyDescent="0.15">
      <c r="B11" s="72" t="s">
        <v>179</v>
      </c>
      <c r="C11" s="96"/>
      <c r="D11" s="96"/>
      <c r="E11" s="96"/>
      <c r="F11" s="96"/>
      <c r="G11" s="96"/>
      <c r="H11" s="50">
        <f>CHOOSE(Drivers!$C$3,'GP Energy &amp; Other'!H15,'GP Energy &amp; Other'!H18,'GP Energy &amp; Other'!H21)</f>
        <v>0.19999999999999998</v>
      </c>
      <c r="I11" s="50">
        <f>CHOOSE(Drivers!$C$3,'GP Energy &amp; Other'!I15,'GP Energy &amp; Other'!I18,'GP Energy &amp; Other'!I21)</f>
        <v>0.19999999999999998</v>
      </c>
      <c r="J11" s="50">
        <f>CHOOSE(Drivers!$C$3,'GP Energy &amp; Other'!J15,'GP Energy &amp; Other'!J18,'GP Energy &amp; Other'!J21)</f>
        <v>0.19999999999999998</v>
      </c>
      <c r="K11" s="50">
        <f>CHOOSE(Drivers!$C$3,'GP Energy &amp; Other'!K15,'GP Energy &amp; Other'!K18,'GP Energy &amp; Other'!K21)</f>
        <v>0.19999999999999998</v>
      </c>
      <c r="L11" s="50">
        <f>CHOOSE(Drivers!$C$3,'GP Energy &amp; Other'!L15,'GP Energy &amp; Other'!L18,'GP Energy &amp; Other'!L21)</f>
        <v>0.19999999999999998</v>
      </c>
      <c r="M11" s="50">
        <f>CHOOSE(Drivers!$C$3,'GP Energy &amp; Other'!M15,'GP Energy &amp; Other'!M18,'GP Energy &amp; Other'!M21)</f>
        <v>0.19999999999999998</v>
      </c>
      <c r="N11" s="50">
        <f>CHOOSE(Drivers!$C$3,'GP Energy &amp; Other'!N15,'GP Energy &amp; Other'!N18,'GP Energy &amp; Other'!N21)</f>
        <v>0.19999999999999998</v>
      </c>
      <c r="O11" s="50">
        <f>CHOOSE(Drivers!$C$3,'GP Energy &amp; Other'!O15,'GP Energy &amp; Other'!O18,'GP Energy &amp; Other'!O21)</f>
        <v>0.19999999999999998</v>
      </c>
      <c r="P11" s="50">
        <f>CHOOSE(Drivers!$C$3,'GP Energy &amp; Other'!P15,'GP Energy &amp; Other'!P18,'GP Energy &amp; Other'!P21)</f>
        <v>0.19999999999999998</v>
      </c>
      <c r="Q11" s="50">
        <f>CHOOSE(Drivers!$C$3,'GP Energy &amp; Other'!Q15,'GP Energy &amp; Other'!Q18,'GP Energy &amp; Other'!Q21)</f>
        <v>0.19999999999999998</v>
      </c>
    </row>
    <row r="12" spans="1:17" x14ac:dyDescent="0.15">
      <c r="B12" s="72"/>
      <c r="C12" s="74"/>
      <c r="D12" s="74"/>
      <c r="E12" s="74"/>
      <c r="F12" s="74"/>
      <c r="G12" s="72"/>
      <c r="H12" s="74"/>
      <c r="I12" s="75"/>
      <c r="J12" s="75"/>
      <c r="K12" s="75"/>
      <c r="L12" s="75"/>
      <c r="M12" s="75"/>
      <c r="N12" s="75"/>
      <c r="O12" s="75"/>
      <c r="P12" s="75"/>
      <c r="Q12" s="75"/>
    </row>
    <row r="13" spans="1:17" x14ac:dyDescent="0.15">
      <c r="B13" s="94" t="s">
        <v>174</v>
      </c>
      <c r="C13" s="74"/>
      <c r="D13" s="74"/>
      <c r="E13" s="74"/>
      <c r="F13" s="74"/>
      <c r="G13" s="72"/>
      <c r="H13" s="74"/>
      <c r="I13" s="75"/>
      <c r="J13" s="75"/>
      <c r="K13" s="75"/>
      <c r="L13" s="75"/>
      <c r="M13" s="75"/>
      <c r="N13" s="75"/>
      <c r="O13" s="75"/>
      <c r="P13" s="75"/>
      <c r="Q13" s="75"/>
    </row>
    <row r="14" spans="1:17" x14ac:dyDescent="0.15">
      <c r="B14" s="71" t="s">
        <v>152</v>
      </c>
      <c r="C14" s="72"/>
      <c r="D14" s="72"/>
      <c r="E14" s="72"/>
      <c r="F14" s="72"/>
      <c r="G14" s="72"/>
      <c r="H14" s="25"/>
      <c r="I14" s="25"/>
      <c r="J14" s="25"/>
      <c r="K14" s="25"/>
      <c r="L14" s="25"/>
      <c r="M14" s="25"/>
      <c r="N14" s="25"/>
      <c r="O14" s="25"/>
      <c r="P14" s="25"/>
      <c r="Q14" s="25"/>
    </row>
    <row r="15" spans="1:17" x14ac:dyDescent="0.15">
      <c r="B15" s="72" t="s">
        <v>179</v>
      </c>
      <c r="C15" s="74"/>
      <c r="D15" s="25"/>
      <c r="E15" s="25"/>
      <c r="F15" s="25"/>
      <c r="G15" s="72"/>
      <c r="H15" s="25">
        <f>H18+0.02</f>
        <v>0.19999999999999998</v>
      </c>
      <c r="I15" s="25">
        <f t="shared" ref="I15:Q15" si="1">I18+0.02</f>
        <v>0.19999999999999998</v>
      </c>
      <c r="J15" s="25">
        <f t="shared" si="1"/>
        <v>0.19999999999999998</v>
      </c>
      <c r="K15" s="25">
        <f t="shared" si="1"/>
        <v>0.19999999999999998</v>
      </c>
      <c r="L15" s="25">
        <f t="shared" si="1"/>
        <v>0.19999999999999998</v>
      </c>
      <c r="M15" s="25">
        <f t="shared" si="1"/>
        <v>0.19999999999999998</v>
      </c>
      <c r="N15" s="25">
        <f t="shared" si="1"/>
        <v>0.19999999999999998</v>
      </c>
      <c r="O15" s="25">
        <f t="shared" si="1"/>
        <v>0.19999999999999998</v>
      </c>
      <c r="P15" s="25">
        <f t="shared" si="1"/>
        <v>0.19999999999999998</v>
      </c>
      <c r="Q15" s="25">
        <f t="shared" si="1"/>
        <v>0.19999999999999998</v>
      </c>
    </row>
    <row r="16" spans="1:17" x14ac:dyDescent="0.15">
      <c r="B16" s="72"/>
      <c r="C16" s="74"/>
      <c r="D16" s="74"/>
      <c r="E16" s="74"/>
      <c r="F16" s="74"/>
      <c r="G16" s="72"/>
      <c r="H16" s="74"/>
      <c r="I16" s="75"/>
      <c r="J16" s="75"/>
      <c r="K16" s="75"/>
      <c r="L16" s="75"/>
      <c r="M16" s="75"/>
      <c r="N16" s="75"/>
      <c r="O16" s="75"/>
      <c r="P16" s="75"/>
      <c r="Q16" s="75"/>
    </row>
    <row r="17" spans="2:17" x14ac:dyDescent="0.15">
      <c r="B17" s="71" t="s">
        <v>153</v>
      </c>
      <c r="C17" s="74"/>
      <c r="D17" s="72"/>
      <c r="E17" s="72"/>
      <c r="F17" s="72"/>
      <c r="G17" s="72"/>
      <c r="H17" s="75"/>
      <c r="I17" s="75"/>
      <c r="J17" s="75"/>
      <c r="K17" s="75"/>
      <c r="L17" s="75"/>
      <c r="M17" s="75"/>
      <c r="N17" s="75"/>
      <c r="O17" s="75"/>
      <c r="P17" s="75"/>
      <c r="Q17" s="75"/>
    </row>
    <row r="18" spans="2:17" x14ac:dyDescent="0.15">
      <c r="B18" s="72" t="s">
        <v>179</v>
      </c>
      <c r="C18" s="97">
        <f>C7/'Revenue Energy &amp; Other'!C7</f>
        <v>-8.0697674418604648E-2</v>
      </c>
      <c r="D18" s="97">
        <f>D7/'Revenue Energy &amp; Other'!D7</f>
        <v>-3.5351236534668484E-2</v>
      </c>
      <c r="E18" s="97">
        <f>E7/'Revenue Energy &amp; Other'!E7</f>
        <v>4.99E-2</v>
      </c>
      <c r="F18" s="97">
        <f>F7/'Revenue Energy &amp; Other'!F7</f>
        <v>0.11355719660025081</v>
      </c>
      <c r="G18" s="97">
        <f>G7/'Revenue Energy &amp; Other'!G7</f>
        <v>0.15775945683802134</v>
      </c>
      <c r="H18" s="50">
        <v>0.18</v>
      </c>
      <c r="I18" s="50">
        <v>0.18</v>
      </c>
      <c r="J18" s="50">
        <v>0.18</v>
      </c>
      <c r="K18" s="50">
        <v>0.18</v>
      </c>
      <c r="L18" s="50">
        <v>0.18</v>
      </c>
      <c r="M18" s="50">
        <v>0.18</v>
      </c>
      <c r="N18" s="50">
        <v>0.18</v>
      </c>
      <c r="O18" s="50">
        <v>0.18</v>
      </c>
      <c r="P18" s="50">
        <v>0.18</v>
      </c>
      <c r="Q18" s="50">
        <v>0.18</v>
      </c>
    </row>
    <row r="19" spans="2:17" x14ac:dyDescent="0.15">
      <c r="B19" s="72"/>
      <c r="C19" s="74"/>
      <c r="D19" s="74"/>
      <c r="E19" s="74"/>
      <c r="F19" s="74"/>
      <c r="G19" s="72"/>
      <c r="H19" s="74"/>
      <c r="I19" s="75"/>
      <c r="J19" s="75"/>
      <c r="K19" s="75"/>
      <c r="L19" s="75"/>
      <c r="M19" s="75"/>
      <c r="N19" s="75"/>
      <c r="O19" s="75"/>
      <c r="P19" s="75"/>
      <c r="Q19" s="75"/>
    </row>
    <row r="20" spans="2:17" x14ac:dyDescent="0.15">
      <c r="B20" s="71" t="s">
        <v>154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</row>
    <row r="21" spans="2:17" x14ac:dyDescent="0.15">
      <c r="B21" s="72" t="s">
        <v>179</v>
      </c>
      <c r="C21" s="74"/>
      <c r="D21" s="25"/>
      <c r="E21" s="25"/>
      <c r="F21" s="25"/>
      <c r="G21" s="72"/>
      <c r="H21" s="25">
        <f>H18-0.02</f>
        <v>0.16</v>
      </c>
      <c r="I21" s="25">
        <f t="shared" ref="I21:Q21" si="2">I18-0.02</f>
        <v>0.16</v>
      </c>
      <c r="J21" s="25">
        <f t="shared" si="2"/>
        <v>0.16</v>
      </c>
      <c r="K21" s="25">
        <f t="shared" si="2"/>
        <v>0.16</v>
      </c>
      <c r="L21" s="25">
        <f t="shared" si="2"/>
        <v>0.16</v>
      </c>
      <c r="M21" s="25">
        <f t="shared" si="2"/>
        <v>0.16</v>
      </c>
      <c r="N21" s="25">
        <f t="shared" si="2"/>
        <v>0.16</v>
      </c>
      <c r="O21" s="25">
        <f t="shared" si="2"/>
        <v>0.16</v>
      </c>
      <c r="P21" s="25">
        <f t="shared" si="2"/>
        <v>0.16</v>
      </c>
      <c r="Q21" s="25">
        <f t="shared" si="2"/>
        <v>0.16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E0B7-E1B5-4ECF-B449-E2A62EAB3FEA}">
  <dimension ref="A1:Q7"/>
  <sheetViews>
    <sheetView workbookViewId="0">
      <pane xSplit="2" ySplit="4" topLeftCell="C5" activePane="bottomRight" state="frozen"/>
      <selection activeCell="D5" sqref="D5"/>
      <selection pane="topRight" activeCell="D5" sqref="D5"/>
      <selection pane="bottomLeft" activeCell="D5" sqref="D5"/>
      <selection pane="bottomRight" activeCell="C4" sqref="C4:Q4"/>
    </sheetView>
  </sheetViews>
  <sheetFormatPr baseColWidth="10" defaultColWidth="9.1640625" defaultRowHeight="12" x14ac:dyDescent="0.15"/>
  <cols>
    <col min="1" max="1" width="2" style="60" customWidth="1"/>
    <col min="2" max="2" width="28.6640625" style="60" customWidth="1"/>
    <col min="3" max="17" width="9.6640625" style="60" customWidth="1"/>
    <col min="18" max="16384" width="9.1640625" style="60"/>
  </cols>
  <sheetData>
    <row r="1" spans="1:17" ht="16" x14ac:dyDescent="0.15">
      <c r="A1" s="58"/>
      <c r="B1" s="59" t="s">
        <v>183</v>
      </c>
    </row>
    <row r="2" spans="1:17" ht="16" x14ac:dyDescent="0.15">
      <c r="A2" s="58"/>
      <c r="B2" s="59"/>
    </row>
    <row r="3" spans="1:17" x14ac:dyDescent="0.15">
      <c r="C3" s="122" t="s">
        <v>184</v>
      </c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</row>
    <row r="4" spans="1:17" ht="26" x14ac:dyDescent="0.15">
      <c r="B4" s="89" t="s">
        <v>178</v>
      </c>
      <c r="C4" s="6" t="s">
        <v>99</v>
      </c>
      <c r="D4" s="6" t="s">
        <v>98</v>
      </c>
      <c r="E4" s="6" t="s">
        <v>94</v>
      </c>
      <c r="F4" s="6" t="s">
        <v>93</v>
      </c>
      <c r="G4" s="6" t="s">
        <v>92</v>
      </c>
      <c r="H4" s="43" t="s">
        <v>112</v>
      </c>
      <c r="I4" s="43" t="s">
        <v>113</v>
      </c>
      <c r="J4" s="43" t="s">
        <v>114</v>
      </c>
      <c r="K4" s="43" t="s">
        <v>115</v>
      </c>
      <c r="L4" s="43" t="s">
        <v>116</v>
      </c>
      <c r="M4" s="43" t="s">
        <v>120</v>
      </c>
      <c r="N4" s="43" t="s">
        <v>121</v>
      </c>
      <c r="O4" s="43" t="s">
        <v>122</v>
      </c>
      <c r="P4" s="43" t="s">
        <v>123</v>
      </c>
      <c r="Q4" s="43" t="s">
        <v>124</v>
      </c>
    </row>
    <row r="5" spans="1:17" x14ac:dyDescent="0.15">
      <c r="B5" s="60" t="s">
        <v>3</v>
      </c>
      <c r="C5" s="56">
        <f>-('Revenue Energy &amp; Other'!C5-'GP Energy &amp; Other'!C5)</f>
        <v>-1976</v>
      </c>
      <c r="D5" s="56">
        <f>-('Revenue Energy &amp; Other'!D5-'GP Energy &amp; Other'!D5)</f>
        <v>-2918</v>
      </c>
      <c r="E5" s="56">
        <f>-('Revenue Energy &amp; Other'!E5-'GP Energy &amp; Other'!E5)</f>
        <v>-3621</v>
      </c>
      <c r="F5" s="56">
        <f>-('Revenue Energy &amp; Other'!F5-'GP Energy &amp; Other'!F5)</f>
        <v>-4894</v>
      </c>
      <c r="G5" s="56">
        <f>-('Revenue Energy &amp; Other'!G5-'GP Energy &amp; Other'!G5)</f>
        <v>-7446</v>
      </c>
      <c r="H5" s="90" t="s">
        <v>119</v>
      </c>
      <c r="I5" s="90" t="s">
        <v>119</v>
      </c>
      <c r="J5" s="90" t="s">
        <v>119</v>
      </c>
      <c r="K5" s="90" t="s">
        <v>119</v>
      </c>
      <c r="L5" s="90" t="s">
        <v>119</v>
      </c>
      <c r="M5" s="90" t="s">
        <v>119</v>
      </c>
      <c r="N5" s="90" t="s">
        <v>119</v>
      </c>
      <c r="O5" s="90" t="s">
        <v>119</v>
      </c>
      <c r="P5" s="90" t="s">
        <v>119</v>
      </c>
      <c r="Q5" s="90" t="s">
        <v>119</v>
      </c>
    </row>
    <row r="6" spans="1:17" x14ac:dyDescent="0.15">
      <c r="B6" s="60" t="s">
        <v>2</v>
      </c>
      <c r="C6" s="56">
        <f>-('Revenue Energy &amp; Other'!C6-'GP Energy &amp; Other'!C6)</f>
        <v>-2671</v>
      </c>
      <c r="D6" s="56">
        <f>-('Revenue Energy &amp; Other'!D6-'GP Energy &amp; Other'!D6)</f>
        <v>-3906</v>
      </c>
      <c r="E6" s="56">
        <f>-('Revenue Energy &amp; Other'!E6-'GP Energy &amp; Other'!E6)</f>
        <v>-5880</v>
      </c>
      <c r="F6" s="56">
        <f>-('Revenue Energy &amp; Other'!F6-'GP Energy &amp; Other'!F6)</f>
        <v>-7830</v>
      </c>
      <c r="G6" s="56">
        <f>-('Revenue Energy &amp; Other'!G6-'GP Energy &amp; Other'!G6)</f>
        <v>-9921</v>
      </c>
      <c r="H6" s="90" t="s">
        <v>119</v>
      </c>
      <c r="I6" s="90" t="s">
        <v>119</v>
      </c>
      <c r="J6" s="90" t="s">
        <v>119</v>
      </c>
      <c r="K6" s="90" t="s">
        <v>119</v>
      </c>
      <c r="L6" s="90" t="s">
        <v>119</v>
      </c>
      <c r="M6" s="90" t="s">
        <v>119</v>
      </c>
      <c r="N6" s="90" t="s">
        <v>119</v>
      </c>
      <c r="O6" s="90" t="s">
        <v>119</v>
      </c>
      <c r="P6" s="90" t="s">
        <v>119</v>
      </c>
      <c r="Q6" s="90" t="s">
        <v>119</v>
      </c>
    </row>
    <row r="7" spans="1:17" ht="13" thickBot="1" x14ac:dyDescent="0.2">
      <c r="B7" s="95" t="s">
        <v>179</v>
      </c>
      <c r="C7" s="69">
        <f>SUM(C5:C6)</f>
        <v>-4647</v>
      </c>
      <c r="D7" s="69">
        <f t="shared" ref="D7:G7" si="0">SUM(D5:D6)</f>
        <v>-6824</v>
      </c>
      <c r="E7" s="69">
        <f t="shared" si="0"/>
        <v>-9501</v>
      </c>
      <c r="F7" s="69">
        <f t="shared" si="0"/>
        <v>-12724</v>
      </c>
      <c r="G7" s="69">
        <f t="shared" si="0"/>
        <v>-17367</v>
      </c>
      <c r="H7" s="69">
        <f>-('Revenue Energy &amp; Other'!H7-'GP Energy &amp; Other'!H7)</f>
        <v>-23424.32</v>
      </c>
      <c r="I7" s="69">
        <f>-('Revenue Energy &amp; Other'!I7-'GP Energy &amp; Other'!I7)</f>
        <v>-30920.102399999996</v>
      </c>
      <c r="J7" s="69">
        <f>-('Revenue Energy &amp; Other'!J7-'GP Energy &amp; Other'!J7)</f>
        <v>-37722.524927999999</v>
      </c>
      <c r="K7" s="69">
        <f>-('Revenue Energy &amp; Other'!K7-'GP Energy &amp; Other'!K7)</f>
        <v>-41494.777420800005</v>
      </c>
      <c r="L7" s="69">
        <f>-('Revenue Energy &amp; Other'!L7-'GP Energy &amp; Other'!L7)</f>
        <v>-45644.255162880014</v>
      </c>
      <c r="M7" s="69">
        <f>-('Revenue Energy &amp; Other'!M7-'GP Energy &amp; Other'!M7)</f>
        <v>-50208.680679168014</v>
      </c>
      <c r="N7" s="69">
        <f>-('Revenue Energy &amp; Other'!N7-'GP Energy &amp; Other'!N7)</f>
        <v>-55229.548747084824</v>
      </c>
      <c r="O7" s="69">
        <f>-('Revenue Energy &amp; Other'!O7-'GP Energy &amp; Other'!O7)</f>
        <v>-60752.503621793316</v>
      </c>
      <c r="P7" s="69">
        <f>-('Revenue Energy &amp; Other'!P7-'GP Energy &amp; Other'!P7)</f>
        <v>-66827.753983972652</v>
      </c>
      <c r="Q7" s="69">
        <f>-('Revenue Energy &amp; Other'!Q7-'GP Energy &amp; Other'!Q7)</f>
        <v>-73510.529382369918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1C12-91D3-4057-BD7F-FDBDCFA0770C}">
  <sheetPr>
    <tabColor theme="5"/>
  </sheetPr>
  <dimension ref="B14"/>
  <sheetViews>
    <sheetView workbookViewId="0"/>
  </sheetViews>
  <sheetFormatPr baseColWidth="10" defaultColWidth="9.1640625" defaultRowHeight="13" x14ac:dyDescent="0.15"/>
  <cols>
    <col min="1" max="1" width="2" style="58" customWidth="1"/>
    <col min="2" max="16384" width="9.1640625" style="58"/>
  </cols>
  <sheetData>
    <row r="14" spans="2:2" ht="49" x14ac:dyDescent="0.15">
      <c r="B14" s="88" t="s">
        <v>186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5B80-6A5E-4530-A20F-306B01778FFF}">
  <dimension ref="A1:F18"/>
  <sheetViews>
    <sheetView workbookViewId="0">
      <selection activeCell="C6" sqref="C6"/>
    </sheetView>
  </sheetViews>
  <sheetFormatPr baseColWidth="10" defaultColWidth="9.1640625" defaultRowHeight="12" x14ac:dyDescent="0.15"/>
  <cols>
    <col min="1" max="1" width="2" style="60" customWidth="1"/>
    <col min="2" max="2" width="17.6640625" style="60" customWidth="1"/>
    <col min="3" max="3" width="33.33203125" style="60" customWidth="1"/>
    <col min="4" max="4" width="11.6640625" style="60" customWidth="1"/>
    <col min="5" max="6" width="9.1640625" style="60"/>
    <col min="7" max="7" width="2" style="60" customWidth="1"/>
    <col min="8" max="16384" width="9.1640625" style="60"/>
  </cols>
  <sheetData>
    <row r="1" spans="1:6" ht="16" x14ac:dyDescent="0.15">
      <c r="A1" s="58"/>
      <c r="B1" s="59" t="s">
        <v>187</v>
      </c>
    </row>
    <row r="2" spans="1:6" ht="16" x14ac:dyDescent="0.15">
      <c r="A2" s="58"/>
      <c r="B2" s="59"/>
    </row>
    <row r="3" spans="1:6" ht="13" x14ac:dyDescent="0.15">
      <c r="A3" s="58"/>
      <c r="B3" s="78" t="s">
        <v>194</v>
      </c>
    </row>
    <row r="5" spans="1:6" x14ac:dyDescent="0.15">
      <c r="F5" s="60" t="s">
        <v>131</v>
      </c>
    </row>
    <row r="6" spans="1:6" ht="13" x14ac:dyDescent="0.15">
      <c r="B6" s="63" t="s">
        <v>75</v>
      </c>
      <c r="C6" s="66" t="s">
        <v>132</v>
      </c>
      <c r="D6" s="66" t="s">
        <v>133</v>
      </c>
    </row>
    <row r="7" spans="1:6" x14ac:dyDescent="0.15">
      <c r="B7" s="60" t="s">
        <v>134</v>
      </c>
      <c r="C7" s="98">
        <v>0.152</v>
      </c>
      <c r="D7" s="83">
        <f>C7</f>
        <v>0.152</v>
      </c>
    </row>
    <row r="8" spans="1:6" x14ac:dyDescent="0.15">
      <c r="B8" s="60" t="s">
        <v>135</v>
      </c>
      <c r="C8" s="83">
        <v>0.13234765875561258</v>
      </c>
      <c r="D8" s="83">
        <f>C8</f>
        <v>0.13234765875561258</v>
      </c>
    </row>
    <row r="9" spans="1:6" x14ac:dyDescent="0.15">
      <c r="B9" s="60" t="s">
        <v>136</v>
      </c>
      <c r="C9" s="83">
        <v>9.3051845415807813E-2</v>
      </c>
      <c r="D9" s="83">
        <f>C9</f>
        <v>9.3051845415807813E-2</v>
      </c>
    </row>
    <row r="10" spans="1:6" x14ac:dyDescent="0.15">
      <c r="B10" s="60" t="s">
        <v>137</v>
      </c>
      <c r="C10" s="83">
        <v>9.9485177024934007E-2</v>
      </c>
      <c r="D10" s="83">
        <f>C10</f>
        <v>9.9485177024934007E-2</v>
      </c>
    </row>
    <row r="11" spans="1:6" x14ac:dyDescent="0.15">
      <c r="B11" s="60" t="s">
        <v>138</v>
      </c>
      <c r="C11" s="87">
        <v>0.11</v>
      </c>
      <c r="D11" s="83">
        <f>C11</f>
        <v>0.11</v>
      </c>
    </row>
    <row r="12" spans="1:6" x14ac:dyDescent="0.15">
      <c r="B12" s="99" t="s">
        <v>139</v>
      </c>
      <c r="C12" s="100">
        <v>0.37065334104237219</v>
      </c>
      <c r="D12" s="100"/>
    </row>
    <row r="13" spans="1:6" x14ac:dyDescent="0.15">
      <c r="B13" s="60" t="s">
        <v>140</v>
      </c>
      <c r="C13" s="87">
        <v>0.30660065131342956</v>
      </c>
      <c r="D13" s="83"/>
    </row>
    <row r="14" spans="1:6" x14ac:dyDescent="0.15">
      <c r="B14" s="99" t="s">
        <v>141</v>
      </c>
      <c r="C14" s="100">
        <v>0.27674450401753298</v>
      </c>
      <c r="D14" s="100"/>
    </row>
    <row r="15" spans="1:6" x14ac:dyDescent="0.15">
      <c r="B15" s="60" t="s">
        <v>142</v>
      </c>
      <c r="C15" s="83">
        <v>0.15</v>
      </c>
      <c r="D15" s="83">
        <f>C15</f>
        <v>0.15</v>
      </c>
    </row>
    <row r="16" spans="1:6" x14ac:dyDescent="0.15">
      <c r="B16" s="60" t="s">
        <v>143</v>
      </c>
      <c r="C16" s="83">
        <v>0.15</v>
      </c>
      <c r="D16" s="83">
        <f>C16</f>
        <v>0.15</v>
      </c>
    </row>
    <row r="17" spans="2:4" x14ac:dyDescent="0.15">
      <c r="B17" s="99" t="s">
        <v>144</v>
      </c>
      <c r="C17" s="100">
        <v>3.6857379767827526E-2</v>
      </c>
      <c r="D17" s="100"/>
    </row>
    <row r="18" spans="2:4" x14ac:dyDescent="0.15">
      <c r="B18" s="91" t="s">
        <v>132</v>
      </c>
      <c r="C18" s="101">
        <f>AVERAGE(C7:C17)</f>
        <v>0.17070368703068331</v>
      </c>
      <c r="D18" s="101">
        <f>AVERAGE(D7:D17)</f>
        <v>0.12669781159947921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2FBC-7B80-4A70-A690-62BB5DC377CB}">
  <dimension ref="A1:Q20"/>
  <sheetViews>
    <sheetView workbookViewId="0">
      <pane xSplit="2" ySplit="4" topLeftCell="D5" activePane="bottomRight" state="frozen"/>
      <selection pane="topRight"/>
      <selection pane="bottomLeft"/>
      <selection pane="bottomRight" activeCell="D8" sqref="D8"/>
    </sheetView>
  </sheetViews>
  <sheetFormatPr baseColWidth="10" defaultColWidth="9.1640625" defaultRowHeight="12" x14ac:dyDescent="0.15"/>
  <cols>
    <col min="1" max="1" width="2" style="60" customWidth="1"/>
    <col min="2" max="2" width="25.6640625" style="60" bestFit="1" customWidth="1"/>
    <col min="3" max="12" width="9.6640625" style="60" customWidth="1"/>
    <col min="13" max="13" width="10.5" style="60" bestFit="1" customWidth="1"/>
    <col min="14" max="16384" width="9.1640625" style="60"/>
  </cols>
  <sheetData>
    <row r="1" spans="1:17" ht="16" x14ac:dyDescent="0.15">
      <c r="A1" s="58"/>
      <c r="B1" s="59" t="s">
        <v>188</v>
      </c>
    </row>
    <row r="3" spans="1:17" x14ac:dyDescent="0.15">
      <c r="C3" s="122" t="s">
        <v>189</v>
      </c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</row>
    <row r="4" spans="1:17" ht="26" x14ac:dyDescent="0.15">
      <c r="B4" s="89" t="s">
        <v>178</v>
      </c>
      <c r="C4" s="6" t="s">
        <v>99</v>
      </c>
      <c r="D4" s="6" t="s">
        <v>98</v>
      </c>
      <c r="E4" s="6" t="s">
        <v>94</v>
      </c>
      <c r="F4" s="6" t="s">
        <v>93</v>
      </c>
      <c r="G4" s="6" t="s">
        <v>92</v>
      </c>
      <c r="H4" s="43" t="s">
        <v>112</v>
      </c>
      <c r="I4" s="43" t="s">
        <v>113</v>
      </c>
      <c r="J4" s="43" t="s">
        <v>114</v>
      </c>
      <c r="K4" s="43" t="s">
        <v>115</v>
      </c>
      <c r="L4" s="43" t="s">
        <v>116</v>
      </c>
      <c r="M4" s="43" t="s">
        <v>120</v>
      </c>
      <c r="N4" s="43" t="s">
        <v>121</v>
      </c>
      <c r="O4" s="43" t="s">
        <v>122</v>
      </c>
      <c r="P4" s="43" t="s">
        <v>123</v>
      </c>
      <c r="Q4" s="43" t="s">
        <v>124</v>
      </c>
    </row>
    <row r="5" spans="1:17" x14ac:dyDescent="0.15">
      <c r="B5" s="60" t="s">
        <v>190</v>
      </c>
      <c r="C5" s="56">
        <f>'Revenue Energy &amp; Other'!C7+'Revenue automotive'!C7</f>
        <v>31535.955999999998</v>
      </c>
      <c r="D5" s="56">
        <f>'Revenue Energy &amp; Other'!D7+'Revenue automotive'!D7</f>
        <v>53823.275999999998</v>
      </c>
      <c r="E5" s="56">
        <f>'Revenue Energy &amp; Other'!E7+'Revenue automotive'!E7</f>
        <v>81461.95</v>
      </c>
      <c r="F5" s="56">
        <f>'Revenue Energy &amp; Other'!F7+'Revenue automotive'!F7</f>
        <v>96772.952000000005</v>
      </c>
      <c r="G5" s="56">
        <f>'Revenue Energy &amp; Other'!G7+'Revenue automotive'!G7</f>
        <v>97689.60100000001</v>
      </c>
      <c r="H5" s="120">
        <f>'Revenue Energy &amp; Other'!H7+'Revenue automotive'!H7</f>
        <v>107718.957736</v>
      </c>
      <c r="I5" s="120">
        <f>'Revenue Energy &amp; Other'!I7+'Revenue automotive'!I7</f>
        <v>121010.6136228</v>
      </c>
      <c r="J5" s="120">
        <f>'Revenue Energy &amp; Other'!J7+'Revenue automotive'!J7</f>
        <v>133631.66606393998</v>
      </c>
      <c r="K5" s="120">
        <f>'Revenue Energy &amp; Other'!K7+'Revenue automotive'!K7</f>
        <v>142670.90717513702</v>
      </c>
      <c r="L5" s="120">
        <f>'Revenue Energy &amp; Other'!L7+'Revenue automotive'!L7</f>
        <v>152397.87612269388</v>
      </c>
      <c r="M5" s="120">
        <f>'Revenue Energy &amp; Other'!M7+'Revenue automotive'!M7</f>
        <v>162870.53587650857</v>
      </c>
      <c r="N5" s="120">
        <f>'Revenue Energy &amp; Other'!N7+'Revenue automotive'!N7</f>
        <v>174152.10521278201</v>
      </c>
      <c r="O5" s="120">
        <f>'Revenue Energy &amp; Other'!O7+'Revenue automotive'!O7</f>
        <v>186311.55727011393</v>
      </c>
      <c r="P5" s="120">
        <f>'Revenue Energy &amp; Other'!P7+'Revenue automotive'!P7</f>
        <v>199424.16660998171</v>
      </c>
      <c r="Q5" s="120">
        <f>'Revenue Energy &amp; Other'!Q7+'Revenue automotive'!Q7</f>
        <v>213572.10956447909</v>
      </c>
    </row>
    <row r="6" spans="1:17" x14ac:dyDescent="0.15">
      <c r="B6" s="60" t="s">
        <v>191</v>
      </c>
      <c r="C6" s="80">
        <f>C7/C5</f>
        <v>-0.14700680074515579</v>
      </c>
      <c r="D6" s="80">
        <f>D7/D5</f>
        <v>-0.13159734089764435</v>
      </c>
      <c r="E6" s="80">
        <f>E7/E5</f>
        <v>-8.8347995597944817E-2</v>
      </c>
      <c r="F6" s="80">
        <f>F7/F5</f>
        <v>-9.0614162519295674E-2</v>
      </c>
      <c r="G6" s="80">
        <f>G7/G5</f>
        <v>-0.10619349340980519</v>
      </c>
      <c r="H6" s="104">
        <f>H10</f>
        <v>-0.10669781159947921</v>
      </c>
      <c r="I6" s="104">
        <f t="shared" ref="I6:Q6" si="0">I10</f>
        <v>-0.10669781159947921</v>
      </c>
      <c r="J6" s="104">
        <f t="shared" si="0"/>
        <v>-0.10669781159947921</v>
      </c>
      <c r="K6" s="104">
        <f t="shared" si="0"/>
        <v>-0.10669781159947921</v>
      </c>
      <c r="L6" s="104">
        <f t="shared" si="0"/>
        <v>-0.10669781159947921</v>
      </c>
      <c r="M6" s="104">
        <f t="shared" si="0"/>
        <v>-0.10669781159947921</v>
      </c>
      <c r="N6" s="104">
        <f t="shared" si="0"/>
        <v>-0.10669781159947921</v>
      </c>
      <c r="O6" s="104">
        <f t="shared" si="0"/>
        <v>-0.10669781159947921</v>
      </c>
      <c r="P6" s="104">
        <f t="shared" si="0"/>
        <v>-0.10669781159947921</v>
      </c>
      <c r="Q6" s="104">
        <f t="shared" si="0"/>
        <v>-0.10669781159947921</v>
      </c>
    </row>
    <row r="7" spans="1:17" x14ac:dyDescent="0.15">
      <c r="B7" s="92" t="s">
        <v>188</v>
      </c>
      <c r="C7" s="92">
        <f>SUM('P&amp;L Input'!C12:C14)/1000</f>
        <v>-4636</v>
      </c>
      <c r="D7" s="92">
        <f>SUM('P&amp;L Input'!D12:D14)/1000</f>
        <v>-7083</v>
      </c>
      <c r="E7" s="92">
        <f>SUM('P&amp;L Input'!E12:E14)/1000</f>
        <v>-7197</v>
      </c>
      <c r="F7" s="92">
        <f>SUM('P&amp;L Input'!F12:F14)/1000</f>
        <v>-8769</v>
      </c>
      <c r="G7" s="92">
        <f>SUM('P&amp;L Input'!G12:G14)/1000</f>
        <v>-10374</v>
      </c>
      <c r="H7" s="102">
        <f>H5*H6</f>
        <v>-11493.377058207991</v>
      </c>
      <c r="I7" s="102">
        <f t="shared" ref="I7:Q7" si="1">I5*I6</f>
        <v>-12911.567653862885</v>
      </c>
      <c r="J7" s="102">
        <f t="shared" si="1"/>
        <v>-14258.206329414787</v>
      </c>
      <c r="K7" s="102">
        <f t="shared" si="1"/>
        <v>-15222.673574499557</v>
      </c>
      <c r="L7" s="102">
        <f t="shared" si="1"/>
        <v>-16260.519874699963</v>
      </c>
      <c r="M7" s="102">
        <f t="shared" si="1"/>
        <v>-17377.929752057931</v>
      </c>
      <c r="N7" s="102">
        <f t="shared" si="1"/>
        <v>-18581.648511646097</v>
      </c>
      <c r="O7" s="102">
        <f t="shared" si="1"/>
        <v>-19879.035436412196</v>
      </c>
      <c r="P7" s="102">
        <f t="shared" si="1"/>
        <v>-21278.122157334979</v>
      </c>
      <c r="Q7" s="102">
        <f t="shared" si="1"/>
        <v>-22787.67670921412</v>
      </c>
    </row>
    <row r="8" spans="1:17" x14ac:dyDescent="0.15"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</row>
    <row r="9" spans="1:17" x14ac:dyDescent="0.15">
      <c r="B9" s="71" t="s">
        <v>53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</row>
    <row r="10" spans="1:17" x14ac:dyDescent="0.15">
      <c r="B10" s="72" t="s">
        <v>192</v>
      </c>
      <c r="C10" s="96"/>
      <c r="D10" s="96"/>
      <c r="E10" s="96"/>
      <c r="F10" s="96"/>
      <c r="G10" s="72"/>
      <c r="H10" s="50">
        <f>CHOOSE(Drivers!$C$3,Opex!H14,Opex!H17,Opex!H20)</f>
        <v>-0.10669781159947921</v>
      </c>
      <c r="I10" s="50">
        <f>CHOOSE(Drivers!$C$3,Opex!I14,Opex!I17,Opex!I20)</f>
        <v>-0.10669781159947921</v>
      </c>
      <c r="J10" s="50">
        <f>CHOOSE(Drivers!$C$3,Opex!J14,Opex!J17,Opex!J20)</f>
        <v>-0.10669781159947921</v>
      </c>
      <c r="K10" s="50">
        <f>CHOOSE(Drivers!$C$3,Opex!K14,Opex!K17,Opex!K20)</f>
        <v>-0.10669781159947921</v>
      </c>
      <c r="L10" s="50">
        <f>CHOOSE(Drivers!$C$3,Opex!L14,Opex!L17,Opex!L20)</f>
        <v>-0.10669781159947921</v>
      </c>
      <c r="M10" s="50">
        <f>CHOOSE(Drivers!$C$3,Opex!M14,Opex!M17,Opex!M20)</f>
        <v>-0.10669781159947921</v>
      </c>
      <c r="N10" s="50">
        <f>CHOOSE(Drivers!$C$3,Opex!N14,Opex!N17,Opex!N20)</f>
        <v>-0.10669781159947921</v>
      </c>
      <c r="O10" s="50">
        <f>CHOOSE(Drivers!$C$3,Opex!O14,Opex!O17,Opex!O20)</f>
        <v>-0.10669781159947921</v>
      </c>
      <c r="P10" s="50">
        <f>CHOOSE(Drivers!$C$3,Opex!P14,Opex!P17,Opex!P20)</f>
        <v>-0.10669781159947921</v>
      </c>
      <c r="Q10" s="50">
        <f>CHOOSE(Drivers!$C$3,Opex!Q14,Opex!Q17,Opex!Q20)</f>
        <v>-0.10669781159947921</v>
      </c>
    </row>
    <row r="11" spans="1:17" x14ac:dyDescent="0.15">
      <c r="B11" s="72"/>
      <c r="C11" s="74"/>
      <c r="D11" s="74"/>
      <c r="E11" s="74"/>
      <c r="F11" s="74"/>
      <c r="G11" s="72"/>
      <c r="H11" s="74"/>
      <c r="I11" s="75"/>
      <c r="J11" s="75"/>
      <c r="K11" s="75"/>
      <c r="L11" s="75"/>
      <c r="M11" s="75"/>
      <c r="N11" s="75"/>
      <c r="O11" s="75"/>
      <c r="P11" s="75"/>
      <c r="Q11" s="75"/>
    </row>
    <row r="12" spans="1:17" x14ac:dyDescent="0.15">
      <c r="B12" s="94" t="s">
        <v>193</v>
      </c>
      <c r="C12" s="74"/>
      <c r="D12" s="74"/>
      <c r="E12" s="74"/>
      <c r="F12" s="74"/>
      <c r="G12" s="72"/>
      <c r="H12" s="74"/>
      <c r="I12" s="75"/>
      <c r="J12" s="75"/>
      <c r="K12" s="75"/>
      <c r="L12" s="75"/>
      <c r="M12" s="75"/>
      <c r="N12" s="75"/>
      <c r="O12" s="75"/>
      <c r="P12" s="75"/>
      <c r="Q12" s="75"/>
    </row>
    <row r="13" spans="1:17" x14ac:dyDescent="0.15">
      <c r="B13" s="71" t="s">
        <v>152</v>
      </c>
      <c r="C13" s="72"/>
      <c r="D13" s="72"/>
      <c r="E13" s="72"/>
      <c r="F13" s="72"/>
      <c r="G13" s="72"/>
      <c r="H13" s="75"/>
      <c r="I13" s="75"/>
      <c r="J13" s="75"/>
      <c r="K13" s="75"/>
      <c r="L13" s="75"/>
      <c r="M13" s="75"/>
      <c r="N13" s="75"/>
      <c r="O13" s="75"/>
      <c r="P13" s="75"/>
      <c r="Q13" s="75"/>
    </row>
    <row r="14" spans="1:17" x14ac:dyDescent="0.15">
      <c r="B14" s="72" t="s">
        <v>192</v>
      </c>
      <c r="C14" s="74"/>
      <c r="D14" s="25"/>
      <c r="E14" s="25"/>
      <c r="F14" s="25"/>
      <c r="G14" s="72"/>
      <c r="H14" s="50">
        <f>H17+2%</f>
        <v>-0.10669781159947921</v>
      </c>
      <c r="I14" s="50">
        <f t="shared" ref="I14:Q14" si="2">I17+2%</f>
        <v>-0.10669781159947921</v>
      </c>
      <c r="J14" s="50">
        <f t="shared" si="2"/>
        <v>-0.10669781159947921</v>
      </c>
      <c r="K14" s="50">
        <f t="shared" si="2"/>
        <v>-0.10669781159947921</v>
      </c>
      <c r="L14" s="50">
        <f t="shared" si="2"/>
        <v>-0.10669781159947921</v>
      </c>
      <c r="M14" s="50">
        <f t="shared" si="2"/>
        <v>-0.10669781159947921</v>
      </c>
      <c r="N14" s="50">
        <f t="shared" si="2"/>
        <v>-0.10669781159947921</v>
      </c>
      <c r="O14" s="50">
        <f t="shared" si="2"/>
        <v>-0.10669781159947921</v>
      </c>
      <c r="P14" s="50">
        <f t="shared" si="2"/>
        <v>-0.10669781159947921</v>
      </c>
      <c r="Q14" s="50">
        <f t="shared" si="2"/>
        <v>-0.10669781159947921</v>
      </c>
    </row>
    <row r="15" spans="1:17" x14ac:dyDescent="0.15">
      <c r="B15" s="72"/>
      <c r="C15" s="74"/>
      <c r="D15" s="74"/>
      <c r="E15" s="74"/>
      <c r="F15" s="74"/>
      <c r="G15" s="72"/>
      <c r="H15" s="74"/>
      <c r="I15" s="75"/>
      <c r="J15" s="75"/>
      <c r="K15" s="75"/>
      <c r="L15" s="75"/>
      <c r="M15" s="75"/>
      <c r="N15" s="75"/>
      <c r="O15" s="75"/>
      <c r="P15" s="75"/>
      <c r="Q15" s="75"/>
    </row>
    <row r="16" spans="1:17" x14ac:dyDescent="0.15">
      <c r="B16" s="71" t="s">
        <v>153</v>
      </c>
      <c r="C16" s="72"/>
      <c r="D16" s="72"/>
      <c r="E16" s="72"/>
      <c r="F16" s="72"/>
      <c r="G16" s="72"/>
      <c r="H16" s="75"/>
      <c r="I16" s="75"/>
      <c r="J16" s="75"/>
      <c r="K16" s="75"/>
      <c r="L16" s="75"/>
      <c r="M16" s="75"/>
      <c r="N16" s="75"/>
      <c r="O16" s="75"/>
      <c r="P16" s="75"/>
      <c r="Q16" s="75"/>
    </row>
    <row r="17" spans="2:17" x14ac:dyDescent="0.15">
      <c r="B17" s="72" t="s">
        <v>192</v>
      </c>
      <c r="C17" s="74"/>
      <c r="D17" s="25"/>
      <c r="E17" s="25"/>
      <c r="F17" s="25"/>
      <c r="G17" s="72"/>
      <c r="H17" s="50">
        <f>-'Opex comparables'!$D$18</f>
        <v>-0.12669781159947921</v>
      </c>
      <c r="I17" s="50">
        <f>-'Opex comparables'!$D$18</f>
        <v>-0.12669781159947921</v>
      </c>
      <c r="J17" s="50">
        <f>-'Opex comparables'!$D$18</f>
        <v>-0.12669781159947921</v>
      </c>
      <c r="K17" s="50">
        <f>-'Opex comparables'!$D$18</f>
        <v>-0.12669781159947921</v>
      </c>
      <c r="L17" s="50">
        <f>-'Opex comparables'!$D$18</f>
        <v>-0.12669781159947921</v>
      </c>
      <c r="M17" s="50">
        <f>-'Opex comparables'!$D$18</f>
        <v>-0.12669781159947921</v>
      </c>
      <c r="N17" s="50">
        <f>-'Opex comparables'!$D$18</f>
        <v>-0.12669781159947921</v>
      </c>
      <c r="O17" s="50">
        <f>-'Opex comparables'!$D$18</f>
        <v>-0.12669781159947921</v>
      </c>
      <c r="P17" s="50">
        <f>-'Opex comparables'!$D$18</f>
        <v>-0.12669781159947921</v>
      </c>
      <c r="Q17" s="50">
        <f>-'Opex comparables'!$D$18</f>
        <v>-0.12669781159947921</v>
      </c>
    </row>
    <row r="18" spans="2:17" x14ac:dyDescent="0.15">
      <c r="B18" s="72"/>
      <c r="C18" s="74"/>
      <c r="D18" s="74"/>
      <c r="E18" s="74"/>
      <c r="F18" s="74"/>
      <c r="G18" s="72"/>
      <c r="H18" s="74"/>
      <c r="I18" s="75"/>
      <c r="J18" s="75"/>
      <c r="K18" s="75"/>
      <c r="L18" s="75"/>
      <c r="M18" s="75"/>
      <c r="N18" s="75"/>
      <c r="O18" s="75"/>
      <c r="P18" s="75"/>
      <c r="Q18" s="75"/>
    </row>
    <row r="19" spans="2:17" x14ac:dyDescent="0.15">
      <c r="B19" s="71" t="s">
        <v>154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</row>
    <row r="20" spans="2:17" x14ac:dyDescent="0.15">
      <c r="B20" s="72" t="s">
        <v>192</v>
      </c>
      <c r="C20" s="74"/>
      <c r="D20" s="25"/>
      <c r="E20" s="25"/>
      <c r="F20" s="25"/>
      <c r="G20" s="72"/>
      <c r="H20" s="50">
        <f>H17-2%</f>
        <v>-0.1466978115994792</v>
      </c>
      <c r="I20" s="50">
        <f t="shared" ref="I20:Q20" si="3">I17-2%</f>
        <v>-0.1466978115994792</v>
      </c>
      <c r="J20" s="50">
        <f t="shared" si="3"/>
        <v>-0.1466978115994792</v>
      </c>
      <c r="K20" s="50">
        <f t="shared" si="3"/>
        <v>-0.1466978115994792</v>
      </c>
      <c r="L20" s="50">
        <f t="shared" si="3"/>
        <v>-0.1466978115994792</v>
      </c>
      <c r="M20" s="50">
        <f t="shared" si="3"/>
        <v>-0.1466978115994792</v>
      </c>
      <c r="N20" s="50">
        <f t="shared" si="3"/>
        <v>-0.1466978115994792</v>
      </c>
      <c r="O20" s="50">
        <f t="shared" si="3"/>
        <v>-0.1466978115994792</v>
      </c>
      <c r="P20" s="50">
        <f t="shared" si="3"/>
        <v>-0.1466978115994792</v>
      </c>
      <c r="Q20" s="50">
        <f t="shared" si="3"/>
        <v>-0.1466978115994792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0E7D-A742-447B-B344-659B4D2F2FB6}">
  <sheetPr>
    <tabColor rgb="FFC00000"/>
  </sheetPr>
  <dimension ref="B14"/>
  <sheetViews>
    <sheetView workbookViewId="0">
      <selection activeCell="B14" sqref="B14"/>
    </sheetView>
  </sheetViews>
  <sheetFormatPr baseColWidth="10" defaultColWidth="9.1640625" defaultRowHeight="13" x14ac:dyDescent="0.15"/>
  <cols>
    <col min="1" max="1" width="2" style="58" customWidth="1"/>
    <col min="2" max="16384" width="9.1640625" style="58"/>
  </cols>
  <sheetData>
    <row r="14" spans="2:2" ht="49" x14ac:dyDescent="0.15">
      <c r="B14" s="88" t="s">
        <v>195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B30B-3D52-4310-8C06-363A705EA972}">
  <sheetPr>
    <tabColor theme="5"/>
  </sheetPr>
  <dimension ref="B14"/>
  <sheetViews>
    <sheetView workbookViewId="0"/>
  </sheetViews>
  <sheetFormatPr baseColWidth="10" defaultColWidth="9.1640625" defaultRowHeight="13" x14ac:dyDescent="0.15"/>
  <cols>
    <col min="1" max="1" width="2" style="58" customWidth="1"/>
    <col min="2" max="16384" width="9.1640625" style="58"/>
  </cols>
  <sheetData>
    <row r="14" spans="2:2" ht="49" x14ac:dyDescent="0.15">
      <c r="B14" s="88" t="s">
        <v>196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C899-8E78-4CF2-8324-06D62A587341}">
  <dimension ref="A1:Q4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3" sqref="C3"/>
    </sheetView>
  </sheetViews>
  <sheetFormatPr baseColWidth="10" defaultColWidth="9.1640625" defaultRowHeight="13" x14ac:dyDescent="0.15"/>
  <cols>
    <col min="1" max="1" width="2" style="105" customWidth="1"/>
    <col min="2" max="2" width="29.33203125" style="105" bestFit="1" customWidth="1"/>
    <col min="3" max="3" width="12.83203125" style="105" bestFit="1" customWidth="1"/>
    <col min="4" max="4" width="10.5" style="105" customWidth="1"/>
    <col min="5" max="5" width="10.1640625" style="105" customWidth="1"/>
    <col min="6" max="6" width="10" style="105" customWidth="1"/>
    <col min="7" max="12" width="10.33203125" style="105" customWidth="1"/>
    <col min="13" max="13" width="10.5" style="105" customWidth="1"/>
    <col min="14" max="14" width="11" style="105" customWidth="1"/>
    <col min="15" max="15" width="10.5" style="105" customWidth="1"/>
    <col min="16" max="16" width="10.1640625" style="105" customWidth="1"/>
    <col min="17" max="17" width="10.6640625" style="105" customWidth="1"/>
    <col min="18" max="16384" width="9.1640625" style="105"/>
  </cols>
  <sheetData>
    <row r="1" spans="1:17" ht="16" x14ac:dyDescent="0.2">
      <c r="B1" s="106" t="s">
        <v>197</v>
      </c>
    </row>
    <row r="3" spans="1:17" x14ac:dyDescent="0.15">
      <c r="B3" s="107" t="str">
        <f>"Selected case:"&amp;CHOOSE(C3," as a % of PPE"," as a % of revenue")</f>
        <v>Selected case: as a % of PPE</v>
      </c>
      <c r="C3" s="108">
        <v>1</v>
      </c>
    </row>
    <row r="4" spans="1:17" ht="5.5" customHeight="1" x14ac:dyDescent="0.15">
      <c r="B4" s="107"/>
      <c r="C4" s="109"/>
    </row>
    <row r="5" spans="1:17" x14ac:dyDescent="0.15">
      <c r="C5" s="122" t="s">
        <v>198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ht="26.5" customHeight="1" x14ac:dyDescent="0.15">
      <c r="A6" s="105" t="s">
        <v>107</v>
      </c>
      <c r="B6" s="89" t="s">
        <v>178</v>
      </c>
      <c r="C6" s="64" t="s">
        <v>227</v>
      </c>
      <c r="D6" s="64" t="s">
        <v>228</v>
      </c>
      <c r="E6" s="64" t="s">
        <v>229</v>
      </c>
      <c r="F6" s="64" t="s">
        <v>230</v>
      </c>
      <c r="G6" s="64" t="s">
        <v>231</v>
      </c>
      <c r="H6" s="65" t="s">
        <v>209</v>
      </c>
      <c r="I6" s="65" t="s">
        <v>210</v>
      </c>
      <c r="J6" s="65" t="s">
        <v>211</v>
      </c>
      <c r="K6" s="65" t="s">
        <v>212</v>
      </c>
      <c r="L6" s="65" t="s">
        <v>213</v>
      </c>
      <c r="M6" s="65" t="s">
        <v>232</v>
      </c>
      <c r="N6" s="65" t="s">
        <v>233</v>
      </c>
      <c r="O6" s="65" t="s">
        <v>234</v>
      </c>
      <c r="P6" s="65" t="s">
        <v>235</v>
      </c>
      <c r="Q6" s="65" t="s">
        <v>236</v>
      </c>
    </row>
    <row r="7" spans="1:17" x14ac:dyDescent="0.15">
      <c r="B7" s="110" t="s">
        <v>214</v>
      </c>
      <c r="C7" s="26">
        <v>10396</v>
      </c>
      <c r="D7" s="111">
        <f t="shared" ref="D7:Q7" si="0">C10</f>
        <v>12747</v>
      </c>
      <c r="E7" s="111">
        <f t="shared" si="0"/>
        <v>18884</v>
      </c>
      <c r="F7" s="111">
        <f t="shared" si="0"/>
        <v>23548</v>
      </c>
      <c r="G7" s="112">
        <f t="shared" si="0"/>
        <v>29725</v>
      </c>
      <c r="H7" s="113">
        <f t="shared" si="0"/>
        <v>35836</v>
      </c>
      <c r="I7" s="113">
        <f t="shared" si="0"/>
        <v>46989.285585233833</v>
      </c>
      <c r="J7" s="113">
        <f t="shared" si="0"/>
        <v>61186.647642528238</v>
      </c>
      <c r="K7" s="113">
        <f t="shared" si="0"/>
        <v>79285.265303133929</v>
      </c>
      <c r="L7" s="113">
        <f t="shared" si="0"/>
        <v>102381.8357133059</v>
      </c>
      <c r="M7" s="113">
        <f t="shared" si="0"/>
        <v>131879.62802073447</v>
      </c>
      <c r="N7" s="113">
        <f t="shared" si="0"/>
        <v>169574.30069090694</v>
      </c>
      <c r="O7" s="113">
        <f t="shared" si="0"/>
        <v>217763.7331838102</v>
      </c>
      <c r="P7" s="113">
        <f t="shared" si="0"/>
        <v>279388.59251282917</v>
      </c>
      <c r="Q7" s="113">
        <f t="shared" si="0"/>
        <v>358212.23593649274</v>
      </c>
    </row>
    <row r="8" spans="1:17" x14ac:dyDescent="0.15">
      <c r="B8" s="110" t="s">
        <v>215</v>
      </c>
      <c r="C8" s="112">
        <f>C10-C7-C9</f>
        <v>4505</v>
      </c>
      <c r="D8" s="112">
        <f>D10-D7-D9</f>
        <v>8519</v>
      </c>
      <c r="E8" s="112">
        <f>E10-E7-E9</f>
        <v>7232</v>
      </c>
      <c r="F8" s="112">
        <f>F10-F7-F9</f>
        <v>8977</v>
      </c>
      <c r="G8" s="112">
        <f>G10-G7-G9</f>
        <v>9345</v>
      </c>
      <c r="H8" s="113">
        <f>CHOOSE($C$3,H32*H7,H33*Opex!H5)</f>
        <v>6881.5323502125757</v>
      </c>
      <c r="I8" s="113">
        <f>CHOOSE($C$3,I32*I7,I33*Opex!I5)</f>
        <v>9023.2807475210429</v>
      </c>
      <c r="J8" s="113">
        <f>CHOOSE($C$3,J32*J7,J33*Opex!J5)</f>
        <v>11749.578500756672</v>
      </c>
      <c r="K8" s="113">
        <f>CHOOSE($C$3,K32*K7,K33*Opex!K5)</f>
        <v>15225.028409384497</v>
      </c>
      <c r="L8" s="113">
        <f>CHOOSE($C$3,L32*L7,L33*Opex!L5)</f>
        <v>19660.227551491902</v>
      </c>
      <c r="M8" s="113">
        <f>CHOOSE($C$3,M32*M7,M33*Opex!M5)</f>
        <v>25324.643558396172</v>
      </c>
      <c r="N8" s="113">
        <f>CHOOSE($C$3,N32*N7,N33*Opex!N5)</f>
        <v>32563.093982842696</v>
      </c>
      <c r="O8" s="113">
        <f>CHOOSE($C$3,O32*O7,O33*Opex!O5)</f>
        <v>41816.837108144035</v>
      </c>
      <c r="P8" s="113">
        <f>CHOOSE($C$3,P32*P7,P33*Opex!P5)</f>
        <v>53650.564729807818</v>
      </c>
      <c r="Q8" s="113">
        <f>CHOOSE($C$3,Q32*Q7,Q33*Opex!Q5)</f>
        <v>68786.948594680056</v>
      </c>
    </row>
    <row r="9" spans="1:17" x14ac:dyDescent="0.15">
      <c r="B9" s="105" t="s">
        <v>216</v>
      </c>
      <c r="C9" s="114">
        <v>-2154</v>
      </c>
      <c r="D9" s="114">
        <v>-2382</v>
      </c>
      <c r="E9" s="114">
        <v>-2568</v>
      </c>
      <c r="F9" s="114">
        <v>-2800</v>
      </c>
      <c r="G9" s="114">
        <v>-3234</v>
      </c>
      <c r="H9" s="90">
        <f>H28</f>
        <v>4271.7532350212578</v>
      </c>
      <c r="I9" s="90">
        <f t="shared" ref="I9:Q9" si="1">I28</f>
        <v>5174.0813097733617</v>
      </c>
      <c r="J9" s="90">
        <f t="shared" si="1"/>
        <v>6349.0391598490287</v>
      </c>
      <c r="K9" s="90">
        <f t="shared" si="1"/>
        <v>7871.5420007874782</v>
      </c>
      <c r="L9" s="90">
        <f t="shared" si="1"/>
        <v>9837.564755936668</v>
      </c>
      <c r="M9" s="90">
        <f t="shared" si="1"/>
        <v>12370.029111776286</v>
      </c>
      <c r="N9" s="90">
        <f t="shared" si="1"/>
        <v>15626.338510060556</v>
      </c>
      <c r="O9" s="90">
        <f t="shared" si="1"/>
        <v>19808.022220874958</v>
      </c>
      <c r="P9" s="90">
        <f t="shared" si="1"/>
        <v>25173.078693855739</v>
      </c>
      <c r="Q9" s="90">
        <f t="shared" si="1"/>
        <v>32051.773553323743</v>
      </c>
    </row>
    <row r="10" spans="1:17" s="115" customFormat="1" ht="15" thickBot="1" x14ac:dyDescent="0.2">
      <c r="B10" s="68" t="s">
        <v>217</v>
      </c>
      <c r="C10" s="69">
        <f>'Balance Sheet Input'!C12/1000</f>
        <v>12747</v>
      </c>
      <c r="D10" s="69">
        <f>'Balance Sheet Input'!D12/1000</f>
        <v>18884</v>
      </c>
      <c r="E10" s="69">
        <f>'Balance Sheet Input'!E12/1000</f>
        <v>23548</v>
      </c>
      <c r="F10" s="69">
        <f>'Balance Sheet Input'!F12/1000</f>
        <v>29725</v>
      </c>
      <c r="G10" s="69">
        <f>'Balance Sheet Input'!G12/1000</f>
        <v>35836</v>
      </c>
      <c r="H10" s="69">
        <f t="shared" ref="H10:Q10" si="2">SUM(H7:H9)</f>
        <v>46989.285585233833</v>
      </c>
      <c r="I10" s="69">
        <f t="shared" si="2"/>
        <v>61186.647642528238</v>
      </c>
      <c r="J10" s="69">
        <f t="shared" si="2"/>
        <v>79285.265303133929</v>
      </c>
      <c r="K10" s="69">
        <f t="shared" si="2"/>
        <v>102381.8357133059</v>
      </c>
      <c r="L10" s="69">
        <f t="shared" si="2"/>
        <v>131879.62802073447</v>
      </c>
      <c r="M10" s="69">
        <f t="shared" si="2"/>
        <v>169574.30069090694</v>
      </c>
      <c r="N10" s="69">
        <f t="shared" si="2"/>
        <v>217763.7331838102</v>
      </c>
      <c r="O10" s="69">
        <f t="shared" si="2"/>
        <v>279388.59251282917</v>
      </c>
      <c r="P10" s="69">
        <f t="shared" si="2"/>
        <v>358212.23593649274</v>
      </c>
      <c r="Q10" s="69">
        <f t="shared" si="2"/>
        <v>459050.95808449655</v>
      </c>
    </row>
    <row r="11" spans="1:17" ht="14.25" customHeight="1" x14ac:dyDescent="0.15"/>
    <row r="12" spans="1:17" x14ac:dyDescent="0.15">
      <c r="B12" s="110" t="s">
        <v>237</v>
      </c>
      <c r="C12" s="116">
        <v>10</v>
      </c>
    </row>
    <row r="13" spans="1:17" x14ac:dyDescent="0.15">
      <c r="B13" s="110" t="s">
        <v>238</v>
      </c>
      <c r="C13" s="116">
        <v>10</v>
      </c>
      <c r="H13" s="117"/>
      <c r="I13" s="117"/>
      <c r="J13" s="117"/>
      <c r="K13" s="117"/>
      <c r="L13" s="117"/>
      <c r="M13" s="117"/>
      <c r="N13" s="117"/>
      <c r="O13" s="117"/>
      <c r="P13" s="117"/>
      <c r="Q13" s="117"/>
    </row>
    <row r="15" spans="1:17" x14ac:dyDescent="0.15">
      <c r="C15" s="122" t="s">
        <v>218</v>
      </c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</row>
    <row r="16" spans="1:17" ht="25.5" customHeight="1" x14ac:dyDescent="0.15">
      <c r="B16" s="89" t="s">
        <v>178</v>
      </c>
      <c r="C16" s="64" t="s">
        <v>199</v>
      </c>
      <c r="D16" s="64" t="s">
        <v>200</v>
      </c>
      <c r="E16" s="64" t="s">
        <v>201</v>
      </c>
      <c r="F16" s="64" t="s">
        <v>202</v>
      </c>
      <c r="G16" s="64" t="s">
        <v>203</v>
      </c>
      <c r="H16" s="65" t="s">
        <v>204</v>
      </c>
      <c r="I16" s="65" t="s">
        <v>205</v>
      </c>
      <c r="J16" s="65" t="s">
        <v>206</v>
      </c>
      <c r="K16" s="65" t="s">
        <v>207</v>
      </c>
      <c r="L16" s="65" t="s">
        <v>208</v>
      </c>
      <c r="M16" s="65" t="s">
        <v>209</v>
      </c>
      <c r="N16" s="65" t="s">
        <v>210</v>
      </c>
      <c r="O16" s="65" t="s">
        <v>211</v>
      </c>
      <c r="P16" s="65" t="s">
        <v>212</v>
      </c>
      <c r="Q16" s="65" t="s">
        <v>213</v>
      </c>
    </row>
    <row r="17" spans="2:17" x14ac:dyDescent="0.15">
      <c r="H17" s="114">
        <f>$H$7/$C$13</f>
        <v>3583.6</v>
      </c>
      <c r="I17" s="114">
        <f t="shared" ref="I17:Q17" si="3">$H$7/$C$13</f>
        <v>3583.6</v>
      </c>
      <c r="J17" s="114">
        <f t="shared" si="3"/>
        <v>3583.6</v>
      </c>
      <c r="K17" s="114">
        <f t="shared" si="3"/>
        <v>3583.6</v>
      </c>
      <c r="L17" s="114">
        <f t="shared" si="3"/>
        <v>3583.6</v>
      </c>
      <c r="M17" s="114">
        <f t="shared" si="3"/>
        <v>3583.6</v>
      </c>
      <c r="N17" s="114">
        <f t="shared" si="3"/>
        <v>3583.6</v>
      </c>
      <c r="O17" s="114">
        <f t="shared" si="3"/>
        <v>3583.6</v>
      </c>
      <c r="P17" s="114">
        <f t="shared" si="3"/>
        <v>3583.6</v>
      </c>
      <c r="Q17" s="114">
        <f t="shared" si="3"/>
        <v>3583.6</v>
      </c>
    </row>
    <row r="18" spans="2:17" x14ac:dyDescent="0.15">
      <c r="H18" s="114">
        <f>$H$8/$C$12</f>
        <v>688.15323502125761</v>
      </c>
      <c r="I18" s="114">
        <f t="shared" ref="I18:Q18" si="4">$H$8/$C$12</f>
        <v>688.15323502125761</v>
      </c>
      <c r="J18" s="114">
        <f t="shared" si="4"/>
        <v>688.15323502125761</v>
      </c>
      <c r="K18" s="114">
        <f t="shared" si="4"/>
        <v>688.15323502125761</v>
      </c>
      <c r="L18" s="114">
        <f t="shared" si="4"/>
        <v>688.15323502125761</v>
      </c>
      <c r="M18" s="114">
        <f t="shared" si="4"/>
        <v>688.15323502125761</v>
      </c>
      <c r="N18" s="114">
        <f t="shared" si="4"/>
        <v>688.15323502125761</v>
      </c>
      <c r="O18" s="114">
        <f t="shared" si="4"/>
        <v>688.15323502125761</v>
      </c>
      <c r="P18" s="114">
        <f t="shared" si="4"/>
        <v>688.15323502125761</v>
      </c>
      <c r="Q18" s="114">
        <f t="shared" si="4"/>
        <v>688.15323502125761</v>
      </c>
    </row>
    <row r="19" spans="2:17" x14ac:dyDescent="0.15">
      <c r="H19" s="114"/>
      <c r="I19" s="114">
        <f>$I$8/$C$12</f>
        <v>902.32807475210427</v>
      </c>
      <c r="J19" s="114">
        <f t="shared" ref="J19:Q19" si="5">$I$8/$C$12</f>
        <v>902.32807475210427</v>
      </c>
      <c r="K19" s="114">
        <f t="shared" si="5"/>
        <v>902.32807475210427</v>
      </c>
      <c r="L19" s="114">
        <f t="shared" si="5"/>
        <v>902.32807475210427</v>
      </c>
      <c r="M19" s="114">
        <f t="shared" si="5"/>
        <v>902.32807475210427</v>
      </c>
      <c r="N19" s="114">
        <f t="shared" si="5"/>
        <v>902.32807475210427</v>
      </c>
      <c r="O19" s="114">
        <f t="shared" si="5"/>
        <v>902.32807475210427</v>
      </c>
      <c r="P19" s="114">
        <f t="shared" si="5"/>
        <v>902.32807475210427</v>
      </c>
      <c r="Q19" s="114">
        <f t="shared" si="5"/>
        <v>902.32807475210427</v>
      </c>
    </row>
    <row r="20" spans="2:17" x14ac:dyDescent="0.15">
      <c r="H20" s="114"/>
      <c r="I20" s="114"/>
      <c r="J20" s="114">
        <f>$J$8/$C$12</f>
        <v>1174.9578500756672</v>
      </c>
      <c r="K20" s="114">
        <f t="shared" ref="K20:Q20" si="6">$J$8/$C$12</f>
        <v>1174.9578500756672</v>
      </c>
      <c r="L20" s="114">
        <f t="shared" si="6"/>
        <v>1174.9578500756672</v>
      </c>
      <c r="M20" s="114">
        <f t="shared" si="6"/>
        <v>1174.9578500756672</v>
      </c>
      <c r="N20" s="114">
        <f t="shared" si="6"/>
        <v>1174.9578500756672</v>
      </c>
      <c r="O20" s="114">
        <f t="shared" si="6"/>
        <v>1174.9578500756672</v>
      </c>
      <c r="P20" s="114">
        <f t="shared" si="6"/>
        <v>1174.9578500756672</v>
      </c>
      <c r="Q20" s="114">
        <f t="shared" si="6"/>
        <v>1174.9578500756672</v>
      </c>
    </row>
    <row r="21" spans="2:17" x14ac:dyDescent="0.15">
      <c r="H21" s="114"/>
      <c r="I21" s="114"/>
      <c r="J21" s="114"/>
      <c r="K21" s="114">
        <f>$K$8/$C$12</f>
        <v>1522.5028409384497</v>
      </c>
      <c r="L21" s="114">
        <f t="shared" ref="L21:Q21" si="7">$K$8/$C$12</f>
        <v>1522.5028409384497</v>
      </c>
      <c r="M21" s="114">
        <f t="shared" si="7"/>
        <v>1522.5028409384497</v>
      </c>
      <c r="N21" s="114">
        <f t="shared" si="7"/>
        <v>1522.5028409384497</v>
      </c>
      <c r="O21" s="114">
        <f t="shared" si="7"/>
        <v>1522.5028409384497</v>
      </c>
      <c r="P21" s="114">
        <f t="shared" si="7"/>
        <v>1522.5028409384497</v>
      </c>
      <c r="Q21" s="114">
        <f t="shared" si="7"/>
        <v>1522.5028409384497</v>
      </c>
    </row>
    <row r="22" spans="2:17" x14ac:dyDescent="0.15">
      <c r="H22" s="114"/>
      <c r="I22" s="114"/>
      <c r="J22" s="114"/>
      <c r="K22" s="114"/>
      <c r="L22" s="114">
        <f>$L$8/$C$12</f>
        <v>1966.0227551491903</v>
      </c>
      <c r="M22" s="114">
        <f t="shared" ref="M22:Q22" si="8">$L$8/$C$12</f>
        <v>1966.0227551491903</v>
      </c>
      <c r="N22" s="114">
        <f t="shared" si="8"/>
        <v>1966.0227551491903</v>
      </c>
      <c r="O22" s="114">
        <f t="shared" si="8"/>
        <v>1966.0227551491903</v>
      </c>
      <c r="P22" s="114">
        <f t="shared" si="8"/>
        <v>1966.0227551491903</v>
      </c>
      <c r="Q22" s="114">
        <f t="shared" si="8"/>
        <v>1966.0227551491903</v>
      </c>
    </row>
    <row r="23" spans="2:17" x14ac:dyDescent="0.15">
      <c r="H23" s="114"/>
      <c r="I23" s="114"/>
      <c r="J23" s="114"/>
      <c r="K23" s="114"/>
      <c r="L23" s="114"/>
      <c r="M23" s="114">
        <f>$M$8/$C$12</f>
        <v>2532.4643558396174</v>
      </c>
      <c r="N23" s="114">
        <f t="shared" ref="N23:Q23" si="9">$M$8/$C$12</f>
        <v>2532.4643558396174</v>
      </c>
      <c r="O23" s="114">
        <f t="shared" si="9"/>
        <v>2532.4643558396174</v>
      </c>
      <c r="P23" s="114">
        <f t="shared" si="9"/>
        <v>2532.4643558396174</v>
      </c>
      <c r="Q23" s="114">
        <f t="shared" si="9"/>
        <v>2532.4643558396174</v>
      </c>
    </row>
    <row r="24" spans="2:17" x14ac:dyDescent="0.15">
      <c r="H24" s="114"/>
      <c r="I24" s="114"/>
      <c r="J24" s="114"/>
      <c r="K24" s="114"/>
      <c r="L24" s="114"/>
      <c r="M24" s="114"/>
      <c r="N24" s="114">
        <f>$N$8/$C$12</f>
        <v>3256.3093982842697</v>
      </c>
      <c r="O24" s="114">
        <f t="shared" ref="O24:Q24" si="10">$N$8/$C$12</f>
        <v>3256.3093982842697</v>
      </c>
      <c r="P24" s="114">
        <f t="shared" si="10"/>
        <v>3256.3093982842697</v>
      </c>
      <c r="Q24" s="114">
        <f t="shared" si="10"/>
        <v>3256.3093982842697</v>
      </c>
    </row>
    <row r="25" spans="2:17" x14ac:dyDescent="0.15">
      <c r="H25" s="114"/>
      <c r="I25" s="114"/>
      <c r="J25" s="114"/>
      <c r="K25" s="114"/>
      <c r="L25" s="114"/>
      <c r="M25" s="114"/>
      <c r="N25" s="114"/>
      <c r="O25" s="114">
        <f>$O$8/$C$12</f>
        <v>4181.6837108144036</v>
      </c>
      <c r="P25" s="114">
        <f t="shared" ref="P25:Q25" si="11">$O$8/$C$12</f>
        <v>4181.6837108144036</v>
      </c>
      <c r="Q25" s="114">
        <f t="shared" si="11"/>
        <v>4181.6837108144036</v>
      </c>
    </row>
    <row r="26" spans="2:17" x14ac:dyDescent="0.15">
      <c r="H26" s="114"/>
      <c r="I26" s="114"/>
      <c r="J26" s="114"/>
      <c r="K26" s="114"/>
      <c r="L26" s="114"/>
      <c r="M26" s="114"/>
      <c r="N26" s="114"/>
      <c r="O26" s="114"/>
      <c r="P26" s="114">
        <f>$P$8/$C$12</f>
        <v>5365.056472980782</v>
      </c>
      <c r="Q26" s="114">
        <f>$P$8/$C$12</f>
        <v>5365.056472980782</v>
      </c>
    </row>
    <row r="27" spans="2:17" x14ac:dyDescent="0.15">
      <c r="H27" s="114"/>
      <c r="I27" s="114"/>
      <c r="J27" s="114"/>
      <c r="K27" s="114"/>
      <c r="L27" s="114"/>
      <c r="M27" s="114"/>
      <c r="N27" s="114"/>
      <c r="O27" s="114"/>
      <c r="P27" s="114"/>
      <c r="Q27" s="114">
        <f>Q8/C12</f>
        <v>6878.6948594680052</v>
      </c>
    </row>
    <row r="28" spans="2:17" ht="14" thickBot="1" x14ac:dyDescent="0.2">
      <c r="B28" s="68" t="s">
        <v>219</v>
      </c>
      <c r="C28" s="69">
        <f t="shared" ref="C28:P28" si="12">SUM(C17:C27)</f>
        <v>0</v>
      </c>
      <c r="D28" s="69">
        <f t="shared" si="12"/>
        <v>0</v>
      </c>
      <c r="E28" s="69">
        <f t="shared" si="12"/>
        <v>0</v>
      </c>
      <c r="F28" s="69">
        <f t="shared" si="12"/>
        <v>0</v>
      </c>
      <c r="G28" s="69">
        <f t="shared" si="12"/>
        <v>0</v>
      </c>
      <c r="H28" s="69">
        <f t="shared" si="12"/>
        <v>4271.7532350212578</v>
      </c>
      <c r="I28" s="69">
        <f t="shared" si="12"/>
        <v>5174.0813097733617</v>
      </c>
      <c r="J28" s="69">
        <f t="shared" si="12"/>
        <v>6349.0391598490287</v>
      </c>
      <c r="K28" s="69">
        <f t="shared" si="12"/>
        <v>7871.5420007874782</v>
      </c>
      <c r="L28" s="69">
        <f t="shared" si="12"/>
        <v>9837.564755936668</v>
      </c>
      <c r="M28" s="69">
        <f t="shared" si="12"/>
        <v>12370.029111776286</v>
      </c>
      <c r="N28" s="69">
        <f t="shared" si="12"/>
        <v>15626.338510060556</v>
      </c>
      <c r="O28" s="69">
        <f t="shared" si="12"/>
        <v>19808.022220874958</v>
      </c>
      <c r="P28" s="69">
        <f t="shared" si="12"/>
        <v>25173.078693855739</v>
      </c>
      <c r="Q28" s="69">
        <f>SUM(Q17:Q27)</f>
        <v>32051.773553323743</v>
      </c>
    </row>
    <row r="31" spans="2:17" s="60" customFormat="1" ht="12" x14ac:dyDescent="0.15">
      <c r="B31" s="71" t="s">
        <v>53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</row>
    <row r="32" spans="2:17" s="60" customFormat="1" ht="12" x14ac:dyDescent="0.15">
      <c r="B32" s="72" t="s">
        <v>220</v>
      </c>
      <c r="C32" s="96"/>
      <c r="D32" s="96"/>
      <c r="E32" s="96"/>
      <c r="F32" s="96"/>
      <c r="G32" s="72"/>
      <c r="H32" s="50">
        <f>CHOOSE(Drivers!$C$3,'PP&amp;E'!H36,'PP&amp;E'!H39,'PP&amp;E'!H42)</f>
        <v>0.19202847277074941</v>
      </c>
      <c r="I32" s="50">
        <f>CHOOSE(Drivers!$C$3,'PP&amp;E'!I36,'PP&amp;E'!I39,'PP&amp;E'!I42)</f>
        <v>0.19202847277074941</v>
      </c>
      <c r="J32" s="50">
        <f>CHOOSE(Drivers!$C$3,'PP&amp;E'!J36,'PP&amp;E'!J39,'PP&amp;E'!J42)</f>
        <v>0.19202847277074941</v>
      </c>
      <c r="K32" s="50">
        <f>CHOOSE(Drivers!$C$3,'PP&amp;E'!K36,'PP&amp;E'!K39,'PP&amp;E'!K42)</f>
        <v>0.19202847277074941</v>
      </c>
      <c r="L32" s="50">
        <f>CHOOSE(Drivers!$C$3,'PP&amp;E'!L36,'PP&amp;E'!L39,'PP&amp;E'!L42)</f>
        <v>0.19202847277074941</v>
      </c>
      <c r="M32" s="50">
        <f>CHOOSE(Drivers!$C$3,'PP&amp;E'!M36,'PP&amp;E'!M39,'PP&amp;E'!M42)</f>
        <v>0.19202847277074941</v>
      </c>
      <c r="N32" s="50">
        <f>CHOOSE(Drivers!$C$3,'PP&amp;E'!N36,'PP&amp;E'!N39,'PP&amp;E'!N42)</f>
        <v>0.19202847277074941</v>
      </c>
      <c r="O32" s="50">
        <f>CHOOSE(Drivers!$C$3,'PP&amp;E'!O36,'PP&amp;E'!O39,'PP&amp;E'!O42)</f>
        <v>0.19202847277074941</v>
      </c>
      <c r="P32" s="50">
        <f>CHOOSE(Drivers!$C$3,'PP&amp;E'!P36,'PP&amp;E'!P39,'PP&amp;E'!P42)</f>
        <v>0.19202847277074941</v>
      </c>
      <c r="Q32" s="50">
        <f>CHOOSE(Drivers!$C$3,'PP&amp;E'!Q36,'PP&amp;E'!Q39,'PP&amp;E'!Q42)</f>
        <v>0.19202847277074941</v>
      </c>
    </row>
    <row r="33" spans="2:17" s="60" customFormat="1" ht="12" x14ac:dyDescent="0.15">
      <c r="B33" s="72" t="s">
        <v>221</v>
      </c>
      <c r="C33" s="74"/>
      <c r="D33" s="74"/>
      <c r="E33" s="74"/>
      <c r="F33" s="74"/>
      <c r="G33" s="72"/>
      <c r="H33" s="50">
        <f>CHOOSE(Drivers!$C$3,'PP&amp;E'!H37,'PP&amp;E'!H40,'PP&amp;E'!H43)</f>
        <v>3.4053330662578415E-2</v>
      </c>
      <c r="I33" s="50">
        <f>CHOOSE(Drivers!$C$3,'PP&amp;E'!I37,'PP&amp;E'!I40,'PP&amp;E'!I43)</f>
        <v>3.4053330662578415E-2</v>
      </c>
      <c r="J33" s="50">
        <f>CHOOSE(Drivers!$C$3,'PP&amp;E'!J37,'PP&amp;E'!J40,'PP&amp;E'!J43)</f>
        <v>3.4053330662578415E-2</v>
      </c>
      <c r="K33" s="50">
        <f>CHOOSE(Drivers!$C$3,'PP&amp;E'!K37,'PP&amp;E'!K40,'PP&amp;E'!K43)</f>
        <v>3.4053330662578415E-2</v>
      </c>
      <c r="L33" s="50">
        <f>CHOOSE(Drivers!$C$3,'PP&amp;E'!L37,'PP&amp;E'!L40,'PP&amp;E'!L43)</f>
        <v>3.4053330662578415E-2</v>
      </c>
      <c r="M33" s="50">
        <f>CHOOSE(Drivers!$C$3,'PP&amp;E'!M37,'PP&amp;E'!M40,'PP&amp;E'!M43)</f>
        <v>3.4053330662578415E-2</v>
      </c>
      <c r="N33" s="50">
        <f>CHOOSE(Drivers!$C$3,'PP&amp;E'!N37,'PP&amp;E'!N40,'PP&amp;E'!N43)</f>
        <v>3.4053330662578415E-2</v>
      </c>
      <c r="O33" s="50">
        <f>CHOOSE(Drivers!$C$3,'PP&amp;E'!O37,'PP&amp;E'!O40,'PP&amp;E'!O43)</f>
        <v>3.4053330662578415E-2</v>
      </c>
      <c r="P33" s="50">
        <f>CHOOSE(Drivers!$C$3,'PP&amp;E'!P37,'PP&amp;E'!P40,'PP&amp;E'!P43)</f>
        <v>3.4053330662578415E-2</v>
      </c>
      <c r="Q33" s="50">
        <f>CHOOSE(Drivers!$C$3,'PP&amp;E'!Q37,'PP&amp;E'!Q40,'PP&amp;E'!Q43)</f>
        <v>9.4053330662578413E-2</v>
      </c>
    </row>
    <row r="34" spans="2:17" s="60" customFormat="1" ht="12" x14ac:dyDescent="0.15">
      <c r="B34" s="94" t="s">
        <v>222</v>
      </c>
      <c r="C34" s="74"/>
      <c r="D34" s="74"/>
      <c r="E34" s="74"/>
      <c r="F34" s="74"/>
      <c r="G34" s="72"/>
      <c r="H34" s="74"/>
      <c r="I34" s="75"/>
      <c r="J34" s="75"/>
      <c r="K34" s="75"/>
      <c r="L34" s="75"/>
      <c r="M34" s="75"/>
      <c r="N34" s="75"/>
      <c r="O34" s="75"/>
      <c r="P34" s="75"/>
      <c r="Q34" s="75"/>
    </row>
    <row r="35" spans="2:17" s="60" customFormat="1" ht="12" x14ac:dyDescent="0.15">
      <c r="B35" s="71" t="s">
        <v>152</v>
      </c>
      <c r="C35" s="72"/>
      <c r="D35" s="72"/>
      <c r="E35" s="72"/>
      <c r="F35" s="72"/>
      <c r="G35" s="72"/>
      <c r="H35" s="75"/>
      <c r="I35" s="75"/>
      <c r="J35" s="75"/>
      <c r="K35" s="75"/>
      <c r="L35" s="75"/>
      <c r="M35" s="75"/>
      <c r="N35" s="75"/>
      <c r="O35" s="75"/>
      <c r="P35" s="75"/>
      <c r="Q35" s="75"/>
    </row>
    <row r="36" spans="2:17" s="60" customFormat="1" ht="12" x14ac:dyDescent="0.15">
      <c r="B36" s="72" t="s">
        <v>220</v>
      </c>
      <c r="C36" s="74"/>
      <c r="D36" s="74"/>
      <c r="E36" s="74"/>
      <c r="F36" s="74"/>
      <c r="G36" s="72"/>
      <c r="H36" s="50">
        <f>H39-5%</f>
        <v>0.19202847277074941</v>
      </c>
      <c r="I36" s="50">
        <f t="shared" ref="I36:Q36" si="13">I39-5%</f>
        <v>0.19202847277074941</v>
      </c>
      <c r="J36" s="50">
        <f t="shared" si="13"/>
        <v>0.19202847277074941</v>
      </c>
      <c r="K36" s="50">
        <f t="shared" si="13"/>
        <v>0.19202847277074941</v>
      </c>
      <c r="L36" s="50">
        <f t="shared" si="13"/>
        <v>0.19202847277074941</v>
      </c>
      <c r="M36" s="50">
        <f t="shared" si="13"/>
        <v>0.19202847277074941</v>
      </c>
      <c r="N36" s="50">
        <f t="shared" si="13"/>
        <v>0.19202847277074941</v>
      </c>
      <c r="O36" s="50">
        <f t="shared" si="13"/>
        <v>0.19202847277074941</v>
      </c>
      <c r="P36" s="50">
        <f t="shared" si="13"/>
        <v>0.19202847277074941</v>
      </c>
      <c r="Q36" s="50">
        <f t="shared" si="13"/>
        <v>0.19202847277074941</v>
      </c>
    </row>
    <row r="37" spans="2:17" s="60" customFormat="1" ht="12" x14ac:dyDescent="0.15">
      <c r="B37" s="72" t="str">
        <f>B33</f>
        <v>Capex as a % of revenue</v>
      </c>
      <c r="C37" s="74"/>
      <c r="D37" s="25"/>
      <c r="E37" s="25"/>
      <c r="F37" s="25"/>
      <c r="G37" s="72"/>
      <c r="H37" s="50">
        <f>H40-3%</f>
        <v>3.4053330662578415E-2</v>
      </c>
      <c r="I37" s="50">
        <f t="shared" ref="I37:P37" si="14">I40-3%</f>
        <v>3.4053330662578415E-2</v>
      </c>
      <c r="J37" s="50">
        <f t="shared" si="14"/>
        <v>3.4053330662578415E-2</v>
      </c>
      <c r="K37" s="50">
        <f t="shared" si="14"/>
        <v>3.4053330662578415E-2</v>
      </c>
      <c r="L37" s="50">
        <f t="shared" si="14"/>
        <v>3.4053330662578415E-2</v>
      </c>
      <c r="M37" s="50">
        <f t="shared" si="14"/>
        <v>3.4053330662578415E-2</v>
      </c>
      <c r="N37" s="50">
        <f t="shared" si="14"/>
        <v>3.4053330662578415E-2</v>
      </c>
      <c r="O37" s="50">
        <f t="shared" si="14"/>
        <v>3.4053330662578415E-2</v>
      </c>
      <c r="P37" s="50">
        <f t="shared" si="14"/>
        <v>3.4053330662578415E-2</v>
      </c>
      <c r="Q37" s="50">
        <f t="shared" ref="Q37" si="15">Q40+3%</f>
        <v>9.4053330662578413E-2</v>
      </c>
    </row>
    <row r="38" spans="2:17" s="60" customFormat="1" ht="12" x14ac:dyDescent="0.15">
      <c r="B38" s="71" t="s">
        <v>153</v>
      </c>
      <c r="C38" s="72"/>
      <c r="D38" s="72"/>
      <c r="E38" s="72"/>
      <c r="F38" s="72"/>
      <c r="G38" s="72"/>
      <c r="H38" s="75"/>
      <c r="I38" s="75"/>
      <c r="J38" s="75"/>
      <c r="K38" s="75"/>
      <c r="L38" s="75"/>
      <c r="M38" s="75"/>
      <c r="N38" s="75"/>
      <c r="O38" s="75"/>
      <c r="P38" s="75"/>
      <c r="Q38" s="75"/>
    </row>
    <row r="39" spans="2:17" s="60" customFormat="1" ht="12" x14ac:dyDescent="0.15">
      <c r="B39" s="72" t="s">
        <v>220</v>
      </c>
      <c r="C39" s="74"/>
      <c r="D39" s="74"/>
      <c r="E39" s="74"/>
      <c r="F39" s="74"/>
      <c r="G39" s="72"/>
      <c r="H39" s="97">
        <f>-'PP&amp;E Comparables'!D16</f>
        <v>0.24202847277074943</v>
      </c>
      <c r="I39" s="50">
        <f t="shared" ref="I39:K39" si="16">H39</f>
        <v>0.24202847277074943</v>
      </c>
      <c r="J39" s="50">
        <f t="shared" si="16"/>
        <v>0.24202847277074943</v>
      </c>
      <c r="K39" s="50">
        <f t="shared" si="16"/>
        <v>0.24202847277074943</v>
      </c>
      <c r="L39" s="50">
        <f>K39</f>
        <v>0.24202847277074943</v>
      </c>
      <c r="M39" s="50">
        <f t="shared" ref="M39:Q39" si="17">L39</f>
        <v>0.24202847277074943</v>
      </c>
      <c r="N39" s="50">
        <f t="shared" si="17"/>
        <v>0.24202847277074943</v>
      </c>
      <c r="O39" s="50">
        <f t="shared" si="17"/>
        <v>0.24202847277074943</v>
      </c>
      <c r="P39" s="50">
        <f t="shared" si="17"/>
        <v>0.24202847277074943</v>
      </c>
      <c r="Q39" s="50">
        <f t="shared" si="17"/>
        <v>0.24202847277074943</v>
      </c>
    </row>
    <row r="40" spans="2:17" s="60" customFormat="1" ht="12" x14ac:dyDescent="0.15">
      <c r="B40" s="72" t="str">
        <f>B33</f>
        <v>Capex as a % of revenue</v>
      </c>
      <c r="C40" s="74"/>
      <c r="D40" s="25"/>
      <c r="E40" s="25"/>
      <c r="F40" s="25"/>
      <c r="G40" s="72"/>
      <c r="H40" s="50">
        <f>-'PP&amp;E Comparables'!G16</f>
        <v>6.4053330662578414E-2</v>
      </c>
      <c r="I40" s="50">
        <f>H40</f>
        <v>6.4053330662578414E-2</v>
      </c>
      <c r="J40" s="50">
        <f>I40</f>
        <v>6.4053330662578414E-2</v>
      </c>
      <c r="K40" s="50">
        <f>J40</f>
        <v>6.4053330662578414E-2</v>
      </c>
      <c r="L40" s="50">
        <f>K40</f>
        <v>6.4053330662578414E-2</v>
      </c>
      <c r="M40" s="50">
        <f>L40</f>
        <v>6.4053330662578414E-2</v>
      </c>
      <c r="N40" s="50">
        <f>M40</f>
        <v>6.4053330662578414E-2</v>
      </c>
      <c r="O40" s="50">
        <f>N40</f>
        <v>6.4053330662578414E-2</v>
      </c>
      <c r="P40" s="50">
        <f>O40</f>
        <v>6.4053330662578414E-2</v>
      </c>
      <c r="Q40" s="50">
        <f>P40</f>
        <v>6.4053330662578414E-2</v>
      </c>
    </row>
    <row r="41" spans="2:17" s="60" customFormat="1" ht="12" x14ac:dyDescent="0.15">
      <c r="B41" s="71" t="s">
        <v>154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</row>
    <row r="42" spans="2:17" x14ac:dyDescent="0.15">
      <c r="B42" s="72" t="s">
        <v>220</v>
      </c>
      <c r="C42" s="74"/>
      <c r="D42" s="25"/>
      <c r="E42" s="25"/>
      <c r="F42" s="25"/>
      <c r="G42" s="72"/>
      <c r="H42" s="50">
        <f>H39+5%</f>
        <v>0.29202847277074945</v>
      </c>
      <c r="I42" s="50">
        <f t="shared" ref="I42:Q42" si="18">I39+5%</f>
        <v>0.29202847277074945</v>
      </c>
      <c r="J42" s="50">
        <f t="shared" si="18"/>
        <v>0.29202847277074945</v>
      </c>
      <c r="K42" s="50">
        <f t="shared" si="18"/>
        <v>0.29202847277074945</v>
      </c>
      <c r="L42" s="50">
        <f t="shared" si="18"/>
        <v>0.29202847277074945</v>
      </c>
      <c r="M42" s="50">
        <f t="shared" si="18"/>
        <v>0.29202847277074945</v>
      </c>
      <c r="N42" s="50">
        <f t="shared" si="18"/>
        <v>0.29202847277074945</v>
      </c>
      <c r="O42" s="50">
        <f t="shared" si="18"/>
        <v>0.29202847277074945</v>
      </c>
      <c r="P42" s="50">
        <f t="shared" si="18"/>
        <v>0.29202847277074945</v>
      </c>
      <c r="Q42" s="50">
        <f t="shared" si="18"/>
        <v>0.29202847277074945</v>
      </c>
    </row>
    <row r="43" spans="2:17" s="60" customFormat="1" ht="12" x14ac:dyDescent="0.15">
      <c r="B43" s="72" t="str">
        <f>B33</f>
        <v>Capex as a % of revenue</v>
      </c>
      <c r="C43" s="74"/>
      <c r="D43" s="25"/>
      <c r="E43" s="25"/>
      <c r="F43" s="25"/>
      <c r="G43" s="72"/>
      <c r="H43" s="50">
        <f>H40+3%</f>
        <v>9.4053330662578413E-2</v>
      </c>
      <c r="I43" s="50">
        <f t="shared" ref="I43:P43" si="19">I40+3%</f>
        <v>9.4053330662578413E-2</v>
      </c>
      <c r="J43" s="50">
        <f t="shared" si="19"/>
        <v>9.4053330662578413E-2</v>
      </c>
      <c r="K43" s="50">
        <f t="shared" si="19"/>
        <v>9.4053330662578413E-2</v>
      </c>
      <c r="L43" s="50">
        <f t="shared" si="19"/>
        <v>9.4053330662578413E-2</v>
      </c>
      <c r="M43" s="50">
        <f t="shared" si="19"/>
        <v>9.4053330662578413E-2</v>
      </c>
      <c r="N43" s="50">
        <f t="shared" si="19"/>
        <v>9.4053330662578413E-2</v>
      </c>
      <c r="O43" s="50">
        <f t="shared" si="19"/>
        <v>9.4053330662578413E-2</v>
      </c>
      <c r="P43" s="50">
        <f t="shared" si="19"/>
        <v>9.4053330662578413E-2</v>
      </c>
      <c r="Q43" s="50">
        <f t="shared" ref="Q43" si="20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41DF1729-BDF7-4024-BEEF-7CB8DF1C437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3E81-C416-4B2E-A8F7-CD132BAB8B83}">
  <dimension ref="A1:G16"/>
  <sheetViews>
    <sheetView workbookViewId="0">
      <selection activeCell="C11" sqref="C11"/>
    </sheetView>
  </sheetViews>
  <sheetFormatPr baseColWidth="10" defaultColWidth="9.1640625" defaultRowHeight="12" x14ac:dyDescent="0.15"/>
  <cols>
    <col min="1" max="1" width="2" style="60" customWidth="1"/>
    <col min="2" max="2" width="17.6640625" style="60" customWidth="1"/>
    <col min="3" max="4" width="12.83203125" style="60" customWidth="1"/>
    <col min="5" max="5" width="2" style="60" customWidth="1"/>
    <col min="6" max="7" width="12.83203125" style="60" customWidth="1"/>
    <col min="8" max="16384" width="9.1640625" style="60"/>
  </cols>
  <sheetData>
    <row r="1" spans="1:7" ht="16" x14ac:dyDescent="0.15">
      <c r="A1" s="58"/>
      <c r="B1" s="59" t="s">
        <v>223</v>
      </c>
    </row>
    <row r="2" spans="1:7" ht="16" x14ac:dyDescent="0.15">
      <c r="A2" s="58"/>
      <c r="B2" s="59"/>
    </row>
    <row r="3" spans="1:7" ht="13" x14ac:dyDescent="0.15">
      <c r="A3" s="58"/>
      <c r="B3" s="78" t="s">
        <v>194</v>
      </c>
    </row>
    <row r="5" spans="1:7" x14ac:dyDescent="0.15">
      <c r="C5" s="122" t="s">
        <v>224</v>
      </c>
      <c r="D5" s="122"/>
      <c r="F5" s="122" t="s">
        <v>225</v>
      </c>
      <c r="G5" s="122"/>
    </row>
    <row r="6" spans="1:7" ht="13" x14ac:dyDescent="0.15">
      <c r="B6" s="63" t="s">
        <v>75</v>
      </c>
      <c r="C6" s="66" t="s">
        <v>132</v>
      </c>
      <c r="D6" s="66" t="s">
        <v>133</v>
      </c>
      <c r="F6" s="66" t="s">
        <v>132</v>
      </c>
      <c r="G6" s="66" t="s">
        <v>133</v>
      </c>
    </row>
    <row r="7" spans="1:7" x14ac:dyDescent="0.15">
      <c r="B7" s="60" t="s">
        <v>134</v>
      </c>
      <c r="C7" s="98">
        <v>-0.1959225806451613</v>
      </c>
      <c r="D7" s="83">
        <f t="shared" ref="D7:D15" si="0">C7</f>
        <v>-0.1959225806451613</v>
      </c>
      <c r="F7" s="98">
        <v>-5.5320358212435423E-2</v>
      </c>
      <c r="G7" s="87">
        <f t="shared" ref="G7:G13" si="1">F7</f>
        <v>-5.5320358212435423E-2</v>
      </c>
    </row>
    <row r="8" spans="1:7" x14ac:dyDescent="0.15">
      <c r="B8" s="60" t="s">
        <v>135</v>
      </c>
      <c r="C8" s="83">
        <v>-0.21112278180109459</v>
      </c>
      <c r="D8" s="83">
        <f t="shared" si="0"/>
        <v>-0.21112278180109459</v>
      </c>
      <c r="F8" s="83">
        <v>-4.8992944194996793E-2</v>
      </c>
      <c r="G8" s="87">
        <f t="shared" si="1"/>
        <v>-4.8992944194996793E-2</v>
      </c>
    </row>
    <row r="9" spans="1:7" x14ac:dyDescent="0.15">
      <c r="B9" s="60" t="s">
        <v>136</v>
      </c>
      <c r="C9" s="83">
        <v>-0.2930998322147651</v>
      </c>
      <c r="D9" s="83">
        <f t="shared" si="0"/>
        <v>-0.2930998322147651</v>
      </c>
      <c r="F9" s="83">
        <v>-7.7504690951777935E-2</v>
      </c>
      <c r="G9" s="83">
        <f t="shared" si="1"/>
        <v>-7.7504690951777935E-2</v>
      </c>
    </row>
    <row r="10" spans="1:7" x14ac:dyDescent="0.15">
      <c r="B10" s="60" t="s">
        <v>137</v>
      </c>
      <c r="C10" s="83">
        <v>-0.29601301156094773</v>
      </c>
      <c r="D10" s="83">
        <f t="shared" si="0"/>
        <v>-0.29601301156094773</v>
      </c>
      <c r="F10" s="83">
        <v>-7.3449532078270541E-2</v>
      </c>
      <c r="G10" s="87">
        <f t="shared" si="1"/>
        <v>-7.3449532078270541E-2</v>
      </c>
    </row>
    <row r="11" spans="1:7" x14ac:dyDescent="0.15">
      <c r="B11" s="60" t="s">
        <v>226</v>
      </c>
      <c r="C11" s="83">
        <v>-0.19381848531351803</v>
      </c>
      <c r="D11" s="83">
        <f t="shared" si="0"/>
        <v>-0.19381848531351803</v>
      </c>
      <c r="F11" s="83">
        <v>-4.1674143969434717E-2</v>
      </c>
      <c r="G11" s="87">
        <f t="shared" si="1"/>
        <v>-4.1674143969434717E-2</v>
      </c>
    </row>
    <row r="12" spans="1:7" x14ac:dyDescent="0.15">
      <c r="B12" s="60" t="s">
        <v>138</v>
      </c>
      <c r="C12" s="83">
        <v>-0.2151106542508163</v>
      </c>
      <c r="D12" s="83">
        <f t="shared" si="0"/>
        <v>-0.2151106542508163</v>
      </c>
      <c r="F12" s="83">
        <v>-5.6326989455017573E-2</v>
      </c>
      <c r="G12" s="87">
        <f t="shared" si="1"/>
        <v>-5.6326989455017573E-2</v>
      </c>
    </row>
    <row r="13" spans="1:7" x14ac:dyDescent="0.15">
      <c r="B13" s="60" t="s">
        <v>139</v>
      </c>
      <c r="C13" s="83">
        <v>-0.24491682070240295</v>
      </c>
      <c r="D13" s="83">
        <f t="shared" si="0"/>
        <v>-0.24491682070240295</v>
      </c>
      <c r="F13" s="83">
        <v>-6.5664491616420254E-2</v>
      </c>
      <c r="G13" s="87">
        <f t="shared" si="1"/>
        <v>-6.5664491616420254E-2</v>
      </c>
    </row>
    <row r="14" spans="1:7" x14ac:dyDescent="0.15">
      <c r="B14" s="60" t="s">
        <v>141</v>
      </c>
      <c r="C14" s="83">
        <v>-0.32922296223444636</v>
      </c>
      <c r="D14" s="83">
        <f t="shared" si="0"/>
        <v>-0.32922296223444636</v>
      </c>
      <c r="F14" s="83">
        <v>-9.3493494822274106E-2</v>
      </c>
      <c r="G14" s="87">
        <f>F14</f>
        <v>-9.3493494822274106E-2</v>
      </c>
    </row>
    <row r="15" spans="1:7" x14ac:dyDescent="0.15">
      <c r="B15" s="60" t="s">
        <v>144</v>
      </c>
      <c r="C15" s="83">
        <v>-0.19902912621359223</v>
      </c>
      <c r="D15" s="83">
        <f t="shared" si="0"/>
        <v>-0.19902912621359223</v>
      </c>
      <c r="F15" s="83">
        <v>-2.3797678275290217E-2</v>
      </c>
      <c r="G15" s="118"/>
    </row>
    <row r="16" spans="1:7" x14ac:dyDescent="0.15">
      <c r="B16" s="91" t="s">
        <v>132</v>
      </c>
      <c r="C16" s="119">
        <f>AVERAGE(C7:C15)</f>
        <v>-0.24202847277074943</v>
      </c>
      <c r="D16" s="119">
        <f>AVERAGE(D7:D15)</f>
        <v>-0.24202847277074943</v>
      </c>
      <c r="F16" s="119">
        <f>AVERAGE(F7:F15)</f>
        <v>-5.9580480397324172E-2</v>
      </c>
      <c r="G16" s="119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comparables</vt:lpstr>
      <vt:lpstr>Revenue automotive</vt:lpstr>
      <vt:lpstr>GP% automotive</vt:lpstr>
      <vt:lpstr>GP automotive</vt:lpstr>
      <vt:lpstr>COGS Automative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Akshat Singla</cp:lastModifiedBy>
  <dcterms:created xsi:type="dcterms:W3CDTF">2017-12-26T16:16:22Z</dcterms:created>
  <dcterms:modified xsi:type="dcterms:W3CDTF">2025-11-10T18:55:44Z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