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81df3aed6a1090/Documents/"/>
    </mc:Choice>
  </mc:AlternateContent>
  <xr:revisionPtr revIDLastSave="1" documentId="8_{04F34FC5-EED1-4BCB-909B-B6169AB62C0D}" xr6:coauthVersionLast="47" xr6:coauthVersionMax="47" xr10:uidLastSave="{47C8FDCF-5943-49F4-895A-24185E425B17}"/>
  <bookViews>
    <workbookView xWindow="-108" yWindow="-108" windowWidth="23256" windowHeight="12456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input'!$D$22:$T$66</definedName>
    <definedName name="DCF_1">'DCF input'!$F$73:$I$76</definedName>
    <definedName name="DCF_2">'DCF input'!$E$93:$J$98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input'!$B$2:$U$127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5" i="31" l="1"/>
  <c r="M45" i="31"/>
  <c r="S45" i="31"/>
  <c r="J45" i="31"/>
  <c r="K45" i="31"/>
  <c r="I58" i="31"/>
  <c r="J58" i="31"/>
  <c r="K58" i="31"/>
  <c r="L58" i="31"/>
  <c r="M58" i="31"/>
  <c r="N58" i="31"/>
  <c r="I57" i="31"/>
  <c r="J57" i="31"/>
  <c r="K57" i="31"/>
  <c r="L57" i="31"/>
  <c r="M57" i="31"/>
  <c r="N57" i="31"/>
  <c r="O57" i="31"/>
  <c r="P57" i="31"/>
  <c r="Q57" i="31"/>
  <c r="R57" i="31"/>
  <c r="S57" i="31"/>
  <c r="I55" i="31"/>
  <c r="J55" i="31"/>
  <c r="K55" i="31"/>
  <c r="L55" i="31"/>
  <c r="M55" i="31"/>
  <c r="N55" i="31"/>
  <c r="I54" i="31"/>
  <c r="J54" i="31"/>
  <c r="K54" i="31"/>
  <c r="L54" i="31"/>
  <c r="M54" i="31"/>
  <c r="N54" i="31"/>
  <c r="O54" i="31"/>
  <c r="P54" i="31"/>
  <c r="Q54" i="31"/>
  <c r="R54" i="31"/>
  <c r="S54" i="31"/>
  <c r="N52" i="31"/>
  <c r="N51" i="31"/>
  <c r="I49" i="31"/>
  <c r="J49" i="31"/>
  <c r="K49" i="31"/>
  <c r="L49" i="31"/>
  <c r="M49" i="31"/>
  <c r="S49" i="31"/>
  <c r="I47" i="31"/>
  <c r="I48" i="31" s="1"/>
  <c r="J47" i="31"/>
  <c r="J48" i="31" s="1"/>
  <c r="K47" i="31"/>
  <c r="K48" i="31" s="1"/>
  <c r="L47" i="31"/>
  <c r="L48" i="31" s="1"/>
  <c r="M47" i="31"/>
  <c r="M48" i="31" s="1"/>
  <c r="N47" i="31"/>
  <c r="N48" i="31" s="1"/>
  <c r="O47" i="31"/>
  <c r="P47" i="31"/>
  <c r="Q47" i="31"/>
  <c r="R47" i="31"/>
  <c r="S47" i="31"/>
  <c r="G31" i="31"/>
  <c r="G32" i="31" s="1"/>
  <c r="H31" i="31"/>
  <c r="H32" i="31" s="1"/>
  <c r="I31" i="31"/>
  <c r="I32" i="31" s="1"/>
  <c r="J31" i="31"/>
  <c r="K31" i="31"/>
  <c r="L31" i="31"/>
  <c r="L32" i="31" s="1"/>
  <c r="M31" i="31"/>
  <c r="M32" i="31" s="1"/>
  <c r="S31" i="31"/>
  <c r="M27" i="31"/>
  <c r="L27" i="31"/>
  <c r="K27" i="31"/>
  <c r="J27" i="31"/>
  <c r="I27" i="31"/>
  <c r="H27" i="31"/>
  <c r="G27" i="31"/>
  <c r="G29" i="31" s="1"/>
  <c r="N24" i="31"/>
  <c r="M24" i="31"/>
  <c r="L24" i="31"/>
  <c r="K24" i="31"/>
  <c r="J24" i="31"/>
  <c r="I24" i="31"/>
  <c r="H24" i="31"/>
  <c r="G24" i="31"/>
  <c r="G57" i="31"/>
  <c r="H57" i="31"/>
  <c r="H58" i="31" s="1"/>
  <c r="F57" i="31"/>
  <c r="F58" i="31" s="1"/>
  <c r="F49" i="31"/>
  <c r="F48" i="31"/>
  <c r="G52" i="31"/>
  <c r="H52" i="31"/>
  <c r="G54" i="31"/>
  <c r="H54" i="31"/>
  <c r="F54" i="31"/>
  <c r="G51" i="31"/>
  <c r="H51" i="31"/>
  <c r="F51" i="31"/>
  <c r="F52" i="31" s="1"/>
  <c r="I39" i="31"/>
  <c r="I38" i="31" s="1"/>
  <c r="I41" i="31" s="1"/>
  <c r="I42" i="31" s="1"/>
  <c r="J39" i="31"/>
  <c r="J38" i="31" s="1"/>
  <c r="J41" i="31" s="1"/>
  <c r="J42" i="31" s="1"/>
  <c r="K39" i="31"/>
  <c r="K38" i="31" s="1"/>
  <c r="K41" i="31" s="1"/>
  <c r="K42" i="31" s="1"/>
  <c r="L39" i="31"/>
  <c r="L38" i="31" s="1"/>
  <c r="L41" i="31" s="1"/>
  <c r="L42" i="31" s="1"/>
  <c r="M39" i="31"/>
  <c r="M38" i="31" s="1"/>
  <c r="M41" i="31" s="1"/>
  <c r="M42" i="31" s="1"/>
  <c r="N39" i="31"/>
  <c r="O39" i="31"/>
  <c r="P39" i="31"/>
  <c r="Q39" i="31"/>
  <c r="R39" i="31"/>
  <c r="S39" i="31"/>
  <c r="G47" i="31"/>
  <c r="H47" i="31"/>
  <c r="F47" i="31"/>
  <c r="F31" i="31"/>
  <c r="F27" i="31"/>
  <c r="F28" i="31" s="1"/>
  <c r="F24" i="31"/>
  <c r="F32" i="31" s="1"/>
  <c r="P18" i="45"/>
  <c r="K22" i="45"/>
  <c r="N14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K32" i="31" l="1"/>
  <c r="H29" i="31"/>
  <c r="K28" i="31"/>
  <c r="F55" i="31"/>
  <c r="M29" i="31"/>
  <c r="J32" i="31"/>
  <c r="H48" i="31"/>
  <c r="K29" i="31"/>
  <c r="I29" i="31"/>
  <c r="J28" i="31"/>
  <c r="L29" i="31"/>
  <c r="G49" i="31"/>
  <c r="J29" i="31"/>
  <c r="L28" i="31"/>
  <c r="M28" i="31"/>
  <c r="H49" i="31"/>
  <c r="I28" i="31"/>
  <c r="H28" i="31"/>
  <c r="G28" i="31"/>
  <c r="H25" i="31"/>
  <c r="H55" i="31"/>
  <c r="G48" i="31"/>
  <c r="G55" i="31"/>
  <c r="G58" i="31"/>
  <c r="G25" i="31"/>
  <c r="E19" i="9"/>
  <c r="D110" i="31" l="1"/>
  <c r="D22" i="31"/>
  <c r="C9" i="45"/>
  <c r="G76" i="45" l="1"/>
  <c r="H76" i="45"/>
  <c r="I76" i="45"/>
  <c r="J76" i="45"/>
  <c r="K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4" i="31" l="1"/>
  <c r="F124" i="31"/>
  <c r="H123" i="31"/>
  <c r="G123" i="31"/>
  <c r="F123" i="31"/>
  <c r="N24" i="40"/>
  <c r="N78" i="45"/>
  <c r="R78" i="45"/>
  <c r="P54" i="45"/>
  <c r="M78" i="45"/>
  <c r="S53" i="45"/>
  <c r="S54" i="45" s="1"/>
  <c r="L78" i="45"/>
  <c r="H124" i="31"/>
  <c r="O54" i="45"/>
  <c r="Q54" i="45"/>
  <c r="M54" i="45"/>
  <c r="N54" i="45"/>
  <c r="N124" i="31" l="1"/>
  <c r="J123" i="31"/>
  <c r="I124" i="31"/>
  <c r="N26" i="40"/>
  <c r="N123" i="31"/>
  <c r="M24" i="40"/>
  <c r="S124" i="31"/>
  <c r="K124" i="31"/>
  <c r="O124" i="31"/>
  <c r="I123" i="31"/>
  <c r="S78" i="45"/>
  <c r="T53" i="45"/>
  <c r="Q124" i="31" l="1"/>
  <c r="R124" i="31"/>
  <c r="P124" i="31"/>
  <c r="Q24" i="40"/>
  <c r="K24" i="40"/>
  <c r="J26" i="40"/>
  <c r="O24" i="40"/>
  <c r="S24" i="40"/>
  <c r="L124" i="31"/>
  <c r="L24" i="40"/>
  <c r="K26" i="40"/>
  <c r="K123" i="31"/>
  <c r="O26" i="40"/>
  <c r="O123" i="31"/>
  <c r="L26" i="40"/>
  <c r="L123" i="31"/>
  <c r="M124" i="31"/>
  <c r="J124" i="31"/>
  <c r="J24" i="40"/>
  <c r="T54" i="45"/>
  <c r="T78" i="45"/>
  <c r="U53" i="45"/>
  <c r="P24" i="40" l="1"/>
  <c r="R24" i="40"/>
  <c r="M123" i="31"/>
  <c r="M26" i="40"/>
  <c r="U78" i="45"/>
  <c r="V53" i="45"/>
  <c r="U54" i="45"/>
  <c r="P123" i="31" l="1"/>
  <c r="P26" i="40"/>
  <c r="V54" i="45"/>
  <c r="V78" i="45"/>
  <c r="Q26" i="40" l="1"/>
  <c r="Q123" i="31"/>
  <c r="R26" i="40" l="1"/>
  <c r="R123" i="31"/>
  <c r="S26" i="40" l="1"/>
  <c r="S123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M32" i="45" l="1"/>
  <c r="K66" i="45"/>
  <c r="M11" i="45"/>
  <c r="M33" i="45" s="1"/>
  <c r="L55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N11" i="45" l="1"/>
  <c r="N33" i="45" s="1"/>
  <c r="L73" i="45"/>
  <c r="L79" i="45"/>
  <c r="M55" i="45"/>
  <c r="B31" i="44"/>
  <c r="L18" i="45"/>
  <c r="L15" i="45" s="1"/>
  <c r="C31" i="44"/>
  <c r="C32" i="44" s="1"/>
  <c r="M18" i="45"/>
  <c r="M15" i="45" s="1"/>
  <c r="F31" i="44"/>
  <c r="F32" i="44" s="1"/>
  <c r="D31" i="44"/>
  <c r="D32" i="44" s="1"/>
  <c r="N18" i="45"/>
  <c r="E31" i="44"/>
  <c r="E32" i="44" s="1"/>
  <c r="O18" i="45"/>
  <c r="M42" i="45"/>
  <c r="M60" i="45"/>
  <c r="L61" i="45"/>
  <c r="K9" i="45"/>
  <c r="J58" i="45"/>
  <c r="G22" i="31" s="1"/>
  <c r="T47" i="45"/>
  <c r="O11" i="45" l="1"/>
  <c r="O33" i="45" s="1"/>
  <c r="N15" i="45"/>
  <c r="M79" i="45"/>
  <c r="N55" i="45"/>
  <c r="L25" i="45"/>
  <c r="M25" i="45"/>
  <c r="L17" i="45"/>
  <c r="L71" i="45"/>
  <c r="L43" i="45"/>
  <c r="L62" i="45"/>
  <c r="B35" i="44"/>
  <c r="B32" i="44"/>
  <c r="M43" i="45"/>
  <c r="N42" i="45"/>
  <c r="M61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5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0" i="31" l="1"/>
  <c r="G111" i="31" l="1"/>
  <c r="H34" i="31" l="1"/>
  <c r="H111" i="31"/>
  <c r="H112" i="31" s="1"/>
  <c r="H121" i="31"/>
  <c r="G122" i="31"/>
  <c r="H110" i="31"/>
  <c r="I8" i="40"/>
  <c r="H35" i="31" l="1"/>
  <c r="H120" i="31"/>
  <c r="H113" i="31"/>
  <c r="H114" i="31" s="1"/>
  <c r="H122" i="31"/>
  <c r="I110" i="31"/>
  <c r="H115" i="31"/>
  <c r="H116" i="31" s="1"/>
  <c r="J8" i="40"/>
  <c r="J110" i="31" l="1"/>
  <c r="K8" i="40"/>
  <c r="K110" i="31" l="1"/>
  <c r="L8" i="40"/>
  <c r="L110" i="31" l="1"/>
  <c r="M8" i="40"/>
  <c r="M110" i="31" l="1"/>
  <c r="N8" i="40"/>
  <c r="N110" i="31" l="1"/>
  <c r="O8" i="40"/>
  <c r="O110" i="31" l="1"/>
  <c r="P8" i="40"/>
  <c r="P110" i="31" l="1"/>
  <c r="Q8" i="40"/>
  <c r="Q110" i="31" l="1"/>
  <c r="R8" i="40"/>
  <c r="S8" i="40" l="1"/>
  <c r="S110" i="31"/>
  <c r="R110" i="31"/>
  <c r="E96" i="31" l="1"/>
  <c r="E95" i="31" s="1"/>
  <c r="K20" i="40"/>
  <c r="L20" i="40"/>
  <c r="K29" i="40"/>
  <c r="F111" i="31"/>
  <c r="F7" i="31"/>
  <c r="E105" i="31"/>
  <c r="E106" i="31" s="1"/>
  <c r="E107" i="31" s="1"/>
  <c r="O102" i="31"/>
  <c r="N102" i="31" s="1"/>
  <c r="M102" i="31" s="1"/>
  <c r="H102" i="31"/>
  <c r="I102" i="31" s="1"/>
  <c r="J102" i="31" s="1"/>
  <c r="P37" i="40" s="1"/>
  <c r="H93" i="31"/>
  <c r="I93" i="31" s="1"/>
  <c r="J93" i="31" s="1"/>
  <c r="N77" i="31"/>
  <c r="H77" i="31"/>
  <c r="F40" i="40" s="1"/>
  <c r="O93" i="31"/>
  <c r="N93" i="31" s="1"/>
  <c r="M93" i="31" s="1"/>
  <c r="P87" i="31"/>
  <c r="M87" i="31"/>
  <c r="L105" i="31" s="1"/>
  <c r="L106" i="31" s="1"/>
  <c r="L107" i="31" s="1"/>
  <c r="K40" i="40" l="1"/>
  <c r="L96" i="31"/>
  <c r="L97" i="31" s="1"/>
  <c r="L98" i="31" s="1"/>
  <c r="E104" i="31"/>
  <c r="E103" i="31" s="1"/>
  <c r="E97" i="31"/>
  <c r="G121" i="31"/>
  <c r="F8" i="31"/>
  <c r="S17" i="31"/>
  <c r="S18" i="31" s="1"/>
  <c r="J118" i="31"/>
  <c r="J20" i="40"/>
  <c r="P102" i="31"/>
  <c r="Q102" i="31" s="1"/>
  <c r="P93" i="31"/>
  <c r="Q93" i="31" s="1"/>
  <c r="I118" i="31"/>
  <c r="L118" i="31"/>
  <c r="K118" i="31"/>
  <c r="K39" i="40"/>
  <c r="E94" i="31"/>
  <c r="K38" i="40" s="1"/>
  <c r="N37" i="40"/>
  <c r="L104" i="31"/>
  <c r="L103" i="31" s="1"/>
  <c r="O37" i="40"/>
  <c r="G93" i="31"/>
  <c r="F93" i="31" s="1"/>
  <c r="G102" i="31"/>
  <c r="F121" i="31"/>
  <c r="I121" i="31"/>
  <c r="C35" i="40" l="1"/>
  <c r="L95" i="31"/>
  <c r="L94" i="31" s="1"/>
  <c r="F112" i="31"/>
  <c r="E98" i="31"/>
  <c r="K42" i="40" s="1"/>
  <c r="K41" i="40"/>
  <c r="G112" i="31"/>
  <c r="G120" i="31"/>
  <c r="F118" i="31"/>
  <c r="G118" i="31"/>
  <c r="F122" i="31"/>
  <c r="F113" i="31"/>
  <c r="F114" i="31" s="1"/>
  <c r="F34" i="31"/>
  <c r="F102" i="31"/>
  <c r="L37" i="40" s="1"/>
  <c r="M37" i="40"/>
  <c r="F120" i="31"/>
  <c r="L29" i="40"/>
  <c r="F115" i="31" l="1"/>
  <c r="F116" i="31" s="1"/>
  <c r="F35" i="31"/>
  <c r="G34" i="31"/>
  <c r="G113" i="31"/>
  <c r="G114" i="31" s="1"/>
  <c r="J21" i="40"/>
  <c r="J121" i="31"/>
  <c r="K121" i="31"/>
  <c r="K21" i="40"/>
  <c r="H118" i="31"/>
  <c r="N118" i="31"/>
  <c r="N20" i="40"/>
  <c r="F117" i="31"/>
  <c r="M118" i="31"/>
  <c r="M20" i="40"/>
  <c r="P107" i="31"/>
  <c r="I105" i="31"/>
  <c r="O40" i="40" s="1"/>
  <c r="M107" i="31"/>
  <c r="Q105" i="31"/>
  <c r="Q104" i="31"/>
  <c r="N107" i="31"/>
  <c r="F104" i="31"/>
  <c r="L39" i="40" s="1"/>
  <c r="J105" i="31"/>
  <c r="P40" i="40" s="1"/>
  <c r="H107" i="31"/>
  <c r="N42" i="40" s="1"/>
  <c r="G104" i="31"/>
  <c r="M39" i="40" s="1"/>
  <c r="I107" i="31"/>
  <c r="O42" i="40" s="1"/>
  <c r="Q103" i="31"/>
  <c r="H103" i="31"/>
  <c r="N38" i="40" s="1"/>
  <c r="N105" i="31"/>
  <c r="I103" i="31"/>
  <c r="O38" i="40" s="1"/>
  <c r="M104" i="31"/>
  <c r="F107" i="31"/>
  <c r="L42" i="40" s="1"/>
  <c r="J104" i="31"/>
  <c r="P39" i="40" s="1"/>
  <c r="P104" i="31"/>
  <c r="Q107" i="31"/>
  <c r="H106" i="31"/>
  <c r="N41" i="40" s="1"/>
  <c r="O103" i="31"/>
  <c r="P106" i="31"/>
  <c r="G107" i="31"/>
  <c r="M42" i="40" s="1"/>
  <c r="G103" i="31"/>
  <c r="M38" i="40" s="1"/>
  <c r="M106" i="31"/>
  <c r="I106" i="31"/>
  <c r="O41" i="40" s="1"/>
  <c r="F106" i="31"/>
  <c r="L41" i="40" s="1"/>
  <c r="J107" i="31"/>
  <c r="P42" i="40" s="1"/>
  <c r="J103" i="31"/>
  <c r="P38" i="40" s="1"/>
  <c r="O105" i="31"/>
  <c r="P105" i="31"/>
  <c r="H105" i="31"/>
  <c r="N40" i="40" s="1"/>
  <c r="N104" i="31"/>
  <c r="O107" i="31"/>
  <c r="G106" i="31"/>
  <c r="M41" i="40" s="1"/>
  <c r="P103" i="31"/>
  <c r="Q106" i="31"/>
  <c r="N103" i="31"/>
  <c r="I104" i="31"/>
  <c r="O39" i="40" s="1"/>
  <c r="J106" i="31"/>
  <c r="P41" i="40" s="1"/>
  <c r="M103" i="31"/>
  <c r="N106" i="31"/>
  <c r="O106" i="31"/>
  <c r="F105" i="31"/>
  <c r="L40" i="40" s="1"/>
  <c r="H104" i="31"/>
  <c r="N39" i="40" s="1"/>
  <c r="M105" i="31"/>
  <c r="F103" i="31"/>
  <c r="L38" i="40" s="1"/>
  <c r="G105" i="31"/>
  <c r="M40" i="40" s="1"/>
  <c r="O104" i="31"/>
  <c r="D18" i="12"/>
  <c r="F110" i="31"/>
  <c r="M29" i="40"/>
  <c r="G35" i="31" l="1"/>
  <c r="H36" i="31"/>
  <c r="G36" i="31"/>
  <c r="G115" i="31"/>
  <c r="G116" i="31" s="1"/>
  <c r="G117" i="31"/>
  <c r="H117" i="31"/>
  <c r="O118" i="31"/>
  <c r="O20" i="40"/>
  <c r="H17" i="31"/>
  <c r="H18" i="31" s="1"/>
  <c r="D24" i="12"/>
  <c r="G17" i="31"/>
  <c r="G18" i="31" s="1"/>
  <c r="N29" i="40"/>
  <c r="H119" i="31" l="1"/>
  <c r="H126" i="31" s="1"/>
  <c r="I9" i="40"/>
  <c r="I11" i="40"/>
  <c r="F119" i="31"/>
  <c r="F126" i="31" s="1"/>
  <c r="P118" i="31"/>
  <c r="P20" i="40"/>
  <c r="I17" i="31"/>
  <c r="I18" i="31" s="1"/>
  <c r="J11" i="40"/>
  <c r="I14" i="40"/>
  <c r="I65" i="31"/>
  <c r="O29" i="40"/>
  <c r="G119" i="31" l="1"/>
  <c r="G126" i="31" s="1"/>
  <c r="I15" i="40"/>
  <c r="I111" i="31"/>
  <c r="I112" i="31" s="1"/>
  <c r="J9" i="40"/>
  <c r="I17" i="40"/>
  <c r="I18" i="40" s="1"/>
  <c r="I120" i="31"/>
  <c r="I113" i="31"/>
  <c r="I114" i="31" s="1"/>
  <c r="Q118" i="31"/>
  <c r="Q20" i="40"/>
  <c r="I12" i="40"/>
  <c r="J120" i="31"/>
  <c r="J111" i="31"/>
  <c r="J112" i="31" s="1"/>
  <c r="J17" i="31"/>
  <c r="J18" i="31" s="1"/>
  <c r="K11" i="40"/>
  <c r="K13" i="40" s="1"/>
  <c r="I34" i="31"/>
  <c r="J13" i="40"/>
  <c r="J65" i="31"/>
  <c r="I66" i="31"/>
  <c r="P29" i="40"/>
  <c r="I36" i="31" l="1"/>
  <c r="I35" i="31"/>
  <c r="I115" i="31"/>
  <c r="I116" i="31" s="1"/>
  <c r="J22" i="40"/>
  <c r="J27" i="40"/>
  <c r="J25" i="40"/>
  <c r="S118" i="31"/>
  <c r="S20" i="40"/>
  <c r="J10" i="40"/>
  <c r="J12" i="40"/>
  <c r="J14" i="40"/>
  <c r="K111" i="31"/>
  <c r="K112" i="31" s="1"/>
  <c r="K9" i="40"/>
  <c r="R118" i="31"/>
  <c r="R20" i="40"/>
  <c r="K17" i="31"/>
  <c r="K18" i="31" s="1"/>
  <c r="J34" i="31"/>
  <c r="J113" i="31"/>
  <c r="J114" i="31" s="1"/>
  <c r="K14" i="40"/>
  <c r="K16" i="40" s="1"/>
  <c r="J66" i="31"/>
  <c r="K65" i="31"/>
  <c r="Q29" i="40"/>
  <c r="J36" i="31" l="1"/>
  <c r="J35" i="31"/>
  <c r="J15" i="40"/>
  <c r="J16" i="40"/>
  <c r="K10" i="40"/>
  <c r="K27" i="40"/>
  <c r="K25" i="40"/>
  <c r="J17" i="40"/>
  <c r="K34" i="31"/>
  <c r="K120" i="31"/>
  <c r="K22" i="40"/>
  <c r="K12" i="40"/>
  <c r="J30" i="40"/>
  <c r="J115" i="31"/>
  <c r="J116" i="31" s="1"/>
  <c r="I117" i="31"/>
  <c r="L17" i="31"/>
  <c r="L18" i="31" s="1"/>
  <c r="J117" i="31"/>
  <c r="K17" i="40"/>
  <c r="K15" i="40"/>
  <c r="K113" i="31"/>
  <c r="K114" i="31" s="1"/>
  <c r="L65" i="31"/>
  <c r="K66" i="31"/>
  <c r="K30" i="40" s="1"/>
  <c r="R29" i="40"/>
  <c r="K115" i="31" l="1"/>
  <c r="K116" i="31" s="1"/>
  <c r="K35" i="31"/>
  <c r="K36" i="31"/>
  <c r="J18" i="40"/>
  <c r="K19" i="40"/>
  <c r="I119" i="31"/>
  <c r="J19" i="40"/>
  <c r="K18" i="40"/>
  <c r="M17" i="31"/>
  <c r="M18" i="31" s="1"/>
  <c r="M65" i="31"/>
  <c r="L66" i="31"/>
  <c r="L30" i="40" s="1"/>
  <c r="S29" i="40"/>
  <c r="K119" i="31" l="1"/>
  <c r="K117" i="31"/>
  <c r="J119" i="31"/>
  <c r="N17" i="31"/>
  <c r="N18" i="31" s="1"/>
  <c r="N65" i="31"/>
  <c r="M66" i="31"/>
  <c r="M30" i="40" s="1"/>
  <c r="O17" i="31" l="1"/>
  <c r="O18" i="31" s="1"/>
  <c r="O65" i="31"/>
  <c r="N66" i="31"/>
  <c r="N30" i="40" s="1"/>
  <c r="P17" i="31" l="1"/>
  <c r="P18" i="31" s="1"/>
  <c r="O66" i="31"/>
  <c r="O30" i="40" s="1"/>
  <c r="P65" i="31"/>
  <c r="Q17" i="31" l="1"/>
  <c r="Q18" i="31" s="1"/>
  <c r="Q65" i="31"/>
  <c r="P66" i="31"/>
  <c r="P30" i="40" s="1"/>
  <c r="R17" i="31" l="1"/>
  <c r="R18" i="31" s="1"/>
  <c r="Q66" i="31"/>
  <c r="Q30" i="40" s="1"/>
  <c r="R65" i="31"/>
  <c r="S65" i="31" s="1"/>
  <c r="S66" i="31" l="1"/>
  <c r="S30" i="40" s="1"/>
  <c r="R66" i="31"/>
  <c r="R30" i="40" s="1"/>
  <c r="O55" i="45" l="1"/>
  <c r="O42" i="45"/>
  <c r="O60" i="45"/>
  <c r="O61" i="45" l="1"/>
  <c r="O79" i="45"/>
  <c r="P55" i="45"/>
  <c r="P42" i="45"/>
  <c r="P61" i="45" l="1"/>
  <c r="P79" i="45"/>
  <c r="O43" i="45" l="1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61" i="45" l="1"/>
  <c r="Q79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L121" i="31"/>
  <c r="L21" i="40"/>
  <c r="O21" i="40"/>
  <c r="Q121" i="31"/>
  <c r="M21" i="40" l="1"/>
  <c r="M121" i="31"/>
  <c r="R21" i="40"/>
  <c r="R121" i="31"/>
  <c r="S121" i="31"/>
  <c r="S21" i="40"/>
  <c r="O121" i="31"/>
  <c r="Q21" i="40"/>
  <c r="P121" i="31"/>
  <c r="P21" i="40"/>
  <c r="N121" i="31" l="1"/>
  <c r="N21" i="40"/>
  <c r="M11" i="40" l="1"/>
  <c r="M9" i="40"/>
  <c r="M25" i="40" s="1"/>
  <c r="N9" i="40" l="1"/>
  <c r="N22" i="40" s="1"/>
  <c r="M22" i="40"/>
  <c r="M120" i="31"/>
  <c r="M111" i="31"/>
  <c r="M112" i="31" s="1"/>
  <c r="M27" i="40"/>
  <c r="M14" i="40"/>
  <c r="M17" i="40" s="1"/>
  <c r="N23" i="40"/>
  <c r="N122" i="31"/>
  <c r="M12" i="40"/>
  <c r="M34" i="31"/>
  <c r="L34" i="31"/>
  <c r="L113" i="31"/>
  <c r="L114" i="31" s="1"/>
  <c r="M113" i="31"/>
  <c r="M114" i="31" s="1"/>
  <c r="L9" i="40"/>
  <c r="L120" i="31"/>
  <c r="L14" i="40"/>
  <c r="L111" i="31"/>
  <c r="L112" i="31" s="1"/>
  <c r="L11" i="40"/>
  <c r="L115" i="31" l="1"/>
  <c r="L116" i="31" s="1"/>
  <c r="L36" i="31"/>
  <c r="L35" i="31"/>
  <c r="M35" i="31"/>
  <c r="M36" i="31"/>
  <c r="N27" i="40"/>
  <c r="N10" i="40"/>
  <c r="N25" i="40"/>
  <c r="M16" i="40"/>
  <c r="M15" i="40"/>
  <c r="M115" i="31"/>
  <c r="M116" i="31" s="1"/>
  <c r="M117" i="31"/>
  <c r="L117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L18" i="40" l="1"/>
  <c r="L19" i="40"/>
  <c r="M119" i="31" l="1"/>
  <c r="L119" i="31"/>
  <c r="V20" i="45"/>
  <c r="S120" i="31" l="1"/>
  <c r="S113" i="31"/>
  <c r="S114" i="31" s="1"/>
  <c r="S14" i="40"/>
  <c r="S16" i="40" l="1"/>
  <c r="Q74" i="45" l="1"/>
  <c r="Q75" i="45" s="1"/>
  <c r="R50" i="45"/>
  <c r="S50" i="45"/>
  <c r="T50" i="45"/>
  <c r="U50" i="45"/>
  <c r="V50" i="45"/>
  <c r="Q51" i="45"/>
  <c r="Q76" i="45"/>
  <c r="Q77" i="45" s="1"/>
  <c r="R76" i="45"/>
  <c r="S76" i="45"/>
  <c r="T76" i="45"/>
  <c r="U76" i="45"/>
  <c r="V76" i="45"/>
  <c r="L50" i="45"/>
  <c r="M50" i="45"/>
  <c r="N50" i="45"/>
  <c r="O50" i="45"/>
  <c r="P50" i="45"/>
  <c r="Q50" i="45"/>
  <c r="L51" i="45"/>
  <c r="M51" i="45"/>
  <c r="N51" i="45"/>
  <c r="O51" i="45"/>
  <c r="P51" i="45"/>
  <c r="L76" i="45"/>
  <c r="M76" i="45"/>
  <c r="M77" i="45" s="1"/>
  <c r="N76" i="45"/>
  <c r="O76" i="45"/>
  <c r="P76" i="45"/>
  <c r="L77" i="45"/>
  <c r="N77" i="45"/>
  <c r="O77" i="45"/>
  <c r="P77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L22" i="45"/>
  <c r="M22" i="45"/>
  <c r="N22" i="45"/>
  <c r="O22" i="45"/>
  <c r="P22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L45" i="45"/>
  <c r="M45" i="45"/>
  <c r="N45" i="45"/>
  <c r="O45" i="45"/>
  <c r="P45" i="45"/>
  <c r="R45" i="45"/>
  <c r="S45" i="45"/>
  <c r="T45" i="45"/>
  <c r="U45" i="45"/>
  <c r="V45" i="45"/>
  <c r="L46" i="45"/>
  <c r="M46" i="45"/>
  <c r="N46" i="45"/>
  <c r="O46" i="45"/>
  <c r="P46" i="45"/>
  <c r="Q46" i="45"/>
  <c r="R46" i="45"/>
  <c r="S46" i="45"/>
  <c r="T46" i="45"/>
  <c r="U46" i="45"/>
  <c r="V46" i="45"/>
  <c r="L47" i="45"/>
  <c r="M47" i="45"/>
  <c r="N47" i="45"/>
  <c r="O47" i="45"/>
  <c r="P47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L74" i="45"/>
  <c r="M74" i="45"/>
  <c r="N74" i="45"/>
  <c r="O74" i="45"/>
  <c r="P74" i="45"/>
  <c r="R74" i="45"/>
  <c r="S74" i="45"/>
  <c r="T74" i="45"/>
  <c r="U74" i="45"/>
  <c r="V74" i="45"/>
  <c r="L75" i="45"/>
  <c r="M75" i="45"/>
  <c r="N75" i="45"/>
  <c r="O75" i="45"/>
  <c r="P75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4" i="31"/>
  <c r="O34" i="31"/>
  <c r="P34" i="31"/>
  <c r="Q34" i="31"/>
  <c r="R34" i="31"/>
  <c r="S34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8" i="31"/>
  <c r="O38" i="31"/>
  <c r="P38" i="31"/>
  <c r="Q38" i="31"/>
  <c r="R38" i="31"/>
  <c r="S38" i="31"/>
  <c r="N41" i="31"/>
  <c r="O41" i="31"/>
  <c r="P41" i="31"/>
  <c r="Q41" i="31"/>
  <c r="R41" i="31"/>
  <c r="S41" i="31"/>
  <c r="N42" i="31"/>
  <c r="O42" i="31"/>
  <c r="P42" i="31"/>
  <c r="Q42" i="31"/>
  <c r="R42" i="31"/>
  <c r="S42" i="31"/>
  <c r="N45" i="31"/>
  <c r="O45" i="31"/>
  <c r="P45" i="31"/>
  <c r="Q45" i="31"/>
  <c r="R45" i="31"/>
  <c r="O48" i="31"/>
  <c r="P48" i="31"/>
  <c r="Q48" i="31"/>
  <c r="R48" i="31"/>
  <c r="S48" i="31"/>
  <c r="N49" i="31"/>
  <c r="O49" i="31"/>
  <c r="P49" i="31"/>
  <c r="Q49" i="31"/>
  <c r="R49" i="31"/>
  <c r="I51" i="31"/>
  <c r="J51" i="31"/>
  <c r="K51" i="31"/>
  <c r="L51" i="31"/>
  <c r="M51" i="31"/>
  <c r="O51" i="31"/>
  <c r="P51" i="31"/>
  <c r="Q51" i="31"/>
  <c r="R51" i="31"/>
  <c r="S51" i="31"/>
  <c r="I52" i="31"/>
  <c r="J52" i="31"/>
  <c r="K52" i="31"/>
  <c r="L52" i="31"/>
  <c r="M52" i="31"/>
  <c r="O52" i="31"/>
  <c r="P52" i="31"/>
  <c r="Q52" i="31"/>
  <c r="R52" i="31"/>
  <c r="S52" i="31"/>
  <c r="O55" i="31"/>
  <c r="P55" i="31"/>
  <c r="Q55" i="31"/>
  <c r="R55" i="31"/>
  <c r="S55" i="31"/>
  <c r="O58" i="31"/>
  <c r="P58" i="31"/>
  <c r="Q58" i="31"/>
  <c r="R58" i="31"/>
  <c r="S58" i="31"/>
  <c r="I60" i="31"/>
  <c r="J60" i="31"/>
  <c r="K60" i="31"/>
  <c r="L60" i="31"/>
  <c r="M60" i="31"/>
  <c r="N60" i="31"/>
  <c r="O60" i="31"/>
  <c r="P60" i="31"/>
  <c r="Q60" i="31"/>
  <c r="R60" i="31"/>
  <c r="S60" i="31"/>
  <c r="I62" i="31"/>
  <c r="J62" i="31"/>
  <c r="K62" i="31"/>
  <c r="L62" i="31"/>
  <c r="M62" i="31"/>
  <c r="N62" i="31"/>
  <c r="O62" i="31"/>
  <c r="P62" i="31"/>
  <c r="Q62" i="31"/>
  <c r="R62" i="31"/>
  <c r="S62" i="31"/>
  <c r="I63" i="31"/>
  <c r="J63" i="31"/>
  <c r="K63" i="31"/>
  <c r="L63" i="31"/>
  <c r="M63" i="31"/>
  <c r="N63" i="31"/>
  <c r="O63" i="31"/>
  <c r="P63" i="31"/>
  <c r="Q63" i="31"/>
  <c r="R63" i="31"/>
  <c r="S63" i="31"/>
  <c r="T68" i="31"/>
  <c r="T69" i="31"/>
  <c r="H74" i="31"/>
  <c r="I74" i="31"/>
  <c r="N74" i="31"/>
  <c r="O74" i="31"/>
  <c r="H75" i="31"/>
  <c r="I75" i="31"/>
  <c r="N75" i="31"/>
  <c r="O75" i="31"/>
  <c r="H76" i="31"/>
  <c r="I76" i="31"/>
  <c r="N76" i="31"/>
  <c r="O76" i="31"/>
  <c r="H78" i="31"/>
  <c r="N78" i="31"/>
  <c r="H79" i="31"/>
  <c r="N79" i="31"/>
  <c r="H80" i="31"/>
  <c r="N80" i="31"/>
  <c r="E93" i="31"/>
  <c r="L93" i="31"/>
  <c r="E102" i="31"/>
  <c r="L102" i="31"/>
  <c r="N111" i="31"/>
  <c r="O111" i="31"/>
  <c r="P111" i="31"/>
  <c r="Q111" i="31"/>
  <c r="R111" i="31"/>
  <c r="S111" i="31"/>
  <c r="N112" i="31"/>
  <c r="O112" i="31"/>
  <c r="P112" i="31"/>
  <c r="Q112" i="31"/>
  <c r="R112" i="31"/>
  <c r="S112" i="31"/>
  <c r="N113" i="31"/>
  <c r="O113" i="31"/>
  <c r="P113" i="31"/>
  <c r="Q113" i="31"/>
  <c r="R113" i="31"/>
  <c r="N114" i="31"/>
  <c r="O114" i="31"/>
  <c r="P114" i="31"/>
  <c r="Q114" i="31"/>
  <c r="R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9" i="31"/>
  <c r="O119" i="31"/>
  <c r="P119" i="31"/>
  <c r="Q119" i="31"/>
  <c r="R119" i="31"/>
  <c r="S119" i="31"/>
  <c r="N120" i="31"/>
  <c r="O120" i="31"/>
  <c r="P120" i="31"/>
  <c r="Q120" i="31"/>
  <c r="R120" i="31"/>
  <c r="I122" i="31"/>
  <c r="J122" i="31"/>
  <c r="K122" i="31"/>
  <c r="L122" i="31"/>
  <c r="M122" i="31"/>
  <c r="O122" i="31"/>
  <c r="P122" i="31"/>
  <c r="Q122" i="31"/>
  <c r="R122" i="31"/>
  <c r="S122" i="31"/>
  <c r="I126" i="31"/>
  <c r="J126" i="31"/>
  <c r="K126" i="31"/>
  <c r="L126" i="31"/>
  <c r="M126" i="31"/>
  <c r="N126" i="31"/>
  <c r="O126" i="31"/>
  <c r="P126" i="31"/>
  <c r="Q126" i="31"/>
  <c r="R126" i="31"/>
  <c r="S126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J23" i="40"/>
  <c r="K23" i="40"/>
  <c r="L23" i="40"/>
  <c r="M23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J28" i="40"/>
  <c r="K28" i="40"/>
  <c r="L28" i="40"/>
  <c r="M28" i="40"/>
  <c r="N28" i="40"/>
  <c r="O28" i="40"/>
  <c r="P28" i="40"/>
  <c r="Q28" i="40"/>
  <c r="R28" i="40"/>
  <c r="S28" i="40"/>
  <c r="T28" i="40"/>
  <c r="J31" i="40"/>
  <c r="K31" i="40"/>
  <c r="L31" i="40"/>
  <c r="M31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<sst xmlns="http://schemas.openxmlformats.org/spreadsheetml/2006/main" count="281" uniqueCount="171">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</sst>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0" fontId="4" fillId="3" borderId="95"/>
    <xf numFmtId="180" fontId="60" fillId="3" borderId="95"/>
    <xf numFmtId="247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0" fontId="6" fillId="3" borderId="93" applyProtection="0">
      <alignment horizontal="right"/>
    </xf>
    <xf numFmtId="172" fontId="149" fillId="3" borderId="94">
      <alignment horizontal="right"/>
    </xf>
    <xf numFmtId="172" fontId="149" fillId="3" borderId="94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4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4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4"/>
    <xf numFmtId="172" fontId="8" fillId="3" borderId="95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2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2" fontId="8" fillId="0" borderId="0" xfId="0" applyNumberFormat="1" applyFont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/>
    <xf numFmtId="0" fontId="21" fillId="0" borderId="0" xfId="0" applyFont="1"/>
    <xf numFmtId="173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2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2" fontId="263" fillId="62" borderId="0" xfId="0" applyNumberFormat="1" applyFont="1" applyFill="1"/>
    <xf numFmtId="172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3" fontId="16" fillId="0" borderId="1" xfId="0" applyNumberFormat="1" applyFont="1" applyBorder="1"/>
    <xf numFmtId="173" fontId="0" fillId="0" borderId="0" xfId="0" applyNumberFormat="1"/>
    <xf numFmtId="0" fontId="251" fillId="0" borderId="0" xfId="0" applyFont="1"/>
    <xf numFmtId="173" fontId="251" fillId="0" borderId="0" xfId="0" applyNumberFormat="1" applyFont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2" fontId="261" fillId="60" borderId="0" xfId="0" applyNumberFormat="1" applyFont="1" applyFill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2" fontId="261" fillId="0" borderId="0" xfId="0" applyNumberFormat="1" applyFont="1" applyAlignment="1">
      <alignment horizontal="right"/>
    </xf>
    <xf numFmtId="173" fontId="21" fillId="0" borderId="0" xfId="0" applyNumberFormat="1" applyFont="1"/>
    <xf numFmtId="172" fontId="0" fillId="0" borderId="8" xfId="0" applyNumberForma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4" fontId="261" fillId="60" borderId="0" xfId="0" applyNumberFormat="1" applyFont="1" applyFill="1" applyAlignment="1">
      <alignment horizontal="right"/>
    </xf>
    <xf numFmtId="174" fontId="261" fillId="60" borderId="0" xfId="0" applyNumberFormat="1" applyFont="1" applyFill="1"/>
    <xf numFmtId="0" fontId="263" fillId="65" borderId="0" xfId="0" applyFont="1" applyFill="1"/>
    <xf numFmtId="174" fontId="263" fillId="65" borderId="0" xfId="0" applyNumberFormat="1" applyFont="1" applyFill="1" applyAlignment="1">
      <alignment horizontal="right"/>
    </xf>
    <xf numFmtId="173" fontId="262" fillId="0" borderId="0" xfId="0" applyNumberFormat="1" applyFont="1" applyAlignment="1">
      <alignment horizontal="right"/>
    </xf>
    <xf numFmtId="172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2" fontId="16" fillId="0" borderId="2" xfId="0" applyNumberFormat="1" applyFont="1" applyBorder="1"/>
    <xf numFmtId="10" fontId="14" fillId="0" borderId="0" xfId="0" applyNumberFormat="1" applyFont="1"/>
    <xf numFmtId="172" fontId="6" fillId="0" borderId="0" xfId="0" applyNumberFormat="1" applyFont="1"/>
    <xf numFmtId="172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0" fontId="299" fillId="0" borderId="0" xfId="2309" applyNumberFormat="1" applyFont="1" applyFill="1" applyBorder="1"/>
    <xf numFmtId="328" fontId="16" fillId="0" borderId="6" xfId="0" applyNumberFormat="1" applyFont="1" applyBorder="1"/>
    <xf numFmtId="196" fontId="261" fillId="0" borderId="0" xfId="0" applyNumberFormat="1" applyFont="1"/>
    <xf numFmtId="196" fontId="261" fillId="0" borderId="0" xfId="0" applyNumberFormat="1" applyFont="1" applyAlignment="1">
      <alignment horizontal="right"/>
    </xf>
    <xf numFmtId="328" fontId="262" fillId="0" borderId="0" xfId="0" applyNumberFormat="1" applyFont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/>
    <xf numFmtId="172" fontId="0" fillId="0" borderId="2" xfId="0" applyNumberFormat="1" applyBorder="1"/>
    <xf numFmtId="172" fontId="0" fillId="0" borderId="70" xfId="0" applyNumberFormat="1" applyBorder="1"/>
    <xf numFmtId="172" fontId="0" fillId="0" borderId="11" xfId="0" applyNumberFormat="1" applyBorder="1"/>
    <xf numFmtId="255" fontId="0" fillId="0" borderId="8" xfId="0" applyNumberFormat="1" applyBorder="1"/>
    <xf numFmtId="196" fontId="0" fillId="0" borderId="11" xfId="0" applyNumberFormat="1" applyBorder="1"/>
    <xf numFmtId="172" fontId="263" fillId="61" borderId="0" xfId="0" applyNumberFormat="1" applyFont="1" applyFill="1" applyAlignment="1">
      <alignment horizontal="right"/>
    </xf>
    <xf numFmtId="172" fontId="263" fillId="61" borderId="0" xfId="0" applyNumberFormat="1" applyFont="1" applyFill="1" applyAlignment="1">
      <alignment horizontal="left"/>
    </xf>
    <xf numFmtId="329" fontId="0" fillId="8" borderId="0" xfId="0" applyNumberFormat="1" applyFill="1"/>
    <xf numFmtId="329" fontId="0" fillId="8" borderId="14" xfId="0" applyNumberFormat="1" applyFill="1" applyBorder="1"/>
    <xf numFmtId="175" fontId="261" fillId="60" borderId="0" xfId="0" applyNumberFormat="1" applyFont="1" applyFill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/>
    <xf numFmtId="172" fontId="320" fillId="0" borderId="0" xfId="0" applyNumberFormat="1" applyFont="1"/>
    <xf numFmtId="172" fontId="1" fillId="0" borderId="0" xfId="0" applyNumberFormat="1" applyFont="1"/>
    <xf numFmtId="0" fontId="320" fillId="0" borderId="0" xfId="0" applyFont="1"/>
    <xf numFmtId="0" fontId="1" fillId="0" borderId="0" xfId="0" applyFont="1"/>
    <xf numFmtId="328" fontId="298" fillId="3" borderId="74" xfId="2311" applyNumberFormat="1" applyFont="1" applyFill="1" applyBorder="1"/>
    <xf numFmtId="172" fontId="16" fillId="0" borderId="0" xfId="0" applyNumberFormat="1" applyFont="1"/>
    <xf numFmtId="329" fontId="297" fillId="0" borderId="72" xfId="0" applyNumberFormat="1" applyFont="1" applyBorder="1"/>
    <xf numFmtId="10" fontId="297" fillId="0" borderId="72" xfId="0" applyNumberFormat="1" applyFont="1" applyBorder="1"/>
    <xf numFmtId="173" fontId="297" fillId="0" borderId="62" xfId="0" applyNumberFormat="1" applyFont="1" applyBorder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Font="1"/>
    <xf numFmtId="328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172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2" fontId="261" fillId="0" borderId="69" xfId="0" applyNumberFormat="1" applyFont="1" applyBorder="1"/>
    <xf numFmtId="172" fontId="0" fillId="0" borderId="69" xfId="0" applyNumberFormat="1" applyBorder="1"/>
    <xf numFmtId="180" fontId="299" fillId="0" borderId="69" xfId="2309" applyNumberFormat="1" applyFont="1" applyFill="1" applyBorder="1"/>
    <xf numFmtId="172" fontId="261" fillId="0" borderId="11" xfId="0" applyNumberFormat="1" applyFont="1" applyBorder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8" fontId="251" fillId="0" borderId="0" xfId="0" applyNumberFormat="1" applyFont="1"/>
    <xf numFmtId="328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5" fontId="0" fillId="0" borderId="7" xfId="0" applyNumberFormat="1" applyBorder="1" applyAlignment="1">
      <alignment horizontal="center"/>
    </xf>
    <xf numFmtId="255" fontId="0" fillId="0" borderId="8" xfId="0" applyNumberFormat="1" applyBorder="1" applyAlignment="1">
      <alignment horizontal="center"/>
    </xf>
    <xf numFmtId="255" fontId="0" fillId="0" borderId="0" xfId="0" applyNumberFormat="1" applyAlignment="1">
      <alignment horizontal="center"/>
    </xf>
    <xf numFmtId="255" fontId="0" fillId="0" borderId="9" xfId="0" applyNumberFormat="1" applyBorder="1" applyAlignment="1">
      <alignment horizontal="center"/>
    </xf>
    <xf numFmtId="255" fontId="0" fillId="0" borderId="13" xfId="0" applyNumberFormat="1" applyBorder="1" applyAlignment="1">
      <alignment horizontal="center"/>
    </xf>
    <xf numFmtId="255" fontId="0" fillId="8" borderId="0" xfId="0" applyNumberFormat="1" applyFill="1" applyAlignment="1">
      <alignment horizontal="center"/>
    </xf>
    <xf numFmtId="255" fontId="0" fillId="0" borderId="14" xfId="0" applyNumberFormat="1" applyBorder="1" applyAlignment="1">
      <alignment horizontal="center"/>
    </xf>
    <xf numFmtId="255" fontId="0" fillId="0" borderId="10" xfId="0" applyNumberFormat="1" applyBorder="1" applyAlignment="1">
      <alignment horizontal="center"/>
    </xf>
    <xf numFmtId="255" fontId="0" fillId="0" borderId="11" xfId="0" applyNumberFormat="1" applyBorder="1" applyAlignment="1">
      <alignment horizontal="center"/>
    </xf>
    <xf numFmtId="255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Alignment="1">
      <alignment horizontal="center"/>
    </xf>
    <xf numFmtId="329" fontId="297" fillId="0" borderId="63" xfId="0" applyNumberFormat="1" applyFont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Alignment="1">
      <alignment horizontal="centerContinuous"/>
    </xf>
    <xf numFmtId="172" fontId="263" fillId="65" borderId="0" xfId="0" applyNumberFormat="1" applyFont="1" applyFill="1" applyAlignment="1">
      <alignment horizontal="centerContinuous"/>
    </xf>
    <xf numFmtId="172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5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1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8" fontId="9" fillId="0" borderId="0" xfId="2311" applyNumberFormat="1" applyFont="1"/>
    <xf numFmtId="328" fontId="298" fillId="0" borderId="0" xfId="2311" applyNumberFormat="1" applyFont="1"/>
    <xf numFmtId="39" fontId="14" fillId="0" borderId="0" xfId="0" applyNumberFormat="1" applyFont="1"/>
    <xf numFmtId="328" fontId="9" fillId="104" borderId="1" xfId="2311" applyNumberFormat="1" applyFont="1" applyFill="1" applyBorder="1"/>
    <xf numFmtId="0" fontId="14" fillId="104" borderId="0" xfId="0" applyFont="1" applyFill="1"/>
    <xf numFmtId="180" fontId="16" fillId="104" borderId="73" xfId="0" applyNumberFormat="1" applyFont="1" applyFill="1" applyBorder="1"/>
    <xf numFmtId="329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2" fontId="297" fillId="104" borderId="0" xfId="0" applyNumberFormat="1" applyFont="1" applyFill="1"/>
    <xf numFmtId="180" fontId="299" fillId="104" borderId="0" xfId="2309" applyNumberFormat="1" applyFont="1" applyFill="1" applyBorder="1"/>
    <xf numFmtId="173" fontId="16" fillId="104" borderId="1" xfId="0" applyNumberFormat="1" applyFont="1" applyFill="1" applyBorder="1"/>
    <xf numFmtId="173" fontId="8" fillId="104" borderId="1" xfId="0" applyNumberFormat="1" applyFont="1" applyFill="1" applyBorder="1"/>
    <xf numFmtId="10" fontId="8" fillId="104" borderId="1" xfId="0" applyNumberFormat="1" applyFont="1" applyFill="1" applyBorder="1"/>
    <xf numFmtId="329" fontId="16" fillId="104" borderId="1" xfId="0" applyNumberFormat="1" applyFont="1" applyFill="1" applyBorder="1"/>
    <xf numFmtId="172" fontId="297" fillId="104" borderId="2" xfId="0" applyNumberFormat="1" applyFont="1" applyFill="1" applyBorder="1"/>
    <xf numFmtId="328" fontId="9" fillId="104" borderId="0" xfId="0" applyNumberFormat="1" applyFont="1" applyFill="1" applyAlignment="1">
      <alignment horizontal="right"/>
    </xf>
    <xf numFmtId="0" fontId="251" fillId="106" borderId="0" xfId="0" applyFont="1" applyFill="1"/>
    <xf numFmtId="328" fontId="251" fillId="106" borderId="0" xfId="0" applyNumberFormat="1" applyFont="1" applyFill="1"/>
    <xf numFmtId="173" fontId="251" fillId="106" borderId="0" xfId="0" applyNumberFormat="1" applyFont="1" applyFill="1"/>
    <xf numFmtId="0" fontId="0" fillId="106" borderId="0" xfId="0" applyFill="1"/>
    <xf numFmtId="172" fontId="0" fillId="105" borderId="0" xfId="0" applyNumberFormat="1" applyFill="1"/>
    <xf numFmtId="341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3" fontId="9" fillId="0" borderId="0" xfId="0" applyNumberFormat="1" applyFont="1"/>
    <xf numFmtId="172" fontId="0" fillId="105" borderId="2" xfId="0" applyNumberFormat="1" applyFill="1" applyBorder="1"/>
    <xf numFmtId="0" fontId="0" fillId="105" borderId="0" xfId="0" applyFill="1"/>
    <xf numFmtId="173" fontId="251" fillId="106" borderId="0" xfId="0" applyNumberFormat="1" applyFont="1" applyFill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328" fontId="298" fillId="0" borderId="1" xfId="2311" applyNumberFormat="1" applyFont="1" applyFill="1" applyBorder="1"/>
    <xf numFmtId="281" fontId="0" fillId="0" borderId="0" xfId="0" applyNumberFormat="1"/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7" zoomScale="85" zoomScaleNormal="85" zoomScaleSheetLayoutView="85" workbookViewId="0">
      <selection activeCell="D14" sqref="D14:T17"/>
    </sheetView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0" t="s">
        <v>136</v>
      </c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W14"/>
    </row>
    <row r="15" spans="2:23" ht="12.75" customHeight="1">
      <c r="C15" s="15"/>
      <c r="D15" s="352"/>
      <c r="E15" s="351"/>
      <c r="F15" s="351"/>
      <c r="G15" s="351"/>
      <c r="H15" s="351"/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W15"/>
    </row>
    <row r="16" spans="2:23" ht="12.75" customHeight="1">
      <c r="C16" s="15"/>
      <c r="D16" s="352"/>
      <c r="E16" s="351"/>
      <c r="F16" s="351"/>
      <c r="G16" s="351"/>
      <c r="H16" s="351"/>
      <c r="I16" s="351"/>
      <c r="J16" s="351"/>
      <c r="K16" s="351"/>
      <c r="L16" s="351"/>
      <c r="M16" s="351"/>
      <c r="N16" s="351"/>
      <c r="O16" s="351"/>
      <c r="P16" s="351"/>
      <c r="Q16" s="351"/>
      <c r="R16" s="351"/>
      <c r="S16" s="351"/>
      <c r="T16" s="351"/>
      <c r="W16"/>
    </row>
    <row r="17" spans="3:23" ht="12.75" customHeight="1">
      <c r="D17" s="352"/>
      <c r="E17" s="351"/>
      <c r="F17" s="351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W17"/>
    </row>
    <row r="18" spans="3:23">
      <c r="W18"/>
    </row>
    <row r="19" spans="3:23" ht="18">
      <c r="C19" s="353" t="s">
        <v>20</v>
      </c>
      <c r="E19" s="322">
        <f>Assumptions!D12</f>
        <v>43921</v>
      </c>
      <c r="W19"/>
    </row>
    <row r="20" spans="3:23">
      <c r="C20" s="353"/>
      <c r="W20"/>
    </row>
    <row r="21" spans="3:23">
      <c r="C21" s="353"/>
      <c r="W21"/>
    </row>
    <row r="22" spans="3:23">
      <c r="C22" s="353"/>
      <c r="W22"/>
    </row>
    <row r="23" spans="3:23">
      <c r="C23" s="353"/>
    </row>
    <row r="24" spans="3:23">
      <c r="C24" s="353"/>
    </row>
    <row r="25" spans="3:23">
      <c r="C25" s="353"/>
    </row>
    <row r="26" spans="3:23" ht="12.75" customHeight="1">
      <c r="C26" s="353"/>
    </row>
    <row r="27" spans="3:23">
      <c r="C27" s="353"/>
    </row>
    <row r="28" spans="3:23">
      <c r="C28" s="353"/>
    </row>
    <row r="29" spans="3:23" ht="4.5" customHeight="1">
      <c r="C29" s="353"/>
    </row>
    <row r="30" spans="3:23">
      <c r="C30" s="353"/>
      <c r="Q30" s="156"/>
      <c r="R30" s="157"/>
      <c r="S30" s="157"/>
    </row>
    <row r="31" spans="3:23">
      <c r="C31" s="353"/>
      <c r="Q31" s="157"/>
      <c r="R31" s="157"/>
      <c r="S31" s="157"/>
      <c r="V31" s="44"/>
    </row>
    <row r="32" spans="3:23">
      <c r="C32" s="353"/>
      <c r="Q32" s="157"/>
      <c r="R32" s="157"/>
      <c r="S32" s="157"/>
    </row>
    <row r="33" spans="3:19">
      <c r="C33" s="353"/>
      <c r="Q33" s="158"/>
      <c r="R33" s="157"/>
      <c r="S33" s="157"/>
    </row>
    <row r="34" spans="3:19">
      <c r="C34" s="353"/>
      <c r="Q34" s="158"/>
      <c r="R34" s="157"/>
      <c r="S34" s="157"/>
    </row>
    <row r="35" spans="3:19" ht="4.5" customHeight="1">
      <c r="C35" s="353"/>
      <c r="Q35" s="158"/>
      <c r="R35" s="157"/>
      <c r="S35" s="157"/>
    </row>
    <row r="36" spans="3:19">
      <c r="C36" s="353"/>
      <c r="Q36" s="158"/>
      <c r="R36" s="157"/>
      <c r="S36" s="157"/>
    </row>
    <row r="37" spans="3:19">
      <c r="C37" s="353"/>
      <c r="G37"/>
      <c r="Q37" s="158"/>
      <c r="R37" s="157"/>
      <c r="S37" s="157"/>
    </row>
    <row r="38" spans="3:19">
      <c r="C38" s="353"/>
      <c r="Q38" s="158"/>
      <c r="R38" s="157"/>
      <c r="S38" s="157"/>
    </row>
    <row r="39" spans="3:19">
      <c r="C39" s="353"/>
      <c r="Q39" s="158"/>
      <c r="R39" s="157"/>
      <c r="S39" s="157"/>
    </row>
    <row r="40" spans="3:19">
      <c r="C40" s="353"/>
    </row>
    <row r="41" spans="3:19">
      <c r="C41" s="353"/>
    </row>
    <row r="42" spans="3:19">
      <c r="C42" s="353"/>
    </row>
    <row r="43" spans="3:19">
      <c r="C43" s="353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topLeftCell="A5" zoomScale="85" zoomScaleNormal="85" zoomScaleSheetLayoutView="100" workbookViewId="0">
      <selection activeCell="D17" sqref="D17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H28" sqref="H28"/>
    </sheetView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93" t="s">
        <v>149</v>
      </c>
    </row>
    <row r="2" spans="1:12" ht="21">
      <c r="A2" s="293"/>
    </row>
    <row r="3" spans="1:12">
      <c r="B3" s="354" t="s">
        <v>150</v>
      </c>
      <c r="C3" s="354"/>
      <c r="D3" s="354"/>
      <c r="E3" s="354"/>
      <c r="F3" s="354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19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4">
      <c r="B21" s="305"/>
      <c r="C21" s="305"/>
      <c r="D21" s="295"/>
      <c r="E21" s="295"/>
      <c r="F21" s="295"/>
    </row>
    <row r="22" spans="1:6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4">
      <c r="B30" s="295"/>
      <c r="C30" s="295"/>
      <c r="D30" s="295"/>
      <c r="E30" s="295"/>
      <c r="F30" s="295"/>
    </row>
    <row r="31" spans="1:6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18" zoomScale="74" zoomScaleNormal="85" zoomScaleSheetLayoutView="85" workbookViewId="0">
      <selection activeCell="L25" sqref="L25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</v>
      </c>
      <c r="M11" s="104">
        <f t="shared" ref="M11:V11" si="1">L11*(1+M13)</f>
        <v>1256</v>
      </c>
      <c r="N11" s="104">
        <f t="shared" si="1"/>
        <v>1354</v>
      </c>
      <c r="O11" s="104">
        <f t="shared" si="1"/>
        <v>1447</v>
      </c>
      <c r="P11" s="104">
        <f t="shared" si="1"/>
        <v>1443</v>
      </c>
      <c r="Q11" s="104">
        <f t="shared" si="1"/>
        <v>1471.8600000000001</v>
      </c>
      <c r="R11" s="104">
        <f t="shared" ca="1" si="1"/>
        <v>1498.3534800000002</v>
      </c>
      <c r="S11" s="104">
        <f t="shared" ca="1" si="1"/>
        <v>1522.3271356800003</v>
      </c>
      <c r="T11" s="104">
        <f t="shared" ca="1" si="1"/>
        <v>1543.6397155795203</v>
      </c>
      <c r="U11" s="104">
        <f t="shared" ca="1" si="1"/>
        <v>1562.1633921664745</v>
      </c>
      <c r="V11" s="104">
        <f t="shared" ca="1" si="1"/>
        <v>1577.7850260881394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1">
        <v>1149</v>
      </c>
      <c r="M12" s="331">
        <v>1256</v>
      </c>
      <c r="N12" s="331">
        <v>1354</v>
      </c>
      <c r="O12" s="331">
        <v>1447</v>
      </c>
      <c r="P12" s="331">
        <v>1443</v>
      </c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9.13402424029508E-3</v>
      </c>
      <c r="M13" s="118">
        <f>IF(ISERROR(M12/L12-1),"n.a.",M12/L12-1)</f>
        <v>9.3124456048738091E-2</v>
      </c>
      <c r="N13" s="118">
        <f>IF(ISERROR(N12/M12-1),"n.a.",N12/M12-1)</f>
        <v>7.8025477707006408E-2</v>
      </c>
      <c r="O13" s="118">
        <f>IF(ISERROR(O12/N12-1),"n.a.",O12/N12-1)</f>
        <v>6.8685376661743014E-2</v>
      </c>
      <c r="P13" s="118">
        <f>IF(ISERROR(P12/O12-1),"n.a.",P12/O12-1)</f>
        <v>-2.7643400138217533E-3</v>
      </c>
      <c r="Q13" s="360">
        <v>0.02</v>
      </c>
      <c r="R13" s="360">
        <f ca="1">AVERAGE(Q13,S13)</f>
        <v>1.8000000000000002E-2</v>
      </c>
      <c r="S13" s="360">
        <f t="shared" ref="S13:U13" ca="1" si="2">AVERAGE(R13,T13)</f>
        <v>1.6E-2</v>
      </c>
      <c r="T13" s="360">
        <f t="shared" ca="1" si="2"/>
        <v>1.4E-2</v>
      </c>
      <c r="U13" s="360">
        <f t="shared" ca="1" si="2"/>
        <v>1.2E-2</v>
      </c>
      <c r="V13" s="360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>
        <f>N13-M14/N13</f>
        <v>7.8025477707006408E-2</v>
      </c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</v>
      </c>
      <c r="M15" s="104">
        <f t="shared" ref="M15:V15" si="3">M11*M18</f>
        <v>75</v>
      </c>
      <c r="N15" s="104">
        <f t="shared" si="3"/>
        <v>105</v>
      </c>
      <c r="O15" s="104">
        <f t="shared" si="3"/>
        <v>126</v>
      </c>
      <c r="P15" s="104">
        <f t="shared" si="3"/>
        <v>123</v>
      </c>
      <c r="Q15" s="104">
        <f t="shared" ca="1" si="3"/>
        <v>126.62789999999998</v>
      </c>
      <c r="R15" s="104">
        <f t="shared" ca="1" si="3"/>
        <v>130.09612439999998</v>
      </c>
      <c r="S15" s="104">
        <f t="shared" ca="1" si="3"/>
        <v>133.38560734559996</v>
      </c>
      <c r="T15" s="104">
        <f t="shared" ca="1" si="3"/>
        <v>136.47786203301118</v>
      </c>
      <c r="U15" s="104">
        <f t="shared" ca="1" si="3"/>
        <v>139.35515083619498</v>
      </c>
      <c r="V15" s="104">
        <f t="shared" ca="1" si="3"/>
        <v>142.00065234793254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1">
        <v>94</v>
      </c>
      <c r="M16" s="331">
        <v>75</v>
      </c>
      <c r="N16" s="331">
        <v>105</v>
      </c>
      <c r="O16" s="331">
        <v>126</v>
      </c>
      <c r="P16" s="331">
        <v>123</v>
      </c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-4.2769857433808567E-2</v>
      </c>
      <c r="M17" s="6">
        <f t="shared" ref="M17:V17" si="5">IF(ISERROR(M15/L15-1),"n.a.",M15/L15-1)</f>
        <v>-0.2021276595744681</v>
      </c>
      <c r="N17" s="6">
        <f t="shared" si="5"/>
        <v>0.39999999999999991</v>
      </c>
      <c r="O17" s="6">
        <f t="shared" si="5"/>
        <v>0.19999999999999996</v>
      </c>
      <c r="P17" s="6">
        <f t="shared" si="5"/>
        <v>-2.3809523809523836E-2</v>
      </c>
      <c r="Q17" s="6">
        <f t="shared" ca="1" si="5"/>
        <v>2.9495121951219394E-2</v>
      </c>
      <c r="R17" s="6">
        <f t="shared" ca="1" si="5"/>
        <v>2.7389101453944908E-2</v>
      </c>
      <c r="S17" s="6">
        <f t="shared" ca="1" si="5"/>
        <v>2.5285018756484812E-2</v>
      </c>
      <c r="T17" s="6">
        <f t="shared" ca="1" si="5"/>
        <v>2.318282121248072E-2</v>
      </c>
      <c r="U17" s="6">
        <f t="shared" ca="1" si="5"/>
        <v>2.1082458065527554E-2</v>
      </c>
      <c r="V17" s="6">
        <f t="shared" ca="1" si="5"/>
        <v>1.8983880365119887E-2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8.1810269799825933E-2</v>
      </c>
      <c r="M18" s="118">
        <f>IF(ISERROR(M16/M$12),"n.a.",M16/M$12)</f>
        <v>5.9713375796178345E-2</v>
      </c>
      <c r="N18" s="118">
        <f>IF(ISERROR(N16/N$12),"n.a.",N16/N$12)</f>
        <v>7.7548005908419496E-2</v>
      </c>
      <c r="O18" s="118">
        <f>IF(ISERROR(O16/O$12),"n.a.",O16/O$12)</f>
        <v>8.707671043538355E-2</v>
      </c>
      <c r="P18" s="155">
        <f>IF(ISERROR(P16/P$12),"n.a.",P16/P$12)</f>
        <v>8.5239085239085244E-2</v>
      </c>
      <c r="Q18" s="326">
        <f ca="1">AVERAGE(P18,R18)</f>
        <v>8.6032571032571017E-2</v>
      </c>
      <c r="R18" s="326">
        <f t="shared" ref="R18:U18" ca="1" si="6">AVERAGE(Q18,S18)</f>
        <v>8.6826056826056791E-2</v>
      </c>
      <c r="S18" s="326">
        <f t="shared" ca="1" si="6"/>
        <v>8.7619542619542579E-2</v>
      </c>
      <c r="T18" s="326">
        <f t="shared" ca="1" si="6"/>
        <v>8.841302841302838E-2</v>
      </c>
      <c r="U18" s="326">
        <f t="shared" ca="1" si="6"/>
        <v>8.9206514206514181E-2</v>
      </c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7">
        <v>-34</v>
      </c>
      <c r="M20" s="337">
        <v>-38</v>
      </c>
      <c r="N20" s="337">
        <v>-45</v>
      </c>
      <c r="O20" s="337">
        <v>-50</v>
      </c>
      <c r="P20" s="337">
        <v>-53</v>
      </c>
      <c r="Q20" s="104">
        <f t="shared" ref="Q20:V20" ca="1" si="8">Q22*Q40</f>
        <v>-32.427272727272786</v>
      </c>
      <c r="R20" s="104">
        <f t="shared" ca="1" si="8"/>
        <v>-31.831818181818239</v>
      </c>
      <c r="S20" s="104">
        <f t="shared" ca="1" si="8"/>
        <v>-31.236363636363684</v>
      </c>
      <c r="T20" s="104">
        <f t="shared" ca="1" si="8"/>
        <v>-30.640909090909123</v>
      </c>
      <c r="U20" s="104">
        <f t="shared" ca="1" si="8"/>
        <v>-30.045454545454561</v>
      </c>
      <c r="V20" s="104">
        <f t="shared" si="8"/>
        <v>-29.45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-5.555555555555558E-2</v>
      </c>
      <c r="M21" s="6">
        <f t="shared" si="9"/>
        <v>0.11764705882352944</v>
      </c>
      <c r="N21" s="6">
        <f t="shared" si="9"/>
        <v>0.18421052631578938</v>
      </c>
      <c r="O21" s="6">
        <f t="shared" si="9"/>
        <v>0.11111111111111116</v>
      </c>
      <c r="P21" s="6">
        <f t="shared" si="9"/>
        <v>6.0000000000000053E-2</v>
      </c>
      <c r="Q21" s="6">
        <f t="shared" ca="1" si="9"/>
        <v>-0.38816466552315498</v>
      </c>
      <c r="R21" s="6">
        <f t="shared" ca="1" si="9"/>
        <v>-1.836276983459495E-2</v>
      </c>
      <c r="S21" s="6">
        <f t="shared" ca="1" si="9"/>
        <v>-1.8706268741968013E-2</v>
      </c>
      <c r="T21" s="6">
        <f t="shared" ca="1" si="9"/>
        <v>-1.9062863795111129E-2</v>
      </c>
      <c r="U21" s="6">
        <f t="shared" ca="1" si="9"/>
        <v>-1.9433318498739527E-2</v>
      </c>
      <c r="V21" s="6">
        <f t="shared" ca="1" si="9"/>
        <v>-1.981845688351036E-2</v>
      </c>
    </row>
    <row r="22" spans="2:34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38">
        <f ca="1">AVERAGE(K22,M22)</f>
        <v>1.1420821114369506</v>
      </c>
      <c r="M22" s="338">
        <f t="shared" ref="M22:U22" ca="1" si="11">AVERAGE(L22,N22)</f>
        <v>1.1228739002932562</v>
      </c>
      <c r="N22" s="338">
        <f t="shared" ca="1" si="11"/>
        <v>1.1036656891495615</v>
      </c>
      <c r="O22" s="338">
        <f t="shared" ca="1" si="11"/>
        <v>1.0844574780058669</v>
      </c>
      <c r="P22" s="338">
        <f t="shared" ca="1" si="11"/>
        <v>1.065249266862172</v>
      </c>
      <c r="Q22" s="338">
        <f t="shared" ca="1" si="11"/>
        <v>1.0460410557184769</v>
      </c>
      <c r="R22" s="338">
        <f t="shared" ca="1" si="11"/>
        <v>1.0268328445747819</v>
      </c>
      <c r="S22" s="338">
        <f t="shared" ca="1" si="11"/>
        <v>1.0076246334310865</v>
      </c>
      <c r="T22" s="338">
        <f t="shared" ca="1" si="11"/>
        <v>0.98841642228739102</v>
      </c>
      <c r="U22" s="338">
        <f t="shared" ca="1" si="11"/>
        <v>0.96920821114369549</v>
      </c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2">F20/F11*-1</f>
        <v>2.4795147387464082E-2</v>
      </c>
      <c r="G23" s="118">
        <f t="shared" si="12"/>
        <v>2.5176634490994141E-2</v>
      </c>
      <c r="H23" s="118">
        <f t="shared" si="12"/>
        <v>2.9466470876162502E-2</v>
      </c>
      <c r="I23" s="118">
        <f t="shared" si="12"/>
        <v>2.8858447488584484E-2</v>
      </c>
      <c r="J23" s="118">
        <f t="shared" si="12"/>
        <v>3.0746189763016483E-2</v>
      </c>
      <c r="K23" s="118">
        <f t="shared" si="12"/>
        <v>3.1617776216406115E-2</v>
      </c>
      <c r="L23" s="118">
        <f t="shared" si="12"/>
        <v>2.959094865100087E-2</v>
      </c>
      <c r="M23" s="118">
        <f t="shared" si="12"/>
        <v>3.0254777070063694E-2</v>
      </c>
      <c r="N23" s="118">
        <f t="shared" si="12"/>
        <v>3.3234859675036928E-2</v>
      </c>
      <c r="O23" s="118">
        <f t="shared" si="12"/>
        <v>3.455425017277125E-2</v>
      </c>
      <c r="P23" s="118">
        <f t="shared" si="12"/>
        <v>3.6729036729036726E-2</v>
      </c>
      <c r="Q23" s="118">
        <f ca="1">Q20/Q11*-1</f>
        <v>2.2031492619727953E-2</v>
      </c>
      <c r="R23" s="118">
        <f t="shared" ca="1" si="12"/>
        <v>2.1244531818899126E-2</v>
      </c>
      <c r="S23" s="118">
        <f t="shared" ca="1" si="12"/>
        <v>2.0518824702162902E-2</v>
      </c>
      <c r="T23" s="118">
        <f t="shared" ca="1" si="12"/>
        <v>1.9849780218569833E-2</v>
      </c>
      <c r="U23" s="118">
        <f t="shared" ca="1" si="12"/>
        <v>1.9233234305782988E-2</v>
      </c>
      <c r="V23" s="118">
        <f t="shared" ca="1" si="12"/>
        <v>1.8665407208874628E-2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60</v>
      </c>
      <c r="M25" s="104">
        <f>+M15+M20</f>
        <v>37</v>
      </c>
      <c r="N25" s="104">
        <f>+N15+N20</f>
        <v>60</v>
      </c>
      <c r="O25" s="104">
        <f>+O15+O20</f>
        <v>76</v>
      </c>
      <c r="P25" s="104">
        <f>+P15+P20</f>
        <v>70</v>
      </c>
      <c r="Q25" s="104">
        <f t="shared" ref="Q25:V25" ca="1" si="13">Q15+Q20</f>
        <v>94.200627272727189</v>
      </c>
      <c r="R25" s="104">
        <f t="shared" ca="1" si="13"/>
        <v>98.264306218181744</v>
      </c>
      <c r="S25" s="104">
        <f t="shared" ca="1" si="13"/>
        <v>102.14924370923629</v>
      </c>
      <c r="T25" s="104">
        <f t="shared" ca="1" si="13"/>
        <v>105.83695294210206</v>
      </c>
      <c r="U25" s="104">
        <f t="shared" ca="1" si="13"/>
        <v>109.30969629074042</v>
      </c>
      <c r="V25" s="104">
        <f t="shared" ca="1" si="13"/>
        <v>112.55065234793254</v>
      </c>
    </row>
    <row r="26" spans="2:3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-3.5369774919614239E-2</v>
      </c>
      <c r="M26" s="6">
        <f t="shared" si="14"/>
        <v>-0.3833333333333333</v>
      </c>
      <c r="N26" s="6">
        <f t="shared" si="14"/>
        <v>0.62162162162162171</v>
      </c>
      <c r="O26" s="6">
        <f t="shared" si="14"/>
        <v>0.26666666666666661</v>
      </c>
      <c r="P26" s="6">
        <f t="shared" si="14"/>
        <v>-7.8947368421052655E-2</v>
      </c>
      <c r="Q26" s="6">
        <f t="shared" ca="1" si="14"/>
        <v>0.34572324675324562</v>
      </c>
      <c r="R26" s="6">
        <f t="shared" ca="1" si="14"/>
        <v>4.3138555051119853E-2</v>
      </c>
      <c r="S26" s="6">
        <f t="shared" ca="1" si="14"/>
        <v>3.95355917175928E-2</v>
      </c>
      <c r="T26" s="6">
        <f t="shared" ca="1" si="14"/>
        <v>3.6101189778386278E-2</v>
      </c>
      <c r="U26" s="6">
        <f t="shared" ca="1" si="14"/>
        <v>3.2812200768271627E-2</v>
      </c>
      <c r="V26" s="6">
        <f t="shared" ca="1" si="14"/>
        <v>2.9649300722342842E-2</v>
      </c>
    </row>
    <row r="27" spans="2:3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5.2219321148825062E-2</v>
      </c>
      <c r="M27" s="6">
        <f t="shared" si="15"/>
        <v>2.945859872611465E-2</v>
      </c>
      <c r="N27" s="6">
        <f t="shared" si="15"/>
        <v>4.4313146233382568E-2</v>
      </c>
      <c r="O27" s="6">
        <f t="shared" si="15"/>
        <v>5.25224602626123E-2</v>
      </c>
      <c r="P27" s="6">
        <f t="shared" si="15"/>
        <v>4.851004851004851E-2</v>
      </c>
      <c r="Q27" s="6">
        <f t="shared" ca="1" si="15"/>
        <v>6.4001078412843054E-2</v>
      </c>
      <c r="R27" s="6">
        <f ca="1">IF(ISERROR(R25/R$11),"n.a.",R25/R$11)</f>
        <v>6.5581525007157679E-2</v>
      </c>
      <c r="S27" s="6">
        <f ca="1">IF(ISERROR(S25/S$11),"n.a.",S25/S$11)</f>
        <v>6.7100717917379676E-2</v>
      </c>
      <c r="T27" s="6">
        <f ca="1">IF(ISERROR(T25/T$11),"n.a.",T25/T$11)</f>
        <v>6.8563248194458554E-2</v>
      </c>
      <c r="U27" s="6">
        <f ca="1">IF(ISERROR(U25/U$11),"n.a.",U25/U$11)</f>
        <v>6.9973279900731183E-2</v>
      </c>
      <c r="V27" s="6">
        <f ca="1">IF(ISERROR(V25/V$11),"n.a.",V25/V$11)</f>
        <v>7.1334592791125376E-2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119">
        <v>0.17</v>
      </c>
      <c r="O29" s="119">
        <v>0.17</v>
      </c>
      <c r="P29" s="119">
        <v>0.17</v>
      </c>
      <c r="Q29" s="119">
        <v>0.17</v>
      </c>
      <c r="R29" s="119">
        <v>0.17</v>
      </c>
      <c r="S29" s="119">
        <v>0.17</v>
      </c>
      <c r="T29" s="119">
        <v>0.17</v>
      </c>
      <c r="U29" s="119">
        <v>0.17</v>
      </c>
      <c r="V29" s="119">
        <v>0.17</v>
      </c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6">IF(ISERROR(F31/E31-1),"n.a.",F31/E31-1)</f>
        <v>n.a.</v>
      </c>
      <c r="G32" s="6">
        <f t="shared" si="16"/>
        <v>0.18558558558558547</v>
      </c>
      <c r="H32" s="6">
        <f t="shared" si="16"/>
        <v>-1.3677811550151797E-2</v>
      </c>
      <c r="I32" s="6">
        <f t="shared" si="16"/>
        <v>-8.3204930662557852E-2</v>
      </c>
      <c r="J32" s="6">
        <f t="shared" si="16"/>
        <v>-1.8487394957983239E-2</v>
      </c>
      <c r="K32" s="6">
        <f t="shared" si="16"/>
        <v>-0.17294520547945214</v>
      </c>
      <c r="L32" s="6">
        <f t="shared" si="16"/>
        <v>-7.9015003043886201E-2</v>
      </c>
      <c r="M32" s="6">
        <f t="shared" si="16"/>
        <v>-0.10308222119070343</v>
      </c>
      <c r="N32" s="6">
        <f t="shared" si="16"/>
        <v>0.25861169264250194</v>
      </c>
      <c r="O32" s="6">
        <f t="shared" si="16"/>
        <v>0.13163180457279799</v>
      </c>
      <c r="P32" s="6">
        <f t="shared" si="16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7">IF(ISERROR(F31/F$11),"n.a.",F31/F$11)</f>
        <v>5.9061402575289981E-2</v>
      </c>
      <c r="G33" s="6">
        <f t="shared" si="17"/>
        <v>6.5479152154443221E-2</v>
      </c>
      <c r="H33" s="6">
        <f t="shared" si="17"/>
        <v>6.35340186000979E-2</v>
      </c>
      <c r="I33" s="6">
        <f t="shared" si="17"/>
        <v>5.4337899543378997E-2</v>
      </c>
      <c r="J33" s="6">
        <f t="shared" si="17"/>
        <v>5.1449211523213814E-2</v>
      </c>
      <c r="K33" s="6">
        <f>IF(ISERROR(K31/K$11),"n.a.",K31/K$11)</f>
        <v>4.2420516423678202E-2</v>
      </c>
      <c r="L33" s="6">
        <f t="shared" si="17"/>
        <v>3.8715035120087289E-2</v>
      </c>
      <c r="M33" s="6">
        <f t="shared" si="17"/>
        <v>3.1766010827301801E-2</v>
      </c>
      <c r="N33" s="6">
        <f t="shared" si="17"/>
        <v>3.7087317027878916E-2</v>
      </c>
      <c r="O33" s="6">
        <f t="shared" si="17"/>
        <v>3.9271789819115333E-2</v>
      </c>
      <c r="P33" s="6">
        <f t="shared" si="17"/>
        <v>3.9497311355921425E-2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107">
        <v>-31</v>
      </c>
      <c r="M40" s="107">
        <v>-31</v>
      </c>
      <c r="N40" s="107">
        <v>-31</v>
      </c>
      <c r="O40" s="107">
        <v>-31</v>
      </c>
      <c r="P40" s="107">
        <v>-31</v>
      </c>
      <c r="Q40" s="107">
        <v>-31</v>
      </c>
      <c r="R40" s="107">
        <v>-31</v>
      </c>
      <c r="S40" s="107">
        <v>-31</v>
      </c>
      <c r="T40" s="107">
        <v>-31</v>
      </c>
      <c r="U40" s="107">
        <v>-31</v>
      </c>
      <c r="V40" s="107">
        <v>-31</v>
      </c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18">IF(ISERROR(F40/E40-1),"n.a.",F40/E40-1)</f>
        <v>n.a.</v>
      </c>
      <c r="G41" s="6">
        <f>IF(ISERROR(G40/F40-1),"n.a.",G40/F40-1)</f>
        <v>0.23355263157894735</v>
      </c>
      <c r="H41" s="6">
        <f t="shared" ref="H41:V41" si="19">IF(ISERROR(H40/G40-1),"n.a.",H40/G40-1)</f>
        <v>7.4666666666666659E-2</v>
      </c>
      <c r="I41" s="6">
        <f t="shared" si="19"/>
        <v>-0.10421836228287829</v>
      </c>
      <c r="J41" s="6">
        <f t="shared" si="19"/>
        <v>3.3240997229916802E-2</v>
      </c>
      <c r="K41" s="6">
        <f t="shared" si="19"/>
        <v>-0.16890080428954413</v>
      </c>
      <c r="L41" s="6">
        <f t="shared" si="19"/>
        <v>0</v>
      </c>
      <c r="M41" s="6">
        <f t="shared" si="19"/>
        <v>0</v>
      </c>
      <c r="N41" s="6">
        <f t="shared" si="19"/>
        <v>0</v>
      </c>
      <c r="O41" s="6">
        <f t="shared" si="19"/>
        <v>0</v>
      </c>
      <c r="P41" s="6">
        <f t="shared" si="19"/>
        <v>0</v>
      </c>
      <c r="Q41" s="6">
        <f t="shared" si="19"/>
        <v>0</v>
      </c>
      <c r="R41" s="6">
        <f t="shared" si="19"/>
        <v>0</v>
      </c>
      <c r="S41" s="6">
        <f t="shared" si="19"/>
        <v>0</v>
      </c>
      <c r="T41" s="6">
        <f t="shared" si="19"/>
        <v>0</v>
      </c>
      <c r="U41" s="6">
        <f t="shared" si="19"/>
        <v>0</v>
      </c>
      <c r="V41" s="6">
        <f t="shared" si="19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0">IF(ISERROR(-F40/F$11),"n.a.",-F40/F$11)</f>
        <v>3.2350750239438113E-2</v>
      </c>
      <c r="G42" s="118">
        <f t="shared" si="20"/>
        <v>3.7317145984675094E-2</v>
      </c>
      <c r="H42" s="118">
        <f t="shared" si="20"/>
        <v>3.9451786588350461E-2</v>
      </c>
      <c r="I42" s="118">
        <f t="shared" si="20"/>
        <v>3.2968036529680368E-2</v>
      </c>
      <c r="J42" s="118">
        <f t="shared" si="20"/>
        <v>3.2860540921504713E-2</v>
      </c>
      <c r="K42" s="118">
        <f t="shared" si="20"/>
        <v>2.7226418408571932E-2</v>
      </c>
      <c r="L42" s="118">
        <f t="shared" si="20"/>
        <v>2.6979982593559618E-2</v>
      </c>
      <c r="M42" s="118">
        <f t="shared" si="20"/>
        <v>2.4681528662420384E-2</v>
      </c>
      <c r="N42" s="118">
        <f t="shared" si="20"/>
        <v>2.2895125553914326E-2</v>
      </c>
      <c r="O42" s="118">
        <f t="shared" si="20"/>
        <v>2.1423635107118175E-2</v>
      </c>
      <c r="P42" s="118">
        <f t="shared" si="20"/>
        <v>2.1483021483021482E-2</v>
      </c>
      <c r="Q42" s="118">
        <f t="shared" si="20"/>
        <v>2.106178576766812E-2</v>
      </c>
      <c r="R42" s="118">
        <f t="shared" ca="1" si="20"/>
        <v>2.0689376981992257E-2</v>
      </c>
      <c r="S42" s="118">
        <f t="shared" ca="1" si="20"/>
        <v>2.036356002164592E-2</v>
      </c>
      <c r="T42" s="118">
        <f t="shared" ca="1" si="20"/>
        <v>2.0082406332984144E-2</v>
      </c>
      <c r="U42" s="118">
        <f t="shared" ca="1" si="20"/>
        <v>1.9844275032593027E-2</v>
      </c>
      <c r="V42" s="118">
        <f t="shared" ca="1" si="20"/>
        <v>1.9647797061973293E-2</v>
      </c>
    </row>
    <row r="43" spans="2:34">
      <c r="B43" s="14"/>
      <c r="C43" s="14" t="s">
        <v>128</v>
      </c>
      <c r="D43" s="14"/>
      <c r="E43" s="6"/>
      <c r="F43" s="6">
        <f t="shared" ref="F43:V43" si="21">(F15+F40)/F15</f>
        <v>0.69930761622156279</v>
      </c>
      <c r="G43" s="6">
        <f t="shared" si="21"/>
        <v>0.65878070973612379</v>
      </c>
      <c r="H43" s="6">
        <f t="shared" si="21"/>
        <v>0.64834205933682376</v>
      </c>
      <c r="I43" s="6">
        <f t="shared" si="21"/>
        <v>0.66789328426862915</v>
      </c>
      <c r="J43" s="6">
        <f t="shared" si="21"/>
        <v>0.65936073059360734</v>
      </c>
      <c r="K43" s="6">
        <f t="shared" si="21"/>
        <v>0.68431771894093685</v>
      </c>
      <c r="L43" s="6">
        <f t="shared" si="21"/>
        <v>0.67021276595744683</v>
      </c>
      <c r="M43" s="6">
        <f t="shared" si="21"/>
        <v>0.58666666666666667</v>
      </c>
      <c r="N43" s="6">
        <f t="shared" si="21"/>
        <v>0.70476190476190481</v>
      </c>
      <c r="O43" s="6">
        <f t="shared" si="21"/>
        <v>0.75396825396825395</v>
      </c>
      <c r="P43" s="6">
        <f t="shared" si="21"/>
        <v>0.74796747967479671</v>
      </c>
      <c r="Q43" s="6">
        <f t="shared" ca="1" si="21"/>
        <v>0.7551882326090853</v>
      </c>
      <c r="R43" s="6">
        <f t="shared" ca="1" si="21"/>
        <v>0.76171465412231754</v>
      </c>
      <c r="S43" s="6">
        <f t="shared" ca="1" si="21"/>
        <v>0.76759111708597239</v>
      </c>
      <c r="T43" s="6">
        <f t="shared" ca="1" si="21"/>
        <v>0.77285693417074675</v>
      </c>
      <c r="U43" s="6">
        <f t="shared" ca="1" si="21"/>
        <v>0.77754679454626729</v>
      </c>
      <c r="V43" s="6">
        <f t="shared" ca="1" si="21"/>
        <v>0.78169114375585225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7">
        <f ca="1">AVERAGE(K45,M45)</f>
        <v>-8.9499999999999993</v>
      </c>
      <c r="M45" s="337">
        <f t="shared" ref="M45:Q45" ca="1" si="22">AVERAGE(L45,N45)</f>
        <v>-7.5</v>
      </c>
      <c r="N45" s="337">
        <f t="shared" ca="1" si="22"/>
        <v>-6.0500000000000007</v>
      </c>
      <c r="O45" s="337">
        <f t="shared" ca="1" si="22"/>
        <v>-4.6000000000000005</v>
      </c>
      <c r="P45" s="337">
        <f t="shared" ca="1" si="22"/>
        <v>-3.1500000000000004</v>
      </c>
      <c r="Q45" s="104">
        <v>-1.7</v>
      </c>
      <c r="R45" s="104">
        <f t="shared" ref="Q45:V45" ca="1" si="23">R47*R11</f>
        <v>0</v>
      </c>
      <c r="S45" s="104">
        <f t="shared" ca="1" si="23"/>
        <v>0</v>
      </c>
      <c r="T45" s="104">
        <f t="shared" ca="1" si="23"/>
        <v>0</v>
      </c>
      <c r="U45" s="104">
        <f t="shared" ca="1" si="23"/>
        <v>0</v>
      </c>
      <c r="V45" s="104">
        <f t="shared" ca="1" si="23"/>
        <v>0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4">IF(ISERROR(F45/E45-1),"n.a.",F45/E45-1)</f>
        <v>n.a.</v>
      </c>
      <c r="G46" s="6">
        <f t="shared" si="24"/>
        <v>-5.7358490566037723</v>
      </c>
      <c r="H46" s="6">
        <f t="shared" si="24"/>
        <v>-1.4462151394422311</v>
      </c>
      <c r="I46" s="6">
        <f t="shared" si="24"/>
        <v>0.45535714285714324</v>
      </c>
      <c r="J46" s="6">
        <f t="shared" si="24"/>
        <v>-0.22699386503067509</v>
      </c>
      <c r="K46" s="6">
        <f t="shared" si="24"/>
        <v>-0.17460317460317465</v>
      </c>
      <c r="L46" s="6">
        <f t="shared" ca="1" si="24"/>
        <v>-0.13942307692307687</v>
      </c>
      <c r="M46" s="6">
        <f t="shared" ca="1" si="24"/>
        <v>-0.16201117318435743</v>
      </c>
      <c r="N46" s="6">
        <f t="shared" ca="1" si="24"/>
        <v>-0.19333333333333325</v>
      </c>
      <c r="O46" s="6">
        <f t="shared" ca="1" si="24"/>
        <v>-0.23966942148760328</v>
      </c>
      <c r="P46" s="6">
        <f t="shared" ca="1" si="24"/>
        <v>-0.31521739130434778</v>
      </c>
      <c r="Q46" s="6">
        <f t="shared" ca="1" si="24"/>
        <v>-0.46031746031746035</v>
      </c>
      <c r="R46" s="6">
        <f t="shared" ca="1" si="24"/>
        <v>-1</v>
      </c>
      <c r="S46" s="6" t="str">
        <f t="shared" ca="1" si="24"/>
        <v>n.a.</v>
      </c>
      <c r="T46" s="6" t="str">
        <f t="shared" ca="1" si="24"/>
        <v>n.a.</v>
      </c>
      <c r="U46" s="6" t="str">
        <f t="shared" ca="1" si="24"/>
        <v>n.a.</v>
      </c>
      <c r="V46" s="6" t="str">
        <f t="shared" ca="1" si="24"/>
        <v>n.a.</v>
      </c>
    </row>
    <row r="47" spans="2:34">
      <c r="C47" s="14" t="s">
        <v>24</v>
      </c>
      <c r="D47" s="14"/>
      <c r="E47" s="6"/>
      <c r="F47" s="6">
        <f t="shared" ref="F47:P47" si="25">IF(ISERROR(F45/F$11),"n.a.",F45/F$11)</f>
        <v>-5.6400979035862511E-3</v>
      </c>
      <c r="G47" s="6">
        <f t="shared" si="25"/>
        <v>2.4977609712409192E-2</v>
      </c>
      <c r="H47" s="6">
        <f t="shared" si="25"/>
        <v>-1.0964268232990699E-2</v>
      </c>
      <c r="I47" s="6">
        <f t="shared" si="25"/>
        <v>-1.4885844748858451E-2</v>
      </c>
      <c r="J47" s="6">
        <f t="shared" si="25"/>
        <v>-1.1100343582063256E-2</v>
      </c>
      <c r="K47" s="6">
        <f t="shared" si="25"/>
        <v>-9.1340242402950991E-3</v>
      </c>
      <c r="L47" s="6">
        <f t="shared" ca="1" si="25"/>
        <v>-7.789382071366405E-3</v>
      </c>
      <c r="M47" s="6">
        <f t="shared" ca="1" si="25"/>
        <v>-5.9713375796178348E-3</v>
      </c>
      <c r="N47" s="6">
        <f t="shared" ca="1" si="25"/>
        <v>-4.4682422451994093E-3</v>
      </c>
      <c r="O47" s="6">
        <f t="shared" ca="1" si="25"/>
        <v>-3.1789910158949554E-3</v>
      </c>
      <c r="P47" s="6">
        <f t="shared" ca="1" si="25"/>
        <v>-2.1829521829521831E-3</v>
      </c>
      <c r="Q47" s="119">
        <v>0</v>
      </c>
      <c r="R47" s="6">
        <f t="shared" ref="R47:V47" si="26">Q47</f>
        <v>0</v>
      </c>
      <c r="S47" s="6">
        <f t="shared" si="26"/>
        <v>0</v>
      </c>
      <c r="T47" s="6">
        <f t="shared" si="26"/>
        <v>0</v>
      </c>
      <c r="U47" s="6">
        <f t="shared" si="26"/>
        <v>0</v>
      </c>
      <c r="V47" s="6">
        <f t="shared" si="26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7">
        <v>0</v>
      </c>
      <c r="M49" s="337"/>
      <c r="N49" s="337">
        <v>-5</v>
      </c>
      <c r="O49" s="337">
        <v>-5</v>
      </c>
      <c r="P49" s="337">
        <v>-5</v>
      </c>
      <c r="Q49" s="337">
        <v>-5</v>
      </c>
      <c r="R49" s="337">
        <v>-5</v>
      </c>
      <c r="S49" s="337">
        <v>-5</v>
      </c>
      <c r="T49" s="337">
        <v>-5</v>
      </c>
      <c r="U49" s="337">
        <v>-5</v>
      </c>
      <c r="V49" s="337">
        <v>-5</v>
      </c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27">IF(ISERROR(F49/E49-1),"n.a.",F49/E49-1)</f>
        <v>n.a.</v>
      </c>
      <c r="G50" s="6" t="str">
        <f>IF(ISERROR(G49/F49-1),"n.a.",G49/F49-1)</f>
        <v>n.a.</v>
      </c>
      <c r="H50" s="6" t="str">
        <f t="shared" ref="H50" si="28">IF(ISERROR(H49/G49-1),"n.a.",H49/G49-1)</f>
        <v>n.a.</v>
      </c>
      <c r="I50" s="6" t="str">
        <f t="shared" ref="I50" si="29">IF(ISERROR(I49/H49-1),"n.a.",I49/H49-1)</f>
        <v>n.a.</v>
      </c>
      <c r="J50" s="6" t="str">
        <f t="shared" ref="J50" si="30">IF(ISERROR(J49/I49-1),"n.a.",J49/I49-1)</f>
        <v>n.a.</v>
      </c>
      <c r="K50" s="6">
        <f t="shared" ref="K50" si="31">IF(ISERROR(K49/J49-1),"n.a.",K49/J49-1)</f>
        <v>-1.4933333333333334</v>
      </c>
      <c r="L50" s="6">
        <f t="shared" ref="L50" si="32">IF(ISERROR(L49/K49-1),"n.a.",L49/K49-1)</f>
        <v>-1</v>
      </c>
      <c r="M50" s="6" t="str">
        <f t="shared" ref="M50" si="33">IF(ISERROR(M49/L49-1),"n.a.",M49/L49-1)</f>
        <v>n.a.</v>
      </c>
      <c r="N50" s="6" t="str">
        <f t="shared" ref="N50" si="34">IF(ISERROR(N49/M49-1),"n.a.",N49/M49-1)</f>
        <v>n.a.</v>
      </c>
      <c r="O50" s="6">
        <f t="shared" ref="O50" si="35">IF(ISERROR(O49/N49-1),"n.a.",O49/N49-1)</f>
        <v>0</v>
      </c>
      <c r="P50" s="6">
        <f t="shared" ref="P50" si="36">IF(ISERROR(P49/O49-1),"n.a.",P49/O49-1)</f>
        <v>0</v>
      </c>
      <c r="Q50" s="6">
        <f t="shared" ref="Q50" si="37">IF(ISERROR(Q49/P49-1),"n.a.",Q49/P49-1)</f>
        <v>0</v>
      </c>
      <c r="R50" s="6">
        <f t="shared" ref="R50" si="38">IF(ISERROR(R49/Q49-1),"n.a.",R49/Q49-1)</f>
        <v>0</v>
      </c>
      <c r="S50" s="6">
        <f t="shared" ref="S50" si="39">IF(ISERROR(S49/R49-1),"n.a.",S49/R49-1)</f>
        <v>0</v>
      </c>
      <c r="T50" s="6">
        <f t="shared" ref="T50" si="40">IF(ISERROR(T49/S49-1),"n.a.",T49/S49-1)</f>
        <v>0</v>
      </c>
      <c r="U50" s="6">
        <f t="shared" ref="U50" si="41">IF(ISERROR(U49/T49-1),"n.a.",U49/T49-1)</f>
        <v>0</v>
      </c>
      <c r="V50" s="6">
        <f t="shared" ref="V50" si="42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3">IF(ISERROR(-F49/F$11),"n.a.",-F49/F$11)</f>
        <v>0</v>
      </c>
      <c r="G51" s="118">
        <f t="shared" si="43"/>
        <v>0</v>
      </c>
      <c r="H51" s="118">
        <f t="shared" si="43"/>
        <v>0</v>
      </c>
      <c r="I51" s="118">
        <f t="shared" si="43"/>
        <v>0</v>
      </c>
      <c r="J51" s="118">
        <f t="shared" si="43"/>
        <v>1.3214694740551493E-3</v>
      </c>
      <c r="K51" s="118">
        <f t="shared" si="43"/>
        <v>-6.4992095555945904E-4</v>
      </c>
      <c r="L51" s="118">
        <f t="shared" si="43"/>
        <v>0</v>
      </c>
      <c r="M51" s="118">
        <f t="shared" si="43"/>
        <v>0</v>
      </c>
      <c r="N51" s="118">
        <f t="shared" si="43"/>
        <v>3.692762186115214E-3</v>
      </c>
      <c r="O51" s="118">
        <f t="shared" si="43"/>
        <v>3.4554250172771253E-3</v>
      </c>
      <c r="P51" s="118">
        <f t="shared" si="43"/>
        <v>3.4650034650034649E-3</v>
      </c>
      <c r="Q51" s="118">
        <f t="shared" si="43"/>
        <v>3.3970622205916319E-3</v>
      </c>
      <c r="R51" s="118">
        <f t="shared" ca="1" si="43"/>
        <v>3.3369962874181059E-3</v>
      </c>
      <c r="S51" s="118">
        <f t="shared" ca="1" si="43"/>
        <v>3.2844451647816002E-3</v>
      </c>
      <c r="T51" s="118">
        <f t="shared" ca="1" si="43"/>
        <v>3.2390977956426037E-3</v>
      </c>
      <c r="U51" s="118">
        <f t="shared" ca="1" si="43"/>
        <v>3.2006895213859722E-3</v>
      </c>
      <c r="V51" s="118">
        <f t="shared" ca="1" si="43"/>
        <v>3.1689995261247246E-3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7">
        <v>0</v>
      </c>
      <c r="M53" s="337">
        <v>-18.004468664734777</v>
      </c>
      <c r="N53" s="337">
        <v>-6.7527180429793674</v>
      </c>
      <c r="O53" s="337">
        <v>1.1384540263188825</v>
      </c>
      <c r="P53" s="337">
        <v>-4.8650405710493061</v>
      </c>
      <c r="Q53" s="107">
        <v>0</v>
      </c>
      <c r="R53" s="107">
        <f t="shared" ref="R53:V53" si="44">+Q53</f>
        <v>0</v>
      </c>
      <c r="S53" s="107">
        <f t="shared" si="44"/>
        <v>0</v>
      </c>
      <c r="T53" s="107">
        <f t="shared" si="44"/>
        <v>0</v>
      </c>
      <c r="U53" s="107">
        <f t="shared" si="44"/>
        <v>0</v>
      </c>
      <c r="V53" s="107">
        <f t="shared" si="44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5">IF(ISERROR(F53/E53-1),"n.a.",F53/E53-1)</f>
        <v>n.a.</v>
      </c>
      <c r="G54" s="6" t="str">
        <f>IF(ISERROR(G53/F53-1),"n.a.",G53/F53-1)</f>
        <v>n.a.</v>
      </c>
      <c r="H54" s="6" t="str">
        <f t="shared" ref="H54" si="46">IF(ISERROR(H53/G53-1),"n.a.",H53/G53-1)</f>
        <v>n.a.</v>
      </c>
      <c r="I54" s="6" t="str">
        <f t="shared" ref="I54" si="47">IF(ISERROR(I53/H53-1),"n.a.",I53/H53-1)</f>
        <v>n.a.</v>
      </c>
      <c r="J54" s="6" t="str">
        <f t="shared" ref="J54" si="48">IF(ISERROR(J53/I53-1),"n.a.",J53/I53-1)</f>
        <v>n.a.</v>
      </c>
      <c r="K54" s="6" t="str">
        <f t="shared" ref="K54" si="49">IF(ISERROR(K53/J53-1),"n.a.",K53/J53-1)</f>
        <v>n.a.</v>
      </c>
      <c r="L54" s="6" t="str">
        <f t="shared" ref="L54" si="50">IF(ISERROR(L53/K53-1),"n.a.",L53/K53-1)</f>
        <v>n.a.</v>
      </c>
      <c r="M54" s="6" t="str">
        <f t="shared" ref="M54" si="51">IF(ISERROR(M53/L53-1),"n.a.",M53/L53-1)</f>
        <v>n.a.</v>
      </c>
      <c r="N54" s="6">
        <f t="shared" ref="N54" si="52">IF(ISERROR(N53/M53-1),"n.a.",N53/M53-1)</f>
        <v>-0.62494210916616122</v>
      </c>
      <c r="O54" s="6">
        <f t="shared" ref="O54" si="53">IF(ISERROR(O53/N53-1),"n.a.",O53/N53-1)</f>
        <v>-1.1685919683115609</v>
      </c>
      <c r="P54" s="6">
        <f t="shared" ref="P54" si="54">IF(ISERROR(P53/O53-1),"n.a.",P53/O53-1)</f>
        <v>-5.2733746454216517</v>
      </c>
      <c r="Q54" s="6">
        <f t="shared" ref="Q54" si="55">IF(ISERROR(Q53/P53-1),"n.a.",Q53/P53-1)</f>
        <v>-1</v>
      </c>
      <c r="R54" s="6" t="str">
        <f t="shared" ref="R54" si="56">IF(ISERROR(R53/Q53-1),"n.a.",R53/Q53-1)</f>
        <v>n.a.</v>
      </c>
      <c r="S54" s="6" t="str">
        <f t="shared" ref="S54" si="57">IF(ISERROR(S53/R53-1),"n.a.",S53/R53-1)</f>
        <v>n.a.</v>
      </c>
      <c r="T54" s="6" t="str">
        <f t="shared" ref="T54" si="58">IF(ISERROR(T53/S53-1),"n.a.",T53/S53-1)</f>
        <v>n.a.</v>
      </c>
      <c r="U54" s="6" t="str">
        <f t="shared" ref="U54" si="59">IF(ISERROR(U53/T53-1),"n.a.",U53/T53-1)</f>
        <v>n.a.</v>
      </c>
      <c r="V54" s="6" t="str">
        <f t="shared" ref="V54" si="60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1">IF(ISERROR(-F53/F$11),"n.a.",-F53/F$11)</f>
        <v>0</v>
      </c>
      <c r="G55" s="118">
        <f t="shared" si="61"/>
        <v>0</v>
      </c>
      <c r="H55" s="118">
        <f t="shared" si="61"/>
        <v>0</v>
      </c>
      <c r="I55" s="118">
        <f t="shared" si="61"/>
        <v>0</v>
      </c>
      <c r="J55" s="118">
        <f t="shared" si="61"/>
        <v>0</v>
      </c>
      <c r="K55" s="118">
        <f t="shared" si="61"/>
        <v>0</v>
      </c>
      <c r="L55" s="118">
        <f t="shared" si="61"/>
        <v>0</v>
      </c>
      <c r="M55" s="118">
        <f t="shared" si="61"/>
        <v>1.4334768045171E-2</v>
      </c>
      <c r="N55" s="118">
        <f t="shared" si="61"/>
        <v>4.9872363685224278E-3</v>
      </c>
      <c r="O55" s="118">
        <f t="shared" si="61"/>
        <v>-7.8676850471242742E-4</v>
      </c>
      <c r="P55" s="118">
        <f t="shared" si="61"/>
        <v>3.3714764872136561E-3</v>
      </c>
      <c r="Q55" s="118">
        <f t="shared" si="61"/>
        <v>0</v>
      </c>
      <c r="R55" s="118">
        <f t="shared" ca="1" si="61"/>
        <v>0</v>
      </c>
      <c r="S55" s="118">
        <f t="shared" ca="1" si="61"/>
        <v>0</v>
      </c>
      <c r="T55" s="118">
        <f t="shared" ca="1" si="61"/>
        <v>0</v>
      </c>
      <c r="U55" s="118">
        <f t="shared" ca="1" si="61"/>
        <v>0</v>
      </c>
      <c r="V55" s="118">
        <f t="shared" ca="1" si="61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2">F9</f>
        <v>41729</v>
      </c>
      <c r="G58" s="205">
        <f t="shared" si="62"/>
        <v>42094</v>
      </c>
      <c r="H58" s="205">
        <f t="shared" si="62"/>
        <v>42460</v>
      </c>
      <c r="I58" s="205">
        <f t="shared" si="62"/>
        <v>42825</v>
      </c>
      <c r="J58" s="205">
        <f t="shared" si="62"/>
        <v>43190</v>
      </c>
      <c r="K58" s="205">
        <f t="shared" si="62"/>
        <v>43555</v>
      </c>
      <c r="L58" s="206">
        <f t="shared" si="62"/>
        <v>43921</v>
      </c>
      <c r="M58" s="206">
        <f t="shared" si="62"/>
        <v>44286</v>
      </c>
      <c r="N58" s="206">
        <f t="shared" si="62"/>
        <v>44651</v>
      </c>
      <c r="O58" s="206">
        <f t="shared" si="62"/>
        <v>45016</v>
      </c>
      <c r="P58" s="206">
        <f t="shared" si="62"/>
        <v>45382</v>
      </c>
      <c r="Q58" s="206">
        <f t="shared" si="62"/>
        <v>45747</v>
      </c>
      <c r="R58" s="206">
        <f t="shared" si="62"/>
        <v>46112</v>
      </c>
      <c r="S58" s="206">
        <f t="shared" si="62"/>
        <v>46477</v>
      </c>
      <c r="T58" s="206">
        <f t="shared" si="62"/>
        <v>46843</v>
      </c>
      <c r="U58" s="206">
        <f t="shared" si="62"/>
        <v>47208</v>
      </c>
      <c r="V58" s="206">
        <f t="shared" si="62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3">F11</f>
        <v>939.7</v>
      </c>
      <c r="G60" s="208">
        <f t="shared" si="63"/>
        <v>1004.9</v>
      </c>
      <c r="H60" s="208">
        <f t="shared" si="63"/>
        <v>1021.5</v>
      </c>
      <c r="I60" s="208">
        <f t="shared" si="63"/>
        <v>1095</v>
      </c>
      <c r="J60" s="208">
        <f t="shared" si="63"/>
        <v>1135.0999999999999</v>
      </c>
      <c r="K60" s="208">
        <f t="shared" si="63"/>
        <v>1138.5999999999999</v>
      </c>
      <c r="L60" s="208">
        <f t="shared" si="63"/>
        <v>1149</v>
      </c>
      <c r="M60" s="208">
        <f t="shared" si="63"/>
        <v>1256</v>
      </c>
      <c r="N60" s="208">
        <f t="shared" si="63"/>
        <v>1354</v>
      </c>
      <c r="O60" s="208">
        <f t="shared" si="63"/>
        <v>1447</v>
      </c>
      <c r="P60" s="208">
        <f t="shared" ref="P60:V60" si="64">P11</f>
        <v>1443</v>
      </c>
      <c r="Q60" s="208">
        <f t="shared" si="64"/>
        <v>1471.8600000000001</v>
      </c>
      <c r="R60" s="208">
        <f t="shared" ca="1" si="64"/>
        <v>1498.3534800000002</v>
      </c>
      <c r="S60" s="208">
        <f t="shared" ca="1" si="64"/>
        <v>1522.3271356800003</v>
      </c>
      <c r="T60" s="208">
        <f t="shared" ca="1" si="64"/>
        <v>1543.6397155795203</v>
      </c>
      <c r="U60" s="208">
        <f t="shared" ca="1" si="64"/>
        <v>1562.1633921664745</v>
      </c>
      <c r="V60" s="208">
        <f t="shared" ca="1" si="64"/>
        <v>1577.7850260881394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5">IF(ISERROR(G60/F60-1),"n.a.",G60/F60-1)</f>
        <v>6.9383845908268516E-2</v>
      </c>
      <c r="H61" s="209">
        <f t="shared" si="65"/>
        <v>1.6519056622549488E-2</v>
      </c>
      <c r="I61" s="209">
        <f t="shared" si="65"/>
        <v>7.1953010279001361E-2</v>
      </c>
      <c r="J61" s="209">
        <f t="shared" si="65"/>
        <v>3.6621004566209869E-2</v>
      </c>
      <c r="K61" s="209">
        <f t="shared" si="65"/>
        <v>3.0834287727954379E-3</v>
      </c>
      <c r="L61" s="209">
        <f t="shared" si="65"/>
        <v>9.13402424029508E-3</v>
      </c>
      <c r="M61" s="209">
        <f t="shared" si="65"/>
        <v>9.3124456048738091E-2</v>
      </c>
      <c r="N61" s="209">
        <f t="shared" si="65"/>
        <v>7.8025477707006408E-2</v>
      </c>
      <c r="O61" s="209">
        <f t="shared" si="65"/>
        <v>6.8685376661743014E-2</v>
      </c>
      <c r="P61" s="209">
        <f t="shared" si="65"/>
        <v>-2.7643400138217533E-3</v>
      </c>
      <c r="Q61" s="209">
        <f t="shared" si="65"/>
        <v>2.0000000000000018E-2</v>
      </c>
      <c r="R61" s="209">
        <f t="shared" ca="1" si="65"/>
        <v>1.8000000000000016E-2</v>
      </c>
      <c r="S61" s="209">
        <f t="shared" ca="1" si="65"/>
        <v>1.6000000000000014E-2</v>
      </c>
      <c r="T61" s="209">
        <f t="shared" ca="1" si="65"/>
        <v>1.4000000000000012E-2</v>
      </c>
      <c r="U61" s="209">
        <f t="shared" ca="1" si="65"/>
        <v>1.2000000000000011E-2</v>
      </c>
      <c r="V61" s="209">
        <f t="shared" ca="1" si="65"/>
        <v>1.0000000000000009E-2</v>
      </c>
    </row>
    <row r="62" spans="2:34">
      <c r="C62" s="203" t="s">
        <v>3</v>
      </c>
      <c r="D62" s="203"/>
      <c r="E62" s="203"/>
      <c r="F62" s="208">
        <f t="shared" ref="F62:P62" si="66">F15</f>
        <v>101.1</v>
      </c>
      <c r="G62" s="208">
        <f t="shared" si="66"/>
        <v>109.9</v>
      </c>
      <c r="H62" s="208">
        <f t="shared" si="66"/>
        <v>114.6</v>
      </c>
      <c r="I62" s="208">
        <f t="shared" si="66"/>
        <v>108.7</v>
      </c>
      <c r="J62" s="208">
        <f t="shared" si="66"/>
        <v>109.5</v>
      </c>
      <c r="K62" s="208">
        <f t="shared" si="66"/>
        <v>98.2</v>
      </c>
      <c r="L62" s="208">
        <f t="shared" si="66"/>
        <v>94</v>
      </c>
      <c r="M62" s="208">
        <f t="shared" si="66"/>
        <v>75</v>
      </c>
      <c r="N62" s="208">
        <f t="shared" si="66"/>
        <v>105</v>
      </c>
      <c r="O62" s="208">
        <f t="shared" si="66"/>
        <v>126</v>
      </c>
      <c r="P62" s="208">
        <f t="shared" si="66"/>
        <v>123</v>
      </c>
      <c r="Q62" s="208">
        <f t="shared" ref="Q62:V62" ca="1" si="67">Q15</f>
        <v>126.62789999999998</v>
      </c>
      <c r="R62" s="208">
        <f t="shared" ca="1" si="67"/>
        <v>130.09612439999998</v>
      </c>
      <c r="S62" s="208">
        <f t="shared" ca="1" si="67"/>
        <v>133.38560734559996</v>
      </c>
      <c r="T62" s="208">
        <f t="shared" ca="1" si="67"/>
        <v>136.47786203301118</v>
      </c>
      <c r="U62" s="208">
        <f t="shared" ca="1" si="67"/>
        <v>139.35515083619498</v>
      </c>
      <c r="V62" s="208">
        <f t="shared" ca="1" si="67"/>
        <v>142.00065234793254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8">IF(ISERROR(G62/F62-1),"n.a.",G62/F62-1)</f>
        <v>8.7042532146389906E-2</v>
      </c>
      <c r="H63" s="209">
        <f t="shared" si="68"/>
        <v>4.2766151046405687E-2</v>
      </c>
      <c r="I63" s="209">
        <f t="shared" si="68"/>
        <v>-5.148342059336819E-2</v>
      </c>
      <c r="J63" s="209">
        <f t="shared" si="68"/>
        <v>7.3597056117755688E-3</v>
      </c>
      <c r="K63" s="209">
        <f t="shared" si="68"/>
        <v>-0.10319634703196345</v>
      </c>
      <c r="L63" s="209">
        <f t="shared" si="68"/>
        <v>-4.2769857433808567E-2</v>
      </c>
      <c r="M63" s="209">
        <f t="shared" si="68"/>
        <v>-0.2021276595744681</v>
      </c>
      <c r="N63" s="209">
        <f t="shared" si="68"/>
        <v>0.39999999999999991</v>
      </c>
      <c r="O63" s="209">
        <f t="shared" si="68"/>
        <v>0.19999999999999996</v>
      </c>
      <c r="P63" s="209">
        <f t="shared" si="68"/>
        <v>-2.3809523809523836E-2</v>
      </c>
      <c r="Q63" s="209">
        <f t="shared" ca="1" si="68"/>
        <v>2.9495121951219394E-2</v>
      </c>
      <c r="R63" s="209">
        <f t="shared" ca="1" si="68"/>
        <v>2.7389101453944908E-2</v>
      </c>
      <c r="S63" s="209">
        <f t="shared" ca="1" si="68"/>
        <v>2.5285018756484812E-2</v>
      </c>
      <c r="T63" s="209">
        <f t="shared" ca="1" si="68"/>
        <v>2.318282121248072E-2</v>
      </c>
      <c r="U63" s="209">
        <f t="shared" ca="1" si="68"/>
        <v>2.1082458065527554E-2</v>
      </c>
      <c r="V63" s="209">
        <f t="shared" ca="1" si="68"/>
        <v>1.8983880365119887E-2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69">G62/G$60</f>
        <v>0.10936411583242114</v>
      </c>
      <c r="H64" s="211">
        <f>H62/H$60</f>
        <v>0.11218795888399412</v>
      </c>
      <c r="I64" s="211">
        <f t="shared" ref="I64" si="70">I62/I$60</f>
        <v>9.9269406392694062E-2</v>
      </c>
      <c r="J64" s="211">
        <f t="shared" ref="J64:V64" si="71">J62/J$60</f>
        <v>9.6467271606025903E-2</v>
      </c>
      <c r="K64" s="211">
        <f t="shared" si="71"/>
        <v>8.6246267345863353E-2</v>
      </c>
      <c r="L64" s="211">
        <f t="shared" si="71"/>
        <v>8.1810269799825933E-2</v>
      </c>
      <c r="M64" s="211">
        <f t="shared" si="71"/>
        <v>5.9713375796178345E-2</v>
      </c>
      <c r="N64" s="211">
        <f t="shared" si="71"/>
        <v>7.7548005908419496E-2</v>
      </c>
      <c r="O64" s="211">
        <f t="shared" si="71"/>
        <v>8.707671043538355E-2</v>
      </c>
      <c r="P64" s="211">
        <f t="shared" si="71"/>
        <v>8.5239085239085244E-2</v>
      </c>
      <c r="Q64" s="211">
        <f t="shared" ca="1" si="71"/>
        <v>8.6032571032571017E-2</v>
      </c>
      <c r="R64" s="211">
        <f t="shared" ca="1" si="71"/>
        <v>8.6826056826056805E-2</v>
      </c>
      <c r="S64" s="211">
        <f t="shared" ca="1" si="71"/>
        <v>8.7619542619542579E-2</v>
      </c>
      <c r="T64" s="211">
        <f t="shared" ca="1" si="71"/>
        <v>8.841302841302838E-2</v>
      </c>
      <c r="U64" s="211">
        <f t="shared" ca="1" si="71"/>
        <v>8.9206514206514168E-2</v>
      </c>
      <c r="V64" s="211">
        <f t="shared" ca="1" si="71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2">+G68-G62</f>
        <v>-25.300000000000011</v>
      </c>
      <c r="H65" s="210">
        <f t="shared" si="72"/>
        <v>-30.099999999999994</v>
      </c>
      <c r="I65" s="210">
        <f t="shared" si="72"/>
        <v>-31.600000000000009</v>
      </c>
      <c r="J65" s="210">
        <f t="shared" si="72"/>
        <v>-34.900000000000006</v>
      </c>
      <c r="K65" s="210">
        <f t="shared" si="72"/>
        <v>-36</v>
      </c>
      <c r="L65" s="210">
        <f t="shared" si="72"/>
        <v>-34</v>
      </c>
      <c r="M65" s="210">
        <f t="shared" si="72"/>
        <v>-38</v>
      </c>
      <c r="N65" s="210">
        <f t="shared" si="72"/>
        <v>-45</v>
      </c>
      <c r="O65" s="210">
        <f t="shared" si="72"/>
        <v>-50</v>
      </c>
      <c r="P65" s="210">
        <f t="shared" si="72"/>
        <v>-53</v>
      </c>
      <c r="Q65" s="210">
        <f t="shared" ca="1" si="72"/>
        <v>-32.427272727272793</v>
      </c>
      <c r="R65" s="210">
        <f t="shared" ca="1" si="72"/>
        <v>-31.831818181818235</v>
      </c>
      <c r="S65" s="210">
        <f t="shared" ca="1" si="72"/>
        <v>-31.236363636363677</v>
      </c>
      <c r="T65" s="210">
        <f t="shared" ca="1" si="72"/>
        <v>-30.640909090909119</v>
      </c>
      <c r="U65" s="210">
        <f t="shared" ca="1" si="72"/>
        <v>-30.045454545454561</v>
      </c>
      <c r="V65" s="210">
        <f t="shared" ca="1" si="72"/>
        <v>-29.450000000000003</v>
      </c>
    </row>
    <row r="66" spans="3:22">
      <c r="C66" s="200" t="s">
        <v>84</v>
      </c>
      <c r="D66" s="199"/>
      <c r="E66" s="202"/>
      <c r="F66" s="211">
        <f t="shared" ref="F66:V66" si="73">+F65/F60</f>
        <v>-2.4795147387464082E-2</v>
      </c>
      <c r="G66" s="211">
        <f t="shared" si="73"/>
        <v>-2.5176634490994141E-2</v>
      </c>
      <c r="H66" s="211">
        <f t="shared" si="73"/>
        <v>-2.9466470876162502E-2</v>
      </c>
      <c r="I66" s="211">
        <f t="shared" si="73"/>
        <v>-2.8858447488584484E-2</v>
      </c>
      <c r="J66" s="211">
        <f t="shared" si="73"/>
        <v>-3.0746189763016483E-2</v>
      </c>
      <c r="K66" s="211">
        <f t="shared" si="73"/>
        <v>-3.1617776216406115E-2</v>
      </c>
      <c r="L66" s="211">
        <f t="shared" si="73"/>
        <v>-2.959094865100087E-2</v>
      </c>
      <c r="M66" s="211">
        <f t="shared" si="73"/>
        <v>-3.0254777070063694E-2</v>
      </c>
      <c r="N66" s="211">
        <f t="shared" si="73"/>
        <v>-3.3234859675036928E-2</v>
      </c>
      <c r="O66" s="211">
        <f t="shared" si="73"/>
        <v>-3.455425017277125E-2</v>
      </c>
      <c r="P66" s="211">
        <f t="shared" si="73"/>
        <v>-3.6729036729036726E-2</v>
      </c>
      <c r="Q66" s="211">
        <f t="shared" ca="1" si="73"/>
        <v>-2.2031492619727956E-2</v>
      </c>
      <c r="R66" s="211">
        <f t="shared" ca="1" si="73"/>
        <v>-2.1244531818899123E-2</v>
      </c>
      <c r="S66" s="211">
        <f t="shared" ca="1" si="73"/>
        <v>-2.0518824702162895E-2</v>
      </c>
      <c r="T66" s="211">
        <f t="shared" ca="1" si="73"/>
        <v>-1.984978021856983E-2</v>
      </c>
      <c r="U66" s="211">
        <f t="shared" ca="1" si="73"/>
        <v>-1.9233234305782988E-2</v>
      </c>
      <c r="V66" s="211">
        <f t="shared" ca="1" si="73"/>
        <v>-1.8665407208874631E-2</v>
      </c>
    </row>
    <row r="67" spans="3:22">
      <c r="C67" s="200" t="s">
        <v>37</v>
      </c>
      <c r="D67" s="199"/>
      <c r="E67" s="202"/>
      <c r="F67" s="211">
        <f t="shared" ref="F67:V67" si="74">+F65/F72</f>
        <v>0.76644736842105254</v>
      </c>
      <c r="G67" s="211">
        <f t="shared" si="74"/>
        <v>0.67466666666666697</v>
      </c>
      <c r="H67" s="211">
        <f t="shared" si="74"/>
        <v>0.74689826302729523</v>
      </c>
      <c r="I67" s="211">
        <f t="shared" si="74"/>
        <v>0.87534626038781183</v>
      </c>
      <c r="J67" s="211">
        <f t="shared" si="74"/>
        <v>0.93565683646112618</v>
      </c>
      <c r="K67" s="211">
        <f t="shared" si="74"/>
        <v>1.1612903225806452</v>
      </c>
      <c r="L67" s="211">
        <f t="shared" si="74"/>
        <v>1.096774193548387</v>
      </c>
      <c r="M67" s="211">
        <f t="shared" si="74"/>
        <v>1.2258064516129032</v>
      </c>
      <c r="N67" s="211">
        <f t="shared" si="74"/>
        <v>1.4516129032258065</v>
      </c>
      <c r="O67" s="211">
        <f t="shared" si="74"/>
        <v>1.6129032258064515</v>
      </c>
      <c r="P67" s="211">
        <f t="shared" si="74"/>
        <v>1.7096774193548387</v>
      </c>
      <c r="Q67" s="211">
        <f t="shared" ca="1" si="74"/>
        <v>1.0460410557184772</v>
      </c>
      <c r="R67" s="211">
        <f t="shared" ca="1" si="74"/>
        <v>1.0268328445747819</v>
      </c>
      <c r="S67" s="211">
        <f t="shared" ca="1" si="74"/>
        <v>1.0076246334310863</v>
      </c>
      <c r="T67" s="211">
        <f t="shared" ca="1" si="74"/>
        <v>0.98841642228739091</v>
      </c>
      <c r="U67" s="211">
        <f t="shared" ca="1" si="74"/>
        <v>0.96920821114369549</v>
      </c>
      <c r="V67" s="211">
        <f t="shared" ca="1" si="74"/>
        <v>0.95000000000000007</v>
      </c>
    </row>
    <row r="68" spans="3:22">
      <c r="C68" s="203" t="s">
        <v>5</v>
      </c>
      <c r="D68" s="203"/>
      <c r="E68" s="203"/>
      <c r="F68" s="208">
        <f t="shared" ref="F68:V68" si="75">F25</f>
        <v>77.8</v>
      </c>
      <c r="G68" s="208">
        <f t="shared" si="75"/>
        <v>84.6</v>
      </c>
      <c r="H68" s="208">
        <f t="shared" si="75"/>
        <v>84.5</v>
      </c>
      <c r="I68" s="208">
        <f t="shared" si="75"/>
        <v>77.099999999999994</v>
      </c>
      <c r="J68" s="208">
        <f t="shared" si="75"/>
        <v>74.599999999999994</v>
      </c>
      <c r="K68" s="208">
        <f t="shared" si="75"/>
        <v>62.2</v>
      </c>
      <c r="L68" s="208">
        <f t="shared" si="75"/>
        <v>60</v>
      </c>
      <c r="M68" s="208">
        <f t="shared" si="75"/>
        <v>37</v>
      </c>
      <c r="N68" s="208">
        <f t="shared" si="75"/>
        <v>60</v>
      </c>
      <c r="O68" s="208">
        <f t="shared" si="75"/>
        <v>76</v>
      </c>
      <c r="P68" s="208">
        <f t="shared" si="75"/>
        <v>70</v>
      </c>
      <c r="Q68" s="208">
        <f t="shared" ca="1" si="75"/>
        <v>94.200627272727189</v>
      </c>
      <c r="R68" s="208">
        <f t="shared" ca="1" si="75"/>
        <v>98.264306218181744</v>
      </c>
      <c r="S68" s="208">
        <f t="shared" ca="1" si="75"/>
        <v>102.14924370923629</v>
      </c>
      <c r="T68" s="208">
        <f t="shared" ca="1" si="75"/>
        <v>105.83695294210206</v>
      </c>
      <c r="U68" s="208">
        <f t="shared" ca="1" si="75"/>
        <v>109.30969629074042</v>
      </c>
      <c r="V68" s="208">
        <f t="shared" ca="1" si="75"/>
        <v>112.55065234793254</v>
      </c>
    </row>
    <row r="69" spans="3:22">
      <c r="C69" s="200" t="s">
        <v>0</v>
      </c>
      <c r="D69" s="199"/>
      <c r="E69" s="201"/>
      <c r="F69" s="211" t="str">
        <f t="shared" ref="F69" si="76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7">IF(ISERROR(I68/H68-1),"n.a.",I68/H68-1)</f>
        <v>-8.7573964497041468E-2</v>
      </c>
      <c r="J69" s="211">
        <f t="shared" si="77"/>
        <v>-3.2425421530479892E-2</v>
      </c>
      <c r="K69" s="211">
        <f t="shared" si="77"/>
        <v>-0.16621983914209104</v>
      </c>
      <c r="L69" s="211">
        <f t="shared" si="77"/>
        <v>-3.5369774919614239E-2</v>
      </c>
      <c r="M69" s="211">
        <f t="shared" si="77"/>
        <v>-0.3833333333333333</v>
      </c>
      <c r="N69" s="211">
        <f t="shared" si="77"/>
        <v>0.62162162162162171</v>
      </c>
      <c r="O69" s="211">
        <f t="shared" si="77"/>
        <v>0.26666666666666661</v>
      </c>
      <c r="P69" s="211">
        <f t="shared" si="77"/>
        <v>-7.8947368421052655E-2</v>
      </c>
      <c r="Q69" s="211">
        <f t="shared" ca="1" si="77"/>
        <v>0.34572324675324562</v>
      </c>
      <c r="R69" s="211">
        <f t="shared" ca="1" si="77"/>
        <v>4.3138555051119853E-2</v>
      </c>
      <c r="S69" s="211">
        <f t="shared" ca="1" si="77"/>
        <v>3.95355917175928E-2</v>
      </c>
      <c r="T69" s="211">
        <f t="shared" ca="1" si="77"/>
        <v>3.6101189778386278E-2</v>
      </c>
      <c r="U69" s="211">
        <f t="shared" ca="1" si="77"/>
        <v>3.2812200768271627E-2</v>
      </c>
      <c r="V69" s="211">
        <f t="shared" ca="1" si="77"/>
        <v>2.9649300722342842E-2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8">G68/G$60</f>
        <v>8.4187481341427006E-2</v>
      </c>
      <c r="H70" s="313">
        <f>H68/H$60</f>
        <v>8.272148800783162E-2</v>
      </c>
      <c r="I70" s="313">
        <f t="shared" ref="I70:V70" si="79">I68/I$60</f>
        <v>7.0410958904109588E-2</v>
      </c>
      <c r="J70" s="313">
        <f t="shared" si="79"/>
        <v>6.5721081843009427E-2</v>
      </c>
      <c r="K70" s="313">
        <f t="shared" si="79"/>
        <v>5.4628491129457238E-2</v>
      </c>
      <c r="L70" s="313">
        <f t="shared" si="79"/>
        <v>5.2219321148825062E-2</v>
      </c>
      <c r="M70" s="313">
        <f t="shared" si="79"/>
        <v>2.945859872611465E-2</v>
      </c>
      <c r="N70" s="313">
        <f t="shared" si="79"/>
        <v>4.4313146233382568E-2</v>
      </c>
      <c r="O70" s="313">
        <f t="shared" si="79"/>
        <v>5.25224602626123E-2</v>
      </c>
      <c r="P70" s="313">
        <f t="shared" si="79"/>
        <v>4.851004851004851E-2</v>
      </c>
      <c r="Q70" s="313">
        <f t="shared" ca="1" si="79"/>
        <v>6.4001078412843054E-2</v>
      </c>
      <c r="R70" s="313">
        <f t="shared" ca="1" si="79"/>
        <v>6.5581525007157679E-2</v>
      </c>
      <c r="S70" s="313">
        <f t="shared" ca="1" si="79"/>
        <v>6.7100717917379676E-2</v>
      </c>
      <c r="T70" s="313">
        <f t="shared" ca="1" si="79"/>
        <v>6.8563248194458554E-2</v>
      </c>
      <c r="U70" s="313">
        <f t="shared" ca="1" si="79"/>
        <v>6.9973279900731183E-2</v>
      </c>
      <c r="V70" s="313">
        <f t="shared" ca="1" si="79"/>
        <v>7.1334592791125376E-2</v>
      </c>
    </row>
    <row r="71" spans="3:22">
      <c r="C71" s="199" t="s">
        <v>3</v>
      </c>
      <c r="D71" s="199"/>
      <c r="E71" s="199"/>
      <c r="F71" s="210">
        <f t="shared" ref="F71:V71" si="80">F15</f>
        <v>101.1</v>
      </c>
      <c r="G71" s="210">
        <f t="shared" si="80"/>
        <v>109.9</v>
      </c>
      <c r="H71" s="210">
        <f t="shared" si="80"/>
        <v>114.6</v>
      </c>
      <c r="I71" s="210">
        <f t="shared" si="80"/>
        <v>108.7</v>
      </c>
      <c r="J71" s="210">
        <f t="shared" si="80"/>
        <v>109.5</v>
      </c>
      <c r="K71" s="210">
        <f t="shared" si="80"/>
        <v>98.2</v>
      </c>
      <c r="L71" s="210">
        <f t="shared" si="80"/>
        <v>94</v>
      </c>
      <c r="M71" s="210">
        <f t="shared" si="80"/>
        <v>75</v>
      </c>
      <c r="N71" s="210">
        <f t="shared" si="80"/>
        <v>105</v>
      </c>
      <c r="O71" s="210">
        <f t="shared" si="80"/>
        <v>126</v>
      </c>
      <c r="P71" s="210">
        <f t="shared" si="80"/>
        <v>123</v>
      </c>
      <c r="Q71" s="210">
        <f t="shared" ca="1" si="80"/>
        <v>126.62789999999998</v>
      </c>
      <c r="R71" s="210">
        <f t="shared" ca="1" si="80"/>
        <v>130.09612439999998</v>
      </c>
      <c r="S71" s="210">
        <f t="shared" ca="1" si="80"/>
        <v>133.38560734559996</v>
      </c>
      <c r="T71" s="210">
        <f t="shared" ca="1" si="80"/>
        <v>136.47786203301118</v>
      </c>
      <c r="U71" s="210">
        <f t="shared" ca="1" si="80"/>
        <v>139.35515083619498</v>
      </c>
      <c r="V71" s="210">
        <f t="shared" ca="1" si="80"/>
        <v>142.00065234793254</v>
      </c>
    </row>
    <row r="72" spans="3:22">
      <c r="C72" s="203" t="s">
        <v>7</v>
      </c>
      <c r="D72" s="203"/>
      <c r="E72" s="204"/>
      <c r="F72" s="208">
        <f t="shared" ref="F72:V72" si="81">F40</f>
        <v>-30.4</v>
      </c>
      <c r="G72" s="208">
        <f t="shared" si="81"/>
        <v>-37.5</v>
      </c>
      <c r="H72" s="208">
        <f t="shared" si="81"/>
        <v>-40.299999999999997</v>
      </c>
      <c r="I72" s="208">
        <f t="shared" si="81"/>
        <v>-36.1</v>
      </c>
      <c r="J72" s="208">
        <f t="shared" si="81"/>
        <v>-37.299999999999997</v>
      </c>
      <c r="K72" s="208">
        <f t="shared" si="81"/>
        <v>-31</v>
      </c>
      <c r="L72" s="208">
        <f t="shared" si="81"/>
        <v>-31</v>
      </c>
      <c r="M72" s="208">
        <f t="shared" si="81"/>
        <v>-31</v>
      </c>
      <c r="N72" s="208">
        <f t="shared" si="81"/>
        <v>-31</v>
      </c>
      <c r="O72" s="208">
        <f t="shared" si="81"/>
        <v>-31</v>
      </c>
      <c r="P72" s="208">
        <f t="shared" si="81"/>
        <v>-31</v>
      </c>
      <c r="Q72" s="208">
        <f t="shared" si="81"/>
        <v>-31</v>
      </c>
      <c r="R72" s="208">
        <f t="shared" si="81"/>
        <v>-31</v>
      </c>
      <c r="S72" s="208">
        <f t="shared" si="81"/>
        <v>-31</v>
      </c>
      <c r="T72" s="208">
        <f t="shared" si="81"/>
        <v>-31</v>
      </c>
      <c r="U72" s="208">
        <f t="shared" si="81"/>
        <v>-31</v>
      </c>
      <c r="V72" s="208">
        <f t="shared" si="81"/>
        <v>-31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2">IF(ISERROR(-G72/G$60),"n.a.",-G72/G$60)</f>
        <v>3.7317145984675094E-2</v>
      </c>
      <c r="H73" s="209">
        <f t="shared" si="82"/>
        <v>3.9451786588350461E-2</v>
      </c>
      <c r="I73" s="209">
        <f t="shared" si="82"/>
        <v>3.2968036529680368E-2</v>
      </c>
      <c r="J73" s="209">
        <f t="shared" si="82"/>
        <v>3.2860540921504713E-2</v>
      </c>
      <c r="K73" s="209">
        <f t="shared" si="82"/>
        <v>2.7226418408571932E-2</v>
      </c>
      <c r="L73" s="209">
        <f t="shared" si="82"/>
        <v>2.6979982593559618E-2</v>
      </c>
      <c r="M73" s="209">
        <f t="shared" si="82"/>
        <v>2.4681528662420384E-2</v>
      </c>
      <c r="N73" s="209">
        <f t="shared" si="82"/>
        <v>2.2895125553914326E-2</v>
      </c>
      <c r="O73" s="209">
        <f t="shared" si="82"/>
        <v>2.1423635107118175E-2</v>
      </c>
      <c r="P73" s="209">
        <f t="shared" si="82"/>
        <v>2.1483021483021482E-2</v>
      </c>
      <c r="Q73" s="209">
        <f t="shared" si="82"/>
        <v>2.106178576766812E-2</v>
      </c>
      <c r="R73" s="209">
        <f t="shared" ca="1" si="82"/>
        <v>2.0689376981992257E-2</v>
      </c>
      <c r="S73" s="209">
        <f t="shared" ca="1" si="82"/>
        <v>2.036356002164592E-2</v>
      </c>
      <c r="T73" s="209">
        <f t="shared" ca="1" si="82"/>
        <v>2.0082406332984144E-2</v>
      </c>
      <c r="U73" s="209">
        <f t="shared" ca="1" si="82"/>
        <v>1.9844275032593027E-2</v>
      </c>
      <c r="V73" s="209">
        <f t="shared" ca="1" si="82"/>
        <v>1.9647797061973293E-2</v>
      </c>
    </row>
    <row r="74" spans="3:22">
      <c r="C74" s="199" t="s">
        <v>75</v>
      </c>
      <c r="D74" s="199"/>
      <c r="E74" s="201"/>
      <c r="F74" s="210">
        <f t="shared" ref="F74:V74" si="83">F45</f>
        <v>-5.3000000000000007</v>
      </c>
      <c r="G74" s="210">
        <f t="shared" si="83"/>
        <v>25.099999999999998</v>
      </c>
      <c r="H74" s="210">
        <f t="shared" si="83"/>
        <v>-11.2</v>
      </c>
      <c r="I74" s="210">
        <f t="shared" si="83"/>
        <v>-16.300000000000004</v>
      </c>
      <c r="J74" s="210">
        <f t="shared" si="83"/>
        <v>-12.6</v>
      </c>
      <c r="K74" s="210">
        <f t="shared" si="83"/>
        <v>-10.399999999999999</v>
      </c>
      <c r="L74" s="210">
        <f t="shared" ca="1" si="83"/>
        <v>-8.9499999999999993</v>
      </c>
      <c r="M74" s="210">
        <f t="shared" ca="1" si="83"/>
        <v>-7.5</v>
      </c>
      <c r="N74" s="210">
        <f t="shared" ca="1" si="83"/>
        <v>-6.0500000000000007</v>
      </c>
      <c r="O74" s="210">
        <f t="shared" ca="1" si="83"/>
        <v>-4.6000000000000005</v>
      </c>
      <c r="P74" s="210">
        <f t="shared" ca="1" si="83"/>
        <v>-3.1500000000000004</v>
      </c>
      <c r="Q74" s="210">
        <f t="shared" si="83"/>
        <v>-1.7</v>
      </c>
      <c r="R74" s="210">
        <f t="shared" ca="1" si="83"/>
        <v>0</v>
      </c>
      <c r="S74" s="210">
        <f t="shared" ca="1" si="83"/>
        <v>0</v>
      </c>
      <c r="T74" s="210">
        <f t="shared" ca="1" si="83"/>
        <v>0</v>
      </c>
      <c r="U74" s="210">
        <f t="shared" ca="1" si="83"/>
        <v>0</v>
      </c>
      <c r="V74" s="210">
        <f t="shared" ca="1" si="83"/>
        <v>0</v>
      </c>
    </row>
    <row r="75" spans="3:22">
      <c r="C75" s="200" t="s">
        <v>135</v>
      </c>
      <c r="D75" s="199"/>
      <c r="E75" s="201"/>
      <c r="F75" s="211">
        <f t="shared" ref="F75:V75" si="84">+F74/F60</f>
        <v>-5.6400979035862511E-3</v>
      </c>
      <c r="G75" s="211">
        <f t="shared" si="84"/>
        <v>2.4977609712409192E-2</v>
      </c>
      <c r="H75" s="211">
        <f t="shared" si="84"/>
        <v>-1.0964268232990699E-2</v>
      </c>
      <c r="I75" s="211">
        <f t="shared" si="84"/>
        <v>-1.4885844748858451E-2</v>
      </c>
      <c r="J75" s="211">
        <f t="shared" si="84"/>
        <v>-1.1100343582063256E-2</v>
      </c>
      <c r="K75" s="211">
        <f t="shared" si="84"/>
        <v>-9.1340242402950991E-3</v>
      </c>
      <c r="L75" s="211">
        <f t="shared" ca="1" si="84"/>
        <v>-7.789382071366405E-3</v>
      </c>
      <c r="M75" s="211">
        <f t="shared" ca="1" si="84"/>
        <v>-5.9713375796178348E-3</v>
      </c>
      <c r="N75" s="211">
        <f t="shared" ca="1" si="84"/>
        <v>-4.4682422451994093E-3</v>
      </c>
      <c r="O75" s="211">
        <f t="shared" ca="1" si="84"/>
        <v>-3.1789910158949554E-3</v>
      </c>
      <c r="P75" s="211">
        <f t="shared" ca="1" si="84"/>
        <v>-2.1829521829521831E-3</v>
      </c>
      <c r="Q75" s="211">
        <f t="shared" si="84"/>
        <v>-1.1550011550011548E-3</v>
      </c>
      <c r="R75" s="211">
        <f t="shared" ca="1" si="84"/>
        <v>0</v>
      </c>
      <c r="S75" s="211">
        <f t="shared" ca="1" si="84"/>
        <v>0</v>
      </c>
      <c r="T75" s="211">
        <f t="shared" ca="1" si="84"/>
        <v>0</v>
      </c>
      <c r="U75" s="211">
        <f t="shared" ca="1" si="84"/>
        <v>0</v>
      </c>
      <c r="V75" s="211">
        <f t="shared" ca="1" si="84"/>
        <v>0</v>
      </c>
    </row>
    <row r="76" spans="3:22">
      <c r="C76" s="308" t="s">
        <v>130</v>
      </c>
      <c r="D76" s="199"/>
      <c r="E76" s="201"/>
      <c r="F76" s="210">
        <f t="shared" ref="F76:V76" si="85">+F49</f>
        <v>0</v>
      </c>
      <c r="G76" s="210">
        <f t="shared" si="85"/>
        <v>0</v>
      </c>
      <c r="H76" s="210">
        <f t="shared" si="85"/>
        <v>0</v>
      </c>
      <c r="I76" s="210">
        <f t="shared" si="85"/>
        <v>0</v>
      </c>
      <c r="J76" s="210">
        <f t="shared" si="85"/>
        <v>-1.5</v>
      </c>
      <c r="K76" s="210">
        <f t="shared" si="85"/>
        <v>0.74</v>
      </c>
      <c r="L76" s="210">
        <f t="shared" si="85"/>
        <v>0</v>
      </c>
      <c r="M76" s="210">
        <f t="shared" si="85"/>
        <v>0</v>
      </c>
      <c r="N76" s="210">
        <f t="shared" si="85"/>
        <v>-5</v>
      </c>
      <c r="O76" s="210">
        <f t="shared" si="85"/>
        <v>-5</v>
      </c>
      <c r="P76" s="210">
        <f t="shared" si="85"/>
        <v>-5</v>
      </c>
      <c r="Q76" s="210">
        <f t="shared" si="85"/>
        <v>-5</v>
      </c>
      <c r="R76" s="210">
        <f t="shared" si="85"/>
        <v>-5</v>
      </c>
      <c r="S76" s="210">
        <f t="shared" si="85"/>
        <v>-5</v>
      </c>
      <c r="T76" s="210">
        <f t="shared" si="85"/>
        <v>-5</v>
      </c>
      <c r="U76" s="210">
        <f t="shared" si="85"/>
        <v>-5</v>
      </c>
      <c r="V76" s="210">
        <f t="shared" si="85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6">IF(ISERROR(-G76/G$60),"n.a.",-G76/G$60)</f>
        <v>0</v>
      </c>
      <c r="H77" s="209">
        <f t="shared" si="86"/>
        <v>0</v>
      </c>
      <c r="I77" s="209">
        <f t="shared" si="86"/>
        <v>0</v>
      </c>
      <c r="J77" s="209">
        <f t="shared" si="86"/>
        <v>1.3214694740551493E-3</v>
      </c>
      <c r="K77" s="209">
        <f t="shared" si="86"/>
        <v>-6.4992095555945904E-4</v>
      </c>
      <c r="L77" s="209">
        <f t="shared" si="86"/>
        <v>0</v>
      </c>
      <c r="M77" s="209">
        <f t="shared" si="86"/>
        <v>0</v>
      </c>
      <c r="N77" s="209">
        <f t="shared" si="86"/>
        <v>3.692762186115214E-3</v>
      </c>
      <c r="O77" s="209">
        <f t="shared" si="86"/>
        <v>3.4554250172771253E-3</v>
      </c>
      <c r="P77" s="209">
        <f t="shared" si="86"/>
        <v>3.4650034650034649E-3</v>
      </c>
      <c r="Q77" s="209">
        <f t="shared" si="86"/>
        <v>3.3970622205916319E-3</v>
      </c>
      <c r="R77" s="209">
        <f t="shared" ca="1" si="86"/>
        <v>3.3369962874181059E-3</v>
      </c>
      <c r="S77" s="209">
        <f t="shared" ca="1" si="86"/>
        <v>3.2844451647816002E-3</v>
      </c>
      <c r="T77" s="209">
        <f t="shared" ca="1" si="86"/>
        <v>3.2390977956426037E-3</v>
      </c>
      <c r="U77" s="209">
        <f t="shared" ca="1" si="86"/>
        <v>3.2006895213859722E-3</v>
      </c>
      <c r="V77" s="209">
        <f t="shared" ca="1" si="86"/>
        <v>3.1689995261247246E-3</v>
      </c>
    </row>
    <row r="78" spans="3:22">
      <c r="C78" s="308" t="s">
        <v>131</v>
      </c>
      <c r="D78" s="199"/>
      <c r="E78" s="201"/>
      <c r="F78" s="210">
        <f t="shared" ref="F78:V78" si="87">+F53</f>
        <v>0</v>
      </c>
      <c r="G78" s="210">
        <f t="shared" si="87"/>
        <v>0</v>
      </c>
      <c r="H78" s="210">
        <f t="shared" si="87"/>
        <v>0</v>
      </c>
      <c r="I78" s="210">
        <f t="shared" si="87"/>
        <v>0</v>
      </c>
      <c r="J78" s="210">
        <f t="shared" si="87"/>
        <v>0</v>
      </c>
      <c r="K78" s="210">
        <f t="shared" si="87"/>
        <v>0</v>
      </c>
      <c r="L78" s="210">
        <f t="shared" si="87"/>
        <v>0</v>
      </c>
      <c r="M78" s="210">
        <f t="shared" si="87"/>
        <v>-18.004468664734777</v>
      </c>
      <c r="N78" s="210">
        <f t="shared" si="87"/>
        <v>-6.7527180429793674</v>
      </c>
      <c r="O78" s="210">
        <f t="shared" si="87"/>
        <v>1.1384540263188825</v>
      </c>
      <c r="P78" s="210">
        <f t="shared" si="87"/>
        <v>-4.8650405710493061</v>
      </c>
      <c r="Q78" s="210">
        <f t="shared" si="87"/>
        <v>0</v>
      </c>
      <c r="R78" s="210">
        <f t="shared" si="87"/>
        <v>0</v>
      </c>
      <c r="S78" s="210">
        <f t="shared" si="87"/>
        <v>0</v>
      </c>
      <c r="T78" s="210">
        <f t="shared" si="87"/>
        <v>0</v>
      </c>
      <c r="U78" s="210">
        <f t="shared" si="87"/>
        <v>0</v>
      </c>
      <c r="V78" s="210">
        <f t="shared" si="87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8">IF(ISERROR(-G78/G$60),"n.a.",-G78/G$60)</f>
        <v>0</v>
      </c>
      <c r="H79" s="318">
        <f t="shared" si="88"/>
        <v>0</v>
      </c>
      <c r="I79" s="318">
        <f t="shared" si="88"/>
        <v>0</v>
      </c>
      <c r="J79" s="318">
        <f t="shared" si="88"/>
        <v>0</v>
      </c>
      <c r="K79" s="318">
        <f t="shared" si="88"/>
        <v>0</v>
      </c>
      <c r="L79" s="318">
        <f t="shared" si="88"/>
        <v>0</v>
      </c>
      <c r="M79" s="318">
        <f t="shared" si="88"/>
        <v>1.4334768045171E-2</v>
      </c>
      <c r="N79" s="318">
        <f t="shared" si="88"/>
        <v>4.9872363685224278E-3</v>
      </c>
      <c r="O79" s="318">
        <f t="shared" si="88"/>
        <v>-7.8676850471242742E-4</v>
      </c>
      <c r="P79" s="318">
        <f t="shared" si="88"/>
        <v>3.3714764872136561E-3</v>
      </c>
      <c r="Q79" s="318">
        <f t="shared" si="88"/>
        <v>0</v>
      </c>
      <c r="R79" s="318">
        <f t="shared" ca="1" si="88"/>
        <v>0</v>
      </c>
      <c r="S79" s="318">
        <f t="shared" ca="1" si="88"/>
        <v>0</v>
      </c>
      <c r="T79" s="318">
        <f t="shared" ca="1" si="88"/>
        <v>0</v>
      </c>
      <c r="U79" s="318">
        <f t="shared" ca="1" si="88"/>
        <v>0</v>
      </c>
      <c r="V79" s="318">
        <f t="shared" ca="1" si="88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6"/>
  <sheetViews>
    <sheetView showGridLines="0" tabSelected="1" topLeftCell="A76" zoomScale="77" zoomScaleNormal="85" zoomScaleSheetLayoutView="100" workbookViewId="0">
      <selection activeCell="P86" sqref="P86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5" width="23.44140625" customWidth="1"/>
    <col min="6" max="11" width="14.33203125" customWidth="1"/>
    <col min="12" max="12" width="16.21875" customWidth="1"/>
    <col min="13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8">
        <v>5.0000000000000001E-3</v>
      </c>
      <c r="H9" s="330" t="s">
        <v>157</v>
      </c>
      <c r="I9" s="330"/>
      <c r="J9" s="330"/>
      <c r="K9" s="330"/>
      <c r="S9" s="304"/>
      <c r="T9" s="304"/>
    </row>
    <row r="10" spans="4:21" ht="12.75" customHeight="1">
      <c r="D10" t="s">
        <v>33</v>
      </c>
      <c r="F10" s="329">
        <v>8.5</v>
      </c>
      <c r="S10" s="304"/>
      <c r="T10" s="304"/>
    </row>
    <row r="11" spans="4:21" ht="12.75" customHeight="1">
      <c r="D11" t="s">
        <v>34</v>
      </c>
      <c r="F11" s="328">
        <v>8.5000000000000006E-2</v>
      </c>
    </row>
    <row r="12" spans="4:21" ht="12.75" customHeight="1">
      <c r="F12" s="52" t="s">
        <v>170</v>
      </c>
    </row>
    <row r="13" spans="4:21" ht="12.75" customHeight="1">
      <c r="H13" s="330" t="s">
        <v>158</v>
      </c>
      <c r="I13" s="330"/>
      <c r="J13" s="330"/>
      <c r="K13" s="330"/>
      <c r="L13" s="342" t="s">
        <v>164</v>
      </c>
      <c r="M13" s="342"/>
      <c r="N13" s="342"/>
      <c r="O13" s="342"/>
      <c r="P13" s="342"/>
      <c r="Q13" s="348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1">
        <f>' Financials'!I11</f>
        <v>1095</v>
      </c>
      <c r="G24" s="331">
        <f>' Financials'!J11</f>
        <v>1135.0999999999999</v>
      </c>
      <c r="H24" s="331">
        <f>' Financials'!K11</f>
        <v>1138.5999999999999</v>
      </c>
      <c r="I24" s="331">
        <f>' Financials'!L11</f>
        <v>1149</v>
      </c>
      <c r="J24" s="331">
        <f>' Financials'!M11</f>
        <v>1256</v>
      </c>
      <c r="K24" s="331">
        <f>' Financials'!N11</f>
        <v>1354</v>
      </c>
      <c r="L24" s="331">
        <f>' Financials'!O11</f>
        <v>1447</v>
      </c>
      <c r="M24" s="331">
        <f>' Financials'!P11</f>
        <v>1443</v>
      </c>
      <c r="N24" s="331">
        <f>' Financials'!Q11</f>
        <v>1471.8600000000001</v>
      </c>
      <c r="O24" s="331">
        <f ca="1">' Financials'!R11</f>
        <v>1498.3534800000002</v>
      </c>
      <c r="P24" s="331">
        <f ca="1">' Financials'!S11</f>
        <v>1522.3271356800003</v>
      </c>
      <c r="Q24" s="331">
        <f ca="1">' Financials'!T11</f>
        <v>1543.6397155795203</v>
      </c>
      <c r="R24" s="331">
        <f ca="1">' Financials'!U11</f>
        <v>1562.1633921664745</v>
      </c>
      <c r="S24" s="331">
        <f ca="1">' Financials'!V11</f>
        <v>1577.7850260881394</v>
      </c>
      <c r="T24" s="129"/>
    </row>
    <row r="25" spans="3:21">
      <c r="C25" s="53"/>
      <c r="D25" s="53" t="s">
        <v>0</v>
      </c>
      <c r="E25" s="53"/>
      <c r="F25" s="339"/>
      <c r="G25" s="340">
        <f>(G24-F24)/F24</f>
        <v>3.662100456620996E-2</v>
      </c>
      <c r="H25" s="340">
        <f>(H24-G24)/G24</f>
        <v>3.0834287727953486E-3</v>
      </c>
      <c r="I25" s="341"/>
      <c r="J25" s="341"/>
      <c r="K25" s="341"/>
      <c r="L25" s="341"/>
      <c r="M25" s="341"/>
      <c r="N25" s="341"/>
      <c r="O25" s="341"/>
      <c r="P25" s="341"/>
      <c r="Q25" s="341"/>
      <c r="R25" s="341"/>
      <c r="S25" s="341"/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1">
        <f>' Financials'!I15</f>
        <v>108.7</v>
      </c>
      <c r="G27" s="331">
        <f>' Financials'!J15</f>
        <v>109.5</v>
      </c>
      <c r="H27" s="331">
        <f>' Financials'!K15</f>
        <v>98.2</v>
      </c>
      <c r="I27" s="331">
        <f>' Financials'!L15</f>
        <v>94</v>
      </c>
      <c r="J27" s="331">
        <f>' Financials'!M15</f>
        <v>75</v>
      </c>
      <c r="K27" s="331">
        <f>' Financials'!N15</f>
        <v>105</v>
      </c>
      <c r="L27" s="331">
        <f>' Financials'!O15</f>
        <v>126</v>
      </c>
      <c r="M27" s="331">
        <f>' Financials'!P15</f>
        <v>123</v>
      </c>
      <c r="N27" s="331">
        <f ca="1">' Financials'!Q15</f>
        <v>126.62789999999998</v>
      </c>
      <c r="O27" s="331">
        <f ca="1">' Financials'!R15</f>
        <v>130.09612439999998</v>
      </c>
      <c r="P27" s="331">
        <f ca="1">' Financials'!S15</f>
        <v>133.38560734559996</v>
      </c>
      <c r="Q27" s="331">
        <f ca="1">' Financials'!T15</f>
        <v>136.47786203301118</v>
      </c>
      <c r="R27" s="331">
        <f ca="1">' Financials'!U15</f>
        <v>139.35515083619498</v>
      </c>
      <c r="S27" s="331">
        <f ca="1">' Financials'!V15</f>
        <v>142.00065234793254</v>
      </c>
      <c r="T27" s="129"/>
    </row>
    <row r="28" spans="3:21">
      <c r="C28" s="53"/>
      <c r="D28" s="53" t="s">
        <v>1</v>
      </c>
      <c r="E28" s="53"/>
      <c r="F28" s="341">
        <f>F27/F24</f>
        <v>9.9269406392694062E-2</v>
      </c>
      <c r="G28" s="341">
        <f t="shared" ref="G28:S28" si="4">G27/G24</f>
        <v>9.6467271606025903E-2</v>
      </c>
      <c r="H28" s="341">
        <f t="shared" si="4"/>
        <v>8.6246267345863353E-2</v>
      </c>
      <c r="I28" s="341">
        <f t="shared" si="4"/>
        <v>8.1810269799825933E-2</v>
      </c>
      <c r="J28" s="341">
        <f t="shared" si="4"/>
        <v>5.9713375796178345E-2</v>
      </c>
      <c r="K28" s="341">
        <f t="shared" si="4"/>
        <v>7.7548005908419496E-2</v>
      </c>
      <c r="L28" s="341">
        <f t="shared" si="4"/>
        <v>8.707671043538355E-2</v>
      </c>
      <c r="M28" s="341">
        <f t="shared" si="4"/>
        <v>8.5239085239085244E-2</v>
      </c>
      <c r="N28" s="341">
        <f t="shared" ca="1" si="4"/>
        <v>8.6032571032571017E-2</v>
      </c>
      <c r="O28" s="341">
        <f t="shared" ca="1" si="4"/>
        <v>8.6826056826056805E-2</v>
      </c>
      <c r="P28" s="341">
        <f t="shared" ca="1" si="4"/>
        <v>8.7619542619542579E-2</v>
      </c>
      <c r="Q28" s="341">
        <f t="shared" ca="1" si="4"/>
        <v>8.841302841302838E-2</v>
      </c>
      <c r="R28" s="341">
        <f t="shared" ca="1" si="4"/>
        <v>8.9206514206514168E-2</v>
      </c>
      <c r="S28" s="341">
        <f t="shared" ca="1" si="4"/>
        <v>0.09</v>
      </c>
      <c r="T28" s="54"/>
    </row>
    <row r="29" spans="3:21">
      <c r="C29" s="53"/>
      <c r="D29" s="53" t="s">
        <v>0</v>
      </c>
      <c r="E29" s="53"/>
      <c r="F29" s="339"/>
      <c r="G29" s="341">
        <f>(G27/F27)-1</f>
        <v>7.3597056117755688E-3</v>
      </c>
      <c r="H29" s="341">
        <f t="shared" ref="H29:S29" si="5">(H27/G27)-1</f>
        <v>-0.10319634703196345</v>
      </c>
      <c r="I29" s="341">
        <f t="shared" si="5"/>
        <v>-4.2769857433808567E-2</v>
      </c>
      <c r="J29" s="341">
        <f t="shared" si="5"/>
        <v>-0.2021276595744681</v>
      </c>
      <c r="K29" s="341">
        <f t="shared" si="5"/>
        <v>0.39999999999999991</v>
      </c>
      <c r="L29" s="341">
        <f t="shared" si="5"/>
        <v>0.19999999999999996</v>
      </c>
      <c r="M29" s="341">
        <f t="shared" si="5"/>
        <v>-2.3809523809523836E-2</v>
      </c>
      <c r="N29" s="341">
        <f t="shared" ca="1" si="5"/>
        <v>2.9495121951219394E-2</v>
      </c>
      <c r="O29" s="341">
        <f t="shared" ca="1" si="5"/>
        <v>2.7389101453944908E-2</v>
      </c>
      <c r="P29" s="341">
        <f t="shared" ca="1" si="5"/>
        <v>2.5285018756484812E-2</v>
      </c>
      <c r="Q29" s="341">
        <f t="shared" ca="1" si="5"/>
        <v>2.318282121248072E-2</v>
      </c>
      <c r="R29" s="341">
        <f t="shared" ca="1" si="5"/>
        <v>2.1082458065527554E-2</v>
      </c>
      <c r="S29" s="341">
        <f t="shared" ca="1" si="5"/>
        <v>1.8983880365119887E-2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1">
        <f>' Financials'!I20</f>
        <v>-31.600000000000009</v>
      </c>
      <c r="G31" s="331">
        <f>' Financials'!J20</f>
        <v>-34.900000000000006</v>
      </c>
      <c r="H31" s="331">
        <f>' Financials'!K20</f>
        <v>-36</v>
      </c>
      <c r="I31" s="331">
        <f>' Financials'!L20</f>
        <v>-34</v>
      </c>
      <c r="J31" s="331">
        <f>' Financials'!M20</f>
        <v>-38</v>
      </c>
      <c r="K31" s="331">
        <f>' Financials'!N20</f>
        <v>-45</v>
      </c>
      <c r="L31" s="331">
        <f>' Financials'!O20</f>
        <v>-50</v>
      </c>
      <c r="M31" s="331">
        <f>' Financials'!P20</f>
        <v>-53</v>
      </c>
      <c r="N31" s="331">
        <f ca="1">' Financials'!Q20</f>
        <v>-32.427272727272786</v>
      </c>
      <c r="O31" s="331">
        <f ca="1">' Financials'!R20</f>
        <v>-31.831818181818239</v>
      </c>
      <c r="P31" s="331">
        <f ca="1">' Financials'!S20</f>
        <v>-31.236363636363684</v>
      </c>
      <c r="Q31" s="331">
        <f ca="1">' Financials'!T20</f>
        <v>-30.640909090909123</v>
      </c>
      <c r="R31" s="331">
        <f ca="1">' Financials'!U20</f>
        <v>-30.045454545454561</v>
      </c>
      <c r="S31" s="331">
        <f>' Financials'!V20</f>
        <v>-29.45</v>
      </c>
      <c r="T31" s="129"/>
    </row>
    <row r="32" spans="3:21">
      <c r="C32" s="53"/>
      <c r="D32" s="53" t="s">
        <v>24</v>
      </c>
      <c r="E32" s="53"/>
      <c r="F32" s="341">
        <f>(F31/F24)</f>
        <v>-2.8858447488584484E-2</v>
      </c>
      <c r="G32" s="341">
        <f t="shared" ref="G32:S32" si="6">(G31/G24)</f>
        <v>-3.0746189763016483E-2</v>
      </c>
      <c r="H32" s="341">
        <f t="shared" si="6"/>
        <v>-3.1617776216406115E-2</v>
      </c>
      <c r="I32" s="341">
        <f t="shared" si="6"/>
        <v>-2.959094865100087E-2</v>
      </c>
      <c r="J32" s="341">
        <f t="shared" si="6"/>
        <v>-3.0254777070063694E-2</v>
      </c>
      <c r="K32" s="341">
        <f t="shared" si="6"/>
        <v>-3.3234859675036928E-2</v>
      </c>
      <c r="L32" s="341">
        <f t="shared" si="6"/>
        <v>-3.455425017277125E-2</v>
      </c>
      <c r="M32" s="341">
        <f t="shared" si="6"/>
        <v>-3.6729036729036726E-2</v>
      </c>
      <c r="N32" s="341">
        <f t="shared" ca="1" si="6"/>
        <v>-2.2031492619727953E-2</v>
      </c>
      <c r="O32" s="341">
        <f t="shared" ca="1" si="6"/>
        <v>-2.1244531818899126E-2</v>
      </c>
      <c r="P32" s="341">
        <f t="shared" ca="1" si="6"/>
        <v>-2.0518824702162902E-2</v>
      </c>
      <c r="Q32" s="341">
        <f t="shared" ca="1" si="6"/>
        <v>-1.9849780218569833E-2</v>
      </c>
      <c r="R32" s="341">
        <f t="shared" ca="1" si="6"/>
        <v>-1.9233234305782988E-2</v>
      </c>
      <c r="S32" s="341">
        <f t="shared" ca="1" si="6"/>
        <v>-1.8665407208874628E-2</v>
      </c>
      <c r="T32" s="54"/>
    </row>
    <row r="33" spans="3:20" s="53" customFormat="1">
      <c r="C33"/>
      <c r="D33"/>
      <c r="E33"/>
      <c r="F33"/>
      <c r="G33"/>
      <c r="H33" s="72"/>
      <c r="I33"/>
      <c r="J33"/>
      <c r="K33"/>
      <c r="L33"/>
      <c r="M33"/>
      <c r="N33"/>
      <c r="O33"/>
      <c r="P33"/>
      <c r="Q33"/>
      <c r="R33"/>
      <c r="S33"/>
      <c r="T33"/>
    </row>
    <row r="34" spans="3:20" s="53" customFormat="1">
      <c r="C34"/>
      <c r="D34" t="s">
        <v>5</v>
      </c>
      <c r="E34"/>
      <c r="F34" s="40">
        <f>F27+F31</f>
        <v>77.099999999999994</v>
      </c>
      <c r="G34" s="40">
        <f>G27+G31</f>
        <v>74.599999999999994</v>
      </c>
      <c r="H34" s="245">
        <f>H27+H31</f>
        <v>62.2</v>
      </c>
      <c r="I34" s="40">
        <f>I27+I31</f>
        <v>60</v>
      </c>
      <c r="J34" s="40">
        <f>J27+J31</f>
        <v>37</v>
      </c>
      <c r="K34" s="40">
        <f>K27+K31</f>
        <v>60</v>
      </c>
      <c r="L34" s="40">
        <f>L27+L31</f>
        <v>76</v>
      </c>
      <c r="M34" s="40">
        <f>M27+M31</f>
        <v>70</v>
      </c>
      <c r="N34" s="40">
        <f ca="1">N27+N31</f>
        <v>94.200627272727189</v>
      </c>
      <c r="O34" s="40">
        <f ca="1">O27+O31</f>
        <v>98.264306218181744</v>
      </c>
      <c r="P34" s="40">
        <f ca="1">P27+P31</f>
        <v>102.14924370923629</v>
      </c>
      <c r="Q34" s="40">
        <f ca="1">Q27+Q31</f>
        <v>105.83695294210206</v>
      </c>
      <c r="R34" s="40">
        <f ca="1">R27+R31</f>
        <v>109.30969629074042</v>
      </c>
      <c r="S34" s="40">
        <f ca="1">S27+S31</f>
        <v>112.55065234793254</v>
      </c>
      <c r="T34" s="40"/>
    </row>
    <row r="35" spans="3:20">
      <c r="C35" s="53"/>
      <c r="D35" s="53" t="s">
        <v>1</v>
      </c>
      <c r="E35" s="53"/>
      <c r="F35" s="341">
        <f>F34/F24</f>
        <v>7.0410958904109588E-2</v>
      </c>
      <c r="G35" s="341">
        <f t="shared" ref="G35:S35" si="7">G34/G24</f>
        <v>6.5721081843009427E-2</v>
      </c>
      <c r="H35" s="341">
        <f t="shared" si="7"/>
        <v>5.4628491129457238E-2</v>
      </c>
      <c r="I35" s="341">
        <f t="shared" si="7"/>
        <v>5.2219321148825062E-2</v>
      </c>
      <c r="J35" s="341">
        <f t="shared" si="7"/>
        <v>2.945859872611465E-2</v>
      </c>
      <c r="K35" s="341">
        <f t="shared" si="7"/>
        <v>4.4313146233382568E-2</v>
      </c>
      <c r="L35" s="341">
        <f t="shared" si="7"/>
        <v>5.25224602626123E-2</v>
      </c>
      <c r="M35" s="341">
        <f t="shared" si="7"/>
        <v>4.851004851004851E-2</v>
      </c>
      <c r="N35" s="341">
        <f t="shared" ca="1" si="7"/>
        <v>6.4001078412843054E-2</v>
      </c>
      <c r="O35" s="341">
        <f t="shared" ca="1" si="7"/>
        <v>6.5581525007157679E-2</v>
      </c>
      <c r="P35" s="341">
        <f t="shared" ca="1" si="7"/>
        <v>6.7100717917379676E-2</v>
      </c>
      <c r="Q35" s="341">
        <f t="shared" ca="1" si="7"/>
        <v>6.8563248194458554E-2</v>
      </c>
      <c r="R35" s="341">
        <f t="shared" ca="1" si="7"/>
        <v>6.9973279900731183E-2</v>
      </c>
      <c r="S35" s="341">
        <f t="shared" ca="1" si="7"/>
        <v>7.1334592791125376E-2</v>
      </c>
      <c r="T35" s="54"/>
    </row>
    <row r="36" spans="3:20">
      <c r="C36" s="53"/>
      <c r="D36" s="53" t="s">
        <v>0</v>
      </c>
      <c r="E36" s="53"/>
      <c r="F36" s="339"/>
      <c r="G36" s="340">
        <f>(G34/F34)-1</f>
        <v>-3.2425421530479892E-2</v>
      </c>
      <c r="H36" s="340">
        <f t="shared" ref="H36:S36" si="8">(H34/G34)-1</f>
        <v>-0.16621983914209104</v>
      </c>
      <c r="I36" s="340">
        <f t="shared" si="8"/>
        <v>-3.5369774919614239E-2</v>
      </c>
      <c r="J36" s="340">
        <f t="shared" si="8"/>
        <v>-0.3833333333333333</v>
      </c>
      <c r="K36" s="340">
        <f t="shared" si="8"/>
        <v>0.62162162162162171</v>
      </c>
      <c r="L36" s="340">
        <f t="shared" si="8"/>
        <v>0.26666666666666661</v>
      </c>
      <c r="M36" s="340">
        <f t="shared" si="8"/>
        <v>-7.8947368421052655E-2</v>
      </c>
      <c r="N36" s="340">
        <f t="shared" ca="1" si="8"/>
        <v>0.34572324675324562</v>
      </c>
      <c r="O36" s="340">
        <f t="shared" ca="1" si="8"/>
        <v>4.3138555051119853E-2</v>
      </c>
      <c r="P36" s="340">
        <f t="shared" ca="1" si="8"/>
        <v>3.95355917175928E-2</v>
      </c>
      <c r="Q36" s="340">
        <f t="shared" ca="1" si="8"/>
        <v>3.6101189778386278E-2</v>
      </c>
      <c r="R36" s="340">
        <f t="shared" ca="1" si="8"/>
        <v>3.2812200768271627E-2</v>
      </c>
      <c r="S36" s="340">
        <f t="shared" ca="1" si="8"/>
        <v>2.9649300722342842E-2</v>
      </c>
      <c r="T36" s="54"/>
    </row>
    <row r="37" spans="3:20" s="53" customFormat="1">
      <c r="C37"/>
      <c r="D37"/>
      <c r="E37"/>
      <c r="F37"/>
      <c r="G37"/>
      <c r="H37" s="72"/>
      <c r="I37"/>
      <c r="J37"/>
      <c r="K37"/>
      <c r="L37"/>
      <c r="M37"/>
      <c r="N37"/>
      <c r="O37"/>
      <c r="P37"/>
      <c r="Q37"/>
      <c r="R37"/>
      <c r="S37"/>
      <c r="T37"/>
    </row>
    <row r="38" spans="3:20">
      <c r="D38" t="s">
        <v>10</v>
      </c>
      <c r="F38" s="2"/>
      <c r="G38" s="2"/>
      <c r="H38" s="246"/>
      <c r="I38" s="343">
        <f>I39*' Financials'!L25</f>
        <v>11.4</v>
      </c>
      <c r="J38" s="343">
        <f>J39*' Financials'!M25</f>
        <v>6.29</v>
      </c>
      <c r="K38" s="343">
        <f>K39*' Financials'!N25</f>
        <v>10.200000000000001</v>
      </c>
      <c r="L38" s="343">
        <f>L39*' Financials'!O25</f>
        <v>12.920000000000002</v>
      </c>
      <c r="M38" s="343">
        <f>M39*' Financials'!P25</f>
        <v>11.9</v>
      </c>
      <c r="N38" s="343">
        <f ca="1">N39*' Financials'!Q25</f>
        <v>16.014106636363625</v>
      </c>
      <c r="O38" s="343">
        <f ca="1">O39*' Financials'!R25</f>
        <v>16.704932057090897</v>
      </c>
      <c r="P38" s="343">
        <f ca="1">P39*' Financials'!S25</f>
        <v>17.365371430570171</v>
      </c>
      <c r="Q38" s="343">
        <f ca="1">Q39*' Financials'!T25</f>
        <v>17.992282000157353</v>
      </c>
      <c r="R38" s="343">
        <f ca="1">R39*' Financials'!U25</f>
        <v>18.582648369425872</v>
      </c>
      <c r="S38" s="343">
        <f ca="1">S39*' Financials'!V25</f>
        <v>19.133610899148533</v>
      </c>
      <c r="T38" s="343" t="s">
        <v>165</v>
      </c>
    </row>
    <row r="39" spans="3:20">
      <c r="C39" s="53"/>
      <c r="D39" s="53" t="s">
        <v>6</v>
      </c>
      <c r="E39" s="53"/>
      <c r="F39" s="113"/>
      <c r="G39" s="113"/>
      <c r="H39" s="247"/>
      <c r="I39" s="332">
        <f>' Financials'!L29</f>
        <v>0.19</v>
      </c>
      <c r="J39" s="332">
        <f>' Financials'!M29</f>
        <v>0.17</v>
      </c>
      <c r="K39" s="332">
        <f>' Financials'!N29</f>
        <v>0.17</v>
      </c>
      <c r="L39" s="332">
        <f>' Financials'!O29</f>
        <v>0.17</v>
      </c>
      <c r="M39" s="332">
        <f>' Financials'!P29</f>
        <v>0.17</v>
      </c>
      <c r="N39" s="332">
        <f>' Financials'!Q29</f>
        <v>0.17</v>
      </c>
      <c r="O39" s="332">
        <f>' Financials'!R29</f>
        <v>0.17</v>
      </c>
      <c r="P39" s="332">
        <f>' Financials'!S29</f>
        <v>0.17</v>
      </c>
      <c r="Q39" s="332">
        <f>' Financials'!T29</f>
        <v>0.17</v>
      </c>
      <c r="R39" s="332">
        <f>' Financials'!U29</f>
        <v>0.17</v>
      </c>
      <c r="S39" s="332">
        <f>' Financials'!V29</f>
        <v>0.17</v>
      </c>
      <c r="T39" s="113"/>
    </row>
    <row r="40" spans="3:20" s="53" customFormat="1">
      <c r="C40"/>
      <c r="D40"/>
      <c r="E40"/>
      <c r="F40"/>
      <c r="G40"/>
      <c r="H40" s="72"/>
      <c r="I40" s="361"/>
      <c r="J40"/>
      <c r="K40"/>
      <c r="L40"/>
      <c r="M40"/>
      <c r="N40"/>
      <c r="O40"/>
      <c r="P40"/>
      <c r="Q40"/>
      <c r="R40"/>
      <c r="S40"/>
      <c r="T40"/>
    </row>
    <row r="41" spans="3:20" s="53" customFormat="1">
      <c r="C41"/>
      <c r="D41" t="s">
        <v>38</v>
      </c>
      <c r="E41"/>
      <c r="F41" s="2"/>
      <c r="G41" s="2"/>
      <c r="H41" s="246"/>
      <c r="I41" s="343">
        <f>' Financials'!L25+'DCF input'!I38</f>
        <v>71.400000000000006</v>
      </c>
      <c r="J41" s="343">
        <f>' Financials'!M25+'DCF input'!J38</f>
        <v>43.29</v>
      </c>
      <c r="K41" s="343">
        <f>' Financials'!N25+'DCF input'!K38</f>
        <v>70.2</v>
      </c>
      <c r="L41" s="343">
        <f>' Financials'!O25+'DCF input'!L38</f>
        <v>88.92</v>
      </c>
      <c r="M41" s="343">
        <f>' Financials'!P25+'DCF input'!M38</f>
        <v>81.900000000000006</v>
      </c>
      <c r="N41" s="343">
        <f ca="1">' Financials'!Q25+'DCF input'!N38</f>
        <v>110.21473390909081</v>
      </c>
      <c r="O41" s="343">
        <f ca="1">' Financials'!R25+'DCF input'!O38</f>
        <v>114.96923827527264</v>
      </c>
      <c r="P41" s="343">
        <f ca="1">' Financials'!S25+'DCF input'!P38</f>
        <v>119.51461513980647</v>
      </c>
      <c r="Q41" s="343">
        <f ca="1">' Financials'!T25+'DCF input'!Q38</f>
        <v>123.8292349422594</v>
      </c>
      <c r="R41" s="343">
        <f ca="1">' Financials'!U25+'DCF input'!R38</f>
        <v>127.89234466016629</v>
      </c>
      <c r="S41" s="343">
        <f ca="1">' Financials'!V25+'DCF input'!S38</f>
        <v>131.68426324708108</v>
      </c>
      <c r="T41" s="343" t="s">
        <v>166</v>
      </c>
    </row>
    <row r="42" spans="3:20">
      <c r="C42" s="53"/>
      <c r="D42" s="53" t="s">
        <v>1</v>
      </c>
      <c r="E42" s="53"/>
      <c r="F42" s="54"/>
      <c r="G42" s="54"/>
      <c r="H42" s="73"/>
      <c r="I42" s="341">
        <f>I41/I24</f>
        <v>6.2140992167101831E-2</v>
      </c>
      <c r="J42" s="341">
        <f t="shared" ref="J42:S42" si="9">J41/J24</f>
        <v>3.4466560509554142E-2</v>
      </c>
      <c r="K42" s="341">
        <f t="shared" si="9"/>
        <v>5.1846381093057607E-2</v>
      </c>
      <c r="L42" s="341">
        <f t="shared" si="9"/>
        <v>6.1451278507256395E-2</v>
      </c>
      <c r="M42" s="341">
        <f t="shared" si="9"/>
        <v>5.675675675675676E-2</v>
      </c>
      <c r="N42" s="341">
        <f t="shared" ca="1" si="9"/>
        <v>7.4881261743026381E-2</v>
      </c>
      <c r="O42" s="341">
        <f t="shared" ca="1" si="9"/>
        <v>7.6730384258374487E-2</v>
      </c>
      <c r="P42" s="341">
        <f t="shared" ca="1" si="9"/>
        <v>7.8507839963334228E-2</v>
      </c>
      <c r="Q42" s="341">
        <f t="shared" ca="1" si="9"/>
        <v>8.0219000387516504E-2</v>
      </c>
      <c r="R42" s="341">
        <f t="shared" ca="1" si="9"/>
        <v>8.186873748385548E-2</v>
      </c>
      <c r="S42" s="341">
        <f t="shared" ca="1" si="9"/>
        <v>8.3461473565616687E-2</v>
      </c>
      <c r="T42" s="54"/>
    </row>
    <row r="43" spans="3:20">
      <c r="C43" s="53"/>
      <c r="D43" s="53" t="s">
        <v>0</v>
      </c>
      <c r="E43" s="53"/>
      <c r="F43" s="53"/>
      <c r="G43" s="253"/>
      <c r="H43" s="254"/>
      <c r="I43" s="349"/>
      <c r="J43" s="341"/>
      <c r="K43" s="341"/>
      <c r="L43" s="341"/>
      <c r="M43" s="341"/>
      <c r="N43" s="341"/>
      <c r="O43" s="341"/>
      <c r="P43" s="341"/>
      <c r="Q43" s="341"/>
      <c r="R43" s="341"/>
      <c r="S43" s="341"/>
      <c r="T43" s="54"/>
    </row>
    <row r="44" spans="3:20">
      <c r="H44" s="72"/>
    </row>
    <row r="45" spans="3:20">
      <c r="D45" t="s">
        <v>4</v>
      </c>
      <c r="F45" s="2"/>
      <c r="G45" s="2"/>
      <c r="H45" s="246"/>
      <c r="I45" s="2">
        <f>-I31</f>
        <v>34</v>
      </c>
      <c r="J45" s="2">
        <f t="shared" ref="J45:S45" si="10">-J31</f>
        <v>38</v>
      </c>
      <c r="K45" s="2">
        <f t="shared" si="10"/>
        <v>45</v>
      </c>
      <c r="L45" s="2">
        <f t="shared" si="10"/>
        <v>50</v>
      </c>
      <c r="M45" s="2">
        <f t="shared" si="10"/>
        <v>53</v>
      </c>
      <c r="N45" s="2">
        <f t="shared" ca="1" si="10"/>
        <v>32.427272727272786</v>
      </c>
      <c r="O45" s="2">
        <f t="shared" ca="1" si="10"/>
        <v>31.831818181818239</v>
      </c>
      <c r="P45" s="2">
        <f t="shared" ca="1" si="10"/>
        <v>31.236363636363684</v>
      </c>
      <c r="Q45" s="2">
        <f t="shared" ca="1" si="10"/>
        <v>30.640909090909123</v>
      </c>
      <c r="R45" s="2">
        <f t="shared" ca="1" si="10"/>
        <v>30.045454545454561</v>
      </c>
      <c r="S45" s="2">
        <f t="shared" si="10"/>
        <v>29.45</v>
      </c>
      <c r="T45" s="344"/>
    </row>
    <row r="46" spans="3:20" s="53" customFormat="1">
      <c r="C46"/>
      <c r="D46"/>
      <c r="E46"/>
      <c r="F46"/>
      <c r="G46"/>
      <c r="H46" s="72"/>
      <c r="I46"/>
      <c r="J46"/>
      <c r="K46" s="141"/>
      <c r="L46" s="141"/>
      <c r="M46" s="141"/>
      <c r="N46" s="141"/>
      <c r="O46" s="141"/>
      <c r="P46" s="141"/>
      <c r="Q46" s="141"/>
      <c r="R46" s="141"/>
      <c r="S46" s="141"/>
      <c r="T46" s="345"/>
    </row>
    <row r="47" spans="3:20" s="53" customFormat="1">
      <c r="C47"/>
      <c r="D47" t="s">
        <v>7</v>
      </c>
      <c r="E47"/>
      <c r="F47" s="331">
        <f>' Financials'!I40</f>
        <v>-36.1</v>
      </c>
      <c r="G47" s="331">
        <f>' Financials'!J40</f>
        <v>-37.299999999999997</v>
      </c>
      <c r="H47" s="331">
        <f>' Financials'!K40</f>
        <v>-31</v>
      </c>
      <c r="I47" s="331">
        <f>' Financials'!L40</f>
        <v>-31</v>
      </c>
      <c r="J47" s="331">
        <f>' Financials'!M40</f>
        <v>-31</v>
      </c>
      <c r="K47" s="331">
        <f>' Financials'!N40</f>
        <v>-31</v>
      </c>
      <c r="L47" s="331">
        <f>' Financials'!O40</f>
        <v>-31</v>
      </c>
      <c r="M47" s="331">
        <f>' Financials'!P40</f>
        <v>-31</v>
      </c>
      <c r="N47" s="331">
        <f>' Financials'!Q40</f>
        <v>-31</v>
      </c>
      <c r="O47" s="331">
        <f>' Financials'!R40</f>
        <v>-31</v>
      </c>
      <c r="P47" s="331">
        <f>' Financials'!S40</f>
        <v>-31</v>
      </c>
      <c r="Q47" s="331">
        <f>' Financials'!T40</f>
        <v>-31</v>
      </c>
      <c r="R47" s="331">
        <f>' Financials'!U40</f>
        <v>-31</v>
      </c>
      <c r="S47" s="331">
        <f>' Financials'!V40</f>
        <v>-31</v>
      </c>
    </row>
    <row r="48" spans="3:20">
      <c r="C48" s="53"/>
      <c r="D48" s="53" t="s">
        <v>24</v>
      </c>
      <c r="E48" s="53"/>
      <c r="F48" s="341">
        <f>(F47/F24)</f>
        <v>-3.2968036529680368E-2</v>
      </c>
      <c r="G48" s="341">
        <f t="shared" ref="G48:H48" si="11">(G47/G24)</f>
        <v>-3.2860540921504713E-2</v>
      </c>
      <c r="H48" s="341">
        <f t="shared" si="11"/>
        <v>-2.7226418408571932E-2</v>
      </c>
      <c r="I48" s="341">
        <f t="shared" ref="I48" si="12">(I47/I24)</f>
        <v>-2.6979982593559618E-2</v>
      </c>
      <c r="J48" s="341">
        <f t="shared" ref="J48" si="13">(J47/J24)</f>
        <v>-2.4681528662420384E-2</v>
      </c>
      <c r="K48" s="341">
        <f t="shared" ref="K48" si="14">(K47/K24)</f>
        <v>-2.2895125553914326E-2</v>
      </c>
      <c r="L48" s="341">
        <f t="shared" ref="L48" si="15">(L47/L24)</f>
        <v>-2.1423635107118175E-2</v>
      </c>
      <c r="M48" s="341">
        <f t="shared" ref="M48" si="16">(M47/M24)</f>
        <v>-2.1483021483021482E-2</v>
      </c>
      <c r="N48" s="341">
        <f t="shared" ref="N48" si="17">(N47/N24)</f>
        <v>-2.106178576766812E-2</v>
      </c>
      <c r="O48" s="341">
        <f t="shared" ref="O48" ca="1" si="18">(O47/O24)</f>
        <v>-2.0689376981992257E-2</v>
      </c>
      <c r="P48" s="341">
        <f t="shared" ref="P48" ca="1" si="19">(P47/P24)</f>
        <v>-2.036356002164592E-2</v>
      </c>
      <c r="Q48" s="341">
        <f t="shared" ref="Q48" ca="1" si="20">(Q47/Q24)</f>
        <v>-2.0082406332984144E-2</v>
      </c>
      <c r="R48" s="341">
        <f t="shared" ref="R48" ca="1" si="21">(R47/R24)</f>
        <v>-1.9844275032593027E-2</v>
      </c>
      <c r="S48" s="341">
        <f t="shared" ref="S48" ca="1" si="22">(S47/S24)</f>
        <v>-1.9647797061973293E-2</v>
      </c>
      <c r="T48" s="346"/>
    </row>
    <row r="49" spans="3:20">
      <c r="C49" s="53"/>
      <c r="D49" s="53" t="s">
        <v>27</v>
      </c>
      <c r="E49" s="53"/>
      <c r="F49" s="341">
        <f>(F47/F31)</f>
        <v>1.1424050632911389</v>
      </c>
      <c r="G49" s="341">
        <f t="shared" ref="G49" si="23">(G47/G31)</f>
        <v>1.0687679083094552</v>
      </c>
      <c r="H49" s="341">
        <f>(H47/H31)</f>
        <v>0.86111111111111116</v>
      </c>
      <c r="I49" s="341">
        <f t="shared" ref="I49:S49" si="24">(I47/I31)</f>
        <v>0.91176470588235292</v>
      </c>
      <c r="J49" s="341">
        <f t="shared" si="24"/>
        <v>0.81578947368421051</v>
      </c>
      <c r="K49" s="341">
        <f t="shared" si="24"/>
        <v>0.68888888888888888</v>
      </c>
      <c r="L49" s="341">
        <f t="shared" si="24"/>
        <v>0.62</v>
      </c>
      <c r="M49" s="341">
        <f t="shared" si="24"/>
        <v>0.58490566037735847</v>
      </c>
      <c r="N49" s="341">
        <f t="shared" ca="1" si="24"/>
        <v>0.95598542192318303</v>
      </c>
      <c r="O49" s="341">
        <f t="shared" ca="1" si="24"/>
        <v>0.97386834213908147</v>
      </c>
      <c r="P49" s="341">
        <f t="shared" ca="1" si="24"/>
        <v>0.99243306169964929</v>
      </c>
      <c r="Q49" s="341">
        <f t="shared" ca="1" si="24"/>
        <v>1.0117193294763378</v>
      </c>
      <c r="R49" s="341">
        <f t="shared" ca="1" si="24"/>
        <v>1.0317700453857785</v>
      </c>
      <c r="S49" s="341">
        <f t="shared" si="24"/>
        <v>1.0526315789473684</v>
      </c>
      <c r="T49" s="346"/>
    </row>
    <row r="50" spans="3:20">
      <c r="C50" s="53"/>
      <c r="D50" s="53"/>
      <c r="E50" s="53"/>
      <c r="F50" s="54"/>
      <c r="G50" s="54"/>
      <c r="H50" s="73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346"/>
    </row>
    <row r="51" spans="3:20">
      <c r="D51" t="s">
        <v>39</v>
      </c>
      <c r="F51" s="331">
        <f>' Financials'!I45</f>
        <v>-16.300000000000004</v>
      </c>
      <c r="G51" s="331">
        <f>' Financials'!J45</f>
        <v>-12.6</v>
      </c>
      <c r="H51" s="331">
        <f>' Financials'!K45</f>
        <v>-10.399999999999999</v>
      </c>
      <c r="I51" s="331">
        <f ca="1">' Financials'!L45</f>
        <v>-8.9499999999999993</v>
      </c>
      <c r="J51" s="331">
        <f ca="1">' Financials'!M45</f>
        <v>-7.5</v>
      </c>
      <c r="K51" s="331">
        <f ca="1">' Financials'!N45</f>
        <v>-6.0500000000000007</v>
      </c>
      <c r="L51" s="331">
        <f ca="1">' Financials'!O45</f>
        <v>-4.6000000000000005</v>
      </c>
      <c r="M51" s="331">
        <f ca="1">' Financials'!P45</f>
        <v>-3.1500000000000004</v>
      </c>
      <c r="N51" s="331">
        <f>' Financials'!Q45</f>
        <v>-1.7</v>
      </c>
      <c r="O51" s="331">
        <f ca="1">' Financials'!R45</f>
        <v>0</v>
      </c>
      <c r="P51" s="331">
        <f ca="1">' Financials'!S45</f>
        <v>0</v>
      </c>
      <c r="Q51" s="331">
        <f ca="1">' Financials'!T45</f>
        <v>0</v>
      </c>
      <c r="R51" s="331">
        <f ca="1">' Financials'!U45</f>
        <v>0</v>
      </c>
      <c r="S51" s="331">
        <f ca="1">' Financials'!V45</f>
        <v>0</v>
      </c>
      <c r="T51" s="344"/>
    </row>
    <row r="52" spans="3:20">
      <c r="C52" s="53"/>
      <c r="D52" s="53" t="s">
        <v>24</v>
      </c>
      <c r="E52" s="53"/>
      <c r="F52" s="341">
        <f>F51/F24</f>
        <v>-1.4885844748858451E-2</v>
      </c>
      <c r="G52" s="341">
        <f t="shared" ref="G52:H52" si="25">G51/G24</f>
        <v>-1.1100343582063256E-2</v>
      </c>
      <c r="H52" s="341">
        <f t="shared" si="25"/>
        <v>-9.1340242402950991E-3</v>
      </c>
      <c r="I52" s="341">
        <f t="shared" ref="I52" ca="1" si="26">I51/I24</f>
        <v>-7.789382071366405E-3</v>
      </c>
      <c r="J52" s="341">
        <f t="shared" ref="J52" ca="1" si="27">J51/J24</f>
        <v>-5.9713375796178348E-3</v>
      </c>
      <c r="K52" s="341">
        <f t="shared" ref="K52" ca="1" si="28">K51/K24</f>
        <v>-4.4682422451994093E-3</v>
      </c>
      <c r="L52" s="341">
        <f t="shared" ref="L52" ca="1" si="29">L51/L24</f>
        <v>-3.1789910158949554E-3</v>
      </c>
      <c r="M52" s="341">
        <f t="shared" ref="M52" ca="1" si="30">M51/M24</f>
        <v>-2.1829521829521831E-3</v>
      </c>
      <c r="N52" s="341">
        <f t="shared" ref="N52" si="31">N51/N24</f>
        <v>-1.1550011550011548E-3</v>
      </c>
      <c r="O52" s="341">
        <f t="shared" ref="O52" ca="1" si="32">O51/O24</f>
        <v>0</v>
      </c>
      <c r="P52" s="341">
        <f t="shared" ref="P52" ca="1" si="33">P51/P24</f>
        <v>0</v>
      </c>
      <c r="Q52" s="341">
        <f t="shared" ref="Q52" ca="1" si="34">Q51/Q24</f>
        <v>0</v>
      </c>
      <c r="R52" s="341">
        <f t="shared" ref="R52" ca="1" si="35">R51/R24</f>
        <v>0</v>
      </c>
      <c r="S52" s="341">
        <f t="shared" ref="S52" ca="1" si="36">S51/S24</f>
        <v>0</v>
      </c>
      <c r="T52" s="54"/>
    </row>
    <row r="53" spans="3:20">
      <c r="C53" s="53"/>
      <c r="D53" s="53"/>
      <c r="E53" s="53"/>
      <c r="F53" s="54"/>
      <c r="G53" s="54"/>
      <c r="H53" s="73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3:20">
      <c r="C54" s="53"/>
      <c r="D54" t="s">
        <v>130</v>
      </c>
      <c r="E54" s="53"/>
      <c r="F54" s="331">
        <f>' Financials'!I49</f>
        <v>0</v>
      </c>
      <c r="G54" s="331">
        <f>' Financials'!J49</f>
        <v>-1.5</v>
      </c>
      <c r="H54" s="331">
        <f>' Financials'!K49</f>
        <v>0.74</v>
      </c>
      <c r="I54" s="331">
        <f>' Financials'!L49</f>
        <v>0</v>
      </c>
      <c r="J54" s="331">
        <f>' Financials'!M49</f>
        <v>0</v>
      </c>
      <c r="K54" s="331">
        <f>' Financials'!N49</f>
        <v>-5</v>
      </c>
      <c r="L54" s="331">
        <f>' Financials'!O49</f>
        <v>-5</v>
      </c>
      <c r="M54" s="331">
        <f>' Financials'!P49</f>
        <v>-5</v>
      </c>
      <c r="N54" s="331">
        <f>' Financials'!Q49</f>
        <v>-5</v>
      </c>
      <c r="O54" s="331">
        <f>' Financials'!R49</f>
        <v>-5</v>
      </c>
      <c r="P54" s="331">
        <f>' Financials'!S49</f>
        <v>-5</v>
      </c>
      <c r="Q54" s="331">
        <f>' Financials'!T49</f>
        <v>-5</v>
      </c>
      <c r="R54" s="331">
        <f>' Financials'!U49</f>
        <v>-5</v>
      </c>
      <c r="S54" s="331">
        <f>' Financials'!V49</f>
        <v>-5</v>
      </c>
      <c r="T54" s="54"/>
    </row>
    <row r="55" spans="3:20">
      <c r="C55" s="53"/>
      <c r="D55" s="53" t="s">
        <v>24</v>
      </c>
      <c r="E55" s="53"/>
      <c r="F55" s="341">
        <f>F54/F24</f>
        <v>0</v>
      </c>
      <c r="G55" s="341">
        <f t="shared" ref="G55:H55" si="37">G54/G24</f>
        <v>-1.3214694740551493E-3</v>
      </c>
      <c r="H55" s="341">
        <f t="shared" si="37"/>
        <v>6.4992095555945904E-4</v>
      </c>
      <c r="I55" s="341">
        <f t="shared" ref="I55" si="38">I54/I24</f>
        <v>0</v>
      </c>
      <c r="J55" s="341">
        <f t="shared" ref="J55" si="39">J54/J24</f>
        <v>0</v>
      </c>
      <c r="K55" s="341">
        <f t="shared" ref="K55" si="40">K54/K24</f>
        <v>-3.692762186115214E-3</v>
      </c>
      <c r="L55" s="341">
        <f t="shared" ref="L55" si="41">L54/L24</f>
        <v>-3.4554250172771253E-3</v>
      </c>
      <c r="M55" s="341">
        <f t="shared" ref="M55" si="42">M54/M24</f>
        <v>-3.4650034650034649E-3</v>
      </c>
      <c r="N55" s="341">
        <f t="shared" ref="N55" si="43">N54/N24</f>
        <v>-3.3970622205916319E-3</v>
      </c>
      <c r="O55" s="341">
        <f t="shared" ref="O55" ca="1" si="44">O54/O24</f>
        <v>-3.3369962874181059E-3</v>
      </c>
      <c r="P55" s="341">
        <f t="shared" ref="P55" ca="1" si="45">P54/P24</f>
        <v>-3.2844451647816002E-3</v>
      </c>
      <c r="Q55" s="341">
        <f t="shared" ref="Q55" ca="1" si="46">Q54/Q24</f>
        <v>-3.2390977956426037E-3</v>
      </c>
      <c r="R55" s="341">
        <f t="shared" ref="R55" ca="1" si="47">R54/R24</f>
        <v>-3.2006895213859722E-3</v>
      </c>
      <c r="S55" s="341">
        <f t="shared" ref="S55" ca="1" si="48">S54/S24</f>
        <v>-3.1689995261247246E-3</v>
      </c>
      <c r="T55" s="54"/>
    </row>
    <row r="56" spans="3:20">
      <c r="C56" s="53"/>
      <c r="D56" s="53"/>
      <c r="E56" s="53"/>
      <c r="F56" s="54"/>
      <c r="G56" s="54"/>
      <c r="H56" s="7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3:20">
      <c r="C57" s="53"/>
      <c r="D57" t="s">
        <v>131</v>
      </c>
      <c r="E57" s="53"/>
      <c r="F57" s="331">
        <f>' Financials'!I53</f>
        <v>0</v>
      </c>
      <c r="G57" s="331">
        <f>' Financials'!J53</f>
        <v>0</v>
      </c>
      <c r="H57" s="331">
        <f>' Financials'!K53</f>
        <v>0</v>
      </c>
      <c r="I57" s="331">
        <f>' Financials'!L53</f>
        <v>0</v>
      </c>
      <c r="J57" s="331">
        <f>' Financials'!M53</f>
        <v>-18.004468664734777</v>
      </c>
      <c r="K57" s="331">
        <f>' Financials'!N53</f>
        <v>-6.7527180429793674</v>
      </c>
      <c r="L57" s="331">
        <f>' Financials'!O53</f>
        <v>1.1384540263188825</v>
      </c>
      <c r="M57" s="331">
        <f>' Financials'!P53</f>
        <v>-4.8650405710493061</v>
      </c>
      <c r="N57" s="331">
        <f>' Financials'!Q53</f>
        <v>0</v>
      </c>
      <c r="O57" s="331">
        <f>' Financials'!R53</f>
        <v>0</v>
      </c>
      <c r="P57" s="331">
        <f>' Financials'!S53</f>
        <v>0</v>
      </c>
      <c r="Q57" s="331">
        <f>' Financials'!T53</f>
        <v>0</v>
      </c>
      <c r="R57" s="331">
        <f>' Financials'!U53</f>
        <v>0</v>
      </c>
      <c r="S57" s="331">
        <f>' Financials'!V53</f>
        <v>0</v>
      </c>
      <c r="T57" s="54"/>
    </row>
    <row r="58" spans="3:20">
      <c r="C58" s="53"/>
      <c r="D58" s="53" t="s">
        <v>24</v>
      </c>
      <c r="E58" s="53"/>
      <c r="F58" s="341">
        <f>F57/F24</f>
        <v>0</v>
      </c>
      <c r="G58" s="341">
        <f t="shared" ref="G58:H58" si="49">G57/G24</f>
        <v>0</v>
      </c>
      <c r="H58" s="341">
        <f t="shared" si="49"/>
        <v>0</v>
      </c>
      <c r="I58" s="341">
        <f t="shared" ref="I58" si="50">I57/I24</f>
        <v>0</v>
      </c>
      <c r="J58" s="341">
        <f t="shared" ref="J58" si="51">J57/J24</f>
        <v>-1.4334768045171E-2</v>
      </c>
      <c r="K58" s="341">
        <f t="shared" ref="K58" si="52">K57/K24</f>
        <v>-4.9872363685224278E-3</v>
      </c>
      <c r="L58" s="341">
        <f t="shared" ref="L58" si="53">L57/L24</f>
        <v>7.8676850471242742E-4</v>
      </c>
      <c r="M58" s="341">
        <f t="shared" ref="M58" si="54">M57/M24</f>
        <v>-3.3714764872136561E-3</v>
      </c>
      <c r="N58" s="341">
        <f t="shared" ref="N58" si="55">N57/N24</f>
        <v>0</v>
      </c>
      <c r="O58" s="341">
        <f t="shared" ref="O58" ca="1" si="56">O57/O24</f>
        <v>0</v>
      </c>
      <c r="P58" s="341">
        <f t="shared" ref="P58" ca="1" si="57">P57/P24</f>
        <v>0</v>
      </c>
      <c r="Q58" s="341">
        <f t="shared" ref="Q58" ca="1" si="58">Q57/Q24</f>
        <v>0</v>
      </c>
      <c r="R58" s="341">
        <f t="shared" ref="R58" ca="1" si="59">R57/R24</f>
        <v>0</v>
      </c>
      <c r="S58" s="341">
        <f t="shared" ref="S58" ca="1" si="60">S57/S24</f>
        <v>0</v>
      </c>
      <c r="T58" s="54"/>
    </row>
    <row r="59" spans="3:20">
      <c r="H59" s="73"/>
    </row>
    <row r="60" spans="3:20">
      <c r="D60" s="55" t="s">
        <v>40</v>
      </c>
      <c r="E60" s="55"/>
      <c r="F60" s="130"/>
      <c r="G60" s="130"/>
      <c r="H60" s="131"/>
      <c r="I60" s="347">
        <f ca="1">I41+I45+I47+I51+I54+I57</f>
        <v>65.45</v>
      </c>
      <c r="J60" s="347">
        <f t="shared" ref="J60:S60" ca="1" si="61">J41+J45+J47+J51+J54+J57</f>
        <v>24.785531335265215</v>
      </c>
      <c r="K60" s="347">
        <f t="shared" ca="1" si="61"/>
        <v>66.397281957020638</v>
      </c>
      <c r="L60" s="347">
        <f t="shared" ca="1" si="61"/>
        <v>99.458454026318904</v>
      </c>
      <c r="M60" s="347">
        <f t="shared" ca="1" si="61"/>
        <v>90.884959428950694</v>
      </c>
      <c r="N60" s="347">
        <f t="shared" ca="1" si="61"/>
        <v>104.94200663636359</v>
      </c>
      <c r="O60" s="347">
        <f t="shared" ca="1" si="61"/>
        <v>110.80105645709088</v>
      </c>
      <c r="P60" s="347">
        <f t="shared" ca="1" si="61"/>
        <v>114.75097877617014</v>
      </c>
      <c r="Q60" s="347">
        <f t="shared" ca="1" si="61"/>
        <v>118.47014403316854</v>
      </c>
      <c r="R60" s="347">
        <f t="shared" ca="1" si="61"/>
        <v>121.93779920562085</v>
      </c>
      <c r="S60" s="347">
        <f t="shared" ca="1" si="61"/>
        <v>125.13426324708107</v>
      </c>
      <c r="T60" s="130" t="s">
        <v>167</v>
      </c>
    </row>
    <row r="61" spans="3:20">
      <c r="H61" s="72"/>
    </row>
    <row r="62" spans="3:20" ht="12.75" customHeight="1">
      <c r="D62" s="38" t="s">
        <v>63</v>
      </c>
      <c r="H62" s="72"/>
      <c r="I62" s="248">
        <f ca="1">-I18*I60</f>
        <v>-65.45</v>
      </c>
      <c r="J62" s="2">
        <f ca="1">-J18*J60</f>
        <v>-1.6964771618935601E-2</v>
      </c>
      <c r="K62" s="2">
        <f ca="1">-K18*K60</f>
        <v>0</v>
      </c>
      <c r="L62" s="2">
        <f ca="1">-L18*L60</f>
        <v>0</v>
      </c>
      <c r="M62" s="2">
        <f ca="1">-M18*M60</f>
        <v>0</v>
      </c>
      <c r="N62" s="2">
        <f ca="1">-N18*N60</f>
        <v>0</v>
      </c>
      <c r="O62" s="2">
        <f ca="1">-O18*O60</f>
        <v>0</v>
      </c>
      <c r="P62" s="2">
        <f ca="1">-P18*P60</f>
        <v>0</v>
      </c>
      <c r="Q62" s="2">
        <f ca="1">-Q18*Q60</f>
        <v>0</v>
      </c>
      <c r="R62" s="2">
        <f ca="1">-R18*R60</f>
        <v>0</v>
      </c>
      <c r="S62" s="2">
        <f ca="1">-S18*S60</f>
        <v>0</v>
      </c>
      <c r="T62" s="2"/>
    </row>
    <row r="63" spans="3:20">
      <c r="D63" s="55" t="s">
        <v>41</v>
      </c>
      <c r="E63" s="55"/>
      <c r="F63" s="55"/>
      <c r="G63" s="55"/>
      <c r="H63" s="250"/>
      <c r="I63" s="132">
        <f ca="1">I62+I60</f>
        <v>0</v>
      </c>
      <c r="J63" s="130">
        <f t="shared" ref="J63:O63" ca="1" si="62">J62+J60</f>
        <v>24.768566563646282</v>
      </c>
      <c r="K63" s="130">
        <f t="shared" ca="1" si="62"/>
        <v>66.397281957020638</v>
      </c>
      <c r="L63" s="130">
        <f t="shared" ca="1" si="62"/>
        <v>99.458454026318904</v>
      </c>
      <c r="M63" s="130">
        <f ca="1">M62+M60</f>
        <v>90.884959428950694</v>
      </c>
      <c r="N63" s="130">
        <f t="shared" ca="1" si="62"/>
        <v>104.94200663636359</v>
      </c>
      <c r="O63" s="130">
        <f t="shared" ca="1" si="62"/>
        <v>110.80105645709088</v>
      </c>
      <c r="P63" s="130">
        <f ca="1">P62+P60</f>
        <v>114.75097877617014</v>
      </c>
      <c r="Q63" s="130">
        <f ca="1">Q62+Q60</f>
        <v>118.47014403316854</v>
      </c>
      <c r="R63" s="130">
        <f ca="1">R62+R60</f>
        <v>121.93779920562085</v>
      </c>
      <c r="S63" s="130">
        <f ca="1">S62+S60</f>
        <v>125.13426324708107</v>
      </c>
      <c r="T63" s="130"/>
    </row>
    <row r="64" spans="3:20">
      <c r="H64" s="72"/>
    </row>
    <row r="65" spans="4:20" ht="12.75" customHeight="1">
      <c r="D65" s="56" t="s">
        <v>42</v>
      </c>
      <c r="E65" s="56"/>
      <c r="F65" s="56"/>
      <c r="G65" s="56"/>
      <c r="H65" s="251"/>
      <c r="I65" s="123">
        <f>(I22-F7)/2</f>
        <v>0</v>
      </c>
      <c r="J65" s="133">
        <f t="shared" ref="J65:S65" si="63">I65+365.25</f>
        <v>365.25</v>
      </c>
      <c r="K65" s="133">
        <f t="shared" si="63"/>
        <v>730.5</v>
      </c>
      <c r="L65" s="133">
        <f t="shared" si="63"/>
        <v>1095.75</v>
      </c>
      <c r="M65" s="133">
        <f t="shared" si="63"/>
        <v>1461</v>
      </c>
      <c r="N65" s="133">
        <f t="shared" si="63"/>
        <v>1826.25</v>
      </c>
      <c r="O65" s="133">
        <f t="shared" si="63"/>
        <v>2191.5</v>
      </c>
      <c r="P65" s="133">
        <f t="shared" si="63"/>
        <v>2556.75</v>
      </c>
      <c r="Q65" s="133">
        <f t="shared" si="63"/>
        <v>2922</v>
      </c>
      <c r="R65" s="133">
        <f t="shared" si="63"/>
        <v>3287.25</v>
      </c>
      <c r="S65" s="133">
        <f t="shared" si="63"/>
        <v>3652.5</v>
      </c>
      <c r="T65" s="133"/>
    </row>
    <row r="66" spans="4:20">
      <c r="D66" s="41" t="s">
        <v>43</v>
      </c>
      <c r="E66" s="41"/>
      <c r="F66" s="41"/>
      <c r="G66" s="41"/>
      <c r="H66" s="252"/>
      <c r="I66" s="124">
        <f>1/((1+$F$11)^(I65/365.25))</f>
        <v>1</v>
      </c>
      <c r="J66" s="134">
        <f t="shared" ref="J66:Q66" si="64">1/((1+$F$11)^(J65/365.25))</f>
        <v>0.92165898617511521</v>
      </c>
      <c r="K66" s="134">
        <f t="shared" si="64"/>
        <v>0.84945528679734128</v>
      </c>
      <c r="L66" s="134">
        <f t="shared" si="64"/>
        <v>0.78290809843072917</v>
      </c>
      <c r="M66" s="134">
        <f t="shared" si="64"/>
        <v>0.72157428426795334</v>
      </c>
      <c r="N66" s="134">
        <f t="shared" si="64"/>
        <v>0.66504542328843619</v>
      </c>
      <c r="O66" s="134">
        <f t="shared" si="64"/>
        <v>0.6129450905884205</v>
      </c>
      <c r="P66" s="134">
        <f t="shared" si="64"/>
        <v>0.56492635077273778</v>
      </c>
      <c r="Q66" s="134">
        <f t="shared" si="64"/>
        <v>0.52066944771680901</v>
      </c>
      <c r="R66" s="134">
        <f>1/((1+$F$11)^(R65/365.25))</f>
        <v>0.4798796753150314</v>
      </c>
      <c r="S66" s="134">
        <f>1/((1+$F$11)^(S65/365.25))</f>
        <v>0.44228541503689528</v>
      </c>
      <c r="T66" s="134"/>
    </row>
    <row r="67" spans="4:20">
      <c r="R67" s="2"/>
      <c r="S67" s="2"/>
      <c r="T67" s="2"/>
    </row>
    <row r="68" spans="4:20">
      <c r="D68" s="71" t="s">
        <v>44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 t="s">
        <v>45</v>
      </c>
      <c r="Q68" s="71"/>
      <c r="R68" s="71"/>
      <c r="S68" s="71"/>
      <c r="T68" s="76">
        <f ca="1">S63*(1+F9)/(F11-F9)</f>
        <v>1571.9991820414557</v>
      </c>
    </row>
    <row r="69" spans="4:20"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 t="s">
        <v>46</v>
      </c>
      <c r="Q69" s="36"/>
      <c r="R69" s="36"/>
      <c r="S69" s="36"/>
      <c r="T69" s="77">
        <f ca="1">S27*F10</f>
        <v>1207.0055449574265</v>
      </c>
    </row>
    <row r="70" spans="4:20">
      <c r="Q70" s="2"/>
      <c r="R70" s="2"/>
      <c r="S70" s="2"/>
      <c r="T70" s="2"/>
    </row>
    <row r="71" spans="4:20">
      <c r="F71" s="46" t="s">
        <v>47</v>
      </c>
      <c r="G71" s="46"/>
      <c r="H71" s="46"/>
      <c r="I71" s="46"/>
      <c r="L71" s="46" t="s">
        <v>48</v>
      </c>
      <c r="M71" s="46"/>
      <c r="N71" s="46"/>
      <c r="O71" s="46"/>
    </row>
    <row r="72" spans="4:20" ht="4.5" customHeight="1"/>
    <row r="73" spans="4:20">
      <c r="F73" s="36" t="s">
        <v>49</v>
      </c>
      <c r="G73" s="36"/>
      <c r="H73" s="126" t="s">
        <v>143</v>
      </c>
      <c r="I73" s="126" t="s">
        <v>21</v>
      </c>
      <c r="L73" s="36" t="s">
        <v>49</v>
      </c>
      <c r="M73" s="78"/>
      <c r="N73" s="126" t="s">
        <v>143</v>
      </c>
      <c r="O73" s="126" t="s">
        <v>21</v>
      </c>
    </row>
    <row r="74" spans="4:20">
      <c r="F74" t="s">
        <v>50</v>
      </c>
      <c r="H74" s="310">
        <f ca="1">SUMPRODUCT($I$63:$T$63,$I$66:$T$66)</f>
        <v>600.75310481159761</v>
      </c>
      <c r="I74" s="52">
        <f ca="1">H74/$H$76</f>
        <v>0.46353497210532202</v>
      </c>
      <c r="L74" t="s">
        <v>50</v>
      </c>
      <c r="N74" s="40">
        <f ca="1">SUMPRODUCT($G$63:$T$63,$G$66:$T$66)</f>
        <v>600.75310481159761</v>
      </c>
      <c r="O74" s="52">
        <f ca="1">N74/$N$76</f>
        <v>0.50912551422962149</v>
      </c>
    </row>
    <row r="75" spans="4:20">
      <c r="F75" t="s">
        <v>51</v>
      </c>
      <c r="H75" s="310">
        <f ca="1">T68*S66</f>
        <v>695.27231066686511</v>
      </c>
      <c r="I75" s="52">
        <f ca="1">H75/$H$76</f>
        <v>0.53646502789467798</v>
      </c>
      <c r="L75" t="s">
        <v>51</v>
      </c>
      <c r="N75" s="40">
        <f ca="1">T69*R66</f>
        <v>579.2174290176124</v>
      </c>
      <c r="O75" s="52">
        <f ca="1">N75/$N$76</f>
        <v>0.4908744857703784</v>
      </c>
    </row>
    <row r="76" spans="4:20">
      <c r="F76" s="24" t="s">
        <v>52</v>
      </c>
      <c r="G76" s="55"/>
      <c r="H76" s="311">
        <f ca="1">SUM(H74:H75)</f>
        <v>1296.0254154784627</v>
      </c>
      <c r="I76" s="57">
        <f ca="1">SUM(I74:I75)</f>
        <v>1</v>
      </c>
      <c r="L76" s="24" t="s">
        <v>52</v>
      </c>
      <c r="M76" s="55"/>
      <c r="N76" s="48">
        <f ca="1">SUM(N74:N75)</f>
        <v>1179.9705338292101</v>
      </c>
      <c r="O76" s="57">
        <f ca="1">SUM(O74:O75)</f>
        <v>0.99999999999999989</v>
      </c>
    </row>
    <row r="77" spans="4:20">
      <c r="F77" t="s">
        <v>67</v>
      </c>
      <c r="H77" s="129">
        <f>-SUM(Assumptions!$D$19:$D$22)</f>
        <v>-84.616813539584982</v>
      </c>
      <c r="I77" s="81"/>
      <c r="L77" t="s">
        <v>67</v>
      </c>
      <c r="N77" s="129">
        <f>-SUM(Assumptions!$D$19:$D$22)</f>
        <v>-84.616813539584982</v>
      </c>
      <c r="O77" s="81"/>
    </row>
    <row r="78" spans="4:20">
      <c r="F78" s="24" t="s">
        <v>68</v>
      </c>
      <c r="G78" s="55"/>
      <c r="H78" s="311">
        <f ca="1">H76+H77</f>
        <v>1211.4086019388778</v>
      </c>
      <c r="I78" s="57"/>
      <c r="L78" s="24" t="s">
        <v>68</v>
      </c>
      <c r="M78" s="55"/>
      <c r="N78" s="48">
        <f ca="1">N76+N77</f>
        <v>1095.3537202896252</v>
      </c>
      <c r="O78" s="57"/>
    </row>
    <row r="79" spans="4:20">
      <c r="F79" s="56" t="s">
        <v>64</v>
      </c>
      <c r="G79" s="56"/>
      <c r="H79" s="62">
        <f ca="1">H78/Assumptions!$D$17*100</f>
        <v>608.74804117531551</v>
      </c>
      <c r="I79" s="83"/>
      <c r="L79" s="56" t="s">
        <v>64</v>
      </c>
      <c r="M79" s="56"/>
      <c r="N79" s="82">
        <f ca="1">N78/Assumptions!$D$17*100</f>
        <v>550.42900517066596</v>
      </c>
      <c r="O79" s="83"/>
    </row>
    <row r="80" spans="4:20">
      <c r="F80" s="84" t="s">
        <v>28</v>
      </c>
      <c r="G80" s="41"/>
      <c r="H80" s="312">
        <f ca="1">H79/Assumptions!$D$16-1</f>
        <v>2.6893820677291851</v>
      </c>
      <c r="I80" s="86"/>
      <c r="L80" s="84" t="s">
        <v>28</v>
      </c>
      <c r="M80" s="41"/>
      <c r="N80" s="85">
        <f ca="1">N79/Assumptions!$D$16-1</f>
        <v>2.3359333646707028</v>
      </c>
      <c r="O80" s="86"/>
    </row>
    <row r="81" spans="4:20">
      <c r="H81" s="2"/>
    </row>
    <row r="82" spans="4:20">
      <c r="D82" s="46" t="s">
        <v>11</v>
      </c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</row>
    <row r="83" spans="4:20" ht="4.5" customHeight="1"/>
    <row r="84" spans="4:20">
      <c r="D84" s="36" t="s">
        <v>53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71"/>
    </row>
    <row r="86" spans="4:20" ht="12.75" customHeight="1">
      <c r="E86" s="26" t="s">
        <v>32</v>
      </c>
      <c r="F86" s="333">
        <v>5.0000000000000001E-3</v>
      </c>
      <c r="G86" s="26" t="s">
        <v>54</v>
      </c>
      <c r="I86" s="335">
        <v>5.0000000000000001E-3</v>
      </c>
      <c r="L86" s="26" t="s">
        <v>55</v>
      </c>
      <c r="M86" s="336">
        <v>8.5</v>
      </c>
      <c r="N86" s="26" t="s">
        <v>56</v>
      </c>
      <c r="P86" s="336">
        <v>0.5</v>
      </c>
    </row>
    <row r="87" spans="4:20">
      <c r="E87" s="26" t="s">
        <v>35</v>
      </c>
      <c r="F87" s="334">
        <v>8.5000000000000006E-2</v>
      </c>
      <c r="G87" s="26" t="s">
        <v>57</v>
      </c>
      <c r="I87" s="335">
        <v>5.0000000000000001E-3</v>
      </c>
      <c r="L87" s="26" t="s">
        <v>35</v>
      </c>
      <c r="M87" s="51">
        <f>F87</f>
        <v>8.5000000000000006E-2</v>
      </c>
      <c r="N87" s="26" t="s">
        <v>57</v>
      </c>
      <c r="P87" s="114">
        <f>I87</f>
        <v>5.0000000000000001E-3</v>
      </c>
    </row>
    <row r="89" spans="4:20">
      <c r="E89" s="75" t="s">
        <v>58</v>
      </c>
      <c r="F89" s="75"/>
      <c r="G89" s="75"/>
      <c r="H89" s="75"/>
      <c r="I89" s="75"/>
      <c r="J89" s="75"/>
      <c r="L89" s="75" t="s">
        <v>59</v>
      </c>
      <c r="M89" s="75"/>
      <c r="N89" s="75"/>
      <c r="O89" s="75"/>
      <c r="P89" s="75"/>
      <c r="Q89" s="75"/>
    </row>
    <row r="90" spans="4:20" ht="4.5" customHeight="1"/>
    <row r="91" spans="4:20">
      <c r="E91" s="74" t="s">
        <v>144</v>
      </c>
      <c r="F91" s="36"/>
      <c r="G91" s="36"/>
      <c r="H91" s="36"/>
      <c r="I91" s="36"/>
      <c r="J91" s="36"/>
      <c r="L91" s="74" t="s">
        <v>144</v>
      </c>
      <c r="M91" s="36"/>
      <c r="N91" s="36"/>
      <c r="O91" s="36"/>
      <c r="P91" s="36"/>
      <c r="Q91" s="36"/>
    </row>
    <row r="92" spans="4:20">
      <c r="E92" s="29" t="s">
        <v>60</v>
      </c>
      <c r="F92" s="79" t="s">
        <v>61</v>
      </c>
      <c r="G92" s="49"/>
      <c r="H92" s="49"/>
      <c r="I92" s="49"/>
      <c r="J92" s="50"/>
      <c r="L92" s="29" t="s">
        <v>60</v>
      </c>
      <c r="M92" s="49" t="s">
        <v>62</v>
      </c>
      <c r="N92" s="49"/>
      <c r="O92" s="49"/>
      <c r="P92" s="49"/>
      <c r="Q92" s="50"/>
    </row>
    <row r="93" spans="4:20" ht="12.75" customHeight="1">
      <c r="E93" s="58">
        <f ca="1">H76</f>
        <v>1296.0254154784627</v>
      </c>
      <c r="F93" s="59">
        <f>G93-$I$86</f>
        <v>-5.0000000000000001E-3</v>
      </c>
      <c r="G93" s="59">
        <f>H93-$I$86</f>
        <v>0</v>
      </c>
      <c r="H93" s="149">
        <f>$F$86</f>
        <v>5.0000000000000001E-3</v>
      </c>
      <c r="I93" s="59">
        <f>H93+$I$86</f>
        <v>0.01</v>
      </c>
      <c r="J93" s="60">
        <f>I93+$I$86</f>
        <v>1.4999999999999999E-2</v>
      </c>
      <c r="L93" s="58">
        <f ca="1">N76</f>
        <v>1179.9705338292101</v>
      </c>
      <c r="M93" s="278">
        <f>N93-$P$86</f>
        <v>7.5</v>
      </c>
      <c r="N93" s="278">
        <f>O93-$P$86</f>
        <v>8</v>
      </c>
      <c r="O93" s="279">
        <f>$M$86</f>
        <v>8.5</v>
      </c>
      <c r="P93" s="278">
        <f>O93+$P$86</f>
        <v>9</v>
      </c>
      <c r="Q93" s="280">
        <f>P93+$P$86</f>
        <v>9.5</v>
      </c>
    </row>
    <row r="94" spans="4:20" ht="12.75" customHeight="1">
      <c r="E94" s="27">
        <f>E95-$I$87</f>
        <v>7.4999999999999997E-2</v>
      </c>
      <c r="F94" s="255">
        <f t="dataTable" ref="F94:J98" dt2D="1" dtr="1" r1="F9" r2="F11" ca="1"/>
        <v>1388.5476565071599</v>
      </c>
      <c r="G94" s="256">
        <v>1442.9376261790001</v>
      </c>
      <c r="H94" s="257">
        <v>1505.0975915182457</v>
      </c>
      <c r="I94" s="256">
        <v>1576.8206284481444</v>
      </c>
      <c r="J94" s="258">
        <v>1660.4975048663596</v>
      </c>
      <c r="L94" s="27">
        <f>L95-$I$87</f>
        <v>7.4999999999999997E-2</v>
      </c>
      <c r="M94" s="281">
        <f t="dataTable" ref="M94:Q98" dt2D="1" dtr="1" r1="F10" r2="F11" ca="1"/>
        <v>1188.9014467479128</v>
      </c>
      <c r="N94" s="282">
        <v>1225.9340434524722</v>
      </c>
      <c r="O94" s="282">
        <v>1262.9666401570316</v>
      </c>
      <c r="P94" s="282">
        <v>1299.999236861591</v>
      </c>
      <c r="Q94" s="283">
        <v>1337.0318335661505</v>
      </c>
    </row>
    <row r="95" spans="4:20" ht="12.75" customHeight="1">
      <c r="E95" s="27">
        <f>E96-$I$87</f>
        <v>0.08</v>
      </c>
      <c r="F95" s="259">
        <v>1295.2720453793406</v>
      </c>
      <c r="G95" s="260">
        <v>1341.3001968073618</v>
      </c>
      <c r="H95" s="257">
        <v>1393.465435092452</v>
      </c>
      <c r="I95" s="260">
        <v>1453.0828502754123</v>
      </c>
      <c r="J95" s="261">
        <v>1521.8721754865205</v>
      </c>
      <c r="L95" s="27">
        <f>L96-$I$87</f>
        <v>0.08</v>
      </c>
      <c r="M95" s="284">
        <v>1149.5505959211791</v>
      </c>
      <c r="N95" s="285">
        <v>1185.0684357557025</v>
      </c>
      <c r="O95" s="286">
        <v>1220.5862755902258</v>
      </c>
      <c r="P95" s="285">
        <v>1256.1041154247491</v>
      </c>
      <c r="Q95" s="287">
        <v>1291.6219552592725</v>
      </c>
      <c r="R95" s="66"/>
      <c r="S95" s="66"/>
      <c r="T95" s="66"/>
    </row>
    <row r="96" spans="4:20" ht="12.75" customHeight="1">
      <c r="E96" s="150">
        <f>$F$87</f>
        <v>8.5000000000000006E-2</v>
      </c>
      <c r="F96" s="259">
        <v>1212.6234854537474</v>
      </c>
      <c r="G96" s="257">
        <v>1251.8714525242017</v>
      </c>
      <c r="H96" s="260">
        <v>1296.0254154784627</v>
      </c>
      <c r="I96" s="257">
        <v>1346.0665734932918</v>
      </c>
      <c r="J96" s="261">
        <v>1403.2564683673822</v>
      </c>
      <c r="L96" s="150">
        <f>$M$87</f>
        <v>8.5000000000000006E-2</v>
      </c>
      <c r="M96" s="284">
        <v>1111.8273068859617</v>
      </c>
      <c r="N96" s="286">
        <v>1145.8989203575857</v>
      </c>
      <c r="O96" s="285">
        <v>1179.9705338292101</v>
      </c>
      <c r="P96" s="286">
        <v>1214.0421473008344</v>
      </c>
      <c r="Q96" s="287">
        <v>1248.1137607724586</v>
      </c>
      <c r="R96" s="66"/>
      <c r="S96" s="66"/>
      <c r="T96" s="66"/>
    </row>
    <row r="97" spans="4:20" ht="12.75" customHeight="1">
      <c r="E97" s="127">
        <f>E96+$I$87</f>
        <v>9.0000000000000011E-2</v>
      </c>
      <c r="F97" s="259">
        <v>1138.9154273340487</v>
      </c>
      <c r="G97" s="260">
        <v>1172.608579947067</v>
      </c>
      <c r="H97" s="257">
        <v>1210.2656328674998</v>
      </c>
      <c r="I97" s="260">
        <v>1252.6298174029862</v>
      </c>
      <c r="J97" s="261">
        <v>1300.6425598765377</v>
      </c>
      <c r="L97" s="127">
        <f>L96+$I$87</f>
        <v>9.0000000000000011E-2</v>
      </c>
      <c r="M97" s="284">
        <v>1075.6545832863969</v>
      </c>
      <c r="N97" s="285">
        <v>1108.3451058116093</v>
      </c>
      <c r="O97" s="286">
        <v>1141.0356283368217</v>
      </c>
      <c r="P97" s="285">
        <v>1173.726150862034</v>
      </c>
      <c r="Q97" s="287">
        <v>1206.4166733872466</v>
      </c>
      <c r="R97" s="66"/>
      <c r="S97" s="66"/>
      <c r="T97" s="66"/>
    </row>
    <row r="98" spans="4:20" ht="12.75" customHeight="1">
      <c r="E98" s="128">
        <f>E97+$I$87</f>
        <v>9.5000000000000015E-2</v>
      </c>
      <c r="F98" s="262">
        <v>1072.7989788889856</v>
      </c>
      <c r="G98" s="263">
        <v>1101.8991516583474</v>
      </c>
      <c r="H98" s="263">
        <v>1134.232676957638</v>
      </c>
      <c r="I98" s="263">
        <v>1170.3701464097862</v>
      </c>
      <c r="J98" s="264">
        <v>1211.0247995434534</v>
      </c>
      <c r="L98" s="128">
        <f>L97+$I$87</f>
        <v>9.5000000000000015E-2</v>
      </c>
      <c r="M98" s="288">
        <v>1040.9594652492603</v>
      </c>
      <c r="N98" s="289">
        <v>1072.3308198166444</v>
      </c>
      <c r="O98" s="289">
        <v>1103.7021743840282</v>
      </c>
      <c r="P98" s="289">
        <v>1135.0735289514123</v>
      </c>
      <c r="Q98" s="290">
        <v>1166.4448835187964</v>
      </c>
      <c r="R98" s="66"/>
      <c r="S98" s="66"/>
      <c r="T98" s="66"/>
    </row>
    <row r="100" spans="4:20">
      <c r="E100" s="74" t="s">
        <v>12</v>
      </c>
      <c r="F100" s="36"/>
      <c r="G100" s="36"/>
      <c r="H100" s="36"/>
      <c r="I100" s="36"/>
      <c r="J100" s="36"/>
      <c r="L100" s="74" t="s">
        <v>12</v>
      </c>
      <c r="M100" s="36"/>
      <c r="N100" s="36"/>
      <c r="O100" s="36"/>
      <c r="P100" s="36"/>
      <c r="Q100" s="36"/>
    </row>
    <row r="101" spans="4:20">
      <c r="E101" s="29" t="s">
        <v>60</v>
      </c>
      <c r="F101" s="79" t="s">
        <v>61</v>
      </c>
      <c r="G101" s="49"/>
      <c r="H101" s="49"/>
      <c r="I101" s="49"/>
      <c r="J101" s="50"/>
      <c r="L101" s="29" t="s">
        <v>60</v>
      </c>
      <c r="M101" s="49" t="s">
        <v>62</v>
      </c>
      <c r="N101" s="49"/>
      <c r="O101" s="49"/>
      <c r="P101" s="49"/>
      <c r="Q101" s="50"/>
    </row>
    <row r="102" spans="4:20">
      <c r="E102" s="151">
        <f ca="1">H79</f>
        <v>608.74804117531551</v>
      </c>
      <c r="F102" s="275">
        <f>G102-$I$86</f>
        <v>-5.0000000000000001E-3</v>
      </c>
      <c r="G102" s="275">
        <f>H102-$I$86</f>
        <v>0</v>
      </c>
      <c r="H102" s="276">
        <f>$F$86</f>
        <v>5.0000000000000001E-3</v>
      </c>
      <c r="I102" s="275">
        <f>H102+$I$86</f>
        <v>0.01</v>
      </c>
      <c r="J102" s="277">
        <f>I102+$I$86</f>
        <v>1.4999999999999999E-2</v>
      </c>
      <c r="L102" s="151">
        <f ca="1">N79</f>
        <v>550.42900517066596</v>
      </c>
      <c r="M102" s="137">
        <f>N102-$P$86</f>
        <v>7.5</v>
      </c>
      <c r="N102" s="137">
        <f>O102-$P$86</f>
        <v>8</v>
      </c>
      <c r="O102" s="148">
        <f>$M$86</f>
        <v>8.5</v>
      </c>
      <c r="P102" s="137">
        <f>O102+$P$86</f>
        <v>9</v>
      </c>
      <c r="Q102" s="138">
        <f>P102+$P$86</f>
        <v>9.5</v>
      </c>
    </row>
    <row r="103" spans="4:20">
      <c r="E103" s="27">
        <f>E104-$I$87</f>
        <v>7.4999999999999997E-2</v>
      </c>
      <c r="F103" s="265">
        <f>(F94-SUM(Assumptions!$D$19:$D$22))/Assumptions!$D$17*100</f>
        <v>655.24162963194726</v>
      </c>
      <c r="G103" s="266">
        <f>(G94-SUM(Assumptions!$D$19:$D$22))/Assumptions!$D$17*100</f>
        <v>682.57327268312315</v>
      </c>
      <c r="H103" s="267">
        <f>(H94-SUM(Assumptions!$D$19:$D$22))/Assumptions!$D$17*100</f>
        <v>713.80943617018136</v>
      </c>
      <c r="I103" s="266">
        <f>(I94-SUM(Assumptions!$D$19:$D$22))/Assumptions!$D$17*100</f>
        <v>749.85116327063292</v>
      </c>
      <c r="J103" s="268">
        <f>(J94-SUM(Assumptions!$D$19:$D$22))/Assumptions!$D$17*100</f>
        <v>791.89984488782648</v>
      </c>
      <c r="L103" s="27">
        <f>L104-$I$87</f>
        <v>7.4999999999999997E-2</v>
      </c>
      <c r="M103" s="61">
        <f>(M94-SUM(Assumptions!$D$19:$D$22))/Assumptions!$D$17*100</f>
        <v>554.91690110971251</v>
      </c>
      <c r="N103" s="62">
        <f>(N94-SUM(Assumptions!$D$19:$D$22))/Assumptions!$D$17*100</f>
        <v>573.52624618738059</v>
      </c>
      <c r="O103" s="66">
        <f>(O94-SUM(Assumptions!$D$19:$D$22))/Assumptions!$D$17*100</f>
        <v>592.13559126504856</v>
      </c>
      <c r="P103" s="62">
        <f>(P94-SUM(Assumptions!$D$19:$D$22))/Assumptions!$D$17*100</f>
        <v>610.74493634271664</v>
      </c>
      <c r="Q103" s="63">
        <f>(Q94-SUM(Assumptions!$D$19:$D$22))/Assumptions!$D$17*100</f>
        <v>629.35428142038472</v>
      </c>
    </row>
    <row r="104" spans="4:20">
      <c r="E104" s="27">
        <f>E105-$I$87</f>
        <v>0.08</v>
      </c>
      <c r="F104" s="269">
        <f>(F95-SUM(Assumptions!$D$19:$D$22))/Assumptions!$D$17*100</f>
        <v>608.36946323605821</v>
      </c>
      <c r="G104" s="270">
        <f>(G95-SUM(Assumptions!$D$19:$D$22))/Assumptions!$D$17*100</f>
        <v>631.49918757174714</v>
      </c>
      <c r="H104" s="267">
        <f>(H95-SUM(Assumptions!$D$19:$D$22))/Assumptions!$D$17*100</f>
        <v>657.71287515219456</v>
      </c>
      <c r="I104" s="270">
        <f>(I95-SUM(Assumptions!$D$19:$D$22))/Assumptions!$D$17*100</f>
        <v>687.67137524413431</v>
      </c>
      <c r="J104" s="271">
        <f>(J95-SUM(Assumptions!$D$19:$D$22))/Assumptions!$D$17*100</f>
        <v>722.2388753502189</v>
      </c>
      <c r="L104" s="27">
        <f>L105-$I$87</f>
        <v>0.08</v>
      </c>
      <c r="M104" s="64">
        <f>(M95-SUM(Assumptions!$D$19:$D$22))/Assumptions!$D$17*100</f>
        <v>535.14260421185634</v>
      </c>
      <c r="N104" s="65">
        <f>(N95-SUM(Assumptions!$D$19:$D$22))/Assumptions!$D$17*100</f>
        <v>552.99076493272241</v>
      </c>
      <c r="O104" s="66">
        <f>(O95-SUM(Assumptions!$D$19:$D$22))/Assumptions!$D$17*100</f>
        <v>570.83892565358838</v>
      </c>
      <c r="P104" s="65">
        <f>(P95-SUM(Assumptions!$D$19:$D$22))/Assumptions!$D$17*100</f>
        <v>588.68708637445434</v>
      </c>
      <c r="Q104" s="67">
        <f>(Q95-SUM(Assumptions!$D$19:$D$22))/Assumptions!$D$17*100</f>
        <v>606.53524709532041</v>
      </c>
    </row>
    <row r="105" spans="4:20">
      <c r="E105" s="150">
        <f>$F$87</f>
        <v>8.5000000000000006E-2</v>
      </c>
      <c r="F105" s="269">
        <f>(F96-SUM(Assumptions!$D$19:$D$22))/Assumptions!$D$17*100</f>
        <v>566.83752357495609</v>
      </c>
      <c r="G105" s="267">
        <f>(G96-SUM(Assumptions!$D$19:$D$22))/Assumptions!$D$17*100</f>
        <v>586.56012009277219</v>
      </c>
      <c r="H105" s="270">
        <f>(H96-SUM(Assumptions!$D$19:$D$22))/Assumptions!$D$17*100</f>
        <v>608.74804117531551</v>
      </c>
      <c r="I105" s="267">
        <f>(I96-SUM(Assumptions!$D$19:$D$22))/Assumptions!$D$17*100</f>
        <v>633.89435173553113</v>
      </c>
      <c r="J105" s="271">
        <f>(J96-SUM(Assumptions!$D$19:$D$22))/Assumptions!$D$17*100</f>
        <v>662.63299237577758</v>
      </c>
      <c r="L105" s="150">
        <f>$M$87</f>
        <v>8.5000000000000006E-2</v>
      </c>
      <c r="M105" s="64">
        <f>(M96-SUM(Assumptions!$D$19:$D$22))/Assumptions!$D$17*100</f>
        <v>516.18617756099331</v>
      </c>
      <c r="N105" s="66">
        <f>(N96-SUM(Assumptions!$D$19:$D$22))/Assumptions!$D$17*100</f>
        <v>533.30759136582958</v>
      </c>
      <c r="O105" s="65">
        <f>(O96-SUM(Assumptions!$D$19:$D$22))/Assumptions!$D$17*100</f>
        <v>550.42900517066596</v>
      </c>
      <c r="P105" s="66">
        <f>(P96-SUM(Assumptions!$D$19:$D$22))/Assumptions!$D$17*100</f>
        <v>567.55041897550223</v>
      </c>
      <c r="Q105" s="67">
        <f>(Q96-SUM(Assumptions!$D$19:$D$22))/Assumptions!$D$17*100</f>
        <v>584.67183278033849</v>
      </c>
    </row>
    <row r="106" spans="4:20">
      <c r="E106" s="127">
        <f>E105+$I$87</f>
        <v>9.0000000000000011E-2</v>
      </c>
      <c r="F106" s="269">
        <f>(F97-SUM(Assumptions!$D$19:$D$22))/Assumptions!$D$17*100</f>
        <v>529.79829838917783</v>
      </c>
      <c r="G106" s="270">
        <f>(G97-SUM(Assumptions!$D$19:$D$22))/Assumptions!$D$17*100</f>
        <v>546.72953085803124</v>
      </c>
      <c r="H106" s="267">
        <f>(H97-SUM(Assumptions!$D$19:$D$22))/Assumptions!$D$17*100</f>
        <v>565.65267302910297</v>
      </c>
      <c r="I106" s="270">
        <f>(I97-SUM(Assumptions!$D$19:$D$22))/Assumptions!$D$17*100</f>
        <v>586.94120797155847</v>
      </c>
      <c r="J106" s="271">
        <f>(J97-SUM(Assumptions!$D$19:$D$22))/Assumptions!$D$17*100</f>
        <v>611.06821423967472</v>
      </c>
      <c r="L106" s="127">
        <f>L105+$I$87</f>
        <v>9.0000000000000011E-2</v>
      </c>
      <c r="M106" s="64">
        <f>(M97-SUM(Assumptions!$D$19:$D$22))/Assumptions!$D$17*100</f>
        <v>498.008929521011</v>
      </c>
      <c r="N106" s="65">
        <f>(N97-SUM(Assumptions!$D$19:$D$22))/Assumptions!$D$17*100</f>
        <v>514.43632777488665</v>
      </c>
      <c r="O106" s="66">
        <f>(O97-SUM(Assumptions!$D$19:$D$22))/Assumptions!$D$17*100</f>
        <v>530.86372602876213</v>
      </c>
      <c r="P106" s="65">
        <f>(P97-SUM(Assumptions!$D$19:$D$22))/Assumptions!$D$17*100</f>
        <v>547.29112428263772</v>
      </c>
      <c r="Q106" s="67">
        <f>(Q97-SUM(Assumptions!$D$19:$D$22))/Assumptions!$D$17*100</f>
        <v>563.71852253651343</v>
      </c>
    </row>
    <row r="107" spans="4:20">
      <c r="E107" s="128">
        <f>E106+$I$87</f>
        <v>9.5000000000000015E-2</v>
      </c>
      <c r="F107" s="272">
        <f>(F98-SUM(Assumptions!$D$19:$D$22))/Assumptions!$D$17*100</f>
        <v>496.57395243688472</v>
      </c>
      <c r="G107" s="273">
        <f>(G98-SUM(Assumptions!$D$19:$D$22))/Assumptions!$D$17*100</f>
        <v>511.19715483354895</v>
      </c>
      <c r="H107" s="273">
        <f>(H98-SUM(Assumptions!$D$19:$D$22))/Assumptions!$D$17*100</f>
        <v>527.44515749650907</v>
      </c>
      <c r="I107" s="273">
        <f>(I98-SUM(Assumptions!$D$19:$D$22))/Assumptions!$D$17*100</f>
        <v>545.60468988452328</v>
      </c>
      <c r="J107" s="274">
        <f>(J98-SUM(Assumptions!$D$19:$D$22))/Assumptions!$D$17*100</f>
        <v>566.03416382103944</v>
      </c>
      <c r="L107" s="128">
        <f>L106+$I$87</f>
        <v>9.5000000000000015E-2</v>
      </c>
      <c r="M107" s="68">
        <f>(M98-SUM(Assumptions!$D$19:$D$22))/Assumptions!$D$17*100</f>
        <v>480.57419683903282</v>
      </c>
      <c r="N107" s="69">
        <f>(N98-SUM(Assumptions!$D$19:$D$22))/Assumptions!$D$17*100</f>
        <v>496.33869662163789</v>
      </c>
      <c r="O107" s="69">
        <f>(O98-SUM(Assumptions!$D$19:$D$22))/Assumptions!$D$17*100</f>
        <v>512.10319640424279</v>
      </c>
      <c r="P107" s="69">
        <f>(P98-SUM(Assumptions!$D$19:$D$22))/Assumptions!$D$17*100</f>
        <v>527.86769618684798</v>
      </c>
      <c r="Q107" s="70">
        <f>(Q98-SUM(Assumptions!$D$19:$D$22))/Assumptions!$D$17*100</f>
        <v>543.63219596945305</v>
      </c>
    </row>
    <row r="109" spans="4:20">
      <c r="D109" s="88" t="s">
        <v>13</v>
      </c>
      <c r="E109" s="90"/>
      <c r="F109" s="91"/>
      <c r="G109" s="89"/>
      <c r="H109" s="90"/>
      <c r="I109" s="91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243"/>
    </row>
    <row r="110" spans="4:20">
      <c r="D110" s="71" t="str">
        <f>TEXT(Assumptions!$D$11,"mmmm")&amp;" YE ($mm)"</f>
        <v>March YE ($mm)</v>
      </c>
      <c r="E110" s="99"/>
      <c r="F110" s="100">
        <f>F22</f>
        <v>42825</v>
      </c>
      <c r="G110" s="100">
        <f>G22</f>
        <v>43190</v>
      </c>
      <c r="H110" s="139">
        <f>H22</f>
        <v>43555</v>
      </c>
      <c r="I110" s="139">
        <f>I22</f>
        <v>43921</v>
      </c>
      <c r="J110" s="139">
        <f>J22</f>
        <v>44286</v>
      </c>
      <c r="K110" s="139">
        <f>K22</f>
        <v>44651</v>
      </c>
      <c r="L110" s="139">
        <f>L22</f>
        <v>45016</v>
      </c>
      <c r="M110" s="139">
        <f>M22</f>
        <v>45382</v>
      </c>
      <c r="N110" s="139">
        <f>N22</f>
        <v>45747</v>
      </c>
      <c r="O110" s="139">
        <f>O22</f>
        <v>46112</v>
      </c>
      <c r="P110" s="139">
        <f>P22</f>
        <v>46477</v>
      </c>
      <c r="Q110" s="139">
        <f>Q22</f>
        <v>46843</v>
      </c>
      <c r="R110" s="139">
        <f>R22</f>
        <v>47208</v>
      </c>
      <c r="S110" s="139">
        <f>S22</f>
        <v>47573</v>
      </c>
      <c r="T110" s="139"/>
    </row>
    <row r="111" spans="4:20">
      <c r="D111" s="38" t="s">
        <v>3</v>
      </c>
      <c r="E111" s="93"/>
      <c r="F111" s="115">
        <f>F27</f>
        <v>108.7</v>
      </c>
      <c r="G111" s="115">
        <f>G27</f>
        <v>109.5</v>
      </c>
      <c r="H111" s="115">
        <f>H27</f>
        <v>98.2</v>
      </c>
      <c r="I111" s="115">
        <f>I27</f>
        <v>94</v>
      </c>
      <c r="J111" s="115">
        <f>J27</f>
        <v>75</v>
      </c>
      <c r="K111" s="115">
        <f>K27</f>
        <v>105</v>
      </c>
      <c r="L111" s="115">
        <f>L27</f>
        <v>126</v>
      </c>
      <c r="M111" s="115">
        <f>M27</f>
        <v>123</v>
      </c>
      <c r="N111" s="115">
        <f ca="1">N27</f>
        <v>126.62789999999998</v>
      </c>
      <c r="O111" s="115">
        <f ca="1">O27</f>
        <v>130.09612439999998</v>
      </c>
      <c r="P111" s="115">
        <f ca="1">P27</f>
        <v>133.38560734559996</v>
      </c>
      <c r="Q111" s="115">
        <f ca="1">Q27</f>
        <v>136.47786203301118</v>
      </c>
      <c r="R111" s="115">
        <f ca="1">R27</f>
        <v>139.35515083619498</v>
      </c>
      <c r="S111" s="115">
        <f ca="1">S27</f>
        <v>142.00065234793254</v>
      </c>
      <c r="T111" s="115"/>
    </row>
    <row r="112" spans="4:20">
      <c r="D112" s="39" t="s">
        <v>1</v>
      </c>
      <c r="E112" s="94"/>
      <c r="F112" s="117">
        <f>F111/F$24</f>
        <v>9.9269406392694062E-2</v>
      </c>
      <c r="G112" s="117">
        <f t="shared" ref="G112:R112" si="65">G111/G$24</f>
        <v>9.6467271606025903E-2</v>
      </c>
      <c r="H112" s="117">
        <f t="shared" si="65"/>
        <v>8.6246267345863353E-2</v>
      </c>
      <c r="I112" s="117">
        <f t="shared" si="65"/>
        <v>8.1810269799825933E-2</v>
      </c>
      <c r="J112" s="117">
        <f t="shared" si="65"/>
        <v>5.9713375796178345E-2</v>
      </c>
      <c r="K112" s="117">
        <f t="shared" si="65"/>
        <v>7.7548005908419496E-2</v>
      </c>
      <c r="L112" s="117">
        <f t="shared" si="65"/>
        <v>8.707671043538355E-2</v>
      </c>
      <c r="M112" s="117">
        <f t="shared" si="65"/>
        <v>8.5239085239085244E-2</v>
      </c>
      <c r="N112" s="117">
        <f t="shared" ca="1" si="65"/>
        <v>8.6032571032571017E-2</v>
      </c>
      <c r="O112" s="117">
        <f t="shared" ca="1" si="65"/>
        <v>8.6826056826056805E-2</v>
      </c>
      <c r="P112" s="117">
        <f t="shared" ca="1" si="65"/>
        <v>8.7619542619542579E-2</v>
      </c>
      <c r="Q112" s="117">
        <f t="shared" ca="1" si="65"/>
        <v>8.841302841302838E-2</v>
      </c>
      <c r="R112" s="117">
        <f t="shared" ca="1" si="65"/>
        <v>8.9206514206514168E-2</v>
      </c>
      <c r="S112" s="117">
        <f t="shared" ref="S112" ca="1" si="66">S111/S$24</f>
        <v>0.09</v>
      </c>
      <c r="T112" s="117"/>
    </row>
    <row r="113" spans="4:20">
      <c r="D113" s="38" t="s">
        <v>4</v>
      </c>
      <c r="E113" s="94"/>
      <c r="F113" s="116">
        <f t="shared" ref="F113:S113" si="67">F45</f>
        <v>0</v>
      </c>
      <c r="G113" s="116">
        <f t="shared" si="67"/>
        <v>0</v>
      </c>
      <c r="H113" s="116">
        <f t="shared" si="67"/>
        <v>0</v>
      </c>
      <c r="I113" s="116">
        <f t="shared" si="67"/>
        <v>34</v>
      </c>
      <c r="J113" s="116">
        <f t="shared" si="67"/>
        <v>38</v>
      </c>
      <c r="K113" s="116">
        <f t="shared" si="67"/>
        <v>45</v>
      </c>
      <c r="L113" s="116">
        <f t="shared" si="67"/>
        <v>50</v>
      </c>
      <c r="M113" s="116">
        <f t="shared" si="67"/>
        <v>53</v>
      </c>
      <c r="N113" s="116">
        <f t="shared" ca="1" si="67"/>
        <v>32.427272727272786</v>
      </c>
      <c r="O113" s="116">
        <f t="shared" ca="1" si="67"/>
        <v>31.831818181818239</v>
      </c>
      <c r="P113" s="116">
        <f t="shared" ca="1" si="67"/>
        <v>31.236363636363684</v>
      </c>
      <c r="Q113" s="116">
        <f t="shared" ca="1" si="67"/>
        <v>30.640909090909123</v>
      </c>
      <c r="R113" s="116">
        <f t="shared" ca="1" si="67"/>
        <v>30.045454545454561</v>
      </c>
      <c r="S113" s="116">
        <f t="shared" si="67"/>
        <v>29.45</v>
      </c>
      <c r="T113" s="116"/>
    </row>
    <row r="114" spans="4:20">
      <c r="D114" s="39" t="s">
        <v>37</v>
      </c>
      <c r="E114" s="94"/>
      <c r="F114" s="117">
        <f t="shared" ref="F114:S114" si="68">-F113/F47</f>
        <v>0</v>
      </c>
      <c r="G114" s="117">
        <f t="shared" si="68"/>
        <v>0</v>
      </c>
      <c r="H114" s="117">
        <f t="shared" si="68"/>
        <v>0</v>
      </c>
      <c r="I114" s="117">
        <f t="shared" si="68"/>
        <v>1.096774193548387</v>
      </c>
      <c r="J114" s="117">
        <f t="shared" si="68"/>
        <v>1.2258064516129032</v>
      </c>
      <c r="K114" s="117">
        <f t="shared" si="68"/>
        <v>1.4516129032258065</v>
      </c>
      <c r="L114" s="117">
        <f t="shared" si="68"/>
        <v>1.6129032258064515</v>
      </c>
      <c r="M114" s="117">
        <f t="shared" si="68"/>
        <v>1.7096774193548387</v>
      </c>
      <c r="N114" s="117">
        <f t="shared" ca="1" si="68"/>
        <v>1.0460410557184769</v>
      </c>
      <c r="O114" s="117">
        <f t="shared" ca="1" si="68"/>
        <v>1.0268328445747819</v>
      </c>
      <c r="P114" s="117">
        <f t="shared" ca="1" si="68"/>
        <v>1.0076246334310865</v>
      </c>
      <c r="Q114" s="117">
        <f t="shared" ca="1" si="68"/>
        <v>0.98841642228739102</v>
      </c>
      <c r="R114" s="117">
        <f t="shared" ca="1" si="68"/>
        <v>0.96920821114369549</v>
      </c>
      <c r="S114" s="117">
        <f t="shared" si="68"/>
        <v>0.95</v>
      </c>
      <c r="T114" s="117"/>
    </row>
    <row r="115" spans="4:20" ht="12.75" customHeight="1">
      <c r="D115" s="38" t="s">
        <v>5</v>
      </c>
      <c r="E115" s="92"/>
      <c r="F115" s="115">
        <f t="shared" ref="F115:S115" si="69">F34</f>
        <v>77.099999999999994</v>
      </c>
      <c r="G115" s="115">
        <f t="shared" si="69"/>
        <v>74.599999999999994</v>
      </c>
      <c r="H115" s="115">
        <f t="shared" si="69"/>
        <v>62.2</v>
      </c>
      <c r="I115" s="115">
        <f t="shared" si="69"/>
        <v>60</v>
      </c>
      <c r="J115" s="115">
        <f t="shared" si="69"/>
        <v>37</v>
      </c>
      <c r="K115" s="115">
        <f t="shared" si="69"/>
        <v>60</v>
      </c>
      <c r="L115" s="115">
        <f t="shared" si="69"/>
        <v>76</v>
      </c>
      <c r="M115" s="115">
        <f t="shared" si="69"/>
        <v>70</v>
      </c>
      <c r="N115" s="115">
        <f t="shared" ca="1" si="69"/>
        <v>94.200627272727189</v>
      </c>
      <c r="O115" s="115">
        <f t="shared" ca="1" si="69"/>
        <v>98.264306218181744</v>
      </c>
      <c r="P115" s="115">
        <f t="shared" ca="1" si="69"/>
        <v>102.14924370923629</v>
      </c>
      <c r="Q115" s="115">
        <f t="shared" ca="1" si="69"/>
        <v>105.83695294210206</v>
      </c>
      <c r="R115" s="115">
        <f t="shared" ca="1" si="69"/>
        <v>109.30969629074042</v>
      </c>
      <c r="S115" s="115">
        <f t="shared" ca="1" si="69"/>
        <v>112.55065234793254</v>
      </c>
      <c r="T115" s="115"/>
    </row>
    <row r="116" spans="4:20">
      <c r="D116" s="39" t="s">
        <v>1</v>
      </c>
      <c r="E116" s="95"/>
      <c r="F116" s="117">
        <f>F115/F$24</f>
        <v>7.0410958904109588E-2</v>
      </c>
      <c r="G116" s="117">
        <f t="shared" ref="G116:R116" si="70">G115/G$24</f>
        <v>6.5721081843009427E-2</v>
      </c>
      <c r="H116" s="117">
        <f t="shared" si="70"/>
        <v>5.4628491129457238E-2</v>
      </c>
      <c r="I116" s="117">
        <f t="shared" si="70"/>
        <v>5.2219321148825062E-2</v>
      </c>
      <c r="J116" s="117">
        <f t="shared" si="70"/>
        <v>2.945859872611465E-2</v>
      </c>
      <c r="K116" s="117">
        <f t="shared" si="70"/>
        <v>4.4313146233382568E-2</v>
      </c>
      <c r="L116" s="117">
        <f t="shared" si="70"/>
        <v>5.25224602626123E-2</v>
      </c>
      <c r="M116" s="117">
        <f t="shared" si="70"/>
        <v>4.851004851004851E-2</v>
      </c>
      <c r="N116" s="117">
        <f t="shared" ca="1" si="70"/>
        <v>6.4001078412843054E-2</v>
      </c>
      <c r="O116" s="117">
        <f t="shared" ca="1" si="70"/>
        <v>6.5581525007157679E-2</v>
      </c>
      <c r="P116" s="117">
        <f t="shared" ca="1" si="70"/>
        <v>6.7100717917379676E-2</v>
      </c>
      <c r="Q116" s="117">
        <f t="shared" ca="1" si="70"/>
        <v>6.8563248194458554E-2</v>
      </c>
      <c r="R116" s="117">
        <f t="shared" ca="1" si="70"/>
        <v>6.9973279900731183E-2</v>
      </c>
      <c r="S116" s="117">
        <f t="shared" ref="S116" ca="1" si="71">S115/S$24</f>
        <v>7.1334592791125376E-2</v>
      </c>
      <c r="T116" s="117"/>
    </row>
    <row r="117" spans="4:20">
      <c r="D117" s="38" t="s">
        <v>10</v>
      </c>
      <c r="E117" s="95"/>
      <c r="F117" s="116">
        <f t="shared" ref="F117:S117" si="72">F38</f>
        <v>0</v>
      </c>
      <c r="G117" s="116">
        <f t="shared" si="72"/>
        <v>0</v>
      </c>
      <c r="H117" s="116">
        <f t="shared" si="72"/>
        <v>0</v>
      </c>
      <c r="I117" s="116">
        <f t="shared" si="72"/>
        <v>11.4</v>
      </c>
      <c r="J117" s="116">
        <f t="shared" si="72"/>
        <v>6.29</v>
      </c>
      <c r="K117" s="116">
        <f t="shared" si="72"/>
        <v>10.200000000000001</v>
      </c>
      <c r="L117" s="116">
        <f t="shared" si="72"/>
        <v>12.920000000000002</v>
      </c>
      <c r="M117" s="116">
        <f t="shared" si="72"/>
        <v>11.9</v>
      </c>
      <c r="N117" s="116">
        <f t="shared" ca="1" si="72"/>
        <v>16.014106636363625</v>
      </c>
      <c r="O117" s="116">
        <f t="shared" ca="1" si="72"/>
        <v>16.704932057090897</v>
      </c>
      <c r="P117" s="116">
        <f t="shared" ca="1" si="72"/>
        <v>17.365371430570171</v>
      </c>
      <c r="Q117" s="116">
        <f t="shared" ca="1" si="72"/>
        <v>17.992282000157353</v>
      </c>
      <c r="R117" s="116">
        <f t="shared" ca="1" si="72"/>
        <v>18.582648369425872</v>
      </c>
      <c r="S117" s="116">
        <f t="shared" ca="1" si="72"/>
        <v>19.133610899148533</v>
      </c>
      <c r="T117" s="116"/>
    </row>
    <row r="118" spans="4:20">
      <c r="D118" s="39" t="s">
        <v>65</v>
      </c>
      <c r="E118" s="95"/>
      <c r="F118" s="117">
        <f t="shared" ref="F118:S118" si="73">F39</f>
        <v>0</v>
      </c>
      <c r="G118" s="117">
        <f t="shared" si="73"/>
        <v>0</v>
      </c>
      <c r="H118" s="117">
        <f t="shared" si="73"/>
        <v>0</v>
      </c>
      <c r="I118" s="117">
        <f t="shared" si="73"/>
        <v>0.19</v>
      </c>
      <c r="J118" s="117">
        <f t="shared" si="73"/>
        <v>0.17</v>
      </c>
      <c r="K118" s="117">
        <f t="shared" si="73"/>
        <v>0.17</v>
      </c>
      <c r="L118" s="117">
        <f t="shared" si="73"/>
        <v>0.17</v>
      </c>
      <c r="M118" s="117">
        <f t="shared" si="73"/>
        <v>0.17</v>
      </c>
      <c r="N118" s="117">
        <f t="shared" si="73"/>
        <v>0.17</v>
      </c>
      <c r="O118" s="117">
        <f t="shared" si="73"/>
        <v>0.17</v>
      </c>
      <c r="P118" s="117">
        <f t="shared" si="73"/>
        <v>0.17</v>
      </c>
      <c r="Q118" s="117">
        <f t="shared" si="73"/>
        <v>0.17</v>
      </c>
      <c r="R118" s="117">
        <f t="shared" si="73"/>
        <v>0.17</v>
      </c>
      <c r="S118" s="117">
        <f t="shared" si="73"/>
        <v>0.17</v>
      </c>
      <c r="T118" s="117"/>
    </row>
    <row r="119" spans="4:20">
      <c r="D119" s="38" t="s">
        <v>38</v>
      </c>
      <c r="E119" s="95"/>
      <c r="F119" s="116">
        <f t="shared" ref="F119:S119" si="74">F41</f>
        <v>0</v>
      </c>
      <c r="G119" s="116">
        <f t="shared" si="74"/>
        <v>0</v>
      </c>
      <c r="H119" s="116">
        <f t="shared" si="74"/>
        <v>0</v>
      </c>
      <c r="I119" s="116">
        <f t="shared" si="74"/>
        <v>71.400000000000006</v>
      </c>
      <c r="J119" s="116">
        <f t="shared" si="74"/>
        <v>43.29</v>
      </c>
      <c r="K119" s="116">
        <f t="shared" si="74"/>
        <v>70.2</v>
      </c>
      <c r="L119" s="116">
        <f t="shared" si="74"/>
        <v>88.92</v>
      </c>
      <c r="M119" s="116">
        <f t="shared" si="74"/>
        <v>81.900000000000006</v>
      </c>
      <c r="N119" s="116">
        <f t="shared" ca="1" si="74"/>
        <v>110.21473390909081</v>
      </c>
      <c r="O119" s="116">
        <f t="shared" ca="1" si="74"/>
        <v>114.96923827527264</v>
      </c>
      <c r="P119" s="116">
        <f t="shared" ca="1" si="74"/>
        <v>119.51461513980647</v>
      </c>
      <c r="Q119" s="116">
        <f t="shared" ca="1" si="74"/>
        <v>123.8292349422594</v>
      </c>
      <c r="R119" s="116">
        <f t="shared" ca="1" si="74"/>
        <v>127.89234466016629</v>
      </c>
      <c r="S119" s="116">
        <f t="shared" ca="1" si="74"/>
        <v>131.68426324708108</v>
      </c>
      <c r="T119" s="116"/>
    </row>
    <row r="120" spans="4:20">
      <c r="D120" s="106" t="s">
        <v>71</v>
      </c>
      <c r="E120" s="95"/>
      <c r="F120" s="116">
        <f>-F31</f>
        <v>31.600000000000009</v>
      </c>
      <c r="G120" s="116">
        <f>-G31</f>
        <v>34.900000000000006</v>
      </c>
      <c r="H120" s="116">
        <f>-H31</f>
        <v>36</v>
      </c>
      <c r="I120" s="116">
        <f>-I31</f>
        <v>34</v>
      </c>
      <c r="J120" s="116">
        <f>-J31</f>
        <v>38</v>
      </c>
      <c r="K120" s="116">
        <f>-K31</f>
        <v>45</v>
      </c>
      <c r="L120" s="116">
        <f>-L31</f>
        <v>50</v>
      </c>
      <c r="M120" s="116">
        <f>-M31</f>
        <v>53</v>
      </c>
      <c r="N120" s="116">
        <f ca="1">-N31</f>
        <v>32.427272727272786</v>
      </c>
      <c r="O120" s="116">
        <f ca="1">-O31</f>
        <v>31.831818181818239</v>
      </c>
      <c r="P120" s="116">
        <f ca="1">-P31</f>
        <v>31.236363636363684</v>
      </c>
      <c r="Q120" s="116">
        <f ca="1">-Q31</f>
        <v>30.640909090909123</v>
      </c>
      <c r="R120" s="116">
        <f ca="1">-R31</f>
        <v>30.045454545454561</v>
      </c>
      <c r="S120" s="116">
        <f>-S31</f>
        <v>29.45</v>
      </c>
      <c r="T120" s="116"/>
    </row>
    <row r="121" spans="4:20">
      <c r="D121" s="106" t="s">
        <v>132</v>
      </c>
      <c r="E121" s="95"/>
      <c r="F121" s="116">
        <f t="shared" ref="F121:S121" si="75">F47</f>
        <v>-36.1</v>
      </c>
      <c r="G121" s="116">
        <f t="shared" si="75"/>
        <v>-37.299999999999997</v>
      </c>
      <c r="H121" s="116">
        <f t="shared" si="75"/>
        <v>-31</v>
      </c>
      <c r="I121" s="116">
        <f t="shared" si="75"/>
        <v>-31</v>
      </c>
      <c r="J121" s="116">
        <f t="shared" si="75"/>
        <v>-31</v>
      </c>
      <c r="K121" s="116">
        <f t="shared" si="75"/>
        <v>-31</v>
      </c>
      <c r="L121" s="116">
        <f t="shared" si="75"/>
        <v>-31</v>
      </c>
      <c r="M121" s="116">
        <f t="shared" si="75"/>
        <v>-31</v>
      </c>
      <c r="N121" s="116">
        <f t="shared" si="75"/>
        <v>-31</v>
      </c>
      <c r="O121" s="116">
        <f t="shared" si="75"/>
        <v>-31</v>
      </c>
      <c r="P121" s="116">
        <f t="shared" si="75"/>
        <v>-31</v>
      </c>
      <c r="Q121" s="116">
        <f t="shared" si="75"/>
        <v>-31</v>
      </c>
      <c r="R121" s="116">
        <f t="shared" si="75"/>
        <v>-31</v>
      </c>
      <c r="S121" s="116">
        <f t="shared" si="75"/>
        <v>-31</v>
      </c>
      <c r="T121" s="116"/>
    </row>
    <row r="122" spans="4:20">
      <c r="D122" s="106" t="s">
        <v>72</v>
      </c>
      <c r="E122" s="95"/>
      <c r="F122" s="116">
        <f>F51</f>
        <v>-16.300000000000004</v>
      </c>
      <c r="G122" s="116">
        <f>G51</f>
        <v>-12.6</v>
      </c>
      <c r="H122" s="115">
        <f>H51</f>
        <v>-10.399999999999999</v>
      </c>
      <c r="I122" s="115">
        <f t="shared" ref="I122:S122" ca="1" si="76">I51</f>
        <v>-8.9499999999999993</v>
      </c>
      <c r="J122" s="115">
        <f t="shared" ca="1" si="76"/>
        <v>-7.5</v>
      </c>
      <c r="K122" s="115">
        <f t="shared" ca="1" si="76"/>
        <v>-6.0500000000000007</v>
      </c>
      <c r="L122" s="115">
        <f t="shared" ca="1" si="76"/>
        <v>-4.6000000000000005</v>
      </c>
      <c r="M122" s="115">
        <f t="shared" ca="1" si="76"/>
        <v>-3.1500000000000004</v>
      </c>
      <c r="N122" s="115">
        <f t="shared" si="76"/>
        <v>-1.7</v>
      </c>
      <c r="O122" s="115">
        <f t="shared" ca="1" si="76"/>
        <v>0</v>
      </c>
      <c r="P122" s="115">
        <f t="shared" ca="1" si="76"/>
        <v>0</v>
      </c>
      <c r="Q122" s="115">
        <f t="shared" ca="1" si="76"/>
        <v>0</v>
      </c>
      <c r="R122" s="115">
        <f t="shared" ca="1" si="76"/>
        <v>0</v>
      </c>
      <c r="S122" s="115">
        <f t="shared" ca="1" si="76"/>
        <v>0</v>
      </c>
      <c r="T122" s="115"/>
    </row>
    <row r="123" spans="4:20">
      <c r="D123" s="106" t="s">
        <v>133</v>
      </c>
      <c r="E123" s="95"/>
      <c r="F123" s="116">
        <f t="shared" ref="F123:S123" si="77">+F57</f>
        <v>0</v>
      </c>
      <c r="G123" s="116">
        <f t="shared" si="77"/>
        <v>0</v>
      </c>
      <c r="H123" s="116">
        <f t="shared" si="77"/>
        <v>0</v>
      </c>
      <c r="I123" s="116">
        <f t="shared" si="77"/>
        <v>0</v>
      </c>
      <c r="J123" s="116">
        <f t="shared" si="77"/>
        <v>-18.004468664734777</v>
      </c>
      <c r="K123" s="116">
        <f t="shared" si="77"/>
        <v>-6.7527180429793674</v>
      </c>
      <c r="L123" s="116">
        <f t="shared" si="77"/>
        <v>1.1384540263188825</v>
      </c>
      <c r="M123" s="116">
        <f t="shared" si="77"/>
        <v>-4.8650405710493061</v>
      </c>
      <c r="N123" s="116">
        <f t="shared" si="77"/>
        <v>0</v>
      </c>
      <c r="O123" s="116">
        <f t="shared" si="77"/>
        <v>0</v>
      </c>
      <c r="P123" s="116">
        <f t="shared" si="77"/>
        <v>0</v>
      </c>
      <c r="Q123" s="116">
        <f t="shared" si="77"/>
        <v>0</v>
      </c>
      <c r="R123" s="116">
        <f t="shared" si="77"/>
        <v>0</v>
      </c>
      <c r="S123" s="116">
        <f t="shared" si="77"/>
        <v>0</v>
      </c>
      <c r="T123" s="115"/>
    </row>
    <row r="124" spans="4:20">
      <c r="D124" s="106" t="s">
        <v>134</v>
      </c>
      <c r="E124" s="95"/>
      <c r="F124" s="116">
        <f t="shared" ref="F124:S124" si="78">+F54</f>
        <v>0</v>
      </c>
      <c r="G124" s="116">
        <f t="shared" si="78"/>
        <v>-1.5</v>
      </c>
      <c r="H124" s="116">
        <f t="shared" si="78"/>
        <v>0.74</v>
      </c>
      <c r="I124" s="116">
        <f t="shared" si="78"/>
        <v>0</v>
      </c>
      <c r="J124" s="116">
        <f t="shared" si="78"/>
        <v>0</v>
      </c>
      <c r="K124" s="116">
        <f t="shared" si="78"/>
        <v>-5</v>
      </c>
      <c r="L124" s="116">
        <f t="shared" si="78"/>
        <v>-5</v>
      </c>
      <c r="M124" s="116">
        <f t="shared" si="78"/>
        <v>-5</v>
      </c>
      <c r="N124" s="116">
        <f t="shared" si="78"/>
        <v>-5</v>
      </c>
      <c r="O124" s="116">
        <f t="shared" si="78"/>
        <v>-5</v>
      </c>
      <c r="P124" s="116">
        <f t="shared" si="78"/>
        <v>-5</v>
      </c>
      <c r="Q124" s="116">
        <f t="shared" si="78"/>
        <v>-5</v>
      </c>
      <c r="R124" s="116">
        <f t="shared" si="78"/>
        <v>-5</v>
      </c>
      <c r="S124" s="116">
        <f t="shared" si="78"/>
        <v>-5</v>
      </c>
      <c r="T124" s="115"/>
    </row>
    <row r="125" spans="4:20">
      <c r="D125" s="3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</row>
    <row r="126" spans="4:20">
      <c r="D126" s="97" t="s">
        <v>40</v>
      </c>
      <c r="E126" s="98"/>
      <c r="F126" s="124">
        <f>SUM(F119:F124)</f>
        <v>-20.799999999999997</v>
      </c>
      <c r="G126" s="124">
        <f t="shared" ref="G126:S126" si="79">SUM(G119:G124)</f>
        <v>-16.499999999999993</v>
      </c>
      <c r="H126" s="124">
        <f t="shared" si="79"/>
        <v>-4.6599999999999984</v>
      </c>
      <c r="I126" s="124">
        <f t="shared" ca="1" si="79"/>
        <v>65.45</v>
      </c>
      <c r="J126" s="124">
        <f ca="1">SUM(J119:J124)</f>
        <v>24.785531335265215</v>
      </c>
      <c r="K126" s="124">
        <f t="shared" ca="1" si="79"/>
        <v>66.397281957020638</v>
      </c>
      <c r="L126" s="124">
        <f t="shared" ca="1" si="79"/>
        <v>99.458454026318904</v>
      </c>
      <c r="M126" s="124">
        <f t="shared" ca="1" si="79"/>
        <v>90.884959428950694</v>
      </c>
      <c r="N126" s="124">
        <f t="shared" ca="1" si="79"/>
        <v>104.94200663636359</v>
      </c>
      <c r="O126" s="124">
        <f t="shared" ca="1" si="79"/>
        <v>110.80105645709088</v>
      </c>
      <c r="P126" s="124">
        <f t="shared" ca="1" si="79"/>
        <v>114.75097877617014</v>
      </c>
      <c r="Q126" s="124">
        <f t="shared" ca="1" si="79"/>
        <v>118.47014403316854</v>
      </c>
      <c r="R126" s="124">
        <f t="shared" ca="1" si="79"/>
        <v>121.93779920562085</v>
      </c>
      <c r="S126" s="124">
        <f t="shared" ca="1" si="79"/>
        <v>125.13426324708107</v>
      </c>
      <c r="T126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31" zoomScaleNormal="100" workbookViewId="0">
      <selection activeCell="J49" sqref="J49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</v>
      </c>
      <c r="J9" s="213">
        <f>'DCF input'!J24</f>
        <v>1256</v>
      </c>
      <c r="K9" s="213">
        <f>'DCF input'!K24</f>
        <v>1354</v>
      </c>
      <c r="L9" s="213">
        <f>'DCF input'!L24</f>
        <v>1447</v>
      </c>
      <c r="M9" s="213">
        <f>'DCF input'!M24</f>
        <v>1443</v>
      </c>
      <c r="N9" s="213">
        <f>'DCF input'!N24</f>
        <v>1471.8600000000001</v>
      </c>
      <c r="O9" s="213">
        <f ca="1">'DCF input'!O24</f>
        <v>1498.3534800000002</v>
      </c>
      <c r="P9" s="213">
        <f ca="1">'DCF input'!P24</f>
        <v>1522.3271356800003</v>
      </c>
      <c r="Q9" s="213">
        <f ca="1">'DCF input'!Q24</f>
        <v>1543.6397155795203</v>
      </c>
      <c r="R9" s="213">
        <f ca="1">'DCF input'!R24</f>
        <v>1562.1633921664745</v>
      </c>
      <c r="S9" s="213">
        <f ca="1">'DCF input'!S24</f>
        <v>1577.7850260881394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9.3124456048738091E-2</v>
      </c>
      <c r="K10" s="215">
        <f t="shared" si="10"/>
        <v>7.8025477707006408E-2</v>
      </c>
      <c r="L10" s="215">
        <f t="shared" si="10"/>
        <v>6.8685376661743014E-2</v>
      </c>
      <c r="M10" s="215">
        <f t="shared" si="10"/>
        <v>-2.7643400138217533E-3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</v>
      </c>
      <c r="J11" s="213">
        <f>'DCF input'!J27</f>
        <v>75</v>
      </c>
      <c r="K11" s="213">
        <f>'DCF input'!K27</f>
        <v>105</v>
      </c>
      <c r="L11" s="213">
        <f>'DCF input'!L27</f>
        <v>126</v>
      </c>
      <c r="M11" s="213">
        <f>'DCF input'!M27</f>
        <v>123</v>
      </c>
      <c r="N11" s="213">
        <f ca="1">'DCF input'!N27</f>
        <v>126.62789999999998</v>
      </c>
      <c r="O11" s="213">
        <f ca="1">'DCF input'!O27</f>
        <v>130.09612439999998</v>
      </c>
      <c r="P11" s="213">
        <f ca="1">'DCF input'!P27</f>
        <v>133.38560734559996</v>
      </c>
      <c r="Q11" s="213">
        <f ca="1">'DCF input'!Q27</f>
        <v>136.47786203301118</v>
      </c>
      <c r="R11" s="213">
        <f ca="1">'DCF input'!R27</f>
        <v>139.35515083619498</v>
      </c>
      <c r="S11" s="213">
        <f ca="1">'DCF input'!S27</f>
        <v>142.00065234793254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8.1810269799825933E-2</v>
      </c>
      <c r="J12" s="215">
        <f t="shared" si="11"/>
        <v>5.9713375796178345E-2</v>
      </c>
      <c r="K12" s="215">
        <f t="shared" si="11"/>
        <v>7.7548005908419496E-2</v>
      </c>
      <c r="L12" s="215">
        <f t="shared" si="11"/>
        <v>8.707671043538355E-2</v>
      </c>
      <c r="M12" s="215">
        <f t="shared" si="11"/>
        <v>8.5239085239085244E-2</v>
      </c>
      <c r="N12" s="215">
        <f t="shared" ca="1" si="11"/>
        <v>8.6032571032571017E-2</v>
      </c>
      <c r="O12" s="215">
        <f t="shared" ca="1" si="11"/>
        <v>8.6826056826056805E-2</v>
      </c>
      <c r="P12" s="215">
        <f t="shared" ca="1" si="11"/>
        <v>8.7619542619542579E-2</v>
      </c>
      <c r="Q12" s="215">
        <f t="shared" ca="1" si="11"/>
        <v>8.841302841302838E-2</v>
      </c>
      <c r="R12" s="215">
        <f t="shared" ca="1" si="11"/>
        <v>8.9206514206514168E-2</v>
      </c>
      <c r="S12" s="215">
        <f t="shared" ca="1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-0.2021276595744681</v>
      </c>
      <c r="K13" s="215">
        <f t="shared" si="12"/>
        <v>0.39999999999999991</v>
      </c>
      <c r="L13" s="215">
        <f t="shared" si="12"/>
        <v>0.19999999999999996</v>
      </c>
      <c r="M13" s="215">
        <f t="shared" si="12"/>
        <v>-2.3809523809523836E-2</v>
      </c>
      <c r="N13" s="215">
        <f t="shared" ca="1" si="12"/>
        <v>2.9495121951219394E-2</v>
      </c>
      <c r="O13" s="215">
        <f t="shared" ca="1" si="12"/>
        <v>2.7389101453944908E-2</v>
      </c>
      <c r="P13" s="215">
        <f t="shared" ca="1" si="12"/>
        <v>2.5285018756484812E-2</v>
      </c>
      <c r="Q13" s="215">
        <f t="shared" ca="1" si="12"/>
        <v>2.318282121248072E-2</v>
      </c>
      <c r="R13" s="215">
        <f t="shared" ca="1" si="12"/>
        <v>2.1082458065527554E-2</v>
      </c>
      <c r="S13" s="215">
        <f t="shared" ca="1" si="12"/>
        <v>1.8983880365119887E-2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-34</v>
      </c>
      <c r="J14" s="217">
        <f>'DCF input'!J31</f>
        <v>-38</v>
      </c>
      <c r="K14" s="217">
        <f>'DCF input'!K31</f>
        <v>-45</v>
      </c>
      <c r="L14" s="217">
        <f>'DCF input'!L31</f>
        <v>-50</v>
      </c>
      <c r="M14" s="217">
        <f>'DCF input'!M31</f>
        <v>-53</v>
      </c>
      <c r="N14" s="217">
        <f ca="1">'DCF input'!N31</f>
        <v>-32.427272727272786</v>
      </c>
      <c r="O14" s="217">
        <f ca="1">'DCF input'!O31</f>
        <v>-31.831818181818239</v>
      </c>
      <c r="P14" s="217">
        <f ca="1">'DCF input'!P31</f>
        <v>-31.236363636363684</v>
      </c>
      <c r="Q14" s="217">
        <f ca="1">'DCF input'!Q31</f>
        <v>-30.640909090909123</v>
      </c>
      <c r="R14" s="217">
        <f ca="1">'DCF input'!R31</f>
        <v>-30.045454545454561</v>
      </c>
      <c r="S14" s="217">
        <f>'DCF input'!S31</f>
        <v>-29.45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2.959094865100087E-2</v>
      </c>
      <c r="J15" s="215">
        <f t="shared" si="13"/>
        <v>3.0254777070063694E-2</v>
      </c>
      <c r="K15" s="215">
        <f t="shared" si="13"/>
        <v>3.3234859675036928E-2</v>
      </c>
      <c r="L15" s="215">
        <f t="shared" si="13"/>
        <v>3.455425017277125E-2</v>
      </c>
      <c r="M15" s="215">
        <f t="shared" si="13"/>
        <v>3.6729036729036726E-2</v>
      </c>
      <c r="N15" s="215">
        <f t="shared" ca="1" si="13"/>
        <v>2.2031492619727953E-2</v>
      </c>
      <c r="O15" s="215">
        <f t="shared" ca="1" si="13"/>
        <v>2.1244531818899126E-2</v>
      </c>
      <c r="P15" s="215">
        <f t="shared" ca="1" si="13"/>
        <v>2.0518824702162902E-2</v>
      </c>
      <c r="Q15" s="215">
        <f t="shared" ca="1" si="13"/>
        <v>1.9849780218569833E-2</v>
      </c>
      <c r="R15" s="215">
        <f t="shared" ca="1" si="13"/>
        <v>1.9233234305782988E-2</v>
      </c>
      <c r="S15" s="215">
        <f t="shared" ca="1" si="13"/>
        <v>1.8665407208874628E-2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1.2258064516129032</v>
      </c>
      <c r="K16" s="215">
        <f>+K14/K21</f>
        <v>1.4516129032258065</v>
      </c>
      <c r="L16" s="215">
        <f t="shared" ref="L16:S16" si="14">+L14/L21</f>
        <v>1.6129032258064515</v>
      </c>
      <c r="M16" s="215">
        <f t="shared" si="14"/>
        <v>1.7096774193548387</v>
      </c>
      <c r="N16" s="215">
        <f t="shared" ca="1" si="14"/>
        <v>1.0460410557184769</v>
      </c>
      <c r="O16" s="215">
        <f t="shared" ca="1" si="14"/>
        <v>1.0268328445747819</v>
      </c>
      <c r="P16" s="215">
        <f t="shared" ca="1" si="14"/>
        <v>1.0076246334310865</v>
      </c>
      <c r="Q16" s="215">
        <f t="shared" ca="1" si="14"/>
        <v>0.98841642228739102</v>
      </c>
      <c r="R16" s="215">
        <f t="shared" ca="1" si="14"/>
        <v>0.96920821114369549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60</v>
      </c>
      <c r="J17" s="217">
        <f t="shared" si="15"/>
        <v>37</v>
      </c>
      <c r="K17" s="217">
        <f t="shared" si="15"/>
        <v>60</v>
      </c>
      <c r="L17" s="217">
        <f t="shared" si="15"/>
        <v>76</v>
      </c>
      <c r="M17" s="217">
        <f t="shared" si="15"/>
        <v>70</v>
      </c>
      <c r="N17" s="217">
        <f t="shared" ca="1" si="15"/>
        <v>94.200627272727189</v>
      </c>
      <c r="O17" s="217">
        <f t="shared" ca="1" si="15"/>
        <v>98.264306218181744</v>
      </c>
      <c r="P17" s="217">
        <f t="shared" ca="1" si="15"/>
        <v>102.14924370923629</v>
      </c>
      <c r="Q17" s="217">
        <f t="shared" ca="1" si="15"/>
        <v>105.83695294210206</v>
      </c>
      <c r="R17" s="217">
        <f t="shared" ca="1" si="15"/>
        <v>109.30969629074042</v>
      </c>
      <c r="S17" s="217">
        <f t="shared" ca="1" si="15"/>
        <v>112.55065234793254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5.2219321148825062E-2</v>
      </c>
      <c r="J18" s="215">
        <f t="shared" si="16"/>
        <v>2.945859872611465E-2</v>
      </c>
      <c r="K18" s="215">
        <f t="shared" si="16"/>
        <v>4.4313146233382568E-2</v>
      </c>
      <c r="L18" s="215">
        <f t="shared" si="16"/>
        <v>5.25224602626123E-2</v>
      </c>
      <c r="M18" s="215">
        <f t="shared" si="16"/>
        <v>4.851004851004851E-2</v>
      </c>
      <c r="N18" s="215">
        <f t="shared" ca="1" si="16"/>
        <v>6.4001078412843054E-2</v>
      </c>
      <c r="O18" s="215">
        <f t="shared" ca="1" si="16"/>
        <v>6.5581525007157679E-2</v>
      </c>
      <c r="P18" s="215">
        <f t="shared" ca="1" si="16"/>
        <v>6.7100717917379676E-2</v>
      </c>
      <c r="Q18" s="215">
        <f t="shared" ca="1" si="16"/>
        <v>6.8563248194458554E-2</v>
      </c>
      <c r="R18" s="215">
        <f t="shared" ca="1" si="16"/>
        <v>6.9973279900731183E-2</v>
      </c>
      <c r="S18" s="215">
        <f t="shared" ca="1" si="16"/>
        <v>7.1334592791125376E-2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-6.29</v>
      </c>
      <c r="K19" s="217">
        <f t="shared" ref="K19:S19" si="17">-K20*K17</f>
        <v>-10.200000000000001</v>
      </c>
      <c r="L19" s="217">
        <f t="shared" si="17"/>
        <v>-12.920000000000002</v>
      </c>
      <c r="M19" s="217">
        <f t="shared" si="17"/>
        <v>-11.9</v>
      </c>
      <c r="N19" s="217">
        <f t="shared" ca="1" si="17"/>
        <v>-16.014106636363625</v>
      </c>
      <c r="O19" s="217">
        <f t="shared" ca="1" si="17"/>
        <v>-16.704932057090897</v>
      </c>
      <c r="P19" s="217">
        <f t="shared" ca="1" si="17"/>
        <v>-17.365371430570171</v>
      </c>
      <c r="Q19" s="217">
        <f t="shared" ca="1" si="17"/>
        <v>-17.992282000157353</v>
      </c>
      <c r="R19" s="217">
        <f t="shared" ca="1" si="17"/>
        <v>-18.582648369425872</v>
      </c>
      <c r="S19" s="217">
        <f t="shared" ca="1" si="17"/>
        <v>-19.133610899148533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input'!J39</f>
        <v>0.17</v>
      </c>
      <c r="K20" s="215">
        <f>'DCF input'!K39</f>
        <v>0.17</v>
      </c>
      <c r="L20" s="215">
        <f>'DCF input'!L39</f>
        <v>0.17</v>
      </c>
      <c r="M20" s="215">
        <f>'DCF input'!M39</f>
        <v>0.17</v>
      </c>
      <c r="N20" s="215">
        <f>'DCF input'!N39</f>
        <v>0.17</v>
      </c>
      <c r="O20" s="215">
        <f>'DCF input'!O39</f>
        <v>0.17</v>
      </c>
      <c r="P20" s="215">
        <f>'DCF input'!P39</f>
        <v>0.17</v>
      </c>
      <c r="Q20" s="215">
        <f>'DCF input'!Q39</f>
        <v>0.17</v>
      </c>
      <c r="R20" s="215">
        <f>'DCF input'!R39</f>
        <v>0.17</v>
      </c>
      <c r="S20" s="215">
        <f>'DCF input'!S39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input'!J47</f>
        <v>-31</v>
      </c>
      <c r="K21" s="217">
        <f>'DCF input'!K47</f>
        <v>-31</v>
      </c>
      <c r="L21" s="217">
        <f>'DCF input'!L47</f>
        <v>-31</v>
      </c>
      <c r="M21" s="217">
        <f>'DCF input'!M47</f>
        <v>-31</v>
      </c>
      <c r="N21" s="217">
        <f>'DCF input'!N47</f>
        <v>-31</v>
      </c>
      <c r="O21" s="217">
        <f>'DCF input'!O47</f>
        <v>-31</v>
      </c>
      <c r="P21" s="217">
        <f>'DCF input'!P47</f>
        <v>-31</v>
      </c>
      <c r="Q21" s="217">
        <f>'DCF input'!Q47</f>
        <v>-31</v>
      </c>
      <c r="R21" s="217">
        <f>'DCF input'!R47</f>
        <v>-31</v>
      </c>
      <c r="S21" s="217">
        <f>'DCF input'!S47</f>
        <v>-31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2.4681528662420384E-2</v>
      </c>
      <c r="K22" s="215">
        <f t="shared" ref="K22:S22" si="19">-K21/K$9</f>
        <v>2.2895125553914326E-2</v>
      </c>
      <c r="L22" s="215">
        <f t="shared" si="19"/>
        <v>2.1423635107118175E-2</v>
      </c>
      <c r="M22" s="215">
        <f t="shared" si="19"/>
        <v>2.1483021483021482E-2</v>
      </c>
      <c r="N22" s="215">
        <f t="shared" si="19"/>
        <v>2.106178576766812E-2</v>
      </c>
      <c r="O22" s="215">
        <f t="shared" ca="1" si="19"/>
        <v>2.0689376981992257E-2</v>
      </c>
      <c r="P22" s="215">
        <f t="shared" ca="1" si="19"/>
        <v>2.036356002164592E-2</v>
      </c>
      <c r="Q22" s="215">
        <f t="shared" ca="1" si="19"/>
        <v>2.0082406332984144E-2</v>
      </c>
      <c r="R22" s="215">
        <f t="shared" ca="1" si="19"/>
        <v>1.9844275032593027E-2</v>
      </c>
      <c r="S22" s="215">
        <f t="shared" ca="1" si="19"/>
        <v>1.9647797061973293E-2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 ca="1">'DCF input'!J51</f>
        <v>-7.5</v>
      </c>
      <c r="K23" s="217">
        <f ca="1">'DCF input'!K51</f>
        <v>-6.0500000000000007</v>
      </c>
      <c r="L23" s="217">
        <f ca="1">'DCF input'!L51</f>
        <v>-4.6000000000000005</v>
      </c>
      <c r="M23" s="217">
        <f ca="1">'DCF input'!M51</f>
        <v>-3.1500000000000004</v>
      </c>
      <c r="N23" s="217">
        <f>'DCF input'!N51</f>
        <v>-1.7</v>
      </c>
      <c r="O23" s="217">
        <f ca="1">'DCF input'!O51</f>
        <v>0</v>
      </c>
      <c r="P23" s="217">
        <f ca="1">'DCF input'!P51</f>
        <v>0</v>
      </c>
      <c r="Q23" s="217">
        <f ca="1">'DCF input'!Q51</f>
        <v>0</v>
      </c>
      <c r="R23" s="217">
        <f ca="1">'DCF input'!R51</f>
        <v>0</v>
      </c>
      <c r="S23" s="217">
        <f ca="1">'DCF input'!S51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input'!J54</f>
        <v>0</v>
      </c>
      <c r="K24" s="217">
        <f>'DCF input'!K54</f>
        <v>-5</v>
      </c>
      <c r="L24" s="217">
        <f>'DCF input'!L54</f>
        <v>-5</v>
      </c>
      <c r="M24" s="217">
        <f>'DCF input'!M54</f>
        <v>-5</v>
      </c>
      <c r="N24" s="217">
        <f>'DCF input'!N54</f>
        <v>-5</v>
      </c>
      <c r="O24" s="217">
        <f>'DCF input'!O54</f>
        <v>-5</v>
      </c>
      <c r="P24" s="217">
        <f>'DCF input'!P54</f>
        <v>-5</v>
      </c>
      <c r="Q24" s="217">
        <f>'DCF input'!Q54</f>
        <v>-5</v>
      </c>
      <c r="R24" s="217">
        <f>'DCF input'!R54</f>
        <v>-5</v>
      </c>
      <c r="S24" s="217">
        <f>'DCF input'!S54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3.692762186115214E-3</v>
      </c>
      <c r="L25" s="215">
        <f t="shared" si="20"/>
        <v>3.4554250172771253E-3</v>
      </c>
      <c r="M25" s="215">
        <f t="shared" si="20"/>
        <v>3.4650034650034649E-3</v>
      </c>
      <c r="N25" s="215">
        <f t="shared" si="20"/>
        <v>3.3970622205916319E-3</v>
      </c>
      <c r="O25" s="215">
        <f t="shared" ca="1" si="20"/>
        <v>3.3369962874181059E-3</v>
      </c>
      <c r="P25" s="215">
        <f t="shared" ca="1" si="20"/>
        <v>3.2844451647816002E-3</v>
      </c>
      <c r="Q25" s="215">
        <f t="shared" ca="1" si="20"/>
        <v>3.2390977956426037E-3</v>
      </c>
      <c r="R25" s="215">
        <f t="shared" ca="1" si="20"/>
        <v>3.2006895213859722E-3</v>
      </c>
      <c r="S25" s="215">
        <f t="shared" ca="1" si="20"/>
        <v>3.1689995261247246E-3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input'!J57</f>
        <v>-18.004468664734777</v>
      </c>
      <c r="K26" s="217">
        <f>'DCF input'!K57</f>
        <v>-6.7527180429793674</v>
      </c>
      <c r="L26" s="217">
        <f>'DCF input'!L57</f>
        <v>1.1384540263188825</v>
      </c>
      <c r="M26" s="217">
        <f>'DCF input'!M57</f>
        <v>-4.8650405710493061</v>
      </c>
      <c r="N26" s="217">
        <f>'DCF input'!N57</f>
        <v>0</v>
      </c>
      <c r="O26" s="217">
        <f>'DCF input'!O57</f>
        <v>0</v>
      </c>
      <c r="P26" s="217">
        <f>'DCF input'!P57</f>
        <v>0</v>
      </c>
      <c r="Q26" s="217">
        <f>'DCF input'!Q57</f>
        <v>0</v>
      </c>
      <c r="R26" s="217">
        <f>'DCF input'!R57</f>
        <v>0</v>
      </c>
      <c r="S26" s="217">
        <f>'DCF input'!S57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1.4334768045171E-2</v>
      </c>
      <c r="K27" s="215">
        <f t="shared" si="21"/>
        <v>4.9872363685224278E-3</v>
      </c>
      <c r="L27" s="215">
        <f t="shared" si="21"/>
        <v>-7.8676850471242742E-4</v>
      </c>
      <c r="M27" s="215">
        <f t="shared" si="21"/>
        <v>3.3714764872136561E-3</v>
      </c>
      <c r="N27" s="215">
        <f t="shared" si="21"/>
        <v>0</v>
      </c>
      <c r="O27" s="215">
        <f t="shared" ca="1" si="21"/>
        <v>0</v>
      </c>
      <c r="P27" s="215">
        <f t="shared" ca="1" si="21"/>
        <v>0</v>
      </c>
      <c r="Q27" s="215">
        <f t="shared" ca="1" si="21"/>
        <v>0</v>
      </c>
      <c r="R27" s="215">
        <f t="shared" ca="1" si="21"/>
        <v>0</v>
      </c>
      <c r="S27" s="215">
        <f t="shared" ca="1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 ca="1">J17+J19-J14+J21+J23+J24+J26</f>
        <v>12.205531335265231</v>
      </c>
      <c r="K28" s="213">
        <f t="shared" ref="K28:S28" ca="1" si="22">K17+K19-K14+K21+K23+K24+K26</f>
        <v>45.997281957020633</v>
      </c>
      <c r="L28" s="213">
        <f t="shared" ca="1" si="22"/>
        <v>73.618454026318886</v>
      </c>
      <c r="M28" s="213">
        <f t="shared" ca="1" si="22"/>
        <v>67.084959428950683</v>
      </c>
      <c r="N28" s="213">
        <f t="shared" ca="1" si="22"/>
        <v>72.913793363636344</v>
      </c>
      <c r="O28" s="213">
        <f t="shared" ca="1" si="22"/>
        <v>77.391192342909079</v>
      </c>
      <c r="P28" s="213">
        <f t="shared" ca="1" si="22"/>
        <v>80.020235915029787</v>
      </c>
      <c r="Q28" s="213">
        <f t="shared" ca="1" si="22"/>
        <v>82.485580032853832</v>
      </c>
      <c r="R28" s="213">
        <f t="shared" ca="1" si="22"/>
        <v>84.772502466769112</v>
      </c>
      <c r="S28" s="213">
        <f t="shared" ca="1" si="22"/>
        <v>86.867041448784008</v>
      </c>
      <c r="T28" s="213">
        <f ca="1">S28*(1+'DCF input'!F9)/('DCF input'!F11-'DCF input'!F9)</f>
        <v>1091.2672082003489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input'!J66</f>
        <v>0.92165898617511521</v>
      </c>
      <c r="K30" s="221">
        <f>'DCF input'!K66</f>
        <v>0.84945528679734128</v>
      </c>
      <c r="L30" s="221">
        <f>'DCF input'!L66</f>
        <v>0.78290809843072917</v>
      </c>
      <c r="M30" s="221">
        <f>'DCF input'!M66</f>
        <v>0.72157428426795334</v>
      </c>
      <c r="N30" s="221">
        <f>'DCF input'!N66</f>
        <v>0.66504542328843619</v>
      </c>
      <c r="O30" s="221">
        <f>'DCF input'!O66</f>
        <v>0.6129450905884205</v>
      </c>
      <c r="P30" s="221">
        <f>'DCF input'!P66</f>
        <v>0.56492635077273778</v>
      </c>
      <c r="Q30" s="221">
        <f>'DCF input'!Q66</f>
        <v>0.52066944771680901</v>
      </c>
      <c r="R30" s="221">
        <f>'DCF input'!R66</f>
        <v>0.4798796753150314</v>
      </c>
      <c r="S30" s="221">
        <f>'DCF input'!S66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ca="1" si="24">J30*J28</f>
        <v>11.249337636189153</v>
      </c>
      <c r="K31" s="222">
        <f t="shared" ref="K31:S31" ca="1" si="25">K30*K28</f>
        <v>39.072634336699132</v>
      </c>
      <c r="L31" s="222">
        <f t="shared" ca="1" si="25"/>
        <v>57.636483851155376</v>
      </c>
      <c r="M31" s="222">
        <f t="shared" ca="1" si="25"/>
        <v>48.406781585089774</v>
      </c>
      <c r="N31" s="222">
        <f t="shared" ca="1" si="25"/>
        <v>48.4909845710851</v>
      </c>
      <c r="O31" s="222">
        <f t="shared" ca="1" si="25"/>
        <v>47.436551401370281</v>
      </c>
      <c r="P31" s="222">
        <f t="shared" ca="1" si="25"/>
        <v>45.205539863451349</v>
      </c>
      <c r="Q31" s="222">
        <f t="shared" ca="1" si="25"/>
        <v>42.947721400306655</v>
      </c>
      <c r="R31" s="222">
        <f t="shared" ca="1" si="25"/>
        <v>40.680600959395861</v>
      </c>
      <c r="S31" s="222">
        <f t="shared" ca="1" si="25"/>
        <v>38.420025480202618</v>
      </c>
      <c r="T31" s="222">
        <f ca="1">T28*S30</f>
        <v>482.65157009504532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5" t="str">
        <f>"Value Based on "&amp;TEXT(K40,"#0.0%")&amp;" WACC &amp; "&amp;TEXT(N37,"#0.0%")&amp;" TGR"</f>
        <v>Value Based on 8.5% WACC &amp; 0.5% TGR</v>
      </c>
      <c r="D35" s="355"/>
      <c r="E35" s="355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56"/>
      <c r="D36" s="356"/>
      <c r="E36" s="356"/>
      <c r="F36" s="291" t="s">
        <v>143</v>
      </c>
      <c r="G36" s="171" t="s">
        <v>93</v>
      </c>
      <c r="H36" s="159"/>
      <c r="I36" s="38"/>
      <c r="J36" s="167"/>
      <c r="K36" s="182"/>
      <c r="L36" s="359" t="s">
        <v>94</v>
      </c>
      <c r="M36" s="359"/>
      <c r="N36" s="359"/>
      <c r="O36" s="359"/>
      <c r="P36" s="359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419.54666108494536</v>
      </c>
      <c r="G37" s="224">
        <f ca="1">F37/F$39</f>
        <v>0.46502713770145354</v>
      </c>
      <c r="H37" s="159"/>
      <c r="I37" s="38"/>
      <c r="J37" s="357" t="s">
        <v>60</v>
      </c>
      <c r="K37" s="234"/>
      <c r="L37" s="235">
        <f>'DCF input'!F102</f>
        <v>-5.0000000000000001E-3</v>
      </c>
      <c r="M37" s="235">
        <f>'DCF input'!G102</f>
        <v>0</v>
      </c>
      <c r="N37" s="235">
        <f>'DCF input'!H102</f>
        <v>5.0000000000000001E-3</v>
      </c>
      <c r="O37" s="235">
        <f>'DCF input'!I102</f>
        <v>0.01</v>
      </c>
      <c r="P37" s="235">
        <f>'DCF input'!J102</f>
        <v>1.4999999999999999E-2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482.65157009504532</v>
      </c>
      <c r="G38" s="224">
        <f ca="1">F38/F$39</f>
        <v>0.53497286229854646</v>
      </c>
      <c r="H38" s="159"/>
      <c r="I38" s="38"/>
      <c r="J38" s="357"/>
      <c r="K38" s="236">
        <f>'DCF input'!E94</f>
        <v>7.4999999999999997E-2</v>
      </c>
      <c r="L38" s="237" t="str">
        <f>CONCATENATE(ROUND('DCF input'!F94,)," / ",ROUND('DCF input'!F103,0),"c")</f>
        <v>1389 / 655c</v>
      </c>
      <c r="M38" s="238" t="str">
        <f>CONCATENATE(ROUND('DCF input'!G94,)," / ",ROUND('DCF input'!G103,0),"c")</f>
        <v>1443 / 683c</v>
      </c>
      <c r="N38" s="238" t="str">
        <f>CONCATENATE(ROUND('DCF input'!H94,)," / ",ROUND('DCF input'!H103,0),"c")</f>
        <v>1505 / 714c</v>
      </c>
      <c r="O38" s="238" t="str">
        <f>CONCATENATE(ROUND('DCF input'!I94,)," / ",ROUND('DCF input'!I103,0),"c")</f>
        <v>1577 / 750c</v>
      </c>
      <c r="P38" s="238" t="str">
        <f>CONCATENATE(ROUND('DCF input'!J94,)," / ",ROUND('DCF input'!J103,0),"c")</f>
        <v>1660 / 792c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902.19823117999067</v>
      </c>
      <c r="G39" s="226">
        <f ca="1">F39/F$39</f>
        <v>1</v>
      </c>
      <c r="H39" s="159"/>
      <c r="I39" s="38"/>
      <c r="J39" s="357"/>
      <c r="K39" s="236">
        <f>'DCF input'!E95</f>
        <v>0.08</v>
      </c>
      <c r="L39" s="238" t="str">
        <f>CONCATENATE(ROUND('DCF input'!F95,)," / ",ROUND('DCF input'!F104,0),"c")</f>
        <v>1295 / 608c</v>
      </c>
      <c r="M39" s="239" t="str">
        <f>CONCATENATE(ROUND('DCF input'!G95,)," / ",ROUND('DCF input'!G104,0),"c")</f>
        <v>1341 / 631c</v>
      </c>
      <c r="N39" s="239" t="str">
        <f>CONCATENATE(ROUND('DCF input'!H95,)," / ",ROUND('DCF input'!H104,0),"c")</f>
        <v>1393 / 658c</v>
      </c>
      <c r="O39" s="239" t="str">
        <f>CONCATENATE(ROUND('DCF input'!I95,)," / ",ROUND('DCF input'!I104,0),"c")</f>
        <v>1453 / 688c</v>
      </c>
      <c r="P39" s="238" t="str">
        <f>CONCATENATE(ROUND('DCF input'!J95,)," / ",ROUND('DCF input'!J104,0),"c")</f>
        <v>1522 / 722c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input'!H77</f>
        <v>-84.616813539584982</v>
      </c>
      <c r="G40" s="228"/>
      <c r="H40" s="154"/>
      <c r="I40" s="38"/>
      <c r="J40" s="357"/>
      <c r="K40" s="236">
        <f>'DCF input'!E96</f>
        <v>8.5000000000000006E-2</v>
      </c>
      <c r="L40" s="238" t="str">
        <f>CONCATENATE(ROUND('DCF input'!F96,)," / ",ROUND('DCF input'!F105,0),"c")</f>
        <v>1213 / 567c</v>
      </c>
      <c r="M40" s="239" t="str">
        <f>CONCATENATE(ROUND('DCF input'!G96,)," / ",ROUND('DCF input'!G105,0),"c")</f>
        <v>1252 / 587c</v>
      </c>
      <c r="N40" s="240" t="str">
        <f>CONCATENATE(ROUND('DCF input'!H96,)," / ",ROUND('DCF input'!H105,0),"c")</f>
        <v>1296 / 609c</v>
      </c>
      <c r="O40" s="239" t="str">
        <f>CONCATENATE(ROUND('DCF input'!I96,)," / ",ROUND('DCF input'!I105,0),"c")</f>
        <v>1346 / 634c</v>
      </c>
      <c r="P40" s="238" t="str">
        <f>CONCATENATE(ROUND('DCF input'!J96,)," / ",ROUND('DCF input'!J105,0),"c")</f>
        <v>1403 / 663c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817.58141764040568</v>
      </c>
      <c r="G41" s="226"/>
      <c r="H41" s="159"/>
      <c r="I41" s="38"/>
      <c r="J41" s="357"/>
      <c r="K41" s="236">
        <f>'DCF input'!E97</f>
        <v>9.0000000000000011E-2</v>
      </c>
      <c r="L41" s="238" t="str">
        <f>CONCATENATE(ROUND('DCF input'!F97,)," / ",ROUND('DCF input'!F106,0),"c")</f>
        <v>1139 / 530c</v>
      </c>
      <c r="M41" s="239" t="str">
        <f>CONCATENATE(ROUND('DCF input'!G97,)," / ",ROUND('DCF input'!G106,0),"c")</f>
        <v>1173 / 547c</v>
      </c>
      <c r="N41" s="239" t="str">
        <f>CONCATENATE(ROUND('DCF input'!H97,)," / ",ROUND('DCF input'!H106,0),"c")</f>
        <v>1210 / 566c</v>
      </c>
      <c r="O41" s="239" t="str">
        <f>CONCATENATE(ROUND('DCF input'!I97,)," / ",ROUND('DCF input'!I106,0),"c")</f>
        <v>1253 / 587c</v>
      </c>
      <c r="P41" s="238" t="str">
        <f>CONCATENATE(ROUND('DCF input'!J97,)," / ",ROUND('DCF input'!J106,0),"c")</f>
        <v>1301 / 611c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>
        <f ca="1">+F41/Assumptions!D17*100</f>
        <v>410.84493348764101</v>
      </c>
      <c r="G42" s="229"/>
      <c r="H42" s="159"/>
      <c r="I42" s="38"/>
      <c r="J42" s="358"/>
      <c r="K42" s="241">
        <f>'DCF input'!E98</f>
        <v>9.5000000000000015E-2</v>
      </c>
      <c r="L42" s="242" t="str">
        <f>CONCATENATE(ROUND('DCF input'!F98,)," / ",ROUND('DCF input'!F107,0),"c")</f>
        <v>1073 / 497c</v>
      </c>
      <c r="M42" s="242" t="str">
        <f>CONCATENATE(ROUND('DCF input'!G98,)," / ",ROUND('DCF input'!G107,0),"c")</f>
        <v>1102 / 511c</v>
      </c>
      <c r="N42" s="242" t="str">
        <f>CONCATENATE(ROUND('DCF input'!H98,)," / ",ROUND('DCF input'!H107,0),"c")</f>
        <v>1134 / 527c</v>
      </c>
      <c r="O42" s="242" t="str">
        <f>CONCATENATE(ROUND('DCF input'!I98,)," / ",ROUND('DCF input'!I107,0),"c")</f>
        <v>1170 / 546c</v>
      </c>
      <c r="P42" s="242" t="str">
        <f>CONCATENATE(ROUND('DCF input'!J98,)," / ",ROUND('DCF input'!J107,0),"c")</f>
        <v>1211 / 566c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1.4899692938644908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Akshat A</cp:lastModifiedBy>
  <cp:lastPrinted>2023-11-14T03:49:53Z</cp:lastPrinted>
  <dcterms:created xsi:type="dcterms:W3CDTF">2010-12-03T17:25:22Z</dcterms:created>
  <dcterms:modified xsi:type="dcterms:W3CDTF">2023-11-14T16:53:21Z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