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of Contents" sheetId="1" r:id="rId4"/>
    <sheet state="visible" name="Data" sheetId="2" r:id="rId5"/>
    <sheet state="visible" name="1. Formulas &amp; Functions" sheetId="3" r:id="rId6"/>
    <sheet state="visible" name="2. Cell &amp; Sheet Refrence" sheetId="4" r:id="rId7"/>
    <sheet state="visible" name="3. Error Types" sheetId="5" r:id="rId8"/>
    <sheet state="visible" name="4. Counting" sheetId="6" r:id="rId9"/>
    <sheet state="visible" name="5. Logical Functions" sheetId="7" r:id="rId10"/>
    <sheet state="visible" name="7. Advance Mathematical Functio" sheetId="8" r:id="rId11"/>
    <sheet state="visible" name="Pivot Table 1" sheetId="9" r:id="rId12"/>
    <sheet state="visible" name="6. Error Handling" sheetId="10" r:id="rId13"/>
    <sheet state="visible" name="8. Array Formulas" sheetId="11" r:id="rId14"/>
    <sheet state="visible" name="9. Lookup Functions" sheetId="12" r:id="rId15"/>
    <sheet state="visible" name="10. Date, Time &amp; Text Functions" sheetId="13" r:id="rId16"/>
    <sheet state="visible" name="11. Conditional Formatting" sheetId="14" r:id="rId17"/>
  </sheets>
  <definedNames/>
  <calcPr/>
  <pivotCaches>
    <pivotCache cacheId="0" r:id="rId18"/>
  </pivotCaches>
</workbook>
</file>

<file path=xl/sharedStrings.xml><?xml version="1.0" encoding="utf-8"?>
<sst xmlns="http://schemas.openxmlformats.org/spreadsheetml/2006/main" count="1176" uniqueCount="376">
  <si>
    <t>Sheet ID</t>
  </si>
  <si>
    <t>Sheet Name</t>
  </si>
  <si>
    <t>Link</t>
  </si>
  <si>
    <t>#</t>
  </si>
  <si>
    <t>Data</t>
  </si>
  <si>
    <t>Formulas &amp; Functions</t>
  </si>
  <si>
    <t>Sheet Link</t>
  </si>
  <si>
    <t>Cell &amp; Sheet Reference</t>
  </si>
  <si>
    <t>Error Types</t>
  </si>
  <si>
    <t>Counting Functions</t>
  </si>
  <si>
    <t>Logical Functions</t>
  </si>
  <si>
    <t>Error Handling</t>
  </si>
  <si>
    <t>Advance Mathematical Functions</t>
  </si>
  <si>
    <t>Array Formulas</t>
  </si>
  <si>
    <t>Lookup Functions</t>
  </si>
  <si>
    <t>Date, Time &amp; Text Functions</t>
  </si>
  <si>
    <t>Conditional Formatting</t>
  </si>
  <si>
    <t>Year</t>
  </si>
  <si>
    <t>Season</t>
  </si>
  <si>
    <t>Host City</t>
  </si>
  <si>
    <t>Athlete</t>
  </si>
  <si>
    <t>Country</t>
  </si>
  <si>
    <t>Sport</t>
  </si>
  <si>
    <t>Event</t>
  </si>
  <si>
    <t>Medal</t>
  </si>
  <si>
    <t>Result</t>
  </si>
  <si>
    <t>TimeInS</t>
  </si>
  <si>
    <t>Unit</t>
  </si>
  <si>
    <t>World Record</t>
  </si>
  <si>
    <t>Previous Olympic Record</t>
  </si>
  <si>
    <t>Age</t>
  </si>
  <si>
    <t>Height (cm)</t>
  </si>
  <si>
    <t>Weight (kg)</t>
  </si>
  <si>
    <t>Gender</t>
  </si>
  <si>
    <t>Notes</t>
  </si>
  <si>
    <t>🏠 Back to Table of Contents</t>
  </si>
  <si>
    <t>Summer</t>
  </si>
  <si>
    <t>Rio de Janeiro</t>
  </si>
  <si>
    <t>Usain Bolt</t>
  </si>
  <si>
    <t>Jamaica</t>
  </si>
  <si>
    <t>Athletics</t>
  </si>
  <si>
    <t>100m</t>
  </si>
  <si>
    <t>Gold</t>
  </si>
  <si>
    <t>seconds</t>
  </si>
  <si>
    <t>Male</t>
  </si>
  <si>
    <t>Michael Phelps</t>
  </si>
  <si>
    <t>USA</t>
  </si>
  <si>
    <t>Swimming</t>
  </si>
  <si>
    <t>200m Butterfly</t>
  </si>
  <si>
    <t>Silver</t>
  </si>
  <si>
    <t>1:53.36</t>
  </si>
  <si>
    <t>minutes</t>
  </si>
  <si>
    <t>Simone Biles</t>
  </si>
  <si>
    <t>Gymnastics</t>
  </si>
  <si>
    <t>Floor Exercise</t>
  </si>
  <si>
    <t>Bronze</t>
  </si>
  <si>
    <t>points</t>
  </si>
  <si>
    <t>Female</t>
  </si>
  <si>
    <t>Mo Farah</t>
  </si>
  <si>
    <t>Great Britain</t>
  </si>
  <si>
    <t>10000m</t>
  </si>
  <si>
    <t>27:05.17</t>
  </si>
  <si>
    <t>Katie Ledecky</t>
  </si>
  <si>
    <t>800m Freestyle</t>
  </si>
  <si>
    <t>8:04.79</t>
  </si>
  <si>
    <t/>
  </si>
  <si>
    <t>London</t>
  </si>
  <si>
    <t>200m</t>
  </si>
  <si>
    <t>year</t>
  </si>
  <si>
    <t>Missy Franklin</t>
  </si>
  <si>
    <t>200m Backstroke</t>
  </si>
  <si>
    <t>2:04.06</t>
  </si>
  <si>
    <t>Gabby Douglas</t>
  </si>
  <si>
    <t>Individual All-Around</t>
  </si>
  <si>
    <t>David Rudisha</t>
  </si>
  <si>
    <t>Kenya</t>
  </si>
  <si>
    <t>800m</t>
  </si>
  <si>
    <t>1:40.91</t>
  </si>
  <si>
    <t>Ye Shiwen</t>
  </si>
  <si>
    <t>China</t>
  </si>
  <si>
    <t>400m Individual Medley</t>
  </si>
  <si>
    <t>4:28.43</t>
  </si>
  <si>
    <t>Beijing</t>
  </si>
  <si>
    <t>200m Freestyle</t>
  </si>
  <si>
    <t>1:42.96</t>
  </si>
  <si>
    <t>Nastia Liukin</t>
  </si>
  <si>
    <t>Yelena Isinbayeva</t>
  </si>
  <si>
    <t>Russia</t>
  </si>
  <si>
    <t>Pole Vault</t>
  </si>
  <si>
    <t>meters</t>
  </si>
  <si>
    <t>Kenenisa Bekele</t>
  </si>
  <si>
    <t>Ethiopia</t>
  </si>
  <si>
    <t>5000m</t>
  </si>
  <si>
    <t>12:57.82</t>
  </si>
  <si>
    <t>Olympic Record</t>
  </si>
  <si>
    <t>Athens</t>
  </si>
  <si>
    <t>1:54.04</t>
  </si>
  <si>
    <t>Liu Xiang</t>
  </si>
  <si>
    <t>110m Hurdles</t>
  </si>
  <si>
    <t>Carly Patterson</t>
  </si>
  <si>
    <t>Kelly Holmes</t>
  </si>
  <si>
    <t>1:56.38</t>
  </si>
  <si>
    <t>Inge de Bruijn</t>
  </si>
  <si>
    <t>Netherlands</t>
  </si>
  <si>
    <t>50m Freestyle</t>
  </si>
  <si>
    <t>Sydney</t>
  </si>
  <si>
    <t>Marion Jones</t>
  </si>
  <si>
    <t>Later stripped due to doping</t>
  </si>
  <si>
    <t>Ian Thorpe</t>
  </si>
  <si>
    <t>Australia</t>
  </si>
  <si>
    <t>400m Freestyle</t>
  </si>
  <si>
    <t>3:40.59</t>
  </si>
  <si>
    <t>Alexei Nemov</t>
  </si>
  <si>
    <t>Cathy Freeman</t>
  </si>
  <si>
    <t>400m</t>
  </si>
  <si>
    <t>Lenny Krayzelburg</t>
  </si>
  <si>
    <t>1:56.76</t>
  </si>
  <si>
    <t>Atlanta</t>
  </si>
  <si>
    <t>Michael Johnson</t>
  </si>
  <si>
    <t>Amy Van Dyken</t>
  </si>
  <si>
    <t>Donovan Bailey</t>
  </si>
  <si>
    <t>Canada</t>
  </si>
  <si>
    <t>Lilia Podkopayeva</t>
  </si>
  <si>
    <t>Ukraine</t>
  </si>
  <si>
    <t>Penny Heyns</t>
  </si>
  <si>
    <t>South Africa</t>
  </si>
  <si>
    <t>100m Breaststroke</t>
  </si>
  <si>
    <t>1:07.73</t>
  </si>
  <si>
    <t>Barcelona</t>
  </si>
  <si>
    <t>Linford Christie</t>
  </si>
  <si>
    <t>Vitaly Scherbo</t>
  </si>
  <si>
    <t>Belarus</t>
  </si>
  <si>
    <t>Krisztina Egerszegi</t>
  </si>
  <si>
    <t>Hungary</t>
  </si>
  <si>
    <t>2:07.06</t>
  </si>
  <si>
    <t>Kevin Young</t>
  </si>
  <si>
    <t>400m Hurdles</t>
  </si>
  <si>
    <t>Evelyn Ashford</t>
  </si>
  <si>
    <t>4x100m Relay</t>
  </si>
  <si>
    <t>Seoul</t>
  </si>
  <si>
    <t>Florence Griffith Joyner</t>
  </si>
  <si>
    <t>Matt Biondi</t>
  </si>
  <si>
    <t>Daniela Silivas</t>
  </si>
  <si>
    <t>Romania</t>
  </si>
  <si>
    <t>Perfect Score</t>
  </si>
  <si>
    <t>Ben Johnson</t>
  </si>
  <si>
    <t>Later disqualified for doping</t>
  </si>
  <si>
    <t>Janet Evans</t>
  </si>
  <si>
    <t>4:03.85</t>
  </si>
  <si>
    <t>Los Angeles</t>
  </si>
  <si>
    <t>Carl Lewis</t>
  </si>
  <si>
    <t>Long Jump</t>
  </si>
  <si>
    <t>Mary Lou Retton</t>
  </si>
  <si>
    <t>Rowdy Gaines</t>
  </si>
  <si>
    <t>100m Freestyle</t>
  </si>
  <si>
    <t>Joan Benoit</t>
  </si>
  <si>
    <t>Marathon</t>
  </si>
  <si>
    <t>hours</t>
  </si>
  <si>
    <t>First women's Olympic marathon</t>
  </si>
  <si>
    <t>Greg Louganis</t>
  </si>
  <si>
    <t>Diving</t>
  </si>
  <si>
    <t>Platform</t>
  </si>
  <si>
    <t>Moscow</t>
  </si>
  <si>
    <t>Vladislav Tretiak</t>
  </si>
  <si>
    <t>Soviet Union</t>
  </si>
  <si>
    <t>Ice Hockey</t>
  </si>
  <si>
    <t>Team</t>
  </si>
  <si>
    <t>N/A</t>
  </si>
  <si>
    <t>Nadia Comaneci</t>
  </si>
  <si>
    <t>Balance Beam</t>
  </si>
  <si>
    <t>Alexander Dityatin</t>
  </si>
  <si>
    <t>Vladimir Salnikov</t>
  </si>
  <si>
    <t>1500m Freestyle</t>
  </si>
  <si>
    <t>14:58.27</t>
  </si>
  <si>
    <t>Sara Simeoni</t>
  </si>
  <si>
    <t>Italy</t>
  </si>
  <si>
    <t>High Jump</t>
  </si>
  <si>
    <t>SIMPLE 'S (Calculations)</t>
  </si>
  <si>
    <t>Sum</t>
  </si>
  <si>
    <t>=A2+A3</t>
  </si>
  <si>
    <t>Minus</t>
  </si>
  <si>
    <t>=A2-A3</t>
  </si>
  <si>
    <t>Multiplication</t>
  </si>
  <si>
    <t>=A2*A3</t>
  </si>
  <si>
    <t>Divison</t>
  </si>
  <si>
    <t>=A2/A3</t>
  </si>
  <si>
    <t>S with FUNCTIONS</t>
  </si>
  <si>
    <t xml:space="preserve">Average </t>
  </si>
  <si>
    <t>=AVERAGE(A2:A51)</t>
  </si>
  <si>
    <t>=SUM(A2:A51)</t>
  </si>
  <si>
    <t>Count</t>
  </si>
  <si>
    <t>=COUNT(A2:A51)</t>
  </si>
  <si>
    <t>NOTE COUNT=count_numeric, COUNTA=count_all</t>
  </si>
  <si>
    <t>Max</t>
  </si>
  <si>
    <t>=MAX(A2:A51)</t>
  </si>
  <si>
    <t>Min</t>
  </si>
  <si>
    <t>=MIN(A2:A51)</t>
  </si>
  <si>
    <t>Multiple Functions</t>
  </si>
  <si>
    <t>=SUM(A2:A51)/COUNT(A2:A51)</t>
  </si>
  <si>
    <t>Round</t>
  </si>
  <si>
    <t>=ROUND(D15,0)</t>
  </si>
  <si>
    <t>Roundup</t>
  </si>
  <si>
    <t>=ROUNDUP(D15,0)</t>
  </si>
  <si>
    <t>Rounddown</t>
  </si>
  <si>
    <t>=ROUNDDOWN(D15,0)</t>
  </si>
  <si>
    <t>Age in Months</t>
  </si>
  <si>
    <t>Relative %age from Max Age</t>
  </si>
  <si>
    <t>Reference Cell</t>
  </si>
  <si>
    <t>Number of Months in a Year</t>
  </si>
  <si>
    <t xml:space="preserve">Maximum Age </t>
  </si>
  <si>
    <t xml:space="preserve"> =''s &amp; Functions'!D13</t>
  </si>
  <si>
    <t xml:space="preserve">$A1 </t>
  </si>
  <si>
    <t>Fixes Column</t>
  </si>
  <si>
    <t xml:space="preserve">A$1 </t>
  </si>
  <si>
    <t>Fixes Row</t>
  </si>
  <si>
    <t xml:space="preserve">$A$1 </t>
  </si>
  <si>
    <t>Fixes Column &amp; Row</t>
  </si>
  <si>
    <t>#DIV/0! Error</t>
  </si>
  <si>
    <t>With Error Handling</t>
  </si>
  <si>
    <t xml:space="preserve"> =B2/C2</t>
  </si>
  <si>
    <t>#N/A! Error</t>
  </si>
  <si>
    <t xml:space="preserve"> =Match("Mexico", Data!E:E, 0)</t>
  </si>
  <si>
    <t>Mexico</t>
  </si>
  <si>
    <t>#VALUE! Error</t>
  </si>
  <si>
    <t xml:space="preserve"> =B10+C10</t>
  </si>
  <si>
    <t>COUNT</t>
  </si>
  <si>
    <t xml:space="preserve"> =COUNT(A2:A51)</t>
  </si>
  <si>
    <t>COUNTS NUMERIC</t>
  </si>
  <si>
    <t>COUNTA</t>
  </si>
  <si>
    <t>=COUNTA(A2:A51)</t>
  </si>
  <si>
    <t>COUNTS ALL</t>
  </si>
  <si>
    <t>COUNTBLANK</t>
  </si>
  <si>
    <t>=COUNTBLANK(A2:A51)</t>
  </si>
  <si>
    <t>COUNTS BLANK</t>
  </si>
  <si>
    <t xml:space="preserve">COUNT (Text entries including white space) </t>
  </si>
  <si>
    <t>=D4-D5-D3</t>
  </si>
  <si>
    <t>Conditional Counting Functions</t>
  </si>
  <si>
    <t>COUNTIF (Gold)</t>
  </si>
  <si>
    <t>=COUNTIF(H:H, "Gold")</t>
  </si>
  <si>
    <t>COUNTIFS (Gold, USA)</t>
  </si>
  <si>
    <t>=COUNTIFS(H:H, "Gold", E:E, "USA")</t>
  </si>
  <si>
    <t>Unique Countries</t>
  </si>
  <si>
    <t>Unique Countries (Sorted)</t>
  </si>
  <si>
    <t xml:space="preserve"> =UNIQUE(Data!D:D)</t>
  </si>
  <si>
    <t xml:space="preserve"> =SORT(UNIQUE(Data!E:E))</t>
  </si>
  <si>
    <t>IF</t>
  </si>
  <si>
    <t>Nested IF - Depth 1</t>
  </si>
  <si>
    <t>Nested IF - Depth 2</t>
  </si>
  <si>
    <t>IFS</t>
  </si>
  <si>
    <t>AND</t>
  </si>
  <si>
    <t>OR</t>
  </si>
  <si>
    <t>Error check</t>
  </si>
  <si>
    <t>IF, IFS and Nested IF</t>
  </si>
  <si>
    <t>IF (Col B)</t>
  </si>
  <si>
    <t xml:space="preserve"> =IF(A2 &lt; 25, "Young", "Experienced")</t>
  </si>
  <si>
    <t>IF (Col C)</t>
  </si>
  <si>
    <r>
      <rPr>
        <rFont val="Google Sans Mono"/>
        <color rgb="FF990000"/>
        <sz val="9.0"/>
      </rPr>
      <t xml:space="preserve"> = IF(A</t>
    </r>
    <r>
      <rPr>
        <rFont val="Google Sans Mono"/>
        <color rgb="FFF7981D"/>
        <sz val="9.0"/>
      </rPr>
      <t xml:space="preserve">2 </t>
    </r>
    <r>
      <rPr>
        <rFont val="Google Sans Mono"/>
        <color rgb="FF990000"/>
        <sz val="9.0"/>
      </rPr>
      <t>&lt; 2</t>
    </r>
    <r>
      <rPr>
        <rFont val="Google Sans Mono"/>
        <color rgb="FF1155CC"/>
        <sz val="9.0"/>
      </rPr>
      <t>0,</t>
    </r>
    <r>
      <rPr>
        <rFont val="Google Sans Mono"/>
        <color rgb="FF990000"/>
        <sz val="9.0"/>
      </rPr>
      <t xml:space="preserve"> "</t>
    </r>
    <r>
      <rPr>
        <rFont val="Google Sans Mono"/>
        <color rgb="FF008000"/>
        <sz val="9.0"/>
      </rPr>
      <t>Teen",</t>
    </r>
    <r>
      <rPr>
        <rFont val="Google Sans Mono"/>
        <color rgb="FF990000"/>
        <sz val="9.0"/>
      </rPr>
      <t xml:space="preserve"> "</t>
    </r>
    <r>
      <rPr>
        <rFont val="Google Sans Mono"/>
        <color rgb="FF008000"/>
        <sz val="9.0"/>
      </rPr>
      <t>Other")</t>
    </r>
  </si>
  <si>
    <t xml:space="preserve">  = IF(A2 &lt; 20, "Teen", IF(A2&lt;32, "Twenties", "Others"))</t>
  </si>
  <si>
    <t xml:space="preserve"> = IF(A2 &lt; 20, "Teen", IF(A2&lt;30, "Twenties", IF(A2&lt;40, "Thirties", "Forty or Older")))</t>
  </si>
  <si>
    <t xml:space="preserve"> = IFS(A2&gt;20, "Teen", A2&lt;30, "Twenties", A2&lt;30, "Thirties", TRUE, "Forties or Older")</t>
  </si>
  <si>
    <t xml:space="preserve">"AND" and "OR" </t>
  </si>
  <si>
    <t xml:space="preserve">  =AND(A2&lt;25, Data!H2="Gold", Data!E2="USA")</t>
  </si>
  <si>
    <t xml:space="preserve">  = OR(A2&lt;25,Data!H2="Gold",Data!H2&lt;&gt;"USA")</t>
  </si>
  <si>
    <t>Total Age of Gold Medalist</t>
  </si>
  <si>
    <t>=SUMIF(A2:A51, "Gold", B2:B51)</t>
  </si>
  <si>
    <t>Total Age of Gold Medalist who are swimmers</t>
  </si>
  <si>
    <t>=SUMIFS(B2:B51, A2:A51, "Gold", C2:C51, "Swimming")</t>
  </si>
  <si>
    <t>Average Age of Gold Medalist</t>
  </si>
  <si>
    <t>=AVERAGEIF(A2:A51, "Gold", B2:B51)</t>
  </si>
  <si>
    <t>Average Age of Gold Medalist in Athletics</t>
  </si>
  <si>
    <t>=AVERAGEIFS(B2:B51, A2:A51, "Gold", C2:C51, "Athletics")</t>
  </si>
  <si>
    <t>SUM of Age</t>
  </si>
  <si>
    <t>Grand Total</t>
  </si>
  <si>
    <t># years since 2024</t>
  </si>
  <si>
    <t># years since 2024 with Error Handling</t>
  </si>
  <si>
    <t>Formula</t>
  </si>
  <si>
    <t>=IFERROR(2024-A4, "Year is Missing")</t>
  </si>
  <si>
    <t>Age - 1</t>
  </si>
  <si>
    <t>Age - Average</t>
  </si>
  <si>
    <t>Dynamic Formula</t>
  </si>
  <si>
    <t>👈 Formula is Here Only</t>
  </si>
  <si>
    <t>= ArrayFormula(A2:A51 -1)</t>
  </si>
  <si>
    <t>Michael Phelps from USA competing in Swimming</t>
  </si>
  <si>
    <t>ArrayFormula(A2:A51 - AVERAGE(A2:A51))</t>
  </si>
  <si>
    <t>Simone Biles from USA competing in Gymnastics</t>
  </si>
  <si>
    <t>=ARRAYFORMULA(Data!D2:D41 &amp; " from " &amp; Data!E2:E41 &amp; " competing in " &amp; Data!F2:F41)</t>
  </si>
  <si>
    <t>Mo Farah from Great Britain competing in Athletics</t>
  </si>
  <si>
    <t>Katie Ledecky from USA competing in Swimming</t>
  </si>
  <si>
    <t>Usain Bolt from Jamaica competing in Athletics</t>
  </si>
  <si>
    <t>Missy Franklin from USA competing in Swimming</t>
  </si>
  <si>
    <t>Gabby Douglas from USA competing in Gymnastics</t>
  </si>
  <si>
    <t>David Rudisha from Kenya competing in Athletics</t>
  </si>
  <si>
    <t>Ye Shiwen from China competing in Swimming</t>
  </si>
  <si>
    <t>Nastia Liukin from USA competing in Gymnastics</t>
  </si>
  <si>
    <t>Yelena Isinbayeva from Russia competing in Athletics</t>
  </si>
  <si>
    <t>Kenenisa Bekele from Ethiopia competing in Athletics</t>
  </si>
  <si>
    <t>Liu Xiang from China competing in Athletics</t>
  </si>
  <si>
    <t>Carly Patterson from USA competing in Gymnastics</t>
  </si>
  <si>
    <t>Kelly Holmes from Great Britain competing in Athletics</t>
  </si>
  <si>
    <t>Inge de Bruijn from Netherlands competing in Swimming</t>
  </si>
  <si>
    <t>Marion Jones from USA competing in Athletics</t>
  </si>
  <si>
    <t>Ian Thorpe from Australia competing in Swimming</t>
  </si>
  <si>
    <t>Alexei Nemov from Russia competing in Gymnastics</t>
  </si>
  <si>
    <t>Cathy Freeman from Australia competing in Athletics</t>
  </si>
  <si>
    <t>Lenny Krayzelburg from USA competing in Swimming</t>
  </si>
  <si>
    <t>Michael Johnson from USA competing in Athletics</t>
  </si>
  <si>
    <t>Amy Van Dyken from USA competing in Swimming</t>
  </si>
  <si>
    <t>Donovan Bailey from Canada competing in Athletics</t>
  </si>
  <si>
    <t>Lilia Podkopayeva from Ukraine competing in Gymnastics</t>
  </si>
  <si>
    <t>Penny Heyns from South Africa competing in Swimming</t>
  </si>
  <si>
    <t>Linford Christie from Great Britain competing in Athletics</t>
  </si>
  <si>
    <t>Vitaly Scherbo from Belarus competing in Gymnastics</t>
  </si>
  <si>
    <t>Krisztina Egerszegi from Hungary competing in Swimming</t>
  </si>
  <si>
    <t>Kevin Young from USA competing in Athletics</t>
  </si>
  <si>
    <t>Evelyn Ashford from USA competing in Athletics</t>
  </si>
  <si>
    <t>Florence Griffith Joyner from USA competing in Athletics</t>
  </si>
  <si>
    <t>Matt Biondi from USA competing in Swimming</t>
  </si>
  <si>
    <t>Daniela Silivas from Romania competing in Gymnastics</t>
  </si>
  <si>
    <t>Ben Johnson from Canada competing in Athletics</t>
  </si>
  <si>
    <t>Janet Evans from USA competing in Swimming</t>
  </si>
  <si>
    <t>Unique Athelete Name</t>
  </si>
  <si>
    <t>Enter Any Athelete Name to find the Sport he is associated with</t>
  </si>
  <si>
    <t>How does VLOOKUP works 
=VLOOKUP(search_value, range, index_num, [is_sorted])</t>
  </si>
  <si>
    <t xml:space="preserve"> Enter Name Here 👉</t>
  </si>
  <si>
    <t>👈 use VLOOKUP</t>
  </si>
  <si>
    <t>👈 use XLOOKUP</t>
  </si>
  <si>
    <t>index 👉</t>
  </si>
  <si>
    <t>SIMPLER THAN INDEX/MATCH</t>
  </si>
  <si>
    <t>Athelete</t>
  </si>
  <si>
    <t>Sports</t>
  </si>
  <si>
    <t>range
(F5:G9)
👉</t>
  </si>
  <si>
    <t>👆
search_key 
Column</t>
  </si>
  <si>
    <t>👆
return_value 
Column 
determined by 
index</t>
  </si>
  <si>
    <t>👈 search_key</t>
  </si>
  <si>
    <t>👈 return value</t>
  </si>
  <si>
    <t>=VLOOKUP(G15,F5:H9,2)</t>
  </si>
  <si>
    <t>=VLOOKUP(G15, F5:H9,3)</t>
  </si>
  <si>
    <t>How does HLOOKUP works 
=HLOOKUP(search_value, range, index_num, [is_sorted])</t>
  </si>
  <si>
    <t>👉
search_key 
row</t>
  </si>
  <si>
    <t>👈 index</t>
  </si>
  <si>
    <t>👉
return_value 
Row determined by index</t>
  </si>
  <si>
    <t>=HLOOKUP(G29, G25:I28, 2)</t>
  </si>
  <si>
    <t>=HLOOKUP(G29, G25:I28, 3)</t>
  </si>
  <si>
    <t>How does XLOOKUP works 
=XLOOKUP(lookup_value, lookup_array, return_array)</t>
  </si>
  <si>
    <t>👆
lookup_array</t>
  </si>
  <si>
    <t>👆
return_array</t>
  </si>
  <si>
    <t>=XLOOKUP(H44,G38:G42, H38:H42)</t>
  </si>
  <si>
    <t>=XLOOKUP(H44, G38:G42, I38:I42)</t>
  </si>
  <si>
    <t>Date &amp; Time Functions</t>
  </si>
  <si>
    <t>=TODAY()</t>
  </si>
  <si>
    <t>=Now()</t>
  </si>
  <si>
    <t>=YEAR(C2)</t>
  </si>
  <si>
    <t>=MONTH(C2)</t>
  </si>
  <si>
    <t>QUESTION = day of week 2 months from today?</t>
  </si>
  <si>
    <t>=DAY(C2)</t>
  </si>
  <si>
    <t>Date two months from today?</t>
  </si>
  <si>
    <t>=WEEKDAY(C2)</t>
  </si>
  <si>
    <t>📆 Some Random Date</t>
  </si>
  <si>
    <t>=DATEDIF(C9,C2, "Y")</t>
  </si>
  <si>
    <t>years</t>
  </si>
  <si>
    <t>months</t>
  </si>
  <si>
    <t>days</t>
  </si>
  <si>
    <t>TEXT  Functions</t>
  </si>
  <si>
    <t>NUM MEDALS</t>
  </si>
  <si>
    <t>=CONCATENATE(B19, " from ", C19)</t>
  </si>
  <si>
    <t>LEFT(B19,3)</t>
  </si>
  <si>
    <t>Right(C19,3)</t>
  </si>
  <si>
    <t>MID(D19,3, 7)</t>
  </si>
  <si>
    <t>`=UPPER(B19)</t>
  </si>
  <si>
    <t>`=LOWER(B19)</t>
  </si>
  <si>
    <t>`=PROPER(B19)</t>
  </si>
  <si>
    <t>to force a number to txt</t>
  </si>
  <si>
    <t>to force text to a number</t>
  </si>
  <si>
    <t>Format Cells if World Record is True</t>
  </si>
  <si>
    <t>Format Cells if Age &lt; 25</t>
  </si>
  <si>
    <t>Format Cells if Gender is Female &amp; Country is 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</si>
</sst>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m/d/yyyy h:mm:ss"/>
    <numFmt numFmtId="166" formatCode="m/d/yyyy"/>
  </numFmts>
  <fonts count="1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0000FF"/>
    </font>
    <font>
      <b/>
      <u/>
      <color rgb="FF0000FF"/>
    </font>
    <font/>
    <font>
      <color rgb="FF990000"/>
      <name val="IBM Plex Mono"/>
    </font>
    <font>
      <color theme="1"/>
      <name val="Arial"/>
      <scheme val="minor"/>
    </font>
    <font>
      <b/>
      <u/>
      <color rgb="FF0000FF"/>
    </font>
    <font>
      <color rgb="FF000000"/>
      <name val="Arial"/>
    </font>
    <font>
      <b/>
      <u/>
      <color rgb="FF0000FF"/>
    </font>
    <font>
      <b/>
      <color rgb="FFFFFFFF"/>
      <name val="Roboto Mono"/>
    </font>
    <font>
      <b/>
      <u/>
      <color rgb="FF0000FF"/>
    </font>
    <font>
      <sz val="9.0"/>
      <color theme="1"/>
      <name val="Roboto Mono"/>
    </font>
    <font>
      <sz val="14.0"/>
      <color rgb="FF999999"/>
      <name val="Arial"/>
    </font>
    <font>
      <b/>
      <sz val="12.0"/>
      <color rgb="FFFFFFFF"/>
      <name val="Arial"/>
    </font>
    <font>
      <i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351C75"/>
        <bgColor rgb="FF351C75"/>
      </patternFill>
    </fill>
    <fill>
      <patternFill patternType="solid">
        <fgColor rgb="FF134F5C"/>
        <bgColor rgb="FF134F5C"/>
      </patternFill>
    </fill>
  </fills>
  <borders count="5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ck">
        <color rgb="FF38761D"/>
      </left>
      <top style="thick">
        <color rgb="FF38761D"/>
      </top>
      <bottom style="thick">
        <color rgb="FF38761D"/>
      </bottom>
    </border>
    <border>
      <top style="thick">
        <color rgb="FF38761D"/>
      </top>
      <bottom style="thick">
        <color rgb="FF38761D"/>
      </bottom>
    </border>
    <border>
      <right style="thick">
        <color rgb="FF38761D"/>
      </right>
      <top style="thick">
        <color rgb="FF38761D"/>
      </top>
      <bottom style="thick">
        <color rgb="FF38761D"/>
      </bottom>
    </border>
    <border>
      <left style="thick">
        <color rgb="FF6AA84F"/>
      </left>
    </border>
    <border>
      <right style="thick">
        <color rgb="FF6AA84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6AA84F"/>
      </left>
      <bottom style="thick">
        <color rgb="FF6AA84F"/>
      </bottom>
    </border>
    <border>
      <bottom style="thick">
        <color rgb="FF6AA84F"/>
      </bottom>
    </border>
    <border>
      <right style="thick">
        <color rgb="FF6AA84F"/>
      </right>
      <bottom style="thick">
        <color rgb="FF6AA84F"/>
      </bottom>
    </border>
    <border>
      <left style="thick">
        <color rgb="FFB45F06"/>
      </left>
      <top style="thick">
        <color rgb="FFB45F06"/>
      </top>
      <bottom style="thick">
        <color rgb="FFB45F06"/>
      </bottom>
    </border>
    <border>
      <top style="thick">
        <color rgb="FFB45F06"/>
      </top>
      <bottom style="thick">
        <color rgb="FFB45F06"/>
      </bottom>
    </border>
    <border>
      <right style="thick">
        <color rgb="FFB45F06"/>
      </right>
      <top style="thick">
        <color rgb="FFB45F06"/>
      </top>
      <bottom style="thick">
        <color rgb="FFB45F06"/>
      </bottom>
    </border>
    <border>
      <left style="thick">
        <color rgb="FFB45F06"/>
      </left>
      <top style="thick">
        <color rgb="FFB45F06"/>
      </top>
    </border>
    <border>
      <top style="thick">
        <color rgb="FFB45F06"/>
      </top>
    </border>
    <border>
      <right style="thick">
        <color rgb="FFB45F06"/>
      </right>
      <top style="thick">
        <color rgb="FFB45F06"/>
      </top>
    </border>
    <border>
      <left style="thick">
        <color rgb="FFB45F06"/>
      </left>
    </border>
    <border>
      <right style="thick">
        <color rgb="FFB45F06"/>
      </right>
    </border>
    <border>
      <left style="thick">
        <color rgb="FFB45F06"/>
      </left>
      <top style="thin">
        <color rgb="FF000000"/>
      </top>
    </border>
    <border>
      <left style="thick">
        <color rgb="FFB45F06"/>
      </left>
      <bottom style="thin">
        <color rgb="FF000000"/>
      </bottom>
    </border>
    <border>
      <left style="thick">
        <color rgb="FFB45F06"/>
      </left>
      <bottom style="thick">
        <color rgb="FFB45F06"/>
      </bottom>
    </border>
    <border>
      <bottom style="thick">
        <color rgb="FFB45F06"/>
      </bottom>
    </border>
    <border>
      <right style="thick">
        <color rgb="FFB45F06"/>
      </right>
      <bottom style="thick">
        <color rgb="FFB45F06"/>
      </bottom>
    </border>
    <border>
      <left style="thick">
        <color rgb="FF351C75"/>
      </left>
      <top style="thick">
        <color rgb="FF351C75"/>
      </top>
      <bottom style="thick">
        <color rgb="FF351C75"/>
      </bottom>
    </border>
    <border>
      <top style="thick">
        <color rgb="FF351C75"/>
      </top>
      <bottom style="thick">
        <color rgb="FF351C75"/>
      </bottom>
    </border>
    <border>
      <right style="thick">
        <color rgb="FF351C75"/>
      </right>
      <top style="thick">
        <color rgb="FF351C75"/>
      </top>
      <bottom style="thick">
        <color rgb="FF351C75"/>
      </bottom>
    </border>
    <border>
      <left style="thick">
        <color rgb="FF351C75"/>
      </left>
      <top style="thick">
        <color rgb="FF351C75"/>
      </top>
    </border>
    <border>
      <top style="thick">
        <color rgb="FF351C75"/>
      </top>
    </border>
    <border>
      <right style="thick">
        <color rgb="FF351C75"/>
      </right>
      <top style="thick">
        <color rgb="FF351C75"/>
      </top>
    </border>
    <border>
      <left style="thick">
        <color rgb="FF351C75"/>
      </left>
    </border>
    <border>
      <right style="thick">
        <color rgb="FF351C75"/>
      </right>
    </border>
    <border>
      <left style="thick">
        <color rgb="FF351C75"/>
      </left>
      <bottom style="thick">
        <color rgb="FF351C75"/>
      </bottom>
    </border>
    <border>
      <bottom style="thick">
        <color rgb="FF351C75"/>
      </bottom>
    </border>
    <border>
      <right style="thick">
        <color rgb="FF351C75"/>
      </right>
      <bottom style="thick">
        <color rgb="FF351C75"/>
      </bottom>
    </border>
    <border>
      <left style="thick">
        <color rgb="FF134F5C"/>
      </left>
      <top style="thick">
        <color rgb="FF134F5C"/>
      </top>
      <bottom style="thick">
        <color rgb="FF134F5C"/>
      </bottom>
    </border>
    <border>
      <top style="thick">
        <color rgb="FF134F5C"/>
      </top>
      <bottom style="thick">
        <color rgb="FF134F5C"/>
      </bottom>
    </border>
    <border>
      <right style="thick">
        <color rgb="FF134F5C"/>
      </right>
      <top style="thick">
        <color rgb="FF134F5C"/>
      </top>
      <bottom style="thick">
        <color rgb="FF134F5C"/>
      </bottom>
    </border>
    <border>
      <left style="thick">
        <color rgb="FF134F5C"/>
      </left>
      <top style="thick">
        <color rgb="FF134F5C"/>
      </top>
      <bottom style="thin">
        <color rgb="FF000000"/>
      </bottom>
    </border>
    <border>
      <top style="thick">
        <color rgb="FF134F5C"/>
      </top>
      <bottom style="thin">
        <color rgb="FF000000"/>
      </bottom>
    </border>
    <border>
      <left style="thick">
        <color rgb="FF351C75"/>
      </left>
      <top style="thick">
        <color rgb="FF134F5C"/>
      </top>
    </border>
    <border>
      <left style="thick">
        <color rgb="FF351C75"/>
      </left>
      <right style="thick">
        <color rgb="FF134F5C"/>
      </right>
      <top style="thick">
        <color rgb="FF134F5C"/>
      </top>
    </border>
    <border>
      <left style="thick">
        <color rgb="FF134F5C"/>
      </left>
    </border>
    <border>
      <right style="thick">
        <color rgb="FF134F5C"/>
      </right>
    </border>
    <border>
      <left style="thick">
        <color rgb="FF134F5C"/>
      </left>
      <bottom style="thick">
        <color rgb="FF134F5C"/>
      </bottom>
    </border>
    <border>
      <bottom style="thick">
        <color rgb="FF134F5C"/>
      </bottom>
    </border>
    <border>
      <right style="thick">
        <color rgb="FF134F5C"/>
      </right>
      <bottom style="thick">
        <color rgb="FF134F5C"/>
      </bottom>
    </border>
  </borders>
  <cellStyleXfs count="1">
    <xf borderId="0" fillId="0" fontId="0" numFmtId="0" applyAlignment="1" applyFont="1"/>
  </cellStyleXfs>
  <cellXfs count="20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4" fillId="3" fontId="2" numFmtId="0" xfId="0" applyAlignment="1" applyBorder="1" applyFill="1" applyFont="1">
      <alignment horizontal="right"/>
    </xf>
    <xf borderId="0" fillId="3" fontId="2" numFmtId="0" xfId="0" applyFont="1"/>
    <xf borderId="5" fillId="3" fontId="3" numFmtId="0" xfId="0" applyBorder="1" applyFont="1"/>
    <xf borderId="4" fillId="3" fontId="2" numFmtId="0" xfId="0" applyBorder="1" applyFont="1"/>
    <xf borderId="6" fillId="3" fontId="2" numFmtId="0" xfId="0" applyAlignment="1" applyBorder="1" applyFont="1">
      <alignment horizontal="right"/>
    </xf>
    <xf borderId="7" fillId="3" fontId="2" numFmtId="0" xfId="0" applyBorder="1" applyFont="1"/>
    <xf borderId="8" fillId="3" fontId="4" numFmtId="0" xfId="0" applyBorder="1" applyFont="1"/>
    <xf borderId="7" fillId="4" fontId="1" numFmtId="1" xfId="0" applyAlignment="1" applyBorder="1" applyFill="1" applyFont="1" applyNumberFormat="1">
      <alignment horizontal="right" vertical="bottom"/>
    </xf>
    <xf borderId="7" fillId="4" fontId="1" numFmtId="0" xfId="0" applyAlignment="1" applyBorder="1" applyFont="1">
      <alignment horizontal="right" vertical="bottom"/>
    </xf>
    <xf borderId="7" fillId="4" fontId="1" numFmtId="4" xfId="0" applyAlignment="1" applyBorder="1" applyFont="1" applyNumberFormat="1">
      <alignment horizontal="right" vertical="bottom"/>
    </xf>
    <xf borderId="7" fillId="4" fontId="1" numFmtId="0" xfId="0" applyAlignment="1" applyBorder="1" applyFont="1">
      <alignment horizontal="right" readingOrder="0" vertical="bottom"/>
    </xf>
    <xf borderId="0" fillId="5" fontId="5" numFmtId="0" xfId="0" applyAlignment="1" applyFill="1" applyFont="1">
      <alignment horizontal="center" vertical="center"/>
    </xf>
    <xf borderId="0" fillId="0" fontId="2" numFmtId="1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0" fontId="2" numFmtId="19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7" fillId="2" fontId="1" numFmtId="0" xfId="0" applyBorder="1" applyFont="1"/>
    <xf borderId="7" fillId="0" fontId="6" numFmtId="0" xfId="0" applyBorder="1" applyFont="1"/>
    <xf borderId="0" fillId="0" fontId="2" numFmtId="0" xfId="0" applyFont="1"/>
    <xf quotePrefix="1" borderId="0" fillId="3" fontId="7" numFmtId="0" xfId="0" applyAlignment="1" applyFont="1">
      <alignment horizontal="right" shrinkToFit="0" wrapText="1"/>
    </xf>
    <xf borderId="0" fillId="0" fontId="2" numFmtId="2" xfId="0" applyFont="1" applyNumberFormat="1"/>
    <xf quotePrefix="1" borderId="7" fillId="2" fontId="1" numFmtId="0" xfId="0" applyBorder="1" applyFont="1"/>
    <xf borderId="0" fillId="0" fontId="1" numFmtId="0" xfId="0" applyFont="1"/>
    <xf borderId="0" fillId="0" fontId="8" numFmtId="0" xfId="0" applyAlignment="1" applyFont="1">
      <alignment readingOrder="0"/>
    </xf>
    <xf quotePrefix="1" borderId="0" fillId="3" fontId="7" numFmtId="0" xfId="0" applyAlignment="1" applyFont="1">
      <alignment horizontal="right" readingOrder="0" shrinkToFit="0" wrapText="1"/>
    </xf>
    <xf borderId="7" fillId="4" fontId="1" numFmtId="0" xfId="0" applyAlignment="1" applyBorder="1" applyFont="1">
      <alignment horizontal="center" shrinkToFit="0" vertical="bottom" wrapText="1"/>
    </xf>
    <xf borderId="0" fillId="0" fontId="2" numFmtId="9" xfId="0" applyFont="1" applyNumberFormat="1"/>
    <xf borderId="9" fillId="4" fontId="1" numFmtId="0" xfId="0" applyBorder="1" applyFont="1"/>
    <xf borderId="10" fillId="0" fontId="6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quotePrefix="1" borderId="4" fillId="3" fontId="7" numFmtId="0" xfId="0" applyAlignment="1" applyBorder="1" applyFont="1">
      <alignment horizontal="right" shrinkToFit="0" wrapText="1"/>
    </xf>
    <xf borderId="9" fillId="3" fontId="7" numFmtId="0" xfId="0" applyAlignment="1" applyBorder="1" applyFont="1">
      <alignment horizontal="left" shrinkToFit="0" wrapText="1"/>
    </xf>
    <xf borderId="10" fillId="0" fontId="2" numFmtId="0" xfId="0" applyBorder="1" applyFont="1"/>
    <xf borderId="4" fillId="3" fontId="7" numFmtId="0" xfId="0" applyAlignment="1" applyBorder="1" applyFont="1">
      <alignment horizontal="left" shrinkToFit="0" wrapText="1"/>
    </xf>
    <xf borderId="6" fillId="3" fontId="7" numFmtId="0" xfId="0" applyAlignment="1" applyBorder="1" applyFont="1">
      <alignment horizontal="left" shrinkToFit="0" wrapText="1"/>
    </xf>
    <xf borderId="8" fillId="0" fontId="2" numFmtId="0" xfId="0" applyBorder="1" applyFont="1"/>
    <xf borderId="0" fillId="0" fontId="1" numFmtId="0" xfId="0" applyAlignment="1" applyFont="1">
      <alignment horizontal="center" vertical="bottom"/>
    </xf>
    <xf borderId="9" fillId="2" fontId="1" numFmtId="0" xfId="0" applyAlignment="1" applyBorder="1" applyFont="1">
      <alignment horizontal="center" vertical="bottom"/>
    </xf>
    <xf borderId="11" fillId="0" fontId="6" numFmtId="0" xfId="0" applyBorder="1" applyFont="1"/>
    <xf borderId="0" fillId="5" fontId="9" numFmtId="0" xfId="0" applyFont="1"/>
    <xf borderId="6" fillId="0" fontId="2" numFmtId="0" xfId="0" applyAlignment="1" applyBorder="1" applyFont="1">
      <alignment horizontal="right" vertical="bottom"/>
    </xf>
    <xf borderId="7" fillId="0" fontId="2" numFmtId="0" xfId="0" applyAlignment="1" applyBorder="1" applyFont="1">
      <alignment horizontal="right" vertical="bottom"/>
    </xf>
    <xf borderId="8" fillId="0" fontId="2" numFmtId="0" xfId="0" applyAlignment="1" applyBorder="1" applyFont="1">
      <alignment horizontal="center" vertical="bottom"/>
    </xf>
    <xf quotePrefix="1" borderId="0" fillId="3" fontId="7" numFmtId="0" xfId="0" applyAlignment="1" applyFont="1">
      <alignment horizontal="right" vertical="bottom"/>
    </xf>
    <xf borderId="0" fillId="0" fontId="8" numFmtId="0" xfId="0" applyFont="1"/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horizontal="center" vertical="bottom"/>
    </xf>
    <xf quotePrefix="1" borderId="0" fillId="3" fontId="7" numFmtId="0" xfId="0" applyAlignment="1" applyFont="1">
      <alignment horizontal="right" shrinkToFit="0" vertical="bottom" wrapText="1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9" fillId="2" fontId="1" numFmtId="0" xfId="0" applyBorder="1" applyFont="1"/>
    <xf borderId="9" fillId="0" fontId="1" numFmtId="0" xfId="0" applyAlignment="1" applyBorder="1" applyFont="1">
      <alignment vertical="bottom"/>
    </xf>
    <xf borderId="11" fillId="0" fontId="2" numFmtId="0" xfId="0" applyAlignment="1" applyBorder="1" applyFont="1">
      <alignment horizontal="right" vertical="bottom"/>
    </xf>
    <xf quotePrefix="1" borderId="10" fillId="3" fontId="7" numFmtId="0" xfId="0" applyAlignment="1" applyBorder="1" applyFont="1">
      <alignment horizontal="right" vertical="bottom"/>
    </xf>
    <xf borderId="4" fillId="0" fontId="1" numFmtId="0" xfId="0" applyAlignment="1" applyBorder="1" applyFont="1">
      <alignment vertical="bottom"/>
    </xf>
    <xf quotePrefix="1" borderId="5" fillId="3" fontId="7" numFmtId="0" xfId="0" applyAlignment="1" applyBorder="1" applyFont="1">
      <alignment horizontal="right" vertical="bottom"/>
    </xf>
    <xf borderId="6" fillId="0" fontId="1" numFmtId="0" xfId="0" applyAlignment="1" applyBorder="1" applyFont="1">
      <alignment shrinkToFit="0" vertical="bottom" wrapText="1"/>
    </xf>
    <xf borderId="7" fillId="0" fontId="1" numFmtId="0" xfId="0" applyAlignment="1" applyBorder="1" applyFont="1">
      <alignment horizontal="right" vertical="bottom"/>
    </xf>
    <xf quotePrefix="1" borderId="8" fillId="3" fontId="7" numFmtId="0" xfId="0" applyAlignment="1" applyBorder="1" applyFont="1">
      <alignment horizontal="right" readingOrder="0" vertical="bottom"/>
    </xf>
    <xf borderId="6" fillId="0" fontId="1" numFmtId="0" xfId="0" applyAlignment="1" applyBorder="1" applyFont="1">
      <alignment vertical="bottom"/>
    </xf>
    <xf quotePrefix="1" borderId="8" fillId="3" fontId="7" numFmtId="0" xfId="0" applyAlignment="1" applyBorder="1" applyFont="1">
      <alignment horizontal="right" shrinkToFit="0" vertical="bottom" wrapText="1"/>
    </xf>
    <xf quotePrefix="1" borderId="0" fillId="3" fontId="7" numFmtId="0" xfId="0" applyAlignment="1" applyFont="1">
      <alignment horizontal="right" readingOrder="0" vertical="bottom"/>
    </xf>
    <xf borderId="7" fillId="4" fontId="1" numFmtId="0" xfId="0" applyAlignment="1" applyBorder="1" applyFont="1">
      <alignment horizontal="right" shrinkToFit="0" vertical="bottom" wrapText="1"/>
    </xf>
    <xf borderId="0" fillId="0" fontId="2" numFmtId="0" xfId="0" applyAlignment="1" applyFont="1">
      <alignment readingOrder="0"/>
    </xf>
    <xf quotePrefix="1" borderId="5" fillId="3" fontId="7" numFmtId="0" xfId="0" applyAlignment="1" applyBorder="1" applyFont="1">
      <alignment horizontal="right" shrinkToFit="0" vertical="bottom" wrapText="1"/>
    </xf>
    <xf borderId="5" fillId="3" fontId="7" numFmtId="0" xfId="0" applyAlignment="1" applyBorder="1" applyFont="1">
      <alignment horizontal="right" shrinkToFit="0" vertical="bottom" wrapText="1"/>
    </xf>
    <xf borderId="9" fillId="0" fontId="2" numFmtId="0" xfId="0" applyAlignment="1" applyBorder="1" applyFont="1">
      <alignment shrinkToFit="0" wrapText="1"/>
    </xf>
    <xf borderId="11" fillId="0" fontId="2" numFmtId="0" xfId="0" applyBorder="1" applyFont="1"/>
    <xf quotePrefix="1" borderId="10" fillId="3" fontId="7" numFmtId="0" xfId="0" applyAlignment="1" applyBorder="1" applyFont="1">
      <alignment horizontal="right" shrinkToFit="0" vertical="bottom" wrapText="1"/>
    </xf>
    <xf borderId="4" fillId="0" fontId="10" numFmtId="0" xfId="0" applyAlignment="1" applyBorder="1" applyFont="1">
      <alignment horizontal="left" shrinkToFit="0" wrapText="1"/>
    </xf>
    <xf borderId="4" fillId="0" fontId="2" numFmtId="0" xfId="0" applyAlignment="1" applyBorder="1" applyFont="1">
      <alignment shrinkToFit="0" wrapText="1"/>
    </xf>
    <xf borderId="0" fillId="0" fontId="2" numFmtId="164" xfId="0" applyFont="1" applyNumberFormat="1"/>
    <xf borderId="6" fillId="0" fontId="2" numFmtId="0" xfId="0" applyAlignment="1" applyBorder="1" applyFont="1">
      <alignment shrinkToFit="0" wrapText="1"/>
    </xf>
    <xf borderId="7" fillId="0" fontId="2" numFmtId="164" xfId="0" applyBorder="1" applyFont="1" applyNumberFormat="1"/>
    <xf borderId="0" fillId="0" fontId="8" numFmtId="164" xfId="0" applyFont="1" applyNumberFormat="1"/>
    <xf borderId="7" fillId="4" fontId="1" numFmtId="1" xfId="0" applyAlignment="1" applyBorder="1" applyFont="1" applyNumberFormat="1">
      <alignment horizontal="right" shrinkToFit="0" vertical="bottom" wrapText="1"/>
    </xf>
    <xf borderId="0" fillId="0" fontId="2" numFmtId="1" xfId="0" applyFont="1" applyNumberFormat="1"/>
    <xf borderId="0" fillId="6" fontId="2" numFmtId="1" xfId="0" applyAlignment="1" applyFill="1" applyFont="1" applyNumberFormat="1">
      <alignment horizontal="right" vertical="bottom"/>
    </xf>
    <xf borderId="1" fillId="0" fontId="2" numFmtId="0" xfId="0" applyBorder="1" applyFont="1"/>
    <xf quotePrefix="1" borderId="3" fillId="3" fontId="7" numFmtId="0" xfId="0" applyAlignment="1" applyBorder="1" applyFont="1">
      <alignment horizontal="right" shrinkToFit="0" vertical="bottom" wrapText="1"/>
    </xf>
    <xf borderId="7" fillId="4" fontId="1" numFmtId="0" xfId="0" applyAlignment="1" applyBorder="1" applyFont="1">
      <alignment horizontal="center" vertical="bottom"/>
    </xf>
    <xf borderId="0" fillId="5" fontId="1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7" fontId="2" numFmtId="0" xfId="0" applyFill="1" applyFont="1"/>
    <xf borderId="2" fillId="7" fontId="7" numFmtId="0" xfId="0" applyAlignment="1" applyBorder="1" applyFont="1">
      <alignment horizontal="left" shrinkToFit="0" vertical="bottom" wrapText="1"/>
    </xf>
    <xf borderId="3" fillId="0" fontId="6" numFmtId="0" xfId="0" applyBorder="1" applyFont="1"/>
    <xf borderId="9" fillId="4" fontId="1" numFmtId="0" xfId="0" applyAlignment="1" applyBorder="1" applyFont="1">
      <alignment horizontal="right" vertical="bottom"/>
    </xf>
    <xf borderId="4" fillId="4" fontId="1" numFmtId="0" xfId="0" applyAlignment="1" applyBorder="1" applyFont="1">
      <alignment horizontal="right" vertical="bottom"/>
    </xf>
    <xf borderId="6" fillId="4" fontId="1" numFmtId="0" xfId="0" applyAlignment="1" applyBorder="1" applyFont="1">
      <alignment horizontal="right" vertical="bottom"/>
    </xf>
    <xf borderId="0" fillId="2" fontId="1" numFmtId="0" xfId="0" applyAlignment="1" applyFont="1">
      <alignment horizontal="left" vertical="center"/>
    </xf>
    <xf borderId="0" fillId="2" fontId="1" numFmtId="0" xfId="0" applyAlignment="1" applyFont="1">
      <alignment horizontal="left" shrinkToFit="0" vertical="center" wrapText="1"/>
    </xf>
    <xf borderId="12" fillId="8" fontId="12" numFmtId="0" xfId="0" applyAlignment="1" applyBorder="1" applyFill="1" applyFont="1">
      <alignment horizontal="center" vertical="center"/>
    </xf>
    <xf borderId="13" fillId="0" fontId="6" numFmtId="0" xfId="0" applyBorder="1" applyFont="1"/>
    <xf borderId="14" fillId="0" fontId="6" numFmtId="0" xfId="0" applyBorder="1" applyFont="1"/>
    <xf borderId="0" fillId="5" fontId="13" numFmtId="0" xfId="0" applyAlignment="1" applyFont="1">
      <alignment vertical="center"/>
    </xf>
    <xf borderId="0" fillId="0" fontId="14" numFmtId="0" xfId="0" applyFont="1"/>
    <xf borderId="0" fillId="0" fontId="14" numFmtId="0" xfId="0" applyAlignment="1" applyFont="1">
      <alignment horizontal="left"/>
    </xf>
    <xf borderId="15" fillId="0" fontId="2" numFmtId="0" xfId="0" applyBorder="1" applyFont="1"/>
    <xf borderId="16" fillId="0" fontId="2" numFmtId="0" xfId="0" applyBorder="1" applyFont="1"/>
    <xf borderId="15" fillId="0" fontId="14" numFmtId="0" xfId="0" applyAlignment="1" applyBorder="1" applyFont="1">
      <alignment horizontal="right"/>
    </xf>
    <xf borderId="0" fillId="0" fontId="15" numFmtId="0" xfId="0" applyAlignment="1" applyFont="1">
      <alignment horizontal="center"/>
    </xf>
    <xf borderId="15" fillId="0" fontId="14" numFmtId="0" xfId="0" applyAlignment="1" applyBorder="1" applyFont="1">
      <alignment horizontal="right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3" fillId="2" fontId="1" numFmtId="0" xfId="0" applyAlignment="1" applyBorder="1" applyFont="1">
      <alignment horizontal="left" shrinkToFit="0" vertical="center" wrapText="1"/>
    </xf>
    <xf borderId="4" fillId="0" fontId="2" numFmtId="0" xfId="0" applyAlignment="1" applyBorder="1" applyFont="1">
      <alignment horizontal="left" vertical="bottom"/>
    </xf>
    <xf borderId="0" fillId="0" fontId="2" numFmtId="0" xfId="0" applyAlignment="1" applyFont="1">
      <alignment horizontal="left" vertical="bottom"/>
    </xf>
    <xf borderId="5" fillId="0" fontId="2" numFmtId="0" xfId="0" applyAlignment="1" applyBorder="1" applyFont="1">
      <alignment horizontal="left" vertical="bottom"/>
    </xf>
    <xf borderId="15" fillId="0" fontId="6" numFmtId="0" xfId="0" applyBorder="1" applyFont="1"/>
    <xf borderId="6" fillId="0" fontId="2" numFmtId="0" xfId="0" applyAlignment="1" applyBorder="1" applyFont="1">
      <alignment horizontal="left" vertical="bottom"/>
    </xf>
    <xf borderId="7" fillId="0" fontId="2" numFmtId="0" xfId="0" applyAlignment="1" applyBorder="1" applyFont="1">
      <alignment horizontal="left" vertical="bottom"/>
    </xf>
    <xf borderId="8" fillId="0" fontId="2" numFmtId="0" xfId="0" applyAlignment="1" applyBorder="1" applyFont="1">
      <alignment horizontal="left" vertical="bottom"/>
    </xf>
    <xf borderId="0" fillId="0" fontId="14" numFmtId="0" xfId="0" applyAlignment="1" applyFont="1">
      <alignment horizontal="center" shrinkToFit="0" vertical="top" wrapText="1"/>
    </xf>
    <xf borderId="0" fillId="4" fontId="1" numFmtId="0" xfId="0" applyFont="1"/>
    <xf borderId="17" fillId="3" fontId="2" numFmtId="0" xfId="0" applyBorder="1" applyFont="1"/>
    <xf borderId="0" fillId="4" fontId="1" numFmtId="0" xfId="0" applyAlignment="1" applyFont="1">
      <alignment horizontal="left" shrinkToFit="0" vertical="center" wrapText="1"/>
    </xf>
    <xf quotePrefix="1" borderId="0" fillId="3" fontId="7" numFmtId="0" xfId="0" applyAlignment="1" applyFont="1">
      <alignment horizontal="left" shrinkToFit="0" vertical="bottom" wrapText="1"/>
    </xf>
    <xf borderId="16" fillId="0" fontId="6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9" fontId="12" numFmtId="0" xfId="0" applyAlignment="1" applyBorder="1" applyFill="1" applyFont="1">
      <alignment horizontal="center" vertical="center"/>
    </xf>
    <xf borderId="22" fillId="0" fontId="6" numFmtId="0" xfId="0" applyBorder="1" applyFont="1"/>
    <xf borderId="23" fillId="0" fontId="6" numFmtId="0" xfId="0" applyBorder="1" applyFont="1"/>
    <xf borderId="24" fillId="0" fontId="2" numFmtId="0" xfId="0" applyBorder="1" applyFont="1"/>
    <xf borderId="25" fillId="0" fontId="2" numFmtId="0" xfId="0" applyBorder="1" applyFont="1"/>
    <xf borderId="25" fillId="0" fontId="2" numFmtId="0" xfId="0" applyAlignment="1" applyBorder="1" applyFont="1">
      <alignment horizontal="left" vertical="bottom"/>
    </xf>
    <xf borderId="26" fillId="0" fontId="2" numFmtId="0" xfId="0" applyAlignment="1" applyBorder="1" applyFont="1">
      <alignment horizontal="left" vertical="bottom"/>
    </xf>
    <xf borderId="27" fillId="0" fontId="2" numFmtId="0" xfId="0" applyBorder="1" applyFont="1"/>
    <xf borderId="28" fillId="0" fontId="2" numFmtId="0" xfId="0" applyAlignment="1" applyBorder="1" applyFont="1">
      <alignment horizontal="left" vertical="bottom"/>
    </xf>
    <xf borderId="0" fillId="0" fontId="14" numFmtId="0" xfId="0" applyAlignment="1" applyFont="1">
      <alignment horizontal="right" vertical="center"/>
    </xf>
    <xf borderId="29" fillId="2" fontId="1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horizontal="left" vertical="bottom"/>
    </xf>
    <xf borderId="10" fillId="0" fontId="2" numFmtId="0" xfId="0" applyAlignment="1" applyBorder="1" applyFont="1">
      <alignment horizontal="left" vertical="bottom"/>
    </xf>
    <xf borderId="28" fillId="0" fontId="14" numFmtId="0" xfId="0" applyAlignment="1" applyBorder="1" applyFont="1">
      <alignment horizontal="left" vertical="center"/>
    </xf>
    <xf borderId="27" fillId="2" fontId="1" numFmtId="0" xfId="0" applyAlignment="1" applyBorder="1" applyFont="1">
      <alignment horizontal="left" shrinkToFit="0" vertical="center" wrapText="1"/>
    </xf>
    <xf borderId="28" fillId="0" fontId="6" numFmtId="0" xfId="0" applyBorder="1" applyFont="1"/>
    <xf borderId="30" fillId="2" fontId="1" numFmtId="0" xfId="0" applyAlignment="1" applyBorder="1" applyFont="1">
      <alignment horizontal="left" shrinkToFit="0" vertical="center" wrapText="1"/>
    </xf>
    <xf borderId="28" fillId="0" fontId="2" numFmtId="0" xfId="0" applyBorder="1" applyFont="1"/>
    <xf borderId="27" fillId="4" fontId="1" numFmtId="0" xfId="0" applyBorder="1" applyFont="1"/>
    <xf borderId="27" fillId="4" fontId="1" numFmtId="0" xfId="0" applyAlignment="1" applyBorder="1" applyFont="1">
      <alignment horizontal="left" shrinkToFit="0" vertical="center" wrapText="1"/>
    </xf>
    <xf borderId="31" fillId="0" fontId="2" numFmtId="0" xfId="0" applyBorder="1" applyFont="1"/>
    <xf borderId="32" fillId="0" fontId="2" numFmtId="0" xfId="0" applyBorder="1" applyFont="1"/>
    <xf borderId="33" fillId="0" fontId="2" numFmtId="0" xfId="0" applyBorder="1" applyFont="1"/>
    <xf borderId="34" fillId="10" fontId="12" numFmtId="0" xfId="0" applyAlignment="1" applyBorder="1" applyFill="1" applyFont="1">
      <alignment horizontal="center" vertical="center"/>
    </xf>
    <xf borderId="35" fillId="0" fontId="6" numFmtId="0" xfId="0" applyBorder="1" applyFont="1"/>
    <xf borderId="36" fillId="0" fontId="6" numFmtId="0" xfId="0" applyBorder="1" applyFont="1"/>
    <xf borderId="37" fillId="0" fontId="2" numFmtId="0" xfId="0" applyBorder="1" applyFont="1"/>
    <xf borderId="38" fillId="0" fontId="2" numFmtId="0" xfId="0" applyBorder="1" applyFont="1"/>
    <xf borderId="39" fillId="0" fontId="2" numFmtId="0" xfId="0" applyBorder="1" applyFont="1"/>
    <xf borderId="40" fillId="0" fontId="2" numFmtId="0" xfId="0" applyBorder="1" applyFont="1"/>
    <xf borderId="41" fillId="0" fontId="2" numFmtId="0" xfId="0" applyBorder="1" applyFont="1"/>
    <xf borderId="40" fillId="0" fontId="14" numFmtId="0" xfId="0" applyAlignment="1" applyBorder="1" applyFont="1">
      <alignment horizontal="right" shrinkToFit="0" vertical="center" wrapText="1"/>
    </xf>
    <xf borderId="40" fillId="0" fontId="6" numFmtId="0" xfId="0" applyBorder="1" applyFont="1"/>
    <xf borderId="41" fillId="0" fontId="6" numFmtId="0" xfId="0" applyBorder="1" applyFont="1"/>
    <xf borderId="42" fillId="0" fontId="2" numFmtId="0" xfId="0" applyBorder="1" applyFont="1"/>
    <xf borderId="43" fillId="0" fontId="2" numFmtId="0" xfId="0" applyBorder="1" applyFont="1"/>
    <xf borderId="44" fillId="0" fontId="2" numFmtId="0" xfId="0" applyBorder="1" applyFont="1"/>
    <xf borderId="37" fillId="10" fontId="16" numFmtId="0" xfId="0" applyAlignment="1" applyBorder="1" applyFont="1">
      <alignment horizontal="center"/>
    </xf>
    <xf borderId="38" fillId="0" fontId="6" numFmtId="0" xfId="0" applyBorder="1" applyFont="1"/>
    <xf borderId="39" fillId="0" fontId="6" numFmtId="0" xfId="0" applyBorder="1" applyFont="1"/>
    <xf quotePrefix="1" borderId="40" fillId="3" fontId="7" numFmtId="0" xfId="0" applyAlignment="1" applyBorder="1" applyFont="1">
      <alignment horizontal="right" shrinkToFit="0" vertical="bottom" wrapText="1"/>
    </xf>
    <xf borderId="0" fillId="0" fontId="2" numFmtId="14" xfId="0" applyFont="1" applyNumberFormat="1"/>
    <xf borderId="41" fillId="0" fontId="2" numFmtId="14" xfId="0" applyBorder="1" applyFont="1" applyNumberFormat="1"/>
    <xf borderId="0" fillId="0" fontId="2" numFmtId="165" xfId="0" applyFont="1" applyNumberFormat="1"/>
    <xf borderId="41" fillId="0" fontId="2" numFmtId="165" xfId="0" applyBorder="1" applyFont="1" applyNumberFormat="1"/>
    <xf borderId="0" fillId="0" fontId="10" numFmtId="0" xfId="0" applyAlignment="1" applyFont="1">
      <alignment horizontal="left"/>
    </xf>
    <xf borderId="0" fillId="0" fontId="8" numFmtId="14" xfId="0" applyFont="1" applyNumberFormat="1"/>
    <xf quotePrefix="1" borderId="40" fillId="0" fontId="2" numFmtId="0" xfId="0" applyAlignment="1" applyBorder="1" applyFont="1">
      <alignment readingOrder="0"/>
    </xf>
    <xf borderId="40" fillId="0" fontId="14" numFmtId="0" xfId="0" applyAlignment="1" applyBorder="1" applyFont="1">
      <alignment horizontal="left"/>
    </xf>
    <xf borderId="0" fillId="0" fontId="2" numFmtId="166" xfId="0" applyFont="1" applyNumberFormat="1"/>
    <xf borderId="41" fillId="0" fontId="17" numFmtId="0" xfId="0" applyBorder="1" applyFont="1"/>
    <xf borderId="44" fillId="0" fontId="17" numFmtId="0" xfId="0" applyBorder="1" applyFont="1"/>
    <xf borderId="0" fillId="0" fontId="17" numFmtId="0" xfId="0" applyFont="1"/>
    <xf borderId="45" fillId="11" fontId="16" numFmtId="0" xfId="0" applyAlignment="1" applyBorder="1" applyFill="1" applyFont="1">
      <alignment horizontal="center"/>
    </xf>
    <xf borderId="46" fillId="0" fontId="6" numFmtId="0" xfId="0" applyBorder="1" applyFont="1"/>
    <xf borderId="47" fillId="0" fontId="6" numFmtId="0" xfId="0" applyBorder="1" applyFont="1"/>
    <xf borderId="48" fillId="4" fontId="1" numFmtId="0" xfId="0" applyAlignment="1" applyBorder="1" applyFont="1">
      <alignment horizontal="right" vertical="bottom"/>
    </xf>
    <xf borderId="49" fillId="4" fontId="1" numFmtId="0" xfId="0" applyAlignment="1" applyBorder="1" applyFont="1">
      <alignment horizontal="right" vertical="bottom"/>
    </xf>
    <xf quotePrefix="1" borderId="50" fillId="3" fontId="7" numFmtId="0" xfId="0" applyAlignment="1" applyBorder="1" applyFont="1">
      <alignment horizontal="right" shrinkToFit="0" vertical="bottom" wrapText="1"/>
    </xf>
    <xf borderId="50" fillId="3" fontId="7" numFmtId="0" xfId="0" applyAlignment="1" applyBorder="1" applyFont="1">
      <alignment horizontal="right" shrinkToFit="0" vertical="bottom" wrapText="1"/>
    </xf>
    <xf borderId="51" fillId="3" fontId="7" numFmtId="0" xfId="0" applyAlignment="1" applyBorder="1" applyFont="1">
      <alignment horizontal="right" shrinkToFit="0" vertical="bottom" wrapText="1"/>
    </xf>
    <xf borderId="52" fillId="0" fontId="2" numFmtId="0" xfId="0" applyAlignment="1" applyBorder="1" applyFont="1">
      <alignment horizontal="right" vertical="bottom"/>
    </xf>
    <xf borderId="53" fillId="0" fontId="2" numFmtId="0" xfId="0" applyBorder="1" applyFont="1"/>
    <xf borderId="52" fillId="0" fontId="2" numFmtId="0" xfId="0" applyBorder="1" applyFont="1"/>
    <xf borderId="0" fillId="3" fontId="7" numFmtId="0" xfId="0" applyAlignment="1" applyFont="1">
      <alignment horizontal="right" shrinkToFit="0" vertical="bottom" wrapText="1"/>
    </xf>
    <xf borderId="54" fillId="0" fontId="2" numFmtId="0" xfId="0" applyBorder="1" applyFont="1"/>
    <xf borderId="55" fillId="0" fontId="2" numFmtId="0" xfId="0" applyBorder="1" applyFont="1"/>
    <xf borderId="56" fillId="0" fontId="2" numFmtId="0" xfId="0" applyBorder="1" applyFont="1"/>
    <xf borderId="0" fillId="5" fontId="1" numFmtId="0" xfId="0" applyFont="1"/>
    <xf borderId="0" fillId="3" fontId="7" numFmtId="0" xfId="0" applyAlignment="1" applyFont="1">
      <alignment horizontal="left" shrinkToFit="0" vertical="bottom" wrapText="1"/>
    </xf>
    <xf borderId="0" fillId="0" fontId="7" numFmtId="0" xfId="0" applyAlignment="1" applyFont="1">
      <alignment horizontal="left" shrinkToFit="0" vertical="bottom" wrapText="1"/>
    </xf>
    <xf borderId="0" fillId="0" fontId="7" numFmtId="0" xfId="0" applyAlignment="1" applyFont="1">
      <alignment horizontal="right" shrinkToFit="0" vertical="bottom" wrapText="1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pivotCacheDefinition" Target="pivotCache/pivotCacheDefinition1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C51" sheet="7. Advance Mathematical Functio"/>
  </cacheSource>
  <cacheFields>
    <cacheField name="Medal" numFmtId="0">
      <sharedItems>
        <s v="Gold"/>
        <s v="Silver"/>
        <s v="Bronze"/>
      </sharedItems>
    </cacheField>
    <cacheField name="Age" numFmtId="0">
      <sharedItems containsSemiMixedTypes="0" containsString="0" containsNumber="1" containsInteger="1">
        <n v="29.0"/>
        <n v="31.0"/>
        <n v="19.0"/>
        <n v="33.0"/>
        <n v="25.0"/>
        <n v="17.0"/>
        <n v="16.0"/>
        <n v="23.0"/>
        <n v="21.0"/>
        <n v="18.0"/>
        <n v="26.0"/>
        <n v="34.0"/>
        <n v="30.0"/>
        <n v="24.0"/>
        <n v="27.0"/>
        <n v="28.0"/>
        <n v="32.0"/>
        <n v="20.0"/>
        <n v="22.0"/>
      </sharedItems>
    </cacheField>
    <cacheField name="Sport" numFmtId="0">
      <sharedItems>
        <s v="Athletics"/>
        <s v="Swimming"/>
        <s v="Gymnastics"/>
        <s v="Diving"/>
        <s v="Ice Hockey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G6" firstHeaderRow="0" firstDataRow="1" firstDataCol="1"/>
  <pivotFields>
    <pivotField name="Medal" axis="axisRow" compact="0" outline="0" multipleItemSelectionAllowed="1" showAll="0" sortType="ascending">
      <items>
        <item x="2"/>
        <item x="0"/>
        <item x="1"/>
        <item t="default"/>
      </items>
    </pivotField>
    <pivotField name="Ag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Sport" axis="axisCol" compact="0" outline="0" multipleItemSelectionAllowed="1" showAll="0" sortType="ascending">
      <items>
        <item x="0"/>
        <item x="3"/>
        <item x="2"/>
        <item x="4"/>
        <item x="1"/>
        <item t="default"/>
      </items>
    </pivotField>
  </pivotFields>
  <rowFields>
    <field x="0"/>
  </rowFields>
  <colFields>
    <field x="2"/>
  </colFields>
  <dataFields>
    <dataField name="SUM of Age" fld="1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C78D8"/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2.63"/>
    <col customWidth="1" min="2" max="2" width="7.75"/>
    <col customWidth="1" min="3" max="3" width="25.5"/>
    <col customWidth="1" min="4" max="6" width="12.63"/>
  </cols>
  <sheetData>
    <row r="1" ht="15.75" customHeight="1"/>
    <row r="2" ht="15.75" customHeight="1">
      <c r="B2" s="1" t="s">
        <v>0</v>
      </c>
      <c r="C2" s="2" t="s">
        <v>1</v>
      </c>
      <c r="D2" s="3" t="s">
        <v>2</v>
      </c>
    </row>
    <row r="3" ht="15.75" customHeight="1">
      <c r="B3" s="4" t="s">
        <v>3</v>
      </c>
      <c r="C3" s="5" t="s">
        <v>4</v>
      </c>
      <c r="D3" s="6" t="s">
        <v>4</v>
      </c>
    </row>
    <row r="4" ht="15.75" customHeight="1">
      <c r="B4" s="4">
        <v>1.0</v>
      </c>
      <c r="C4" s="5" t="s">
        <v>5</v>
      </c>
      <c r="D4" s="6" t="s">
        <v>6</v>
      </c>
    </row>
    <row r="5" ht="15.75" customHeight="1">
      <c r="B5" s="4">
        <v>2.0</v>
      </c>
      <c r="C5" s="5" t="s">
        <v>7</v>
      </c>
      <c r="D5" s="6" t="s">
        <v>6</v>
      </c>
    </row>
    <row r="6" ht="15.75" customHeight="1">
      <c r="B6" s="7">
        <v>3.0</v>
      </c>
      <c r="C6" s="5" t="s">
        <v>8</v>
      </c>
      <c r="D6" s="6" t="s">
        <v>6</v>
      </c>
    </row>
    <row r="7" ht="15.75" customHeight="1">
      <c r="B7" s="4">
        <v>4.0</v>
      </c>
      <c r="C7" s="5" t="s">
        <v>9</v>
      </c>
      <c r="D7" s="6" t="s">
        <v>6</v>
      </c>
    </row>
    <row r="8" ht="15.75" customHeight="1">
      <c r="B8" s="7">
        <v>5.0</v>
      </c>
      <c r="C8" s="5" t="s">
        <v>10</v>
      </c>
      <c r="D8" s="6" t="s">
        <v>6</v>
      </c>
    </row>
    <row r="9" ht="15.75" customHeight="1">
      <c r="B9" s="4">
        <v>6.0</v>
      </c>
      <c r="C9" s="5" t="s">
        <v>11</v>
      </c>
      <c r="D9" s="6" t="s">
        <v>6</v>
      </c>
    </row>
    <row r="10" ht="15.75" customHeight="1">
      <c r="B10" s="7">
        <v>7.0</v>
      </c>
      <c r="C10" s="5" t="s">
        <v>12</v>
      </c>
      <c r="D10" s="6" t="s">
        <v>6</v>
      </c>
    </row>
    <row r="11" ht="15.75" customHeight="1">
      <c r="B11" s="4">
        <v>8.0</v>
      </c>
      <c r="C11" s="5" t="s">
        <v>13</v>
      </c>
      <c r="D11" s="6" t="s">
        <v>6</v>
      </c>
    </row>
    <row r="12" ht="15.75" customHeight="1">
      <c r="B12" s="4">
        <v>9.0</v>
      </c>
      <c r="C12" s="5" t="s">
        <v>14</v>
      </c>
      <c r="D12" s="6" t="s">
        <v>6</v>
      </c>
    </row>
    <row r="13" ht="15.75" customHeight="1">
      <c r="B13" s="4">
        <v>10.0</v>
      </c>
      <c r="C13" s="5" t="s">
        <v>15</v>
      </c>
      <c r="D13" s="6" t="s">
        <v>6</v>
      </c>
    </row>
    <row r="14" ht="15.75" customHeight="1">
      <c r="B14" s="8">
        <v>11.0</v>
      </c>
      <c r="C14" s="9" t="s">
        <v>16</v>
      </c>
      <c r="D14" s="10" t="s">
        <v>6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Data" location="Data!A1" ref="D3"/>
    <hyperlink display="Sheet Link" location="'1. Formulas &amp; Functions'!A1" ref="D4"/>
    <hyperlink display="Sheet Link" location="'2. Cell &amp; Sheet Refrence'!A1" ref="D5"/>
    <hyperlink display="Sheet Link" location="'3. Error Types'!A1" ref="D6"/>
    <hyperlink display="Sheet Link" location="'4. Counting'!A1" ref="D7"/>
    <hyperlink display="Sheet Link" location="'5. Logical Functions'!A1" ref="D8"/>
    <hyperlink display="Sheet Link" location="'6. Error Handling'!A1" ref="D9"/>
    <hyperlink display="Sheet Link" location="'7. Advance Mathematical Functio'!A1" ref="D10"/>
    <hyperlink display="Sheet Link" location="'8. Array Formulas'!A1" ref="D11"/>
    <hyperlink display="Sheet Link" location="'9. Lookup Functions'!A1" ref="D12"/>
    <hyperlink display="Sheet Link" location="'10. Date, Time &amp; Text Functions'!A1" ref="D13"/>
    <hyperlink display="Sheet Link" location="'11. Conditional Formatting'!A1" ref="D14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69138"/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20" max="20" width="23.63"/>
  </cols>
  <sheetData>
    <row r="1" ht="15.75" customHeight="1">
      <c r="A1" s="11" t="s">
        <v>17</v>
      </c>
      <c r="B1" s="12" t="s">
        <v>18</v>
      </c>
      <c r="C1" s="12" t="s">
        <v>19</v>
      </c>
      <c r="D1" s="12" t="s">
        <v>20</v>
      </c>
      <c r="E1" s="12" t="s">
        <v>21</v>
      </c>
      <c r="F1" s="12" t="s">
        <v>22</v>
      </c>
      <c r="G1" s="12" t="s">
        <v>23</v>
      </c>
      <c r="H1" s="12" t="s">
        <v>24</v>
      </c>
      <c r="I1" s="13" t="s">
        <v>25</v>
      </c>
      <c r="J1" s="14" t="s">
        <v>26</v>
      </c>
      <c r="K1" s="12" t="s">
        <v>27</v>
      </c>
      <c r="L1" s="12" t="s">
        <v>28</v>
      </c>
      <c r="M1" s="12" t="s">
        <v>29</v>
      </c>
      <c r="N1" s="12" t="s">
        <v>30</v>
      </c>
      <c r="O1" s="12" t="s">
        <v>31</v>
      </c>
      <c r="P1" s="12" t="s">
        <v>32</v>
      </c>
      <c r="Q1" s="12" t="s">
        <v>33</v>
      </c>
      <c r="R1" s="12" t="s">
        <v>34</v>
      </c>
      <c r="T1" s="15" t="s">
        <v>35</v>
      </c>
    </row>
    <row r="2" ht="15.75" customHeight="1">
      <c r="A2" s="16">
        <v>2016.0</v>
      </c>
      <c r="B2" s="17" t="s">
        <v>36</v>
      </c>
      <c r="C2" s="17" t="s">
        <v>37</v>
      </c>
      <c r="D2" s="17" t="s">
        <v>38</v>
      </c>
      <c r="E2" s="17" t="s">
        <v>39</v>
      </c>
      <c r="F2" s="17" t="s">
        <v>40</v>
      </c>
      <c r="G2" s="17" t="s">
        <v>41</v>
      </c>
      <c r="H2" s="17" t="s">
        <v>42</v>
      </c>
      <c r="I2" s="18">
        <v>9.81</v>
      </c>
      <c r="J2" s="18">
        <f>IF(EXACT(K2,"seconds"),I2,I2/TIME(0,0,60))</f>
        <v>9.81</v>
      </c>
      <c r="K2" s="17" t="s">
        <v>43</v>
      </c>
      <c r="L2" s="17" t="b">
        <v>0</v>
      </c>
      <c r="M2" s="17" t="b">
        <v>1</v>
      </c>
      <c r="N2" s="17">
        <v>29.0</v>
      </c>
      <c r="O2" s="17">
        <v>195.0</v>
      </c>
      <c r="P2" s="17">
        <v>94.0</v>
      </c>
      <c r="Q2" s="17" t="s">
        <v>44</v>
      </c>
      <c r="R2" s="17">
        <v>100.0</v>
      </c>
    </row>
    <row r="3" ht="15.75" customHeight="1">
      <c r="A3" s="16">
        <v>2016.0</v>
      </c>
      <c r="B3" s="17" t="s">
        <v>36</v>
      </c>
      <c r="C3" s="17" t="s">
        <v>37</v>
      </c>
      <c r="D3" s="17" t="s">
        <v>45</v>
      </c>
      <c r="E3" s="17" t="s">
        <v>46</v>
      </c>
      <c r="F3" s="17" t="s">
        <v>47</v>
      </c>
      <c r="G3" s="17" t="s">
        <v>48</v>
      </c>
      <c r="H3" s="17" t="s">
        <v>49</v>
      </c>
      <c r="I3" s="18" t="s">
        <v>50</v>
      </c>
      <c r="J3" s="19">
        <f>IF(EXACT(K3,"seconds"),I3,TIME(0,0,60))</f>
        <v>0.0006944444444</v>
      </c>
      <c r="K3" s="17" t="s">
        <v>51</v>
      </c>
      <c r="L3" s="17" t="b">
        <v>0</v>
      </c>
      <c r="M3" s="17" t="b">
        <v>0</v>
      </c>
      <c r="N3" s="17">
        <v>31.0</v>
      </c>
      <c r="O3" s="17">
        <v>193.0</v>
      </c>
      <c r="P3" s="17">
        <v>88.0</v>
      </c>
      <c r="Q3" s="17" t="s">
        <v>44</v>
      </c>
      <c r="R3" s="17">
        <v>100.0</v>
      </c>
    </row>
    <row r="4" ht="15.75" customHeight="1">
      <c r="A4" s="16">
        <v>2016.0</v>
      </c>
      <c r="B4" s="17" t="s">
        <v>36</v>
      </c>
      <c r="C4" s="17" t="s">
        <v>37</v>
      </c>
      <c r="D4" s="17" t="s">
        <v>52</v>
      </c>
      <c r="E4" s="17" t="s">
        <v>46</v>
      </c>
      <c r="F4" s="17" t="s">
        <v>53</v>
      </c>
      <c r="G4" s="17" t="s">
        <v>54</v>
      </c>
      <c r="H4" s="17" t="s">
        <v>55</v>
      </c>
      <c r="I4" s="18">
        <v>15.966</v>
      </c>
      <c r="J4" s="17" t="str">
        <f t="shared" ref="J4:J51" si="1">IF(OR(EXACT(K4,"minutes"),EXACT(K4,"seconds")),"TIME","NOT_A_TIME")</f>
        <v>NOT_A_TIME</v>
      </c>
      <c r="K4" s="17" t="s">
        <v>56</v>
      </c>
      <c r="L4" s="17" t="b">
        <v>1</v>
      </c>
      <c r="M4" s="17" t="b">
        <v>1</v>
      </c>
      <c r="N4" s="17">
        <v>19.0</v>
      </c>
      <c r="O4" s="17">
        <v>142.0</v>
      </c>
      <c r="P4" s="17">
        <v>47.0</v>
      </c>
      <c r="Q4" s="17" t="s">
        <v>57</v>
      </c>
      <c r="R4" s="17">
        <v>50.0</v>
      </c>
    </row>
    <row r="5" ht="15.75" customHeight="1">
      <c r="A5" s="16">
        <v>2016.0</v>
      </c>
      <c r="B5" s="17" t="s">
        <v>36</v>
      </c>
      <c r="C5" s="17" t="s">
        <v>37</v>
      </c>
      <c r="D5" s="17" t="s">
        <v>58</v>
      </c>
      <c r="E5" s="17" t="s">
        <v>59</v>
      </c>
      <c r="F5" s="17" t="s">
        <v>40</v>
      </c>
      <c r="G5" s="17" t="s">
        <v>60</v>
      </c>
      <c r="H5" s="17" t="s">
        <v>42</v>
      </c>
      <c r="I5" s="18" t="s">
        <v>61</v>
      </c>
      <c r="J5" s="17" t="str">
        <f t="shared" si="1"/>
        <v>TIME</v>
      </c>
      <c r="K5" s="17" t="s">
        <v>51</v>
      </c>
      <c r="L5" s="17" t="b">
        <v>0</v>
      </c>
      <c r="M5" s="17" t="b">
        <v>1</v>
      </c>
      <c r="N5" s="17">
        <v>33.0</v>
      </c>
      <c r="O5" s="17">
        <v>165.0</v>
      </c>
      <c r="P5" s="17">
        <v>58.0</v>
      </c>
      <c r="Q5" s="17" t="s">
        <v>44</v>
      </c>
      <c r="R5" s="17">
        <v>100.0</v>
      </c>
    </row>
    <row r="6" ht="15.75" customHeight="1">
      <c r="A6" s="16">
        <v>2016.0</v>
      </c>
      <c r="B6" s="17" t="s">
        <v>36</v>
      </c>
      <c r="C6" s="17" t="s">
        <v>37</v>
      </c>
      <c r="D6" s="17" t="s">
        <v>62</v>
      </c>
      <c r="E6" s="17" t="s">
        <v>46</v>
      </c>
      <c r="F6" s="17" t="s">
        <v>47</v>
      </c>
      <c r="G6" s="17" t="s">
        <v>63</v>
      </c>
      <c r="H6" s="17" t="s">
        <v>49</v>
      </c>
      <c r="I6" s="18" t="s">
        <v>64</v>
      </c>
      <c r="J6" s="17" t="str">
        <f t="shared" si="1"/>
        <v>TIME</v>
      </c>
      <c r="K6" s="17" t="s">
        <v>51</v>
      </c>
      <c r="L6" s="17" t="b">
        <v>1</v>
      </c>
      <c r="M6" s="17" t="b">
        <v>1</v>
      </c>
      <c r="N6" s="17">
        <v>19.0</v>
      </c>
      <c r="O6" s="17">
        <v>183.0</v>
      </c>
      <c r="P6" s="17">
        <v>73.0</v>
      </c>
      <c r="Q6" s="17" t="s">
        <v>57</v>
      </c>
      <c r="R6" s="20" t="s">
        <v>65</v>
      </c>
    </row>
    <row r="7" ht="15.75" customHeight="1">
      <c r="A7" s="16">
        <v>2012.0</v>
      </c>
      <c r="B7" s="17" t="s">
        <v>36</v>
      </c>
      <c r="C7" s="17" t="s">
        <v>66</v>
      </c>
      <c r="D7" s="17" t="s">
        <v>38</v>
      </c>
      <c r="E7" s="17" t="s">
        <v>39</v>
      </c>
      <c r="F7" s="17" t="s">
        <v>40</v>
      </c>
      <c r="G7" s="17" t="s">
        <v>67</v>
      </c>
      <c r="H7" s="17" t="s">
        <v>55</v>
      </c>
      <c r="I7" s="18">
        <v>19.32</v>
      </c>
      <c r="J7" s="17" t="str">
        <f t="shared" si="1"/>
        <v>TIME</v>
      </c>
      <c r="K7" s="17" t="s">
        <v>43</v>
      </c>
      <c r="L7" s="17" t="b">
        <v>0</v>
      </c>
      <c r="M7" s="17" t="b">
        <v>1</v>
      </c>
      <c r="N7" s="17">
        <v>25.0</v>
      </c>
      <c r="O7" s="17">
        <v>195.0</v>
      </c>
      <c r="P7" s="17">
        <v>94.0</v>
      </c>
      <c r="Q7" s="17" t="s">
        <v>44</v>
      </c>
      <c r="R7" s="17">
        <v>100.0</v>
      </c>
    </row>
    <row r="8" ht="15.75" customHeight="1">
      <c r="A8" s="16" t="s">
        <v>68</v>
      </c>
      <c r="B8" s="17" t="s">
        <v>36</v>
      </c>
      <c r="C8" s="17" t="s">
        <v>66</v>
      </c>
      <c r="D8" s="17" t="s">
        <v>69</v>
      </c>
      <c r="E8" s="17" t="s">
        <v>46</v>
      </c>
      <c r="F8" s="17" t="s">
        <v>47</v>
      </c>
      <c r="G8" s="17" t="s">
        <v>70</v>
      </c>
      <c r="H8" s="17" t="s">
        <v>42</v>
      </c>
      <c r="I8" s="18" t="s">
        <v>71</v>
      </c>
      <c r="J8" s="17" t="str">
        <f t="shared" si="1"/>
        <v>TIME</v>
      </c>
      <c r="K8" s="17" t="s">
        <v>51</v>
      </c>
      <c r="L8" s="17" t="b">
        <v>1</v>
      </c>
      <c r="M8" s="17" t="b">
        <v>1</v>
      </c>
      <c r="N8" s="17">
        <v>17.0</v>
      </c>
      <c r="O8" s="17">
        <v>188.0</v>
      </c>
      <c r="P8" s="17">
        <v>75.0</v>
      </c>
      <c r="Q8" s="17" t="s">
        <v>57</v>
      </c>
      <c r="R8" s="17">
        <v>50.0</v>
      </c>
    </row>
    <row r="9" ht="15.75" customHeight="1">
      <c r="A9" s="16">
        <v>2012.0</v>
      </c>
      <c r="B9" s="17" t="s">
        <v>36</v>
      </c>
      <c r="C9" s="17" t="s">
        <v>66</v>
      </c>
      <c r="D9" s="17" t="s">
        <v>72</v>
      </c>
      <c r="E9" s="17" t="s">
        <v>46</v>
      </c>
      <c r="F9" s="17" t="s">
        <v>53</v>
      </c>
      <c r="G9" s="17" t="s">
        <v>73</v>
      </c>
      <c r="H9" s="17" t="s">
        <v>49</v>
      </c>
      <c r="I9" s="18">
        <v>62.232</v>
      </c>
      <c r="J9" s="17" t="str">
        <f t="shared" si="1"/>
        <v>NOT_A_TIME</v>
      </c>
      <c r="K9" s="17" t="s">
        <v>56</v>
      </c>
      <c r="L9" s="17" t="b">
        <v>0</v>
      </c>
      <c r="M9" s="17" t="b">
        <v>0</v>
      </c>
      <c r="N9" s="17">
        <v>16.0</v>
      </c>
      <c r="O9" s="17">
        <v>157.0</v>
      </c>
      <c r="P9" s="17">
        <v>50.0</v>
      </c>
      <c r="Q9" s="17" t="s">
        <v>57</v>
      </c>
      <c r="R9" s="17">
        <v>75.0</v>
      </c>
    </row>
    <row r="10" ht="15.75" customHeight="1">
      <c r="A10" s="16">
        <v>2012.0</v>
      </c>
      <c r="B10" s="17" t="s">
        <v>36</v>
      </c>
      <c r="C10" s="17" t="s">
        <v>66</v>
      </c>
      <c r="D10" s="17" t="s">
        <v>74</v>
      </c>
      <c r="E10" s="17" t="s">
        <v>75</v>
      </c>
      <c r="F10" s="17" t="s">
        <v>40</v>
      </c>
      <c r="G10" s="17" t="s">
        <v>76</v>
      </c>
      <c r="H10" s="17" t="s">
        <v>55</v>
      </c>
      <c r="I10" s="18" t="s">
        <v>77</v>
      </c>
      <c r="J10" s="17" t="str">
        <f t="shared" si="1"/>
        <v>TIME</v>
      </c>
      <c r="K10" s="17" t="s">
        <v>51</v>
      </c>
      <c r="L10" s="17" t="b">
        <v>1</v>
      </c>
      <c r="M10" s="17" t="b">
        <v>1</v>
      </c>
      <c r="N10" s="17">
        <v>23.0</v>
      </c>
      <c r="O10" s="17">
        <v>190.0</v>
      </c>
      <c r="P10" s="17">
        <v>76.0</v>
      </c>
      <c r="Q10" s="17" t="s">
        <v>44</v>
      </c>
      <c r="R10" s="20" t="s">
        <v>65</v>
      </c>
    </row>
    <row r="11" ht="15.75" customHeight="1">
      <c r="A11" s="16">
        <v>2012.0</v>
      </c>
      <c r="B11" s="17" t="s">
        <v>36</v>
      </c>
      <c r="C11" s="17" t="s">
        <v>66</v>
      </c>
      <c r="D11" s="17" t="s">
        <v>78</v>
      </c>
      <c r="E11" s="17" t="s">
        <v>79</v>
      </c>
      <c r="F11" s="17" t="s">
        <v>47</v>
      </c>
      <c r="G11" s="17" t="s">
        <v>80</v>
      </c>
      <c r="H11" s="17" t="s">
        <v>42</v>
      </c>
      <c r="I11" s="18" t="s">
        <v>81</v>
      </c>
      <c r="J11" s="17" t="str">
        <f t="shared" si="1"/>
        <v>TIME</v>
      </c>
      <c r="K11" s="17" t="s">
        <v>51</v>
      </c>
      <c r="L11" s="17" t="b">
        <v>1</v>
      </c>
      <c r="M11" s="17" t="b">
        <v>1</v>
      </c>
      <c r="N11" s="17">
        <v>16.0</v>
      </c>
      <c r="O11" s="17">
        <v>172.0</v>
      </c>
      <c r="P11" s="17">
        <v>64.0</v>
      </c>
      <c r="Q11" s="17" t="s">
        <v>57</v>
      </c>
      <c r="R11" s="17">
        <v>75.0</v>
      </c>
    </row>
    <row r="12" ht="15.75" customHeight="1">
      <c r="A12" s="16">
        <v>2008.0</v>
      </c>
      <c r="B12" s="17" t="s">
        <v>36</v>
      </c>
      <c r="C12" s="17" t="s">
        <v>82</v>
      </c>
      <c r="D12" s="17" t="s">
        <v>38</v>
      </c>
      <c r="E12" s="17" t="s">
        <v>39</v>
      </c>
      <c r="F12" s="17" t="s">
        <v>40</v>
      </c>
      <c r="G12" s="17" t="s">
        <v>41</v>
      </c>
      <c r="H12" s="17" t="s">
        <v>49</v>
      </c>
      <c r="I12" s="18">
        <v>9.69</v>
      </c>
      <c r="J12" s="17" t="str">
        <f t="shared" si="1"/>
        <v>TIME</v>
      </c>
      <c r="K12" s="17" t="s">
        <v>43</v>
      </c>
      <c r="L12" s="17" t="b">
        <v>1</v>
      </c>
      <c r="M12" s="17" t="b">
        <v>1</v>
      </c>
      <c r="N12" s="17">
        <v>21.0</v>
      </c>
      <c r="O12" s="17">
        <v>195.0</v>
      </c>
      <c r="P12" s="17">
        <v>94.0</v>
      </c>
      <c r="Q12" s="17" t="s">
        <v>44</v>
      </c>
      <c r="R12" s="17" t="s">
        <v>28</v>
      </c>
    </row>
    <row r="13" ht="15.75" customHeight="1">
      <c r="A13" s="16">
        <v>2008.0</v>
      </c>
      <c r="B13" s="17" t="s">
        <v>36</v>
      </c>
      <c r="C13" s="17" t="s">
        <v>82</v>
      </c>
      <c r="D13" s="17" t="s">
        <v>45</v>
      </c>
      <c r="E13" s="17" t="s">
        <v>46</v>
      </c>
      <c r="F13" s="17" t="s">
        <v>47</v>
      </c>
      <c r="G13" s="17" t="s">
        <v>83</v>
      </c>
      <c r="H13" s="17" t="s">
        <v>55</v>
      </c>
      <c r="I13" s="18" t="s">
        <v>84</v>
      </c>
      <c r="J13" s="17" t="str">
        <f t="shared" si="1"/>
        <v>TIME</v>
      </c>
      <c r="K13" s="17" t="s">
        <v>51</v>
      </c>
      <c r="L13" s="17" t="b">
        <v>1</v>
      </c>
      <c r="M13" s="17" t="b">
        <v>1</v>
      </c>
      <c r="N13" s="17">
        <v>23.0</v>
      </c>
      <c r="O13" s="17">
        <v>193.0</v>
      </c>
      <c r="P13" s="17">
        <v>88.0</v>
      </c>
      <c r="Q13" s="17" t="s">
        <v>44</v>
      </c>
      <c r="R13" s="17" t="s">
        <v>28</v>
      </c>
    </row>
    <row r="14" ht="15.75" customHeight="1">
      <c r="A14" s="16">
        <v>2008.0</v>
      </c>
      <c r="B14" s="17" t="s">
        <v>36</v>
      </c>
      <c r="C14" s="17" t="s">
        <v>82</v>
      </c>
      <c r="D14" s="17" t="s">
        <v>85</v>
      </c>
      <c r="E14" s="17" t="s">
        <v>46</v>
      </c>
      <c r="F14" s="17" t="s">
        <v>53</v>
      </c>
      <c r="G14" s="17" t="s">
        <v>73</v>
      </c>
      <c r="H14" s="17" t="s">
        <v>42</v>
      </c>
      <c r="I14" s="18">
        <v>63.325</v>
      </c>
      <c r="J14" s="17" t="str">
        <f t="shared" si="1"/>
        <v>NOT_A_TIME</v>
      </c>
      <c r="K14" s="17" t="s">
        <v>56</v>
      </c>
      <c r="L14" s="17" t="b">
        <v>0</v>
      </c>
      <c r="M14" s="17" t="b">
        <v>0</v>
      </c>
      <c r="N14" s="17">
        <v>18.0</v>
      </c>
      <c r="O14" s="17">
        <v>160.0</v>
      </c>
      <c r="P14" s="17">
        <v>48.0</v>
      </c>
      <c r="Q14" s="17" t="s">
        <v>57</v>
      </c>
      <c r="R14" s="20" t="s">
        <v>65</v>
      </c>
    </row>
    <row r="15" ht="15.75" customHeight="1">
      <c r="A15" s="16">
        <v>2008.0</v>
      </c>
      <c r="B15" s="17" t="s">
        <v>36</v>
      </c>
      <c r="C15" s="17" t="s">
        <v>82</v>
      </c>
      <c r="D15" s="17" t="s">
        <v>86</v>
      </c>
      <c r="E15" s="17" t="s">
        <v>87</v>
      </c>
      <c r="F15" s="17" t="s">
        <v>40</v>
      </c>
      <c r="G15" s="17" t="s">
        <v>88</v>
      </c>
      <c r="H15" s="17" t="s">
        <v>49</v>
      </c>
      <c r="I15" s="18">
        <v>5.05</v>
      </c>
      <c r="J15" s="17" t="str">
        <f t="shared" si="1"/>
        <v>NOT_A_TIME</v>
      </c>
      <c r="K15" s="17" t="s">
        <v>89</v>
      </c>
      <c r="L15" s="17" t="b">
        <v>1</v>
      </c>
      <c r="M15" s="17" t="b">
        <v>1</v>
      </c>
      <c r="N15" s="17">
        <v>26.0</v>
      </c>
      <c r="O15" s="17">
        <v>174.0</v>
      </c>
      <c r="P15" s="17">
        <v>65.0</v>
      </c>
      <c r="Q15" s="17" t="s">
        <v>57</v>
      </c>
      <c r="R15" s="17" t="s">
        <v>28</v>
      </c>
    </row>
    <row r="16" ht="15.75" customHeight="1">
      <c r="A16" s="16">
        <v>2008.0</v>
      </c>
      <c r="B16" s="17" t="s">
        <v>36</v>
      </c>
      <c r="C16" s="17" t="s">
        <v>82</v>
      </c>
      <c r="D16" s="17" t="s">
        <v>90</v>
      </c>
      <c r="E16" s="17" t="s">
        <v>91</v>
      </c>
      <c r="F16" s="17" t="s">
        <v>40</v>
      </c>
      <c r="G16" s="17" t="s">
        <v>92</v>
      </c>
      <c r="H16" s="17" t="s">
        <v>55</v>
      </c>
      <c r="I16" s="18" t="s">
        <v>93</v>
      </c>
      <c r="J16" s="17" t="str">
        <f t="shared" si="1"/>
        <v>TIME</v>
      </c>
      <c r="K16" s="17" t="s">
        <v>51</v>
      </c>
      <c r="L16" s="17" t="b">
        <v>0</v>
      </c>
      <c r="M16" s="17" t="b">
        <v>1</v>
      </c>
      <c r="N16" s="17">
        <v>26.0</v>
      </c>
      <c r="O16" s="17">
        <v>160.0</v>
      </c>
      <c r="P16" s="17">
        <v>56.0</v>
      </c>
      <c r="Q16" s="17" t="s">
        <v>44</v>
      </c>
      <c r="R16" s="17" t="s">
        <v>94</v>
      </c>
    </row>
    <row r="17" ht="15.75" customHeight="1">
      <c r="A17" s="16">
        <v>2004.0</v>
      </c>
      <c r="B17" s="17" t="s">
        <v>36</v>
      </c>
      <c r="C17" s="17" t="s">
        <v>95</v>
      </c>
      <c r="D17" s="17" t="s">
        <v>45</v>
      </c>
      <c r="E17" s="17" t="s">
        <v>46</v>
      </c>
      <c r="F17" s="17" t="s">
        <v>47</v>
      </c>
      <c r="G17" s="17" t="s">
        <v>48</v>
      </c>
      <c r="H17" s="17" t="s">
        <v>42</v>
      </c>
      <c r="I17" s="18" t="s">
        <v>96</v>
      </c>
      <c r="J17" s="17" t="str">
        <f t="shared" si="1"/>
        <v>TIME</v>
      </c>
      <c r="K17" s="17" t="s">
        <v>51</v>
      </c>
      <c r="L17" s="17" t="b">
        <v>1</v>
      </c>
      <c r="M17" s="17" t="b">
        <v>1</v>
      </c>
      <c r="N17" s="17">
        <v>19.0</v>
      </c>
      <c r="O17" s="17">
        <v>193.0</v>
      </c>
      <c r="P17" s="17">
        <v>88.0</v>
      </c>
      <c r="Q17" s="17" t="s">
        <v>44</v>
      </c>
      <c r="R17" s="17" t="s">
        <v>94</v>
      </c>
    </row>
    <row r="18" ht="15.75" customHeight="1">
      <c r="A18" s="16">
        <v>2004.0</v>
      </c>
      <c r="B18" s="17" t="s">
        <v>36</v>
      </c>
      <c r="C18" s="17" t="s">
        <v>95</v>
      </c>
      <c r="D18" s="17" t="s">
        <v>97</v>
      </c>
      <c r="E18" s="17" t="s">
        <v>79</v>
      </c>
      <c r="F18" s="17" t="s">
        <v>40</v>
      </c>
      <c r="G18" s="17" t="s">
        <v>98</v>
      </c>
      <c r="H18" s="17" t="s">
        <v>49</v>
      </c>
      <c r="I18" s="18">
        <v>12.91</v>
      </c>
      <c r="J18" s="17" t="str">
        <f t="shared" si="1"/>
        <v>TIME</v>
      </c>
      <c r="K18" s="17" t="s">
        <v>43</v>
      </c>
      <c r="L18" s="17" t="b">
        <v>1</v>
      </c>
      <c r="M18" s="17" t="b">
        <v>1</v>
      </c>
      <c r="N18" s="17">
        <v>21.0</v>
      </c>
      <c r="O18" s="17">
        <v>189.0</v>
      </c>
      <c r="P18" s="17">
        <v>85.0</v>
      </c>
      <c r="Q18" s="17" t="s">
        <v>44</v>
      </c>
      <c r="R18" s="17" t="s">
        <v>28</v>
      </c>
    </row>
    <row r="19" ht="15.75" customHeight="1">
      <c r="A19" s="16">
        <v>2004.0</v>
      </c>
      <c r="B19" s="17" t="s">
        <v>36</v>
      </c>
      <c r="C19" s="17" t="s">
        <v>95</v>
      </c>
      <c r="D19" s="17" t="s">
        <v>99</v>
      </c>
      <c r="E19" s="17" t="s">
        <v>46</v>
      </c>
      <c r="F19" s="17" t="s">
        <v>53</v>
      </c>
      <c r="G19" s="17" t="s">
        <v>73</v>
      </c>
      <c r="H19" s="17" t="s">
        <v>55</v>
      </c>
      <c r="I19" s="18">
        <v>38.387</v>
      </c>
      <c r="J19" s="17" t="str">
        <f t="shared" si="1"/>
        <v>NOT_A_TIME</v>
      </c>
      <c r="K19" s="17" t="s">
        <v>56</v>
      </c>
      <c r="L19" s="17" t="b">
        <v>0</v>
      </c>
      <c r="M19" s="17" t="b">
        <v>0</v>
      </c>
      <c r="N19" s="17">
        <v>16.0</v>
      </c>
      <c r="O19" s="17">
        <v>152.0</v>
      </c>
      <c r="P19" s="17">
        <v>42.0</v>
      </c>
      <c r="Q19" s="17" t="s">
        <v>57</v>
      </c>
      <c r="R19" s="20" t="s">
        <v>65</v>
      </c>
    </row>
    <row r="20" ht="15.75" customHeight="1">
      <c r="A20" s="16">
        <v>2004.0</v>
      </c>
      <c r="B20" s="17" t="s">
        <v>36</v>
      </c>
      <c r="C20" s="17" t="s">
        <v>95</v>
      </c>
      <c r="D20" s="17" t="s">
        <v>100</v>
      </c>
      <c r="E20" s="17" t="s">
        <v>59</v>
      </c>
      <c r="F20" s="17" t="s">
        <v>40</v>
      </c>
      <c r="G20" s="17" t="s">
        <v>76</v>
      </c>
      <c r="H20" s="17" t="s">
        <v>42</v>
      </c>
      <c r="I20" s="18" t="s">
        <v>101</v>
      </c>
      <c r="J20" s="17" t="str">
        <f t="shared" si="1"/>
        <v>TIME</v>
      </c>
      <c r="K20" s="17" t="s">
        <v>51</v>
      </c>
      <c r="L20" s="17" t="b">
        <v>0</v>
      </c>
      <c r="M20" s="17" t="b">
        <v>0</v>
      </c>
      <c r="N20" s="17">
        <v>34.0</v>
      </c>
      <c r="O20" s="17">
        <v>164.0</v>
      </c>
      <c r="P20" s="17">
        <v>57.0</v>
      </c>
      <c r="Q20" s="17" t="s">
        <v>57</v>
      </c>
      <c r="R20" s="20" t="s">
        <v>65</v>
      </c>
    </row>
    <row r="21" ht="15.75" customHeight="1">
      <c r="A21" s="16">
        <v>2004.0</v>
      </c>
      <c r="B21" s="17" t="s">
        <v>36</v>
      </c>
      <c r="C21" s="17" t="s">
        <v>95</v>
      </c>
      <c r="D21" s="17" t="s">
        <v>102</v>
      </c>
      <c r="E21" s="17" t="s">
        <v>103</v>
      </c>
      <c r="F21" s="17" t="s">
        <v>47</v>
      </c>
      <c r="G21" s="17" t="s">
        <v>104</v>
      </c>
      <c r="H21" s="17" t="s">
        <v>49</v>
      </c>
      <c r="I21" s="18">
        <v>24.58</v>
      </c>
      <c r="J21" s="17" t="str">
        <f t="shared" si="1"/>
        <v>TIME</v>
      </c>
      <c r="K21" s="17" t="s">
        <v>43</v>
      </c>
      <c r="L21" s="17" t="b">
        <v>0</v>
      </c>
      <c r="M21" s="17" t="b">
        <v>1</v>
      </c>
      <c r="N21" s="17">
        <v>30.0</v>
      </c>
      <c r="O21" s="17">
        <v>181.0</v>
      </c>
      <c r="P21" s="17">
        <v>68.0</v>
      </c>
      <c r="Q21" s="17" t="s">
        <v>57</v>
      </c>
      <c r="R21" s="20" t="s">
        <v>65</v>
      </c>
    </row>
    <row r="22" ht="15.75" customHeight="1">
      <c r="A22" s="16">
        <v>2000.0</v>
      </c>
      <c r="B22" s="17" t="s">
        <v>36</v>
      </c>
      <c r="C22" s="17" t="s">
        <v>105</v>
      </c>
      <c r="D22" s="17" t="s">
        <v>106</v>
      </c>
      <c r="E22" s="17" t="s">
        <v>46</v>
      </c>
      <c r="F22" s="17" t="s">
        <v>40</v>
      </c>
      <c r="G22" s="17" t="s">
        <v>41</v>
      </c>
      <c r="H22" s="17" t="s">
        <v>55</v>
      </c>
      <c r="I22" s="18">
        <v>10.75</v>
      </c>
      <c r="J22" s="17" t="str">
        <f t="shared" si="1"/>
        <v>TIME</v>
      </c>
      <c r="K22" s="17" t="s">
        <v>43</v>
      </c>
      <c r="L22" s="17" t="b">
        <v>0</v>
      </c>
      <c r="M22" s="17" t="b">
        <v>0</v>
      </c>
      <c r="N22" s="17">
        <v>24.0</v>
      </c>
      <c r="O22" s="17">
        <v>178.0</v>
      </c>
      <c r="P22" s="17">
        <v>68.0</v>
      </c>
      <c r="Q22" s="17" t="s">
        <v>57</v>
      </c>
      <c r="R22" s="17" t="s">
        <v>107</v>
      </c>
    </row>
    <row r="23" ht="15.75" customHeight="1">
      <c r="A23" s="16">
        <v>2000.0</v>
      </c>
      <c r="B23" s="17" t="s">
        <v>36</v>
      </c>
      <c r="C23" s="17" t="s">
        <v>105</v>
      </c>
      <c r="D23" s="17" t="s">
        <v>108</v>
      </c>
      <c r="E23" s="17" t="s">
        <v>109</v>
      </c>
      <c r="F23" s="17" t="s">
        <v>47</v>
      </c>
      <c r="G23" s="17" t="s">
        <v>110</v>
      </c>
      <c r="H23" s="17" t="s">
        <v>42</v>
      </c>
      <c r="I23" s="18" t="s">
        <v>111</v>
      </c>
      <c r="J23" s="17" t="str">
        <f t="shared" si="1"/>
        <v>TIME</v>
      </c>
      <c r="K23" s="17" t="s">
        <v>51</v>
      </c>
      <c r="L23" s="17" t="b">
        <v>1</v>
      </c>
      <c r="M23" s="17" t="b">
        <v>1</v>
      </c>
      <c r="N23" s="17">
        <v>17.0</v>
      </c>
      <c r="O23" s="17">
        <v>195.0</v>
      </c>
      <c r="P23" s="17">
        <v>104.0</v>
      </c>
      <c r="Q23" s="17" t="s">
        <v>44</v>
      </c>
      <c r="R23" s="17" t="s">
        <v>28</v>
      </c>
    </row>
    <row r="24" ht="15.75" customHeight="1">
      <c r="A24" s="16">
        <v>2000.0</v>
      </c>
      <c r="B24" s="17" t="s">
        <v>36</v>
      </c>
      <c r="C24" s="17" t="s">
        <v>105</v>
      </c>
      <c r="D24" s="17" t="s">
        <v>112</v>
      </c>
      <c r="E24" s="17" t="s">
        <v>87</v>
      </c>
      <c r="F24" s="17" t="s">
        <v>53</v>
      </c>
      <c r="G24" s="17" t="s">
        <v>73</v>
      </c>
      <c r="H24" s="17" t="s">
        <v>49</v>
      </c>
      <c r="I24" s="18">
        <v>58.474</v>
      </c>
      <c r="J24" s="17" t="str">
        <f t="shared" si="1"/>
        <v>NOT_A_TIME</v>
      </c>
      <c r="K24" s="17" t="s">
        <v>56</v>
      </c>
      <c r="L24" s="17" t="b">
        <v>0</v>
      </c>
      <c r="M24" s="17" t="b">
        <v>0</v>
      </c>
      <c r="N24" s="17">
        <v>24.0</v>
      </c>
      <c r="O24" s="17">
        <v>168.0</v>
      </c>
      <c r="P24" s="17">
        <v>62.0</v>
      </c>
      <c r="Q24" s="17" t="s">
        <v>44</v>
      </c>
      <c r="R24" s="20" t="s">
        <v>65</v>
      </c>
    </row>
    <row r="25" ht="15.75" customHeight="1">
      <c r="A25" s="16">
        <v>2000.0</v>
      </c>
      <c r="B25" s="17" t="s">
        <v>36</v>
      </c>
      <c r="C25" s="17" t="s">
        <v>105</v>
      </c>
      <c r="D25" s="17" t="s">
        <v>113</v>
      </c>
      <c r="E25" s="17" t="s">
        <v>109</v>
      </c>
      <c r="F25" s="17" t="s">
        <v>40</v>
      </c>
      <c r="G25" s="17" t="s">
        <v>114</v>
      </c>
      <c r="H25" s="17" t="s">
        <v>55</v>
      </c>
      <c r="I25" s="18">
        <v>49.11</v>
      </c>
      <c r="J25" s="17" t="str">
        <f t="shared" si="1"/>
        <v>TIME</v>
      </c>
      <c r="K25" s="17" t="s">
        <v>43</v>
      </c>
      <c r="L25" s="17" t="b">
        <v>0</v>
      </c>
      <c r="M25" s="17" t="b">
        <v>0</v>
      </c>
      <c r="N25" s="17">
        <v>27.0</v>
      </c>
      <c r="O25" s="17">
        <v>164.0</v>
      </c>
      <c r="P25" s="17">
        <v>56.0</v>
      </c>
      <c r="Q25" s="17" t="s">
        <v>57</v>
      </c>
      <c r="R25" s="20" t="s">
        <v>65</v>
      </c>
    </row>
    <row r="26" ht="15.75" customHeight="1">
      <c r="A26" s="16">
        <v>2000.0</v>
      </c>
      <c r="B26" s="17" t="s">
        <v>36</v>
      </c>
      <c r="C26" s="17" t="s">
        <v>105</v>
      </c>
      <c r="D26" s="17" t="s">
        <v>115</v>
      </c>
      <c r="E26" s="17" t="s">
        <v>46</v>
      </c>
      <c r="F26" s="17" t="s">
        <v>47</v>
      </c>
      <c r="G26" s="17" t="s">
        <v>70</v>
      </c>
      <c r="H26" s="17" t="s">
        <v>42</v>
      </c>
      <c r="I26" s="18" t="s">
        <v>116</v>
      </c>
      <c r="J26" s="17" t="str">
        <f t="shared" si="1"/>
        <v>TIME</v>
      </c>
      <c r="K26" s="17" t="s">
        <v>51</v>
      </c>
      <c r="L26" s="17" t="b">
        <v>1</v>
      </c>
      <c r="M26" s="17" t="b">
        <v>1</v>
      </c>
      <c r="N26" s="17">
        <v>24.0</v>
      </c>
      <c r="O26" s="17">
        <v>193.0</v>
      </c>
      <c r="P26" s="17">
        <v>89.0</v>
      </c>
      <c r="Q26" s="17" t="s">
        <v>44</v>
      </c>
      <c r="R26" s="17" t="s">
        <v>94</v>
      </c>
    </row>
    <row r="27" ht="15.75" customHeight="1">
      <c r="A27" s="16">
        <v>1996.0</v>
      </c>
      <c r="B27" s="17" t="s">
        <v>36</v>
      </c>
      <c r="C27" s="17" t="s">
        <v>117</v>
      </c>
      <c r="D27" s="17" t="s">
        <v>118</v>
      </c>
      <c r="E27" s="17" t="s">
        <v>46</v>
      </c>
      <c r="F27" s="17" t="s">
        <v>40</v>
      </c>
      <c r="G27" s="17" t="s">
        <v>67</v>
      </c>
      <c r="H27" s="17" t="s">
        <v>49</v>
      </c>
      <c r="I27" s="18">
        <v>19.32</v>
      </c>
      <c r="J27" s="17" t="str">
        <f t="shared" si="1"/>
        <v>TIME</v>
      </c>
      <c r="K27" s="17" t="s">
        <v>43</v>
      </c>
      <c r="L27" s="17" t="b">
        <v>1</v>
      </c>
      <c r="M27" s="17" t="b">
        <v>1</v>
      </c>
      <c r="N27" s="17">
        <v>28.0</v>
      </c>
      <c r="O27" s="17">
        <v>185.0</v>
      </c>
      <c r="P27" s="17">
        <v>75.0</v>
      </c>
      <c r="Q27" s="17" t="s">
        <v>44</v>
      </c>
      <c r="R27" s="17" t="s">
        <v>28</v>
      </c>
    </row>
    <row r="28" ht="15.75" customHeight="1">
      <c r="A28" s="16">
        <v>1996.0</v>
      </c>
      <c r="B28" s="17" t="s">
        <v>36</v>
      </c>
      <c r="C28" s="17" t="s">
        <v>117</v>
      </c>
      <c r="D28" s="17" t="s">
        <v>119</v>
      </c>
      <c r="E28" s="17" t="s">
        <v>46</v>
      </c>
      <c r="F28" s="17" t="s">
        <v>47</v>
      </c>
      <c r="G28" s="17" t="s">
        <v>104</v>
      </c>
      <c r="H28" s="17" t="s">
        <v>55</v>
      </c>
      <c r="I28" s="18">
        <v>24.87</v>
      </c>
      <c r="J28" s="17" t="str">
        <f t="shared" si="1"/>
        <v>TIME</v>
      </c>
      <c r="K28" s="17" t="s">
        <v>43</v>
      </c>
      <c r="L28" s="17" t="b">
        <v>0</v>
      </c>
      <c r="M28" s="17" t="b">
        <v>0</v>
      </c>
      <c r="N28" s="17">
        <v>23.0</v>
      </c>
      <c r="O28" s="17">
        <v>183.0</v>
      </c>
      <c r="P28" s="17">
        <v>66.0</v>
      </c>
      <c r="Q28" s="17" t="s">
        <v>57</v>
      </c>
      <c r="R28" s="20" t="s">
        <v>65</v>
      </c>
    </row>
    <row r="29" ht="15.75" customHeight="1">
      <c r="A29" s="16">
        <v>1996.0</v>
      </c>
      <c r="B29" s="17" t="s">
        <v>36</v>
      </c>
      <c r="C29" s="17" t="s">
        <v>117</v>
      </c>
      <c r="D29" s="17" t="s">
        <v>120</v>
      </c>
      <c r="E29" s="17" t="s">
        <v>121</v>
      </c>
      <c r="F29" s="17" t="s">
        <v>40</v>
      </c>
      <c r="G29" s="17" t="s">
        <v>41</v>
      </c>
      <c r="H29" s="17" t="s">
        <v>42</v>
      </c>
      <c r="I29" s="18">
        <v>9.84</v>
      </c>
      <c r="J29" s="17" t="str">
        <f t="shared" si="1"/>
        <v>TIME</v>
      </c>
      <c r="K29" s="17" t="s">
        <v>43</v>
      </c>
      <c r="L29" s="17" t="b">
        <v>1</v>
      </c>
      <c r="M29" s="17" t="b">
        <v>1</v>
      </c>
      <c r="N29" s="17">
        <v>28.0</v>
      </c>
      <c r="O29" s="17">
        <v>185.0</v>
      </c>
      <c r="P29" s="17">
        <v>82.0</v>
      </c>
      <c r="Q29" s="17" t="s">
        <v>44</v>
      </c>
      <c r="R29" s="17" t="s">
        <v>28</v>
      </c>
    </row>
    <row r="30" ht="15.75" customHeight="1">
      <c r="A30" s="16">
        <v>1996.0</v>
      </c>
      <c r="B30" s="17" t="s">
        <v>36</v>
      </c>
      <c r="C30" s="17" t="s">
        <v>117</v>
      </c>
      <c r="D30" s="17" t="s">
        <v>122</v>
      </c>
      <c r="E30" s="17" t="s">
        <v>123</v>
      </c>
      <c r="F30" s="17" t="s">
        <v>53</v>
      </c>
      <c r="G30" s="17" t="s">
        <v>73</v>
      </c>
      <c r="H30" s="17" t="s">
        <v>49</v>
      </c>
      <c r="I30" s="18">
        <v>39.255</v>
      </c>
      <c r="J30" s="17" t="str">
        <f t="shared" si="1"/>
        <v>NOT_A_TIME</v>
      </c>
      <c r="K30" s="17" t="s">
        <v>56</v>
      </c>
      <c r="L30" s="17" t="b">
        <v>0</v>
      </c>
      <c r="M30" s="17" t="b">
        <v>0</v>
      </c>
      <c r="N30" s="17">
        <v>17.0</v>
      </c>
      <c r="O30" s="17">
        <v>154.0</v>
      </c>
      <c r="P30" s="17">
        <v>38.0</v>
      </c>
      <c r="Q30" s="17" t="s">
        <v>57</v>
      </c>
      <c r="R30" s="20" t="s">
        <v>65</v>
      </c>
    </row>
    <row r="31" ht="15.75" customHeight="1">
      <c r="A31" s="16">
        <v>1996.0</v>
      </c>
      <c r="B31" s="17" t="s">
        <v>36</v>
      </c>
      <c r="C31" s="17" t="s">
        <v>117</v>
      </c>
      <c r="D31" s="17" t="s">
        <v>124</v>
      </c>
      <c r="E31" s="17" t="s">
        <v>125</v>
      </c>
      <c r="F31" s="17" t="s">
        <v>47</v>
      </c>
      <c r="G31" s="17" t="s">
        <v>126</v>
      </c>
      <c r="H31" s="17" t="s">
        <v>55</v>
      </c>
      <c r="I31" s="18" t="s">
        <v>127</v>
      </c>
      <c r="J31" s="17" t="str">
        <f t="shared" si="1"/>
        <v>TIME</v>
      </c>
      <c r="K31" s="17" t="s">
        <v>51</v>
      </c>
      <c r="L31" s="17" t="b">
        <v>1</v>
      </c>
      <c r="M31" s="17" t="b">
        <v>1</v>
      </c>
      <c r="N31" s="17">
        <v>21.0</v>
      </c>
      <c r="O31" s="17">
        <v>178.0</v>
      </c>
      <c r="P31" s="17">
        <v>70.0</v>
      </c>
      <c r="Q31" s="17" t="s">
        <v>57</v>
      </c>
      <c r="R31" s="17" t="s">
        <v>28</v>
      </c>
    </row>
    <row r="32" ht="15.75" customHeight="1">
      <c r="A32" s="16">
        <v>1992.0</v>
      </c>
      <c r="B32" s="17" t="s">
        <v>36</v>
      </c>
      <c r="C32" s="17" t="s">
        <v>128</v>
      </c>
      <c r="D32" s="17" t="s">
        <v>129</v>
      </c>
      <c r="E32" s="17" t="s">
        <v>59</v>
      </c>
      <c r="F32" s="17" t="s">
        <v>40</v>
      </c>
      <c r="G32" s="17" t="s">
        <v>41</v>
      </c>
      <c r="H32" s="17" t="s">
        <v>42</v>
      </c>
      <c r="I32" s="18">
        <v>9.96</v>
      </c>
      <c r="J32" s="17" t="str">
        <f t="shared" si="1"/>
        <v>TIME</v>
      </c>
      <c r="K32" s="17" t="s">
        <v>43</v>
      </c>
      <c r="L32" s="17" t="b">
        <v>0</v>
      </c>
      <c r="M32" s="17" t="b">
        <v>0</v>
      </c>
      <c r="N32" s="17">
        <v>32.0</v>
      </c>
      <c r="O32" s="17">
        <v>188.0</v>
      </c>
      <c r="P32" s="17">
        <v>86.0</v>
      </c>
      <c r="Q32" s="17" t="s">
        <v>44</v>
      </c>
      <c r="R32" s="20" t="s">
        <v>65</v>
      </c>
    </row>
    <row r="33" ht="15.75" customHeight="1">
      <c r="A33" s="16">
        <v>1992.0</v>
      </c>
      <c r="B33" s="17" t="s">
        <v>36</v>
      </c>
      <c r="C33" s="17" t="s">
        <v>128</v>
      </c>
      <c r="D33" s="17" t="s">
        <v>130</v>
      </c>
      <c r="E33" s="17" t="s">
        <v>131</v>
      </c>
      <c r="F33" s="17" t="s">
        <v>53</v>
      </c>
      <c r="G33" s="17" t="s">
        <v>73</v>
      </c>
      <c r="H33" s="17" t="s">
        <v>49</v>
      </c>
      <c r="I33" s="18">
        <v>59.025</v>
      </c>
      <c r="J33" s="17" t="str">
        <f t="shared" si="1"/>
        <v>NOT_A_TIME</v>
      </c>
      <c r="K33" s="17" t="s">
        <v>56</v>
      </c>
      <c r="L33" s="17" t="b">
        <v>0</v>
      </c>
      <c r="M33" s="17" t="b">
        <v>0</v>
      </c>
      <c r="N33" s="17">
        <v>20.0</v>
      </c>
      <c r="O33" s="17">
        <v>168.0</v>
      </c>
      <c r="P33" s="17">
        <v>64.0</v>
      </c>
      <c r="Q33" s="17" t="s">
        <v>44</v>
      </c>
      <c r="R33" s="20" t="s">
        <v>65</v>
      </c>
    </row>
    <row r="34" ht="15.75" customHeight="1">
      <c r="A34" s="16">
        <v>1992.0</v>
      </c>
      <c r="B34" s="17" t="s">
        <v>36</v>
      </c>
      <c r="C34" s="17" t="s">
        <v>128</v>
      </c>
      <c r="D34" s="17" t="s">
        <v>132</v>
      </c>
      <c r="E34" s="17" t="s">
        <v>133</v>
      </c>
      <c r="F34" s="17" t="s">
        <v>47</v>
      </c>
      <c r="G34" s="17" t="s">
        <v>70</v>
      </c>
      <c r="H34" s="17" t="s">
        <v>55</v>
      </c>
      <c r="I34" s="18" t="s">
        <v>134</v>
      </c>
      <c r="J34" s="17" t="str">
        <f t="shared" si="1"/>
        <v>TIME</v>
      </c>
      <c r="K34" s="17" t="s">
        <v>51</v>
      </c>
      <c r="L34" s="17" t="b">
        <v>1</v>
      </c>
      <c r="M34" s="17" t="b">
        <v>1</v>
      </c>
      <c r="N34" s="17">
        <v>17.0</v>
      </c>
      <c r="O34" s="17">
        <v>174.0</v>
      </c>
      <c r="P34" s="17">
        <v>61.0</v>
      </c>
      <c r="Q34" s="17" t="s">
        <v>57</v>
      </c>
      <c r="R34" s="17" t="s">
        <v>28</v>
      </c>
    </row>
    <row r="35" ht="15.75" customHeight="1">
      <c r="A35" s="16">
        <v>1992.0</v>
      </c>
      <c r="B35" s="17" t="s">
        <v>36</v>
      </c>
      <c r="C35" s="17" t="s">
        <v>128</v>
      </c>
      <c r="D35" s="17" t="s">
        <v>135</v>
      </c>
      <c r="E35" s="17" t="s">
        <v>46</v>
      </c>
      <c r="F35" s="17" t="s">
        <v>40</v>
      </c>
      <c r="G35" s="17" t="s">
        <v>136</v>
      </c>
      <c r="H35" s="17" t="s">
        <v>42</v>
      </c>
      <c r="I35" s="18">
        <v>46.78</v>
      </c>
      <c r="J35" s="17" t="str">
        <f t="shared" si="1"/>
        <v>TIME</v>
      </c>
      <c r="K35" s="17" t="s">
        <v>43</v>
      </c>
      <c r="L35" s="17" t="b">
        <v>1</v>
      </c>
      <c r="M35" s="17" t="b">
        <v>1</v>
      </c>
      <c r="N35" s="17">
        <v>25.0</v>
      </c>
      <c r="O35" s="17">
        <v>193.0</v>
      </c>
      <c r="P35" s="17">
        <v>79.0</v>
      </c>
      <c r="Q35" s="17" t="s">
        <v>44</v>
      </c>
      <c r="R35" s="17" t="s">
        <v>28</v>
      </c>
    </row>
    <row r="36" ht="15.75" customHeight="1">
      <c r="A36" s="16">
        <v>1992.0</v>
      </c>
      <c r="B36" s="17" t="s">
        <v>36</v>
      </c>
      <c r="C36" s="17" t="s">
        <v>128</v>
      </c>
      <c r="D36" s="17" t="s">
        <v>137</v>
      </c>
      <c r="E36" s="17" t="s">
        <v>46</v>
      </c>
      <c r="F36" s="17" t="s">
        <v>40</v>
      </c>
      <c r="G36" s="17" t="s">
        <v>138</v>
      </c>
      <c r="H36" s="17" t="s">
        <v>49</v>
      </c>
      <c r="I36" s="18">
        <v>42.11</v>
      </c>
      <c r="J36" s="17" t="str">
        <f t="shared" si="1"/>
        <v>TIME</v>
      </c>
      <c r="K36" s="17" t="s">
        <v>43</v>
      </c>
      <c r="L36" s="17" t="b">
        <v>1</v>
      </c>
      <c r="M36" s="17" t="b">
        <v>1</v>
      </c>
      <c r="N36" s="17">
        <v>25.0</v>
      </c>
      <c r="O36" s="17">
        <v>168.0</v>
      </c>
      <c r="P36" s="17">
        <v>56.0</v>
      </c>
      <c r="Q36" s="17" t="s">
        <v>57</v>
      </c>
      <c r="R36" s="17" t="s">
        <v>28</v>
      </c>
    </row>
    <row r="37" ht="15.75" customHeight="1">
      <c r="A37" s="16">
        <v>1988.0</v>
      </c>
      <c r="B37" s="17" t="s">
        <v>36</v>
      </c>
      <c r="C37" s="17" t="s">
        <v>139</v>
      </c>
      <c r="D37" s="17" t="s">
        <v>140</v>
      </c>
      <c r="E37" s="17" t="s">
        <v>46</v>
      </c>
      <c r="F37" s="17" t="s">
        <v>40</v>
      </c>
      <c r="G37" s="17" t="s">
        <v>41</v>
      </c>
      <c r="H37" s="17" t="s">
        <v>55</v>
      </c>
      <c r="I37" s="18">
        <v>10.54</v>
      </c>
      <c r="J37" s="17" t="str">
        <f t="shared" si="1"/>
        <v>TIME</v>
      </c>
      <c r="K37" s="17" t="s">
        <v>43</v>
      </c>
      <c r="L37" s="17" t="b">
        <v>0</v>
      </c>
      <c r="M37" s="17" t="b">
        <v>1</v>
      </c>
      <c r="N37" s="17">
        <v>28.0</v>
      </c>
      <c r="O37" s="17">
        <v>170.0</v>
      </c>
      <c r="P37" s="17">
        <v>57.0</v>
      </c>
      <c r="Q37" s="17" t="s">
        <v>57</v>
      </c>
      <c r="R37" s="17" t="s">
        <v>94</v>
      </c>
    </row>
    <row r="38" ht="15.75" customHeight="1">
      <c r="A38" s="16">
        <v>1988.0</v>
      </c>
      <c r="B38" s="17" t="s">
        <v>36</v>
      </c>
      <c r="C38" s="17" t="s">
        <v>139</v>
      </c>
      <c r="D38" s="17" t="s">
        <v>141</v>
      </c>
      <c r="E38" s="17" t="s">
        <v>46</v>
      </c>
      <c r="F38" s="17" t="s">
        <v>47</v>
      </c>
      <c r="G38" s="17" t="s">
        <v>104</v>
      </c>
      <c r="H38" s="17" t="s">
        <v>42</v>
      </c>
      <c r="I38" s="18">
        <v>22.14</v>
      </c>
      <c r="J38" s="17" t="str">
        <f t="shared" si="1"/>
        <v>TIME</v>
      </c>
      <c r="K38" s="17" t="s">
        <v>43</v>
      </c>
      <c r="L38" s="17" t="b">
        <v>1</v>
      </c>
      <c r="M38" s="17" t="b">
        <v>1</v>
      </c>
      <c r="N38" s="17">
        <v>22.0</v>
      </c>
      <c r="O38" s="17">
        <v>198.0</v>
      </c>
      <c r="P38" s="17">
        <v>91.0</v>
      </c>
      <c r="Q38" s="17" t="s">
        <v>44</v>
      </c>
      <c r="R38" s="17" t="s">
        <v>28</v>
      </c>
    </row>
    <row r="39" ht="15.75" customHeight="1">
      <c r="A39" s="16">
        <v>1988.0</v>
      </c>
      <c r="B39" s="17" t="s">
        <v>36</v>
      </c>
      <c r="C39" s="17" t="s">
        <v>139</v>
      </c>
      <c r="D39" s="17" t="s">
        <v>142</v>
      </c>
      <c r="E39" s="17" t="s">
        <v>143</v>
      </c>
      <c r="F39" s="17" t="s">
        <v>53</v>
      </c>
      <c r="G39" s="17" t="s">
        <v>54</v>
      </c>
      <c r="H39" s="17" t="s">
        <v>49</v>
      </c>
      <c r="I39" s="18">
        <v>10.0</v>
      </c>
      <c r="J39" s="17" t="str">
        <f t="shared" si="1"/>
        <v>NOT_A_TIME</v>
      </c>
      <c r="K39" s="17" t="s">
        <v>56</v>
      </c>
      <c r="L39" s="17" t="b">
        <v>0</v>
      </c>
      <c r="M39" s="17" t="b">
        <v>1</v>
      </c>
      <c r="N39" s="17">
        <v>18.0</v>
      </c>
      <c r="O39" s="17">
        <v>150.0</v>
      </c>
      <c r="P39" s="17">
        <v>39.0</v>
      </c>
      <c r="Q39" s="17" t="s">
        <v>57</v>
      </c>
      <c r="R39" s="17" t="s">
        <v>144</v>
      </c>
    </row>
    <row r="40" ht="15.75" customHeight="1">
      <c r="A40" s="16">
        <v>1988.0</v>
      </c>
      <c r="B40" s="17" t="s">
        <v>36</v>
      </c>
      <c r="C40" s="17" t="s">
        <v>139</v>
      </c>
      <c r="D40" s="17" t="s">
        <v>145</v>
      </c>
      <c r="E40" s="17" t="s">
        <v>121</v>
      </c>
      <c r="F40" s="17" t="s">
        <v>40</v>
      </c>
      <c r="G40" s="17" t="s">
        <v>41</v>
      </c>
      <c r="H40" s="17" t="s">
        <v>55</v>
      </c>
      <c r="I40" s="18">
        <v>9.79</v>
      </c>
      <c r="J40" s="17" t="str">
        <f t="shared" si="1"/>
        <v>TIME</v>
      </c>
      <c r="K40" s="17" t="s">
        <v>43</v>
      </c>
      <c r="L40" s="17" t="b">
        <v>1</v>
      </c>
      <c r="M40" s="17" t="b">
        <v>1</v>
      </c>
      <c r="N40" s="17">
        <v>26.0</v>
      </c>
      <c r="O40" s="17">
        <v>180.0</v>
      </c>
      <c r="P40" s="17">
        <v>75.0</v>
      </c>
      <c r="Q40" s="17" t="s">
        <v>44</v>
      </c>
      <c r="R40" s="17" t="s">
        <v>146</v>
      </c>
    </row>
    <row r="41" ht="15.75" customHeight="1">
      <c r="A41" s="16">
        <v>1988.0</v>
      </c>
      <c r="B41" s="17" t="s">
        <v>36</v>
      </c>
      <c r="C41" s="17" t="s">
        <v>139</v>
      </c>
      <c r="D41" s="17" t="s">
        <v>147</v>
      </c>
      <c r="E41" s="17" t="s">
        <v>46</v>
      </c>
      <c r="F41" s="17" t="s">
        <v>47</v>
      </c>
      <c r="G41" s="17" t="s">
        <v>110</v>
      </c>
      <c r="H41" s="17" t="s">
        <v>42</v>
      </c>
      <c r="I41" s="18" t="s">
        <v>148</v>
      </c>
      <c r="J41" s="17" t="str">
        <f t="shared" si="1"/>
        <v>TIME</v>
      </c>
      <c r="K41" s="17" t="s">
        <v>51</v>
      </c>
      <c r="L41" s="17" t="b">
        <v>1</v>
      </c>
      <c r="M41" s="17" t="b">
        <v>1</v>
      </c>
      <c r="N41" s="17">
        <v>17.0</v>
      </c>
      <c r="O41" s="17">
        <v>168.0</v>
      </c>
      <c r="P41" s="17">
        <v>54.0</v>
      </c>
      <c r="Q41" s="17" t="s">
        <v>57</v>
      </c>
      <c r="R41" s="17" t="s">
        <v>28</v>
      </c>
    </row>
    <row r="42" ht="15.75" customHeight="1">
      <c r="A42" s="16">
        <v>1984.0</v>
      </c>
      <c r="B42" s="17" t="s">
        <v>36</v>
      </c>
      <c r="C42" s="17" t="s">
        <v>149</v>
      </c>
      <c r="D42" s="17" t="s">
        <v>150</v>
      </c>
      <c r="E42" s="17" t="s">
        <v>46</v>
      </c>
      <c r="F42" s="17" t="s">
        <v>40</v>
      </c>
      <c r="G42" s="17" t="s">
        <v>151</v>
      </c>
      <c r="H42" s="17" t="s">
        <v>49</v>
      </c>
      <c r="I42" s="18">
        <v>8.54</v>
      </c>
      <c r="J42" s="17" t="str">
        <f t="shared" si="1"/>
        <v>NOT_A_TIME</v>
      </c>
      <c r="K42" s="17" t="s">
        <v>89</v>
      </c>
      <c r="L42" s="17" t="b">
        <v>0</v>
      </c>
      <c r="M42" s="17" t="b">
        <v>0</v>
      </c>
      <c r="N42" s="17">
        <v>23.0</v>
      </c>
      <c r="O42" s="17">
        <v>188.0</v>
      </c>
      <c r="P42" s="17">
        <v>80.0</v>
      </c>
      <c r="Q42" s="17" t="s">
        <v>44</v>
      </c>
      <c r="R42" s="20" t="s">
        <v>65</v>
      </c>
    </row>
    <row r="43" ht="15.75" customHeight="1">
      <c r="A43" s="16">
        <v>1984.0</v>
      </c>
      <c r="B43" s="17" t="s">
        <v>36</v>
      </c>
      <c r="C43" s="17" t="s">
        <v>149</v>
      </c>
      <c r="D43" s="17" t="s">
        <v>152</v>
      </c>
      <c r="E43" s="17" t="s">
        <v>46</v>
      </c>
      <c r="F43" s="17" t="s">
        <v>53</v>
      </c>
      <c r="G43" s="17" t="s">
        <v>73</v>
      </c>
      <c r="H43" s="17" t="s">
        <v>55</v>
      </c>
      <c r="I43" s="18">
        <v>79.175</v>
      </c>
      <c r="J43" s="17" t="str">
        <f t="shared" si="1"/>
        <v>NOT_A_TIME</v>
      </c>
      <c r="K43" s="17" t="s">
        <v>56</v>
      </c>
      <c r="L43" s="17" t="b">
        <v>0</v>
      </c>
      <c r="M43" s="17" t="b">
        <v>0</v>
      </c>
      <c r="N43" s="17">
        <v>16.0</v>
      </c>
      <c r="O43" s="17">
        <v>145.0</v>
      </c>
      <c r="P43" s="17">
        <v>42.0</v>
      </c>
      <c r="Q43" s="17" t="s">
        <v>57</v>
      </c>
      <c r="R43" s="20" t="s">
        <v>65</v>
      </c>
    </row>
    <row r="44" ht="15.75" customHeight="1">
      <c r="A44" s="16">
        <v>1984.0</v>
      </c>
      <c r="B44" s="17" t="s">
        <v>36</v>
      </c>
      <c r="C44" s="17" t="s">
        <v>149</v>
      </c>
      <c r="D44" s="17" t="s">
        <v>153</v>
      </c>
      <c r="E44" s="17" t="s">
        <v>46</v>
      </c>
      <c r="F44" s="17" t="s">
        <v>47</v>
      </c>
      <c r="G44" s="17" t="s">
        <v>154</v>
      </c>
      <c r="H44" s="17" t="s">
        <v>42</v>
      </c>
      <c r="I44" s="18">
        <v>49.8</v>
      </c>
      <c r="J44" s="17" t="str">
        <f t="shared" si="1"/>
        <v>TIME</v>
      </c>
      <c r="K44" s="17" t="s">
        <v>43</v>
      </c>
      <c r="L44" s="17" t="b">
        <v>0</v>
      </c>
      <c r="M44" s="17" t="b">
        <v>1</v>
      </c>
      <c r="N44" s="17">
        <v>25.0</v>
      </c>
      <c r="O44" s="17">
        <v>193.0</v>
      </c>
      <c r="P44" s="17">
        <v>82.0</v>
      </c>
      <c r="Q44" s="17" t="s">
        <v>44</v>
      </c>
      <c r="R44" s="20" t="s">
        <v>65</v>
      </c>
    </row>
    <row r="45" ht="15.75" customHeight="1">
      <c r="A45" s="16">
        <v>1984.0</v>
      </c>
      <c r="B45" s="17" t="s">
        <v>36</v>
      </c>
      <c r="C45" s="17" t="s">
        <v>149</v>
      </c>
      <c r="D45" s="17" t="s">
        <v>155</v>
      </c>
      <c r="E45" s="17" t="s">
        <v>46</v>
      </c>
      <c r="F45" s="17" t="s">
        <v>40</v>
      </c>
      <c r="G45" s="17" t="s">
        <v>156</v>
      </c>
      <c r="H45" s="17" t="s">
        <v>49</v>
      </c>
      <c r="I45" s="18">
        <v>0.10060185185185185</v>
      </c>
      <c r="J45" s="17" t="str">
        <f t="shared" si="1"/>
        <v>NOT_A_TIME</v>
      </c>
      <c r="K45" s="17" t="s">
        <v>157</v>
      </c>
      <c r="L45" s="17" t="b">
        <v>0</v>
      </c>
      <c r="M45" s="17" t="b">
        <v>0</v>
      </c>
      <c r="N45" s="17">
        <v>27.0</v>
      </c>
      <c r="O45" s="17">
        <v>155.0</v>
      </c>
      <c r="P45" s="17">
        <v>48.0</v>
      </c>
      <c r="Q45" s="17" t="s">
        <v>57</v>
      </c>
      <c r="R45" s="17" t="s">
        <v>158</v>
      </c>
    </row>
    <row r="46" ht="15.75" customHeight="1">
      <c r="A46" s="16">
        <v>1984.0</v>
      </c>
      <c r="B46" s="17" t="s">
        <v>36</v>
      </c>
      <c r="C46" s="17" t="s">
        <v>149</v>
      </c>
      <c r="D46" s="17" t="s">
        <v>159</v>
      </c>
      <c r="E46" s="17" t="s">
        <v>46</v>
      </c>
      <c r="F46" s="17" t="s">
        <v>160</v>
      </c>
      <c r="G46" s="17" t="s">
        <v>161</v>
      </c>
      <c r="H46" s="17" t="s">
        <v>55</v>
      </c>
      <c r="I46" s="18">
        <v>710.91</v>
      </c>
      <c r="J46" s="17" t="str">
        <f t="shared" si="1"/>
        <v>NOT_A_TIME</v>
      </c>
      <c r="K46" s="17" t="s">
        <v>56</v>
      </c>
      <c r="L46" s="17" t="b">
        <v>0</v>
      </c>
      <c r="M46" s="17" t="b">
        <v>1</v>
      </c>
      <c r="N46" s="17">
        <v>24.0</v>
      </c>
      <c r="O46" s="17">
        <v>175.0</v>
      </c>
      <c r="P46" s="17">
        <v>68.0</v>
      </c>
      <c r="Q46" s="17" t="s">
        <v>44</v>
      </c>
      <c r="R46" s="20" t="s">
        <v>65</v>
      </c>
    </row>
    <row r="47" ht="15.75" customHeight="1">
      <c r="A47" s="16">
        <v>1980.0</v>
      </c>
      <c r="B47" s="17" t="s">
        <v>36</v>
      </c>
      <c r="C47" s="17" t="s">
        <v>162</v>
      </c>
      <c r="D47" s="17" t="s">
        <v>163</v>
      </c>
      <c r="E47" s="17" t="s">
        <v>164</v>
      </c>
      <c r="F47" s="17" t="s">
        <v>165</v>
      </c>
      <c r="G47" s="17" t="s">
        <v>166</v>
      </c>
      <c r="H47" s="17" t="s">
        <v>42</v>
      </c>
      <c r="I47" s="18" t="s">
        <v>167</v>
      </c>
      <c r="J47" s="17" t="str">
        <f t="shared" si="1"/>
        <v>NOT_A_TIME</v>
      </c>
      <c r="K47" s="17" t="s">
        <v>167</v>
      </c>
      <c r="L47" s="17" t="b">
        <v>0</v>
      </c>
      <c r="M47" s="17" t="b">
        <v>0</v>
      </c>
      <c r="N47" s="17">
        <v>28.0</v>
      </c>
      <c r="O47" s="17">
        <v>185.0</v>
      </c>
      <c r="P47" s="17">
        <v>90.0</v>
      </c>
      <c r="Q47" s="17" t="s">
        <v>44</v>
      </c>
      <c r="R47" s="17">
        <v>60.0</v>
      </c>
    </row>
    <row r="48" ht="15.75" customHeight="1">
      <c r="A48" s="16">
        <v>1980.0</v>
      </c>
      <c r="B48" s="17" t="s">
        <v>36</v>
      </c>
      <c r="C48" s="17" t="s">
        <v>162</v>
      </c>
      <c r="D48" s="17" t="s">
        <v>168</v>
      </c>
      <c r="E48" s="17" t="s">
        <v>143</v>
      </c>
      <c r="F48" s="17" t="s">
        <v>53</v>
      </c>
      <c r="G48" s="17" t="s">
        <v>169</v>
      </c>
      <c r="H48" s="17" t="s">
        <v>49</v>
      </c>
      <c r="I48" s="18">
        <v>19.9</v>
      </c>
      <c r="J48" s="17" t="str">
        <f t="shared" si="1"/>
        <v>NOT_A_TIME</v>
      </c>
      <c r="K48" s="17" t="s">
        <v>56</v>
      </c>
      <c r="L48" s="17" t="b">
        <v>0</v>
      </c>
      <c r="M48" s="17" t="b">
        <v>1</v>
      </c>
      <c r="N48" s="17">
        <v>18.0</v>
      </c>
      <c r="O48" s="17">
        <v>160.0</v>
      </c>
      <c r="P48" s="17">
        <v>45.0</v>
      </c>
      <c r="Q48" s="17" t="s">
        <v>57</v>
      </c>
      <c r="R48" s="20" t="s">
        <v>65</v>
      </c>
    </row>
    <row r="49" ht="15.75" customHeight="1">
      <c r="A49" s="16">
        <v>1980.0</v>
      </c>
      <c r="B49" s="17" t="s">
        <v>36</v>
      </c>
      <c r="C49" s="17" t="s">
        <v>162</v>
      </c>
      <c r="D49" s="17" t="s">
        <v>170</v>
      </c>
      <c r="E49" s="17" t="s">
        <v>164</v>
      </c>
      <c r="F49" s="17" t="s">
        <v>53</v>
      </c>
      <c r="G49" s="17" t="s">
        <v>73</v>
      </c>
      <c r="H49" s="17" t="s">
        <v>55</v>
      </c>
      <c r="I49" s="18">
        <v>118.65</v>
      </c>
      <c r="J49" s="17" t="str">
        <f t="shared" si="1"/>
        <v>NOT_A_TIME</v>
      </c>
      <c r="K49" s="17" t="s">
        <v>56</v>
      </c>
      <c r="L49" s="17" t="b">
        <v>0</v>
      </c>
      <c r="M49" s="17" t="b">
        <v>0</v>
      </c>
      <c r="N49" s="17">
        <v>22.0</v>
      </c>
      <c r="O49" s="17">
        <v>169.0</v>
      </c>
      <c r="P49" s="17">
        <v>65.0</v>
      </c>
      <c r="Q49" s="17" t="s">
        <v>44</v>
      </c>
      <c r="R49" s="20" t="s">
        <v>65</v>
      </c>
    </row>
    <row r="50" ht="15.75" customHeight="1">
      <c r="A50" s="16">
        <v>1980.0</v>
      </c>
      <c r="B50" s="17" t="s">
        <v>36</v>
      </c>
      <c r="C50" s="17" t="s">
        <v>162</v>
      </c>
      <c r="D50" s="17" t="s">
        <v>171</v>
      </c>
      <c r="E50" s="17" t="s">
        <v>164</v>
      </c>
      <c r="F50" s="17" t="s">
        <v>47</v>
      </c>
      <c r="G50" s="17" t="s">
        <v>172</v>
      </c>
      <c r="H50" s="17" t="s">
        <v>42</v>
      </c>
      <c r="I50" s="18" t="s">
        <v>173</v>
      </c>
      <c r="J50" s="17" t="str">
        <f t="shared" si="1"/>
        <v>TIME</v>
      </c>
      <c r="K50" s="17" t="s">
        <v>51</v>
      </c>
      <c r="L50" s="17" t="b">
        <v>1</v>
      </c>
      <c r="M50" s="17" t="b">
        <v>1</v>
      </c>
      <c r="N50" s="17">
        <v>20.0</v>
      </c>
      <c r="O50" s="17">
        <v>190.0</v>
      </c>
      <c r="P50" s="17">
        <v>84.0</v>
      </c>
      <c r="Q50" s="17" t="s">
        <v>44</v>
      </c>
      <c r="R50" s="17" t="s">
        <v>28</v>
      </c>
    </row>
    <row r="51" ht="15.75" customHeight="1">
      <c r="A51" s="16">
        <v>1980.0</v>
      </c>
      <c r="B51" s="17" t="s">
        <v>36</v>
      </c>
      <c r="C51" s="17" t="s">
        <v>162</v>
      </c>
      <c r="D51" s="17" t="s">
        <v>174</v>
      </c>
      <c r="E51" s="17" t="s">
        <v>175</v>
      </c>
      <c r="F51" s="17" t="s">
        <v>40</v>
      </c>
      <c r="G51" s="17" t="s">
        <v>176</v>
      </c>
      <c r="H51" s="17" t="s">
        <v>49</v>
      </c>
      <c r="I51" s="18">
        <v>1.97</v>
      </c>
      <c r="J51" s="17" t="str">
        <f t="shared" si="1"/>
        <v>NOT_A_TIME</v>
      </c>
      <c r="K51" s="17" t="s">
        <v>89</v>
      </c>
      <c r="L51" s="17" t="b">
        <v>0</v>
      </c>
      <c r="M51" s="17" t="b">
        <v>1</v>
      </c>
      <c r="N51" s="17">
        <v>27.0</v>
      </c>
      <c r="O51" s="17">
        <v>178.0</v>
      </c>
      <c r="P51" s="17">
        <v>58.0</v>
      </c>
      <c r="Q51" s="17" t="s">
        <v>57</v>
      </c>
      <c r="R51" s="17" t="s">
        <v>94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🏠 Back to Table of Contents" location="'Table of Contents'!A1" ref="T1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.75"/>
    <col customWidth="1" min="3" max="3" width="16.5"/>
    <col customWidth="1" min="4" max="4" width="12.63"/>
    <col customWidth="1" min="5" max="5" width="38.13"/>
    <col customWidth="1" min="6" max="6" width="12.63"/>
    <col customWidth="1" min="7" max="7" width="24.75"/>
  </cols>
  <sheetData>
    <row r="1" ht="15.75" customHeight="1">
      <c r="A1" s="12" t="s">
        <v>30</v>
      </c>
      <c r="C1" s="21" t="s">
        <v>177</v>
      </c>
      <c r="D1" s="22"/>
      <c r="E1" s="22"/>
      <c r="G1" s="15" t="s">
        <v>35</v>
      </c>
    </row>
    <row r="2" ht="15.75" customHeight="1">
      <c r="A2" s="17">
        <v>29.0</v>
      </c>
      <c r="C2" s="23" t="s">
        <v>178</v>
      </c>
      <c r="D2" s="23">
        <f>A2+A3</f>
        <v>60</v>
      </c>
      <c r="E2" s="24" t="s">
        <v>179</v>
      </c>
    </row>
    <row r="3" ht="15.75" customHeight="1">
      <c r="A3" s="17">
        <v>31.0</v>
      </c>
      <c r="C3" s="23" t="s">
        <v>180</v>
      </c>
      <c r="D3" s="23">
        <f>A2-A3</f>
        <v>-2</v>
      </c>
      <c r="E3" s="24" t="s">
        <v>181</v>
      </c>
    </row>
    <row r="4" ht="15.75" customHeight="1">
      <c r="A4" s="17">
        <v>19.0</v>
      </c>
      <c r="C4" s="23" t="s">
        <v>182</v>
      </c>
      <c r="D4" s="23">
        <f>A2*A3</f>
        <v>899</v>
      </c>
      <c r="E4" s="24" t="s">
        <v>183</v>
      </c>
    </row>
    <row r="5" ht="15.75" customHeight="1">
      <c r="A5" s="17">
        <v>33.0</v>
      </c>
      <c r="C5" s="23" t="s">
        <v>184</v>
      </c>
      <c r="D5" s="25">
        <f>A2/A3</f>
        <v>0.935483871</v>
      </c>
      <c r="E5" s="24" t="s">
        <v>185</v>
      </c>
    </row>
    <row r="6" ht="15.75" customHeight="1">
      <c r="A6" s="17">
        <v>19.0</v>
      </c>
    </row>
    <row r="7" ht="15.75" customHeight="1">
      <c r="A7" s="17">
        <v>25.0</v>
      </c>
    </row>
    <row r="8" ht="15.75" customHeight="1">
      <c r="A8" s="17">
        <v>17.0</v>
      </c>
    </row>
    <row r="9" ht="15.75" customHeight="1">
      <c r="A9" s="17">
        <v>16.0</v>
      </c>
      <c r="C9" s="26" t="s">
        <v>186</v>
      </c>
      <c r="D9" s="22"/>
      <c r="E9" s="22"/>
    </row>
    <row r="10" ht="15.75" customHeight="1">
      <c r="A10" s="17">
        <v>23.0</v>
      </c>
      <c r="C10" s="27" t="s">
        <v>187</v>
      </c>
      <c r="D10" s="23">
        <f>AVERAGE(A2:A51)</f>
        <v>23.1</v>
      </c>
      <c r="E10" s="24" t="s">
        <v>188</v>
      </c>
    </row>
    <row r="11" ht="15.75" customHeight="1">
      <c r="A11" s="17">
        <v>16.0</v>
      </c>
      <c r="C11" s="27" t="s">
        <v>178</v>
      </c>
      <c r="D11" s="23">
        <f>SUM(A2:A51)</f>
        <v>1155</v>
      </c>
      <c r="E11" s="24" t="s">
        <v>189</v>
      </c>
    </row>
    <row r="12" ht="15.75" customHeight="1">
      <c r="A12" s="17">
        <v>21.0</v>
      </c>
      <c r="C12" s="27" t="s">
        <v>190</v>
      </c>
      <c r="D12" s="23">
        <f>COUNT(A:A)</f>
        <v>50</v>
      </c>
      <c r="E12" s="24" t="s">
        <v>191</v>
      </c>
      <c r="F12" s="28" t="s">
        <v>192</v>
      </c>
    </row>
    <row r="13" ht="15.75" customHeight="1">
      <c r="A13" s="17">
        <v>23.0</v>
      </c>
      <c r="C13" s="27" t="s">
        <v>193</v>
      </c>
      <c r="D13" s="23">
        <f>MAX(A2:A51)</f>
        <v>34</v>
      </c>
      <c r="E13" s="24" t="s">
        <v>194</v>
      </c>
    </row>
    <row r="14" ht="15.75" customHeight="1">
      <c r="A14" s="17">
        <v>18.0</v>
      </c>
      <c r="C14" s="27" t="s">
        <v>195</v>
      </c>
      <c r="D14" s="23">
        <f>MIN(A2:A51)</f>
        <v>16</v>
      </c>
      <c r="E14" s="24" t="s">
        <v>196</v>
      </c>
    </row>
    <row r="15" ht="15.75" customHeight="1">
      <c r="A15" s="17">
        <v>26.0</v>
      </c>
      <c r="C15" s="27" t="s">
        <v>197</v>
      </c>
      <c r="D15" s="25">
        <f>Sum(A2:A51)/Count(A2:A51)</f>
        <v>23.1</v>
      </c>
      <c r="E15" s="29" t="s">
        <v>198</v>
      </c>
    </row>
    <row r="16" ht="15.75" customHeight="1">
      <c r="A16" s="17">
        <v>26.0</v>
      </c>
      <c r="C16" s="27" t="s">
        <v>199</v>
      </c>
      <c r="D16" s="25">
        <f>ROUND(D15,0)</f>
        <v>23</v>
      </c>
      <c r="E16" s="24" t="s">
        <v>200</v>
      </c>
    </row>
    <row r="17" ht="15.75" customHeight="1">
      <c r="A17" s="17">
        <v>19.0</v>
      </c>
      <c r="C17" s="27" t="s">
        <v>201</v>
      </c>
      <c r="D17" s="23">
        <f>ROUNDUP(D10,0)</f>
        <v>24</v>
      </c>
      <c r="E17" s="24" t="s">
        <v>202</v>
      </c>
    </row>
    <row r="18" ht="15.75" customHeight="1">
      <c r="A18" s="17">
        <v>21.0</v>
      </c>
      <c r="C18" s="27" t="s">
        <v>203</v>
      </c>
      <c r="D18" s="23">
        <f>ROUNDDOWN(D10,0)</f>
        <v>23</v>
      </c>
      <c r="E18" s="24" t="s">
        <v>204</v>
      </c>
    </row>
    <row r="19" ht="15.75" customHeight="1">
      <c r="A19" s="17">
        <v>16.0</v>
      </c>
    </row>
    <row r="20" ht="15.75" customHeight="1">
      <c r="A20" s="17">
        <v>34.0</v>
      </c>
    </row>
    <row r="21" ht="15.75" customHeight="1">
      <c r="A21" s="17">
        <v>30.0</v>
      </c>
    </row>
    <row r="22" ht="15.75" customHeight="1">
      <c r="A22" s="17">
        <v>24.0</v>
      </c>
    </row>
    <row r="23" ht="15.75" customHeight="1">
      <c r="A23" s="17">
        <v>17.0</v>
      </c>
    </row>
    <row r="24" ht="15.75" customHeight="1">
      <c r="A24" s="17">
        <v>24.0</v>
      </c>
    </row>
    <row r="25" ht="15.75" customHeight="1">
      <c r="A25" s="17">
        <v>27.0</v>
      </c>
    </row>
    <row r="26" ht="15.75" customHeight="1">
      <c r="A26" s="17">
        <v>24.0</v>
      </c>
    </row>
    <row r="27" ht="15.75" customHeight="1">
      <c r="A27" s="17">
        <v>28.0</v>
      </c>
    </row>
    <row r="28" ht="15.75" customHeight="1">
      <c r="A28" s="17">
        <v>23.0</v>
      </c>
    </row>
    <row r="29" ht="15.75" customHeight="1">
      <c r="A29" s="17">
        <v>28.0</v>
      </c>
    </row>
    <row r="30" ht="15.75" customHeight="1">
      <c r="A30" s="17">
        <v>17.0</v>
      </c>
    </row>
    <row r="31" ht="15.75" customHeight="1">
      <c r="A31" s="17">
        <v>21.0</v>
      </c>
    </row>
    <row r="32" ht="15.75" customHeight="1">
      <c r="A32" s="17">
        <v>32.0</v>
      </c>
    </row>
    <row r="33" ht="15.75" customHeight="1">
      <c r="A33" s="17">
        <v>20.0</v>
      </c>
    </row>
    <row r="34" ht="15.75" customHeight="1">
      <c r="A34" s="17">
        <v>17.0</v>
      </c>
    </row>
    <row r="35" ht="15.75" customHeight="1">
      <c r="A35" s="17">
        <v>25.0</v>
      </c>
    </row>
    <row r="36" ht="15.75" customHeight="1">
      <c r="A36" s="17">
        <v>25.0</v>
      </c>
    </row>
    <row r="37" ht="15.75" customHeight="1">
      <c r="A37" s="17">
        <v>28.0</v>
      </c>
    </row>
    <row r="38" ht="15.75" customHeight="1">
      <c r="A38" s="17">
        <v>22.0</v>
      </c>
    </row>
    <row r="39" ht="15.75" customHeight="1">
      <c r="A39" s="17">
        <v>18.0</v>
      </c>
    </row>
    <row r="40" ht="15.75" customHeight="1">
      <c r="A40" s="17">
        <v>26.0</v>
      </c>
    </row>
    <row r="41" ht="15.75" customHeight="1">
      <c r="A41" s="17">
        <v>17.0</v>
      </c>
    </row>
    <row r="42" ht="15.75" customHeight="1">
      <c r="A42" s="17">
        <v>23.0</v>
      </c>
    </row>
    <row r="43" ht="15.75" customHeight="1">
      <c r="A43" s="17">
        <v>16.0</v>
      </c>
    </row>
    <row r="44" ht="15.75" customHeight="1">
      <c r="A44" s="17">
        <v>25.0</v>
      </c>
    </row>
    <row r="45" ht="15.75" customHeight="1">
      <c r="A45" s="17">
        <v>27.0</v>
      </c>
    </row>
    <row r="46" ht="15.75" customHeight="1">
      <c r="A46" s="17">
        <v>24.0</v>
      </c>
    </row>
    <row r="47" ht="15.75" customHeight="1">
      <c r="A47" s="17">
        <v>28.0</v>
      </c>
    </row>
    <row r="48" ht="15.75" customHeight="1">
      <c r="A48" s="17">
        <v>18.0</v>
      </c>
    </row>
    <row r="49" ht="15.75" customHeight="1">
      <c r="A49" s="17">
        <v>22.0</v>
      </c>
    </row>
    <row r="50" ht="15.75" customHeight="1">
      <c r="A50" s="17">
        <v>20.0</v>
      </c>
    </row>
    <row r="51" ht="15.75" customHeight="1">
      <c r="A51" s="17">
        <v>27.0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1:E1"/>
    <mergeCell ref="C9:E9"/>
  </mergeCells>
  <hyperlinks>
    <hyperlink display="🏠 Back to Table of Contents" location="'Table of Contents'!A1" ref="G1"/>
  </hyperlin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4D79"/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3.88"/>
    <col customWidth="1" min="4" max="4" width="6.13"/>
    <col customWidth="1" min="5" max="5" width="23.5"/>
    <col customWidth="1" min="6" max="6" width="16.63"/>
    <col customWidth="1" min="7" max="7" width="38.13"/>
  </cols>
  <sheetData>
    <row r="1" ht="15.75" customHeight="1">
      <c r="A1" s="30" t="s">
        <v>30</v>
      </c>
      <c r="B1" s="30" t="s">
        <v>205</v>
      </c>
      <c r="C1" s="30" t="s">
        <v>206</v>
      </c>
      <c r="G1" s="15" t="s">
        <v>35</v>
      </c>
    </row>
    <row r="2" ht="15.75" customHeight="1">
      <c r="A2" s="17">
        <v>29.0</v>
      </c>
      <c r="B2" s="23">
        <f t="shared" ref="B2:B51" si="1">A2*$F$4</f>
        <v>348</v>
      </c>
      <c r="C2" s="31">
        <f t="shared" ref="C2:C51" si="2">A2/$F$5</f>
        <v>0.8529411765</v>
      </c>
    </row>
    <row r="3" ht="15.75" customHeight="1">
      <c r="A3" s="17">
        <v>31.0</v>
      </c>
      <c r="B3" s="23">
        <f t="shared" si="1"/>
        <v>372</v>
      </c>
      <c r="C3" s="31">
        <f t="shared" si="2"/>
        <v>0.9117647059</v>
      </c>
      <c r="E3" s="32" t="s">
        <v>207</v>
      </c>
      <c r="F3" s="33"/>
    </row>
    <row r="4" ht="15.75" customHeight="1">
      <c r="A4" s="17">
        <v>19.0</v>
      </c>
      <c r="B4" s="23">
        <f t="shared" si="1"/>
        <v>228</v>
      </c>
      <c r="C4" s="31">
        <f t="shared" si="2"/>
        <v>0.5588235294</v>
      </c>
      <c r="E4" s="34" t="s">
        <v>208</v>
      </c>
      <c r="F4" s="35">
        <v>12.0</v>
      </c>
    </row>
    <row r="5" ht="15.75" customHeight="1">
      <c r="A5" s="17">
        <v>33.0</v>
      </c>
      <c r="B5" s="23">
        <f t="shared" si="1"/>
        <v>396</v>
      </c>
      <c r="C5" s="31">
        <f t="shared" si="2"/>
        <v>0.9705882353</v>
      </c>
      <c r="E5" s="36" t="s">
        <v>209</v>
      </c>
      <c r="F5" s="37">
        <f>'1. Formulas &amp; Functions'!D13</f>
        <v>34</v>
      </c>
      <c r="G5" s="38" t="s">
        <v>210</v>
      </c>
    </row>
    <row r="6" ht="15.75" customHeight="1">
      <c r="A6" s="17">
        <v>19.0</v>
      </c>
      <c r="B6" s="23">
        <f t="shared" si="1"/>
        <v>228</v>
      </c>
      <c r="C6" s="31">
        <f t="shared" si="2"/>
        <v>0.5588235294</v>
      </c>
    </row>
    <row r="7" ht="15.75" customHeight="1">
      <c r="A7" s="17">
        <v>25.0</v>
      </c>
      <c r="B7" s="23">
        <f t="shared" si="1"/>
        <v>300</v>
      </c>
      <c r="C7" s="31">
        <f t="shared" si="2"/>
        <v>0.7352941176</v>
      </c>
      <c r="E7" s="39" t="s">
        <v>211</v>
      </c>
      <c r="F7" s="40" t="s">
        <v>212</v>
      </c>
    </row>
    <row r="8" ht="15.75" customHeight="1">
      <c r="A8" s="17">
        <v>17.0</v>
      </c>
      <c r="B8" s="23">
        <f t="shared" si="1"/>
        <v>204</v>
      </c>
      <c r="C8" s="31">
        <f t="shared" si="2"/>
        <v>0.5</v>
      </c>
      <c r="E8" s="41" t="s">
        <v>213</v>
      </c>
      <c r="F8" s="35" t="s">
        <v>214</v>
      </c>
    </row>
    <row r="9" ht="15.75" customHeight="1">
      <c r="A9" s="17">
        <v>16.0</v>
      </c>
      <c r="B9" s="23">
        <f t="shared" si="1"/>
        <v>192</v>
      </c>
      <c r="C9" s="31">
        <f t="shared" si="2"/>
        <v>0.4705882353</v>
      </c>
      <c r="E9" s="42" t="s">
        <v>215</v>
      </c>
      <c r="F9" s="43" t="s">
        <v>216</v>
      </c>
    </row>
    <row r="10" ht="15.75" customHeight="1">
      <c r="A10" s="17">
        <v>23.0</v>
      </c>
      <c r="B10" s="23">
        <f t="shared" si="1"/>
        <v>276</v>
      </c>
      <c r="C10" s="31">
        <f t="shared" si="2"/>
        <v>0.6764705882</v>
      </c>
    </row>
    <row r="11" ht="15.75" customHeight="1">
      <c r="A11" s="17">
        <v>16.0</v>
      </c>
      <c r="B11" s="23">
        <f t="shared" si="1"/>
        <v>192</v>
      </c>
      <c r="C11" s="31">
        <f t="shared" si="2"/>
        <v>0.4705882353</v>
      </c>
    </row>
    <row r="12" ht="15.75" customHeight="1">
      <c r="A12" s="17">
        <v>21.0</v>
      </c>
      <c r="B12" s="23">
        <f t="shared" si="1"/>
        <v>252</v>
      </c>
      <c r="C12" s="31">
        <f t="shared" si="2"/>
        <v>0.6176470588</v>
      </c>
    </row>
    <row r="13" ht="15.75" customHeight="1">
      <c r="A13" s="17">
        <v>23.0</v>
      </c>
      <c r="B13" s="23">
        <f t="shared" si="1"/>
        <v>276</v>
      </c>
      <c r="C13" s="31">
        <f t="shared" si="2"/>
        <v>0.6764705882</v>
      </c>
    </row>
    <row r="14" ht="15.75" customHeight="1">
      <c r="A14" s="17">
        <v>18.0</v>
      </c>
      <c r="B14" s="23">
        <f t="shared" si="1"/>
        <v>216</v>
      </c>
      <c r="C14" s="31">
        <f t="shared" si="2"/>
        <v>0.5294117647</v>
      </c>
    </row>
    <row r="15" ht="15.75" customHeight="1">
      <c r="A15" s="17">
        <v>26.0</v>
      </c>
      <c r="B15" s="23">
        <f t="shared" si="1"/>
        <v>312</v>
      </c>
      <c r="C15" s="31">
        <f t="shared" si="2"/>
        <v>0.7647058824</v>
      </c>
    </row>
    <row r="16" ht="15.75" customHeight="1">
      <c r="A16" s="17">
        <v>26.0</v>
      </c>
      <c r="B16" s="23">
        <f t="shared" si="1"/>
        <v>312</v>
      </c>
      <c r="C16" s="31">
        <f t="shared" si="2"/>
        <v>0.7647058824</v>
      </c>
    </row>
    <row r="17" ht="15.75" customHeight="1">
      <c r="A17" s="17">
        <v>19.0</v>
      </c>
      <c r="B17" s="23">
        <f t="shared" si="1"/>
        <v>228</v>
      </c>
      <c r="C17" s="31">
        <f t="shared" si="2"/>
        <v>0.5588235294</v>
      </c>
    </row>
    <row r="18" ht="15.75" customHeight="1">
      <c r="A18" s="17">
        <v>21.0</v>
      </c>
      <c r="B18" s="23">
        <f t="shared" si="1"/>
        <v>252</v>
      </c>
      <c r="C18" s="31">
        <f t="shared" si="2"/>
        <v>0.6176470588</v>
      </c>
    </row>
    <row r="19" ht="15.75" customHeight="1">
      <c r="A19" s="17">
        <v>16.0</v>
      </c>
      <c r="B19" s="23">
        <f t="shared" si="1"/>
        <v>192</v>
      </c>
      <c r="C19" s="31">
        <f t="shared" si="2"/>
        <v>0.4705882353</v>
      </c>
    </row>
    <row r="20" ht="15.75" customHeight="1">
      <c r="A20" s="17">
        <v>34.0</v>
      </c>
      <c r="B20" s="23">
        <f t="shared" si="1"/>
        <v>408</v>
      </c>
      <c r="C20" s="31">
        <f t="shared" si="2"/>
        <v>1</v>
      </c>
    </row>
    <row r="21" ht="15.75" customHeight="1">
      <c r="A21" s="17">
        <v>30.0</v>
      </c>
      <c r="B21" s="23">
        <f t="shared" si="1"/>
        <v>360</v>
      </c>
      <c r="C21" s="31">
        <f t="shared" si="2"/>
        <v>0.8823529412</v>
      </c>
    </row>
    <row r="22" ht="15.75" customHeight="1">
      <c r="A22" s="17">
        <v>24.0</v>
      </c>
      <c r="B22" s="23">
        <f t="shared" si="1"/>
        <v>288</v>
      </c>
      <c r="C22" s="31">
        <f t="shared" si="2"/>
        <v>0.7058823529</v>
      </c>
    </row>
    <row r="23" ht="15.75" customHeight="1">
      <c r="A23" s="17">
        <v>17.0</v>
      </c>
      <c r="B23" s="23">
        <f t="shared" si="1"/>
        <v>204</v>
      </c>
      <c r="C23" s="31">
        <f t="shared" si="2"/>
        <v>0.5</v>
      </c>
    </row>
    <row r="24" ht="15.75" customHeight="1">
      <c r="A24" s="17">
        <v>24.0</v>
      </c>
      <c r="B24" s="23">
        <f t="shared" si="1"/>
        <v>288</v>
      </c>
      <c r="C24" s="31">
        <f t="shared" si="2"/>
        <v>0.7058823529</v>
      </c>
    </row>
    <row r="25" ht="15.75" customHeight="1">
      <c r="A25" s="17">
        <v>27.0</v>
      </c>
      <c r="B25" s="23">
        <f t="shared" si="1"/>
        <v>324</v>
      </c>
      <c r="C25" s="31">
        <f t="shared" si="2"/>
        <v>0.7941176471</v>
      </c>
    </row>
    <row r="26" ht="15.75" customHeight="1">
      <c r="A26" s="17">
        <v>24.0</v>
      </c>
      <c r="B26" s="23">
        <f t="shared" si="1"/>
        <v>288</v>
      </c>
      <c r="C26" s="31">
        <f t="shared" si="2"/>
        <v>0.7058823529</v>
      </c>
    </row>
    <row r="27" ht="15.75" customHeight="1">
      <c r="A27" s="17">
        <v>28.0</v>
      </c>
      <c r="B27" s="23">
        <f t="shared" si="1"/>
        <v>336</v>
      </c>
      <c r="C27" s="31">
        <f t="shared" si="2"/>
        <v>0.8235294118</v>
      </c>
    </row>
    <row r="28" ht="15.75" customHeight="1">
      <c r="A28" s="17">
        <v>23.0</v>
      </c>
      <c r="B28" s="23">
        <f t="shared" si="1"/>
        <v>276</v>
      </c>
      <c r="C28" s="31">
        <f t="shared" si="2"/>
        <v>0.6764705882</v>
      </c>
    </row>
    <row r="29" ht="15.75" customHeight="1">
      <c r="A29" s="17">
        <v>28.0</v>
      </c>
      <c r="B29" s="23">
        <f t="shared" si="1"/>
        <v>336</v>
      </c>
      <c r="C29" s="31">
        <f t="shared" si="2"/>
        <v>0.8235294118</v>
      </c>
    </row>
    <row r="30" ht="15.75" customHeight="1">
      <c r="A30" s="17">
        <v>17.0</v>
      </c>
      <c r="B30" s="23">
        <f t="shared" si="1"/>
        <v>204</v>
      </c>
      <c r="C30" s="31">
        <f t="shared" si="2"/>
        <v>0.5</v>
      </c>
    </row>
    <row r="31" ht="15.75" customHeight="1">
      <c r="A31" s="17">
        <v>21.0</v>
      </c>
      <c r="B31" s="23">
        <f t="shared" si="1"/>
        <v>252</v>
      </c>
      <c r="C31" s="31">
        <f t="shared" si="2"/>
        <v>0.6176470588</v>
      </c>
    </row>
    <row r="32" ht="15.75" customHeight="1">
      <c r="A32" s="17">
        <v>32.0</v>
      </c>
      <c r="B32" s="23">
        <f t="shared" si="1"/>
        <v>384</v>
      </c>
      <c r="C32" s="31">
        <f t="shared" si="2"/>
        <v>0.9411764706</v>
      </c>
    </row>
    <row r="33" ht="15.75" customHeight="1">
      <c r="A33" s="17">
        <v>20.0</v>
      </c>
      <c r="B33" s="23">
        <f t="shared" si="1"/>
        <v>240</v>
      </c>
      <c r="C33" s="31">
        <f t="shared" si="2"/>
        <v>0.5882352941</v>
      </c>
    </row>
    <row r="34" ht="15.75" customHeight="1">
      <c r="A34" s="17">
        <v>17.0</v>
      </c>
      <c r="B34" s="23">
        <f t="shared" si="1"/>
        <v>204</v>
      </c>
      <c r="C34" s="31">
        <f t="shared" si="2"/>
        <v>0.5</v>
      </c>
    </row>
    <row r="35" ht="15.75" customHeight="1">
      <c r="A35" s="17">
        <v>25.0</v>
      </c>
      <c r="B35" s="23">
        <f t="shared" si="1"/>
        <v>300</v>
      </c>
      <c r="C35" s="31">
        <f t="shared" si="2"/>
        <v>0.7352941176</v>
      </c>
    </row>
    <row r="36" ht="15.75" customHeight="1">
      <c r="A36" s="17">
        <v>25.0</v>
      </c>
      <c r="B36" s="23">
        <f t="shared" si="1"/>
        <v>300</v>
      </c>
      <c r="C36" s="31">
        <f t="shared" si="2"/>
        <v>0.7352941176</v>
      </c>
    </row>
    <row r="37" ht="15.75" customHeight="1">
      <c r="A37" s="17">
        <v>28.0</v>
      </c>
      <c r="B37" s="23">
        <f t="shared" si="1"/>
        <v>336</v>
      </c>
      <c r="C37" s="31">
        <f t="shared" si="2"/>
        <v>0.8235294118</v>
      </c>
    </row>
    <row r="38" ht="15.75" customHeight="1">
      <c r="A38" s="17">
        <v>22.0</v>
      </c>
      <c r="B38" s="23">
        <f t="shared" si="1"/>
        <v>264</v>
      </c>
      <c r="C38" s="31">
        <f t="shared" si="2"/>
        <v>0.6470588235</v>
      </c>
    </row>
    <row r="39" ht="15.75" customHeight="1">
      <c r="A39" s="17">
        <v>18.0</v>
      </c>
      <c r="B39" s="23">
        <f t="shared" si="1"/>
        <v>216</v>
      </c>
      <c r="C39" s="31">
        <f t="shared" si="2"/>
        <v>0.5294117647</v>
      </c>
    </row>
    <row r="40" ht="15.75" customHeight="1">
      <c r="A40" s="17">
        <v>26.0</v>
      </c>
      <c r="B40" s="23">
        <f t="shared" si="1"/>
        <v>312</v>
      </c>
      <c r="C40" s="31">
        <f t="shared" si="2"/>
        <v>0.7647058824</v>
      </c>
    </row>
    <row r="41" ht="15.75" customHeight="1">
      <c r="A41" s="17">
        <v>17.0</v>
      </c>
      <c r="B41" s="23">
        <f t="shared" si="1"/>
        <v>204</v>
      </c>
      <c r="C41" s="31">
        <f t="shared" si="2"/>
        <v>0.5</v>
      </c>
    </row>
    <row r="42" ht="15.75" customHeight="1">
      <c r="A42" s="17">
        <v>23.0</v>
      </c>
      <c r="B42" s="23">
        <f t="shared" si="1"/>
        <v>276</v>
      </c>
      <c r="C42" s="31">
        <f t="shared" si="2"/>
        <v>0.6764705882</v>
      </c>
    </row>
    <row r="43" ht="15.75" customHeight="1">
      <c r="A43" s="17">
        <v>16.0</v>
      </c>
      <c r="B43" s="23">
        <f t="shared" si="1"/>
        <v>192</v>
      </c>
      <c r="C43" s="31">
        <f t="shared" si="2"/>
        <v>0.4705882353</v>
      </c>
    </row>
    <row r="44" ht="15.75" customHeight="1">
      <c r="A44" s="17">
        <v>25.0</v>
      </c>
      <c r="B44" s="23">
        <f t="shared" si="1"/>
        <v>300</v>
      </c>
      <c r="C44" s="31">
        <f t="shared" si="2"/>
        <v>0.7352941176</v>
      </c>
    </row>
    <row r="45" ht="15.75" customHeight="1">
      <c r="A45" s="17">
        <v>27.0</v>
      </c>
      <c r="B45" s="23">
        <f t="shared" si="1"/>
        <v>324</v>
      </c>
      <c r="C45" s="31">
        <f t="shared" si="2"/>
        <v>0.7941176471</v>
      </c>
    </row>
    <row r="46" ht="15.75" customHeight="1">
      <c r="A46" s="17">
        <v>24.0</v>
      </c>
      <c r="B46" s="23">
        <f t="shared" si="1"/>
        <v>288</v>
      </c>
      <c r="C46" s="31">
        <f t="shared" si="2"/>
        <v>0.7058823529</v>
      </c>
    </row>
    <row r="47" ht="15.75" customHeight="1">
      <c r="A47" s="17">
        <v>28.0</v>
      </c>
      <c r="B47" s="23">
        <f t="shared" si="1"/>
        <v>336</v>
      </c>
      <c r="C47" s="31">
        <f t="shared" si="2"/>
        <v>0.8235294118</v>
      </c>
    </row>
    <row r="48" ht="15.75" customHeight="1">
      <c r="A48" s="17">
        <v>18.0</v>
      </c>
      <c r="B48" s="23">
        <f t="shared" si="1"/>
        <v>216</v>
      </c>
      <c r="C48" s="31">
        <f t="shared" si="2"/>
        <v>0.5294117647</v>
      </c>
    </row>
    <row r="49" ht="15.75" customHeight="1">
      <c r="A49" s="17">
        <v>22.0</v>
      </c>
      <c r="B49" s="23">
        <f t="shared" si="1"/>
        <v>264</v>
      </c>
      <c r="C49" s="31">
        <f t="shared" si="2"/>
        <v>0.6470588235</v>
      </c>
    </row>
    <row r="50" ht="15.75" customHeight="1">
      <c r="A50" s="17">
        <v>20.0</v>
      </c>
      <c r="B50" s="23">
        <f t="shared" si="1"/>
        <v>240</v>
      </c>
      <c r="C50" s="31">
        <f t="shared" si="2"/>
        <v>0.5882352941</v>
      </c>
    </row>
    <row r="51" ht="15.75" customHeight="1">
      <c r="A51" s="17">
        <v>27.0</v>
      </c>
      <c r="B51" s="23">
        <f t="shared" si="1"/>
        <v>324</v>
      </c>
      <c r="C51" s="31">
        <f t="shared" si="2"/>
        <v>0.7941176471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E3:F3"/>
  </mergeCells>
  <hyperlinks>
    <hyperlink display="🏠 Back to Table of Contents" location="'Table of Contents'!A1" ref="G1"/>
  </hyperlin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2.63" defaultRowHeight="15.0"/>
  <cols>
    <col customWidth="1" min="1" max="1" width="5.75"/>
    <col customWidth="1" min="2" max="4" width="12.63"/>
    <col customWidth="1" min="5" max="5" width="22.25"/>
    <col customWidth="1" min="6" max="6" width="25.88"/>
    <col customWidth="1" min="7" max="7" width="26.0"/>
  </cols>
  <sheetData>
    <row r="1" ht="15.75" customHeight="1">
      <c r="A1" s="44"/>
      <c r="B1" s="45" t="s">
        <v>217</v>
      </c>
      <c r="C1" s="46"/>
      <c r="D1" s="33"/>
      <c r="E1" s="20"/>
      <c r="F1" s="28" t="s">
        <v>218</v>
      </c>
      <c r="G1" s="47" t="s">
        <v>35</v>
      </c>
    </row>
    <row r="2" ht="15.75" customHeight="1">
      <c r="A2" s="17"/>
      <c r="B2" s="48">
        <v>67.0</v>
      </c>
      <c r="C2" s="49">
        <v>0.0</v>
      </c>
      <c r="D2" s="50" t="str">
        <f>B2/C2</f>
        <v>#DIV/0!</v>
      </c>
      <c r="E2" s="51" t="s">
        <v>219</v>
      </c>
      <c r="F2" s="52" t="str">
        <f>IFERROR(B2/C2,"UNDEF")</f>
        <v>UNDEF</v>
      </c>
    </row>
    <row r="3" ht="15.75" customHeight="1">
      <c r="A3" s="20"/>
      <c r="B3" s="20"/>
      <c r="C3" s="20"/>
      <c r="D3" s="20"/>
      <c r="E3" s="17"/>
    </row>
    <row r="4" ht="15.75" customHeight="1">
      <c r="A4" s="44"/>
      <c r="B4" s="45" t="s">
        <v>220</v>
      </c>
      <c r="C4" s="46"/>
      <c r="D4" s="33"/>
      <c r="E4" s="17"/>
    </row>
    <row r="5" ht="15.75" customHeight="1">
      <c r="A5" s="20"/>
      <c r="B5" s="53" t="s">
        <v>46</v>
      </c>
      <c r="C5" s="20"/>
      <c r="D5" s="54" t="str">
        <f>MATCH("Mexico", Data!E:E, 0)</f>
        <v>#N/A</v>
      </c>
      <c r="E5" s="55" t="s">
        <v>221</v>
      </c>
      <c r="F5" s="52" t="str">
        <f>IFERROR(MATCH("Mexico",Data!E2:E1000,0),"COUNTRY_NOT_FOUND")</f>
        <v>COUNTRY_NOT_FOUND</v>
      </c>
    </row>
    <row r="6" ht="15.75" customHeight="1">
      <c r="A6" s="20"/>
      <c r="B6" s="53" t="s">
        <v>121</v>
      </c>
      <c r="C6" s="20"/>
      <c r="D6" s="56"/>
    </row>
    <row r="7" ht="15.75" customHeight="1">
      <c r="A7" s="20"/>
      <c r="B7" s="57" t="s">
        <v>222</v>
      </c>
      <c r="C7" s="58"/>
      <c r="D7" s="59"/>
    </row>
    <row r="8" ht="15.75" customHeight="1">
      <c r="A8" s="20"/>
      <c r="B8" s="20"/>
      <c r="C8" s="20"/>
      <c r="D8" s="20"/>
      <c r="E8" s="17"/>
    </row>
    <row r="9" ht="15.75" customHeight="1">
      <c r="A9" s="44"/>
      <c r="B9" s="45" t="s">
        <v>223</v>
      </c>
      <c r="C9" s="46"/>
      <c r="D9" s="33"/>
      <c r="E9" s="17"/>
    </row>
    <row r="10" ht="15.75" customHeight="1">
      <c r="A10" s="17"/>
      <c r="B10" s="48">
        <v>5.0</v>
      </c>
      <c r="C10" s="58" t="s">
        <v>4</v>
      </c>
      <c r="D10" s="50" t="str">
        <f>B10+C10</f>
        <v>#VALUE!</v>
      </c>
      <c r="E10" s="51" t="s">
        <v>224</v>
      </c>
      <c r="F10" s="52" t="str">
        <f>IFERROR(B10+C10,"CAN'T ADD THESE")</f>
        <v>CAN'T ADD THESE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D1"/>
    <mergeCell ref="B4:D4"/>
    <mergeCell ref="E5:E7"/>
    <mergeCell ref="B9:D9"/>
  </mergeCells>
  <hyperlinks>
    <hyperlink display="🏠 Back to Table of Contents" location="'Table of Contents'!A1" ref="G1"/>
  </hyperlin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.0"/>
    <col customWidth="1" min="3" max="3" width="23.25"/>
    <col customWidth="1" min="4" max="4" width="22.5"/>
    <col customWidth="1" min="5" max="5" width="33.25"/>
    <col customWidth="1" min="6" max="6" width="4.25"/>
    <col customWidth="1" min="7" max="7" width="24.88"/>
  </cols>
  <sheetData>
    <row r="1" ht="15.75" customHeight="1">
      <c r="A1" s="12" t="s">
        <v>34</v>
      </c>
      <c r="G1" s="47" t="s">
        <v>35</v>
      </c>
    </row>
    <row r="2" ht="15.75" customHeight="1">
      <c r="A2" s="17">
        <v>100.0</v>
      </c>
      <c r="C2" s="60" t="s">
        <v>9</v>
      </c>
      <c r="D2" s="46"/>
      <c r="E2" s="33"/>
    </row>
    <row r="3" ht="15.75" customHeight="1">
      <c r="A3" s="17">
        <v>100.0</v>
      </c>
      <c r="C3" s="61" t="s">
        <v>225</v>
      </c>
      <c r="D3" s="62">
        <f>COUNT(A2:A51)</f>
        <v>9</v>
      </c>
      <c r="E3" s="63" t="s">
        <v>226</v>
      </c>
      <c r="G3" s="28" t="s">
        <v>227</v>
      </c>
    </row>
    <row r="4" ht="15.75" customHeight="1">
      <c r="A4" s="17">
        <v>50.0</v>
      </c>
      <c r="C4" s="64" t="s">
        <v>228</v>
      </c>
      <c r="D4" s="17">
        <f>COUNTA(A2:A51)</f>
        <v>50</v>
      </c>
      <c r="E4" s="65" t="s">
        <v>229</v>
      </c>
      <c r="G4" s="28" t="s">
        <v>230</v>
      </c>
    </row>
    <row r="5" ht="15.75" customHeight="1">
      <c r="A5" s="17">
        <v>100.0</v>
      </c>
      <c r="C5" s="64" t="s">
        <v>231</v>
      </c>
      <c r="D5" s="17">
        <f>COUNTBLANK(A2:A51)</f>
        <v>18</v>
      </c>
      <c r="E5" s="65" t="s">
        <v>232</v>
      </c>
      <c r="G5" s="28" t="s">
        <v>233</v>
      </c>
    </row>
    <row r="6" ht="15.75" customHeight="1">
      <c r="A6" s="20" t="s">
        <v>65</v>
      </c>
      <c r="C6" s="66" t="s">
        <v>234</v>
      </c>
      <c r="D6" s="67">
        <f>D4-D5-D3</f>
        <v>23</v>
      </c>
      <c r="E6" s="68" t="s">
        <v>235</v>
      </c>
    </row>
    <row r="7" ht="15.75" customHeight="1">
      <c r="A7" s="17">
        <v>100.0</v>
      </c>
    </row>
    <row r="8" ht="15.75" customHeight="1">
      <c r="A8" s="17">
        <v>50.0</v>
      </c>
      <c r="C8" s="60" t="s">
        <v>236</v>
      </c>
      <c r="D8" s="46"/>
      <c r="E8" s="33"/>
    </row>
    <row r="9" ht="15.75" customHeight="1">
      <c r="A9" s="17">
        <v>75.0</v>
      </c>
      <c r="C9" s="64" t="s">
        <v>237</v>
      </c>
      <c r="D9" s="17">
        <f>COUNTIF(Data!H:H, "Gold")</f>
        <v>17</v>
      </c>
      <c r="E9" s="65" t="s">
        <v>238</v>
      </c>
    </row>
    <row r="10" ht="15.75" customHeight="1">
      <c r="A10" s="20" t="s">
        <v>65</v>
      </c>
      <c r="C10" s="69" t="s">
        <v>239</v>
      </c>
      <c r="D10" s="49">
        <f>COUNTIFS(Data!H:H, "Gold", Data!E:E, "USA")</f>
        <v>8</v>
      </c>
      <c r="E10" s="70" t="s">
        <v>240</v>
      </c>
    </row>
    <row r="11" ht="15.75" customHeight="1">
      <c r="A11" s="17">
        <v>75.0</v>
      </c>
    </row>
    <row r="12" ht="15.75" customHeight="1">
      <c r="A12" s="17" t="s">
        <v>28</v>
      </c>
    </row>
    <row r="13" ht="15.75" customHeight="1">
      <c r="A13" s="17" t="s">
        <v>28</v>
      </c>
    </row>
    <row r="14" ht="15.75" customHeight="1">
      <c r="A14" s="20" t="s">
        <v>65</v>
      </c>
      <c r="C14" s="21" t="s">
        <v>241</v>
      </c>
      <c r="D14" s="21" t="s">
        <v>242</v>
      </c>
    </row>
    <row r="15" ht="15.75" customHeight="1">
      <c r="A15" s="17" t="s">
        <v>28</v>
      </c>
      <c r="C15" s="23" t="str">
        <f>IFERROR(__xludf.DUMMYFUNCTION("UNIQUE(Data!D2:D1000)"),"Usain Bolt")</f>
        <v>Usain Bolt</v>
      </c>
      <c r="D15" s="23" t="str">
        <f>IFERROR(__xludf.DUMMYFUNCTION("UNIQUE(SORT(Data!D:D))"),"Alexander Dityatin")</f>
        <v>Alexander Dityatin</v>
      </c>
      <c r="E15" s="71" t="s">
        <v>243</v>
      </c>
    </row>
    <row r="16" ht="15.75" customHeight="1">
      <c r="A16" s="17" t="s">
        <v>94</v>
      </c>
      <c r="C16" s="23" t="str">
        <f>IFERROR(__xludf.DUMMYFUNCTION("""COMPUTED_VALUE"""),"Michael Phelps")</f>
        <v>Michael Phelps</v>
      </c>
      <c r="D16" s="23" t="str">
        <f>IFERROR(__xludf.DUMMYFUNCTION("""COMPUTED_VALUE"""),"Alexei Nemov")</f>
        <v>Alexei Nemov</v>
      </c>
      <c r="E16" s="51" t="s">
        <v>244</v>
      </c>
    </row>
    <row r="17" ht="15.75" customHeight="1">
      <c r="A17" s="17" t="s">
        <v>94</v>
      </c>
      <c r="C17" s="23" t="str">
        <f>IFERROR(__xludf.DUMMYFUNCTION("""COMPUTED_VALUE"""),"Simone Biles")</f>
        <v>Simone Biles</v>
      </c>
      <c r="D17" s="23" t="str">
        <f>IFERROR(__xludf.DUMMYFUNCTION("""COMPUTED_VALUE"""),"Amy Van Dyken")</f>
        <v>Amy Van Dyken</v>
      </c>
    </row>
    <row r="18" ht="15.75" customHeight="1">
      <c r="A18" s="17" t="s">
        <v>28</v>
      </c>
      <c r="C18" s="23" t="str">
        <f>IFERROR(__xludf.DUMMYFUNCTION("""COMPUTED_VALUE"""),"Mo Farah")</f>
        <v>Mo Farah</v>
      </c>
      <c r="D18" s="23" t="str">
        <f>IFERROR(__xludf.DUMMYFUNCTION("""COMPUTED_VALUE"""),"Athlete")</f>
        <v>Athlete</v>
      </c>
    </row>
    <row r="19" ht="15.75" customHeight="1">
      <c r="A19" s="20" t="s">
        <v>65</v>
      </c>
      <c r="C19" s="23" t="str">
        <f>IFERROR(__xludf.DUMMYFUNCTION("""COMPUTED_VALUE"""),"Katie Ledecky")</f>
        <v>Katie Ledecky</v>
      </c>
      <c r="D19" s="23" t="str">
        <f>IFERROR(__xludf.DUMMYFUNCTION("""COMPUTED_VALUE"""),"Ben Johnson")</f>
        <v>Ben Johnson</v>
      </c>
    </row>
    <row r="20" ht="15.75" customHeight="1">
      <c r="A20" s="20" t="s">
        <v>65</v>
      </c>
      <c r="C20" s="23" t="str">
        <f>IFERROR(__xludf.DUMMYFUNCTION("""COMPUTED_VALUE"""),"Missy Franklin")</f>
        <v>Missy Franklin</v>
      </c>
      <c r="D20" s="23" t="str">
        <f>IFERROR(__xludf.DUMMYFUNCTION("""COMPUTED_VALUE"""),"Carl Lewis")</f>
        <v>Carl Lewis</v>
      </c>
    </row>
    <row r="21" ht="15.75" customHeight="1">
      <c r="A21" s="20" t="s">
        <v>65</v>
      </c>
      <c r="C21" s="23" t="str">
        <f>IFERROR(__xludf.DUMMYFUNCTION("""COMPUTED_VALUE"""),"Gabby Douglas")</f>
        <v>Gabby Douglas</v>
      </c>
      <c r="D21" s="23" t="str">
        <f>IFERROR(__xludf.DUMMYFUNCTION("""COMPUTED_VALUE"""),"Carly Patterson")</f>
        <v>Carly Patterson</v>
      </c>
    </row>
    <row r="22" ht="15.75" customHeight="1">
      <c r="A22" s="17" t="s">
        <v>107</v>
      </c>
      <c r="C22" s="23" t="str">
        <f>IFERROR(__xludf.DUMMYFUNCTION("""COMPUTED_VALUE"""),"David Rudisha")</f>
        <v>David Rudisha</v>
      </c>
      <c r="D22" s="23" t="str">
        <f>IFERROR(__xludf.DUMMYFUNCTION("""COMPUTED_VALUE"""),"Cathy Freeman")</f>
        <v>Cathy Freeman</v>
      </c>
    </row>
    <row r="23" ht="15.75" customHeight="1">
      <c r="A23" s="17" t="s">
        <v>28</v>
      </c>
      <c r="C23" s="23" t="str">
        <f>IFERROR(__xludf.DUMMYFUNCTION("""COMPUTED_VALUE"""),"Ye Shiwen")</f>
        <v>Ye Shiwen</v>
      </c>
      <c r="D23" s="23" t="str">
        <f>IFERROR(__xludf.DUMMYFUNCTION("""COMPUTED_VALUE"""),"Daniela Silivas")</f>
        <v>Daniela Silivas</v>
      </c>
    </row>
    <row r="24" ht="15.75" customHeight="1">
      <c r="A24" s="20" t="s">
        <v>65</v>
      </c>
      <c r="C24" s="23" t="str">
        <f>IFERROR(__xludf.DUMMYFUNCTION("""COMPUTED_VALUE"""),"Nastia Liukin")</f>
        <v>Nastia Liukin</v>
      </c>
      <c r="D24" s="23" t="str">
        <f>IFERROR(__xludf.DUMMYFUNCTION("""COMPUTED_VALUE"""),"David Rudisha")</f>
        <v>David Rudisha</v>
      </c>
    </row>
    <row r="25" ht="15.75" customHeight="1">
      <c r="A25" s="20" t="s">
        <v>65</v>
      </c>
      <c r="C25" s="23" t="str">
        <f>IFERROR(__xludf.DUMMYFUNCTION("""COMPUTED_VALUE"""),"Yelena Isinbayeva")</f>
        <v>Yelena Isinbayeva</v>
      </c>
      <c r="D25" s="23" t="str">
        <f>IFERROR(__xludf.DUMMYFUNCTION("""COMPUTED_VALUE"""),"Donovan Bailey")</f>
        <v>Donovan Bailey</v>
      </c>
    </row>
    <row r="26" ht="15.75" customHeight="1">
      <c r="A26" s="17" t="s">
        <v>94</v>
      </c>
      <c r="C26" s="23" t="str">
        <f>IFERROR(__xludf.DUMMYFUNCTION("""COMPUTED_VALUE"""),"Kenenisa Bekele")</f>
        <v>Kenenisa Bekele</v>
      </c>
      <c r="D26" s="23" t="str">
        <f>IFERROR(__xludf.DUMMYFUNCTION("""COMPUTED_VALUE"""),"Evelyn Ashford")</f>
        <v>Evelyn Ashford</v>
      </c>
    </row>
    <row r="27" ht="15.75" customHeight="1">
      <c r="A27" s="17" t="s">
        <v>28</v>
      </c>
      <c r="C27" s="23" t="str">
        <f>IFERROR(__xludf.DUMMYFUNCTION("""COMPUTED_VALUE"""),"Liu Xiang")</f>
        <v>Liu Xiang</v>
      </c>
      <c r="D27" s="23" t="str">
        <f>IFERROR(__xludf.DUMMYFUNCTION("""COMPUTED_VALUE"""),"Florence Griffith Joyner")</f>
        <v>Florence Griffith Joyner</v>
      </c>
    </row>
    <row r="28" ht="15.75" customHeight="1">
      <c r="A28" s="20" t="s">
        <v>65</v>
      </c>
      <c r="C28" s="23" t="str">
        <f>IFERROR(__xludf.DUMMYFUNCTION("""COMPUTED_VALUE"""),"Carly Patterson")</f>
        <v>Carly Patterson</v>
      </c>
      <c r="D28" s="23" t="str">
        <f>IFERROR(__xludf.DUMMYFUNCTION("""COMPUTED_VALUE"""),"Gabby Douglas")</f>
        <v>Gabby Douglas</v>
      </c>
    </row>
    <row r="29" ht="15.75" customHeight="1">
      <c r="A29" s="17" t="s">
        <v>28</v>
      </c>
      <c r="C29" s="23" t="str">
        <f>IFERROR(__xludf.DUMMYFUNCTION("""COMPUTED_VALUE"""),"Kelly Holmes")</f>
        <v>Kelly Holmes</v>
      </c>
      <c r="D29" s="23" t="str">
        <f>IFERROR(__xludf.DUMMYFUNCTION("""COMPUTED_VALUE"""),"Greg Louganis")</f>
        <v>Greg Louganis</v>
      </c>
    </row>
    <row r="30" ht="15.75" customHeight="1">
      <c r="A30" s="20" t="s">
        <v>65</v>
      </c>
      <c r="C30" s="23" t="str">
        <f>IFERROR(__xludf.DUMMYFUNCTION("""COMPUTED_VALUE"""),"Inge de Bruijn")</f>
        <v>Inge de Bruijn</v>
      </c>
      <c r="D30" s="23" t="str">
        <f>IFERROR(__xludf.DUMMYFUNCTION("""COMPUTED_VALUE"""),"Ian Thorpe")</f>
        <v>Ian Thorpe</v>
      </c>
    </row>
    <row r="31" ht="15.75" customHeight="1">
      <c r="A31" s="17" t="s">
        <v>28</v>
      </c>
      <c r="C31" s="23" t="str">
        <f>IFERROR(__xludf.DUMMYFUNCTION("""COMPUTED_VALUE"""),"Marion Jones")</f>
        <v>Marion Jones</v>
      </c>
      <c r="D31" s="23" t="str">
        <f>IFERROR(__xludf.DUMMYFUNCTION("""COMPUTED_VALUE"""),"Inge de Bruijn")</f>
        <v>Inge de Bruijn</v>
      </c>
    </row>
    <row r="32" ht="15.75" customHeight="1">
      <c r="A32" s="20" t="s">
        <v>65</v>
      </c>
      <c r="C32" s="23" t="str">
        <f>IFERROR(__xludf.DUMMYFUNCTION("""COMPUTED_VALUE"""),"Ian Thorpe")</f>
        <v>Ian Thorpe</v>
      </c>
      <c r="D32" s="23" t="str">
        <f>IFERROR(__xludf.DUMMYFUNCTION("""COMPUTED_VALUE"""),"Janet Evans")</f>
        <v>Janet Evans</v>
      </c>
    </row>
    <row r="33" ht="15.75" customHeight="1">
      <c r="A33" s="20" t="s">
        <v>65</v>
      </c>
      <c r="C33" s="23" t="str">
        <f>IFERROR(__xludf.DUMMYFUNCTION("""COMPUTED_VALUE"""),"Alexei Nemov")</f>
        <v>Alexei Nemov</v>
      </c>
      <c r="D33" s="23" t="str">
        <f>IFERROR(__xludf.DUMMYFUNCTION("""COMPUTED_VALUE"""),"Joan Benoit")</f>
        <v>Joan Benoit</v>
      </c>
    </row>
    <row r="34" ht="15.75" customHeight="1">
      <c r="A34" s="17" t="s">
        <v>28</v>
      </c>
      <c r="C34" s="52" t="str">
        <f>IFERROR(__xludf.DUMMYFUNCTION("""COMPUTED_VALUE"""),"Cathy Freeman")</f>
        <v>Cathy Freeman</v>
      </c>
      <c r="D34" s="52" t="str">
        <f>IFERROR(__xludf.DUMMYFUNCTION("""COMPUTED_VALUE"""),"Katie Ledecky")</f>
        <v>Katie Ledecky</v>
      </c>
    </row>
    <row r="35" ht="15.75" customHeight="1">
      <c r="A35" s="17" t="s">
        <v>28</v>
      </c>
      <c r="C35" s="52" t="str">
        <f>IFERROR(__xludf.DUMMYFUNCTION("""COMPUTED_VALUE"""),"Lenny Krayzelburg")</f>
        <v>Lenny Krayzelburg</v>
      </c>
      <c r="D35" s="52" t="str">
        <f>IFERROR(__xludf.DUMMYFUNCTION("""COMPUTED_VALUE"""),"Kelly Holmes")</f>
        <v>Kelly Holmes</v>
      </c>
    </row>
    <row r="36" ht="15.75" customHeight="1">
      <c r="A36" s="17" t="s">
        <v>28</v>
      </c>
      <c r="C36" s="52" t="str">
        <f>IFERROR(__xludf.DUMMYFUNCTION("""COMPUTED_VALUE"""),"Michael Johnson")</f>
        <v>Michael Johnson</v>
      </c>
      <c r="D36" s="52" t="str">
        <f>IFERROR(__xludf.DUMMYFUNCTION("""COMPUTED_VALUE"""),"Kenenisa Bekele")</f>
        <v>Kenenisa Bekele</v>
      </c>
    </row>
    <row r="37" ht="15.75" customHeight="1">
      <c r="A37" s="17" t="s">
        <v>94</v>
      </c>
      <c r="C37" s="52" t="str">
        <f>IFERROR(__xludf.DUMMYFUNCTION("""COMPUTED_VALUE"""),"Amy Van Dyken")</f>
        <v>Amy Van Dyken</v>
      </c>
      <c r="D37" s="52" t="str">
        <f>IFERROR(__xludf.DUMMYFUNCTION("""COMPUTED_VALUE"""),"Kevin Young")</f>
        <v>Kevin Young</v>
      </c>
    </row>
    <row r="38" ht="15.75" customHeight="1">
      <c r="A38" s="17" t="s">
        <v>28</v>
      </c>
      <c r="C38" s="52" t="str">
        <f>IFERROR(__xludf.DUMMYFUNCTION("""COMPUTED_VALUE"""),"Donovan Bailey")</f>
        <v>Donovan Bailey</v>
      </c>
      <c r="D38" s="52" t="str">
        <f>IFERROR(__xludf.DUMMYFUNCTION("""COMPUTED_VALUE"""),"Krisztina Egerszegi")</f>
        <v>Krisztina Egerszegi</v>
      </c>
    </row>
    <row r="39" ht="15.75" customHeight="1">
      <c r="A39" s="17" t="s">
        <v>144</v>
      </c>
      <c r="C39" s="52" t="str">
        <f>IFERROR(__xludf.DUMMYFUNCTION("""COMPUTED_VALUE"""),"Lilia Podkopayeva")</f>
        <v>Lilia Podkopayeva</v>
      </c>
      <c r="D39" s="52" t="str">
        <f>IFERROR(__xludf.DUMMYFUNCTION("""COMPUTED_VALUE"""),"Lenny Krayzelburg")</f>
        <v>Lenny Krayzelburg</v>
      </c>
    </row>
    <row r="40" ht="15.75" customHeight="1">
      <c r="A40" s="17" t="s">
        <v>146</v>
      </c>
      <c r="C40" s="52" t="str">
        <f>IFERROR(__xludf.DUMMYFUNCTION("""COMPUTED_VALUE"""),"Penny Heyns")</f>
        <v>Penny Heyns</v>
      </c>
      <c r="D40" s="52" t="str">
        <f>IFERROR(__xludf.DUMMYFUNCTION("""COMPUTED_VALUE"""),"Lilia Podkopayeva")</f>
        <v>Lilia Podkopayeva</v>
      </c>
    </row>
    <row r="41" ht="15.75" customHeight="1">
      <c r="A41" s="17" t="s">
        <v>28</v>
      </c>
      <c r="C41" s="52" t="str">
        <f>IFERROR(__xludf.DUMMYFUNCTION("""COMPUTED_VALUE"""),"Linford Christie")</f>
        <v>Linford Christie</v>
      </c>
      <c r="D41" s="52" t="str">
        <f>IFERROR(__xludf.DUMMYFUNCTION("""COMPUTED_VALUE"""),"Linford Christie")</f>
        <v>Linford Christie</v>
      </c>
    </row>
    <row r="42" ht="15.75" customHeight="1">
      <c r="A42" s="20" t="s">
        <v>65</v>
      </c>
      <c r="C42" s="52" t="str">
        <f>IFERROR(__xludf.DUMMYFUNCTION("""COMPUTED_VALUE"""),"Vitaly Scherbo")</f>
        <v>Vitaly Scherbo</v>
      </c>
      <c r="D42" s="52" t="str">
        <f>IFERROR(__xludf.DUMMYFUNCTION("""COMPUTED_VALUE"""),"Liu Xiang")</f>
        <v>Liu Xiang</v>
      </c>
    </row>
    <row r="43" ht="15.75" customHeight="1">
      <c r="A43" s="20" t="s">
        <v>65</v>
      </c>
      <c r="C43" s="52" t="str">
        <f>IFERROR(__xludf.DUMMYFUNCTION("""COMPUTED_VALUE"""),"Krisztina Egerszegi")</f>
        <v>Krisztina Egerszegi</v>
      </c>
      <c r="D43" s="52" t="str">
        <f>IFERROR(__xludf.DUMMYFUNCTION("""COMPUTED_VALUE"""),"Marion Jones")</f>
        <v>Marion Jones</v>
      </c>
    </row>
    <row r="44" ht="15.75" customHeight="1">
      <c r="A44" s="20" t="s">
        <v>65</v>
      </c>
      <c r="C44" s="52" t="str">
        <f>IFERROR(__xludf.DUMMYFUNCTION("""COMPUTED_VALUE"""),"Kevin Young")</f>
        <v>Kevin Young</v>
      </c>
      <c r="D44" s="52" t="str">
        <f>IFERROR(__xludf.DUMMYFUNCTION("""COMPUTED_VALUE"""),"Mary Lou Retton")</f>
        <v>Mary Lou Retton</v>
      </c>
    </row>
    <row r="45" ht="15.75" customHeight="1">
      <c r="A45" s="17" t="s">
        <v>158</v>
      </c>
      <c r="C45" s="52" t="str">
        <f>IFERROR(__xludf.DUMMYFUNCTION("""COMPUTED_VALUE"""),"Evelyn Ashford")</f>
        <v>Evelyn Ashford</v>
      </c>
      <c r="D45" s="52" t="str">
        <f>IFERROR(__xludf.DUMMYFUNCTION("""COMPUTED_VALUE"""),"Matt Biondi")</f>
        <v>Matt Biondi</v>
      </c>
    </row>
    <row r="46" ht="15.75" customHeight="1">
      <c r="A46" s="20" t="s">
        <v>65</v>
      </c>
      <c r="C46" s="52" t="str">
        <f>IFERROR(__xludf.DUMMYFUNCTION("""COMPUTED_VALUE"""),"Florence Griffith Joyner")</f>
        <v>Florence Griffith Joyner</v>
      </c>
      <c r="D46" s="52" t="str">
        <f>IFERROR(__xludf.DUMMYFUNCTION("""COMPUTED_VALUE"""),"Michael Johnson")</f>
        <v>Michael Johnson</v>
      </c>
    </row>
    <row r="47" ht="15.75" customHeight="1">
      <c r="A47" s="17">
        <v>60.0</v>
      </c>
      <c r="C47" s="52" t="str">
        <f>IFERROR(__xludf.DUMMYFUNCTION("""COMPUTED_VALUE"""),"Matt Biondi")</f>
        <v>Matt Biondi</v>
      </c>
      <c r="D47" s="52" t="str">
        <f>IFERROR(__xludf.DUMMYFUNCTION("""COMPUTED_VALUE"""),"Michael Phelps")</f>
        <v>Michael Phelps</v>
      </c>
    </row>
    <row r="48" ht="15.75" customHeight="1">
      <c r="A48" s="20" t="s">
        <v>65</v>
      </c>
      <c r="C48" s="52" t="str">
        <f>IFERROR(__xludf.DUMMYFUNCTION("""COMPUTED_VALUE"""),"Daniela Silivas")</f>
        <v>Daniela Silivas</v>
      </c>
      <c r="D48" s="52" t="str">
        <f>IFERROR(__xludf.DUMMYFUNCTION("""COMPUTED_VALUE"""),"Missy Franklin")</f>
        <v>Missy Franklin</v>
      </c>
    </row>
    <row r="49" ht="15.75" customHeight="1">
      <c r="A49" s="20" t="s">
        <v>65</v>
      </c>
      <c r="C49" s="52" t="str">
        <f>IFERROR(__xludf.DUMMYFUNCTION("""COMPUTED_VALUE"""),"Ben Johnson")</f>
        <v>Ben Johnson</v>
      </c>
      <c r="D49" s="52" t="str">
        <f>IFERROR(__xludf.DUMMYFUNCTION("""COMPUTED_VALUE"""),"Mo Farah")</f>
        <v>Mo Farah</v>
      </c>
    </row>
    <row r="50" ht="15.75" customHeight="1">
      <c r="A50" s="17" t="s">
        <v>28</v>
      </c>
      <c r="C50" s="52" t="str">
        <f>IFERROR(__xludf.DUMMYFUNCTION("""COMPUTED_VALUE"""),"Janet Evans")</f>
        <v>Janet Evans</v>
      </c>
      <c r="D50" s="52" t="str">
        <f>IFERROR(__xludf.DUMMYFUNCTION("""COMPUTED_VALUE"""),"Nadia Comaneci")</f>
        <v>Nadia Comaneci</v>
      </c>
    </row>
    <row r="51" ht="15.75" customHeight="1">
      <c r="A51" s="17" t="s">
        <v>94</v>
      </c>
      <c r="C51" s="52" t="str">
        <f>IFERROR(__xludf.DUMMYFUNCTION("""COMPUTED_VALUE"""),"Carl Lewis")</f>
        <v>Carl Lewis</v>
      </c>
      <c r="D51" s="52" t="str">
        <f>IFERROR(__xludf.DUMMYFUNCTION("""COMPUTED_VALUE"""),"Nastia Liukin")</f>
        <v>Nastia Liukin</v>
      </c>
    </row>
    <row r="52" ht="15.75" customHeight="1">
      <c r="C52" s="52" t="str">
        <f>IFERROR(__xludf.DUMMYFUNCTION("""COMPUTED_VALUE"""),"Mary Lou Retton")</f>
        <v>Mary Lou Retton</v>
      </c>
      <c r="D52" s="52" t="str">
        <f>IFERROR(__xludf.DUMMYFUNCTION("""COMPUTED_VALUE"""),"Penny Heyns")</f>
        <v>Penny Heyns</v>
      </c>
    </row>
    <row r="53" ht="15.75" customHeight="1">
      <c r="C53" s="52" t="str">
        <f>IFERROR(__xludf.DUMMYFUNCTION("""COMPUTED_VALUE"""),"Rowdy Gaines")</f>
        <v>Rowdy Gaines</v>
      </c>
      <c r="D53" s="52" t="str">
        <f>IFERROR(__xludf.DUMMYFUNCTION("""COMPUTED_VALUE"""),"Rowdy Gaines")</f>
        <v>Rowdy Gaines</v>
      </c>
    </row>
    <row r="54" ht="15.75" customHeight="1">
      <c r="C54" s="52" t="str">
        <f>IFERROR(__xludf.DUMMYFUNCTION("""COMPUTED_VALUE"""),"Joan Benoit")</f>
        <v>Joan Benoit</v>
      </c>
      <c r="D54" s="52" t="str">
        <f>IFERROR(__xludf.DUMMYFUNCTION("""COMPUTED_VALUE"""),"Sara Simeoni")</f>
        <v>Sara Simeoni</v>
      </c>
    </row>
    <row r="55" ht="15.75" customHeight="1">
      <c r="C55" s="52" t="str">
        <f>IFERROR(__xludf.DUMMYFUNCTION("""COMPUTED_VALUE"""),"Greg Louganis")</f>
        <v>Greg Louganis</v>
      </c>
      <c r="D55" s="52" t="str">
        <f>IFERROR(__xludf.DUMMYFUNCTION("""COMPUTED_VALUE"""),"Simone Biles")</f>
        <v>Simone Biles</v>
      </c>
    </row>
    <row r="56" ht="15.75" customHeight="1">
      <c r="C56" s="52" t="str">
        <f>IFERROR(__xludf.DUMMYFUNCTION("""COMPUTED_VALUE"""),"Vladislav Tretiak")</f>
        <v>Vladislav Tretiak</v>
      </c>
      <c r="D56" s="52" t="str">
        <f>IFERROR(__xludf.DUMMYFUNCTION("""COMPUTED_VALUE"""),"Usain Bolt")</f>
        <v>Usain Bolt</v>
      </c>
    </row>
    <row r="57" ht="15.75" customHeight="1">
      <c r="C57" s="52" t="str">
        <f>IFERROR(__xludf.DUMMYFUNCTION("""COMPUTED_VALUE"""),"Nadia Comaneci")</f>
        <v>Nadia Comaneci</v>
      </c>
      <c r="D57" s="52" t="str">
        <f>IFERROR(__xludf.DUMMYFUNCTION("""COMPUTED_VALUE"""),"Vitaly Scherbo")</f>
        <v>Vitaly Scherbo</v>
      </c>
    </row>
    <row r="58" ht="15.75" customHeight="1">
      <c r="C58" s="52" t="str">
        <f>IFERROR(__xludf.DUMMYFUNCTION("""COMPUTED_VALUE"""),"Alexander Dityatin")</f>
        <v>Alexander Dityatin</v>
      </c>
      <c r="D58" s="52" t="str">
        <f>IFERROR(__xludf.DUMMYFUNCTION("""COMPUTED_VALUE"""),"Vladimir Salnikov")</f>
        <v>Vladimir Salnikov</v>
      </c>
    </row>
    <row r="59" ht="15.75" customHeight="1">
      <c r="C59" s="52" t="str">
        <f>IFERROR(__xludf.DUMMYFUNCTION("""COMPUTED_VALUE"""),"Vladimir Salnikov")</f>
        <v>Vladimir Salnikov</v>
      </c>
      <c r="D59" s="52" t="str">
        <f>IFERROR(__xludf.DUMMYFUNCTION("""COMPUTED_VALUE"""),"Vladislav Tretiak")</f>
        <v>Vladislav Tretiak</v>
      </c>
    </row>
    <row r="60" ht="15.75" customHeight="1">
      <c r="C60" s="52" t="str">
        <f>IFERROR(__xludf.DUMMYFUNCTION("""COMPUTED_VALUE"""),"Sara Simeoni")</f>
        <v>Sara Simeoni</v>
      </c>
      <c r="D60" s="52" t="str">
        <f>IFERROR(__xludf.DUMMYFUNCTION("""COMPUTED_VALUE"""),"Ye Shiwen")</f>
        <v>Ye Shiwen</v>
      </c>
    </row>
    <row r="61" ht="15.75" customHeight="1">
      <c r="C61" s="52"/>
      <c r="D61" s="52" t="str">
        <f>IFERROR(__xludf.DUMMYFUNCTION("""COMPUTED_VALUE"""),"Yelena Isinbayeva")</f>
        <v>Yelena Isinbayeva</v>
      </c>
    </row>
    <row r="62" ht="15.75" customHeight="1">
      <c r="D62" s="52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2:E2"/>
    <mergeCell ref="C8:E8"/>
  </mergeCells>
  <hyperlinks>
    <hyperlink display="🏠 Back to Table of Contents" location="'Table of Contents'!A1" ref="G1"/>
  </hyperlin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5" width="16.63"/>
    <col customWidth="1" min="6" max="6" width="12.63"/>
    <col customWidth="1" min="10" max="10" width="18.88"/>
    <col customWidth="1" min="11" max="11" width="27.13"/>
  </cols>
  <sheetData>
    <row r="1" ht="15.75" customHeight="1">
      <c r="A1" s="72" t="s">
        <v>30</v>
      </c>
      <c r="B1" s="72" t="s">
        <v>245</v>
      </c>
      <c r="C1" s="72" t="s">
        <v>245</v>
      </c>
      <c r="D1" s="72" t="s">
        <v>246</v>
      </c>
      <c r="E1" s="72" t="s">
        <v>247</v>
      </c>
      <c r="F1" s="12" t="s">
        <v>248</v>
      </c>
      <c r="G1" s="12" t="s">
        <v>249</v>
      </c>
      <c r="H1" s="12" t="s">
        <v>250</v>
      </c>
      <c r="I1" s="73" t="s">
        <v>251</v>
      </c>
      <c r="K1" s="47" t="s">
        <v>35</v>
      </c>
    </row>
    <row r="2" ht="15.75" customHeight="1">
      <c r="A2" s="17">
        <v>29.0</v>
      </c>
      <c r="B2" s="23" t="str">
        <f t="shared" ref="B2:B51" si="1">IF(A2 &lt; 25, "Young", "Experienced")</f>
        <v>Experienced</v>
      </c>
      <c r="C2" s="23" t="str">
        <f t="shared" ref="C2:C51" si="2"> IF(A2 &lt; 20, "Teen", "Other")</f>
        <v>Other</v>
      </c>
      <c r="D2" s="23" t="str">
        <f t="shared" ref="D2:D51" si="3"> IF(A2 &lt; 20, "Teen", IF(A2&lt;30, "Twenties", "Others"))</f>
        <v>Twenties</v>
      </c>
      <c r="E2" s="23" t="str">
        <f t="shared" ref="E2:E51" si="4"> IF(A2 &lt; 20, "Teen", IF(A2&lt;30, "Twenties", IF(A2&lt;40, "Thirties", "Forty or Older")))</f>
        <v>Twenties</v>
      </c>
      <c r="F2" s="23" t="str">
        <f t="shared" ref="F2:F51" si="5">IFS(A2&lt;20, "Teen", A2&lt;30, "Twenties", A2&lt;40, "Thirties", TRUE, "Forties or Older")</f>
        <v>Twenties</v>
      </c>
      <c r="G2" s="23" t="b">
        <f>AND(A2&lt;25, Data!H2="Gold", Data!E2="USA")</f>
        <v>0</v>
      </c>
      <c r="H2" s="23" t="b">
        <f>OR(A2&lt;25,Data!H2="Gold",Data!H2&lt;&gt;"USA")</f>
        <v>1</v>
      </c>
      <c r="I2" s="52" t="b">
        <f t="shared" ref="I2:I51" si="6">F2=E2</f>
        <v>1</v>
      </c>
      <c r="J2" s="52" t="b">
        <f>OR(FALSE,FALSE,FALSE)</f>
        <v>0</v>
      </c>
    </row>
    <row r="3" ht="15.75" customHeight="1">
      <c r="A3" s="17">
        <v>31.0</v>
      </c>
      <c r="B3" s="23" t="str">
        <f t="shared" si="1"/>
        <v>Experienced</v>
      </c>
      <c r="C3" s="23" t="str">
        <f t="shared" si="2"/>
        <v>Other</v>
      </c>
      <c r="D3" s="23" t="str">
        <f t="shared" si="3"/>
        <v>Others</v>
      </c>
      <c r="E3" s="23" t="str">
        <f t="shared" si="4"/>
        <v>Thirties</v>
      </c>
      <c r="F3" s="23" t="str">
        <f t="shared" si="5"/>
        <v>Thirties</v>
      </c>
      <c r="G3" s="23" t="b">
        <f>AND(A3&lt;25, Data!H3="Gold", Data!E3="USA")</f>
        <v>0</v>
      </c>
      <c r="H3" s="23" t="b">
        <f>OR(A3&lt;25,Data!H3="Gold",Data!H3&lt;&gt;"USA")</f>
        <v>1</v>
      </c>
      <c r="I3" s="52" t="b">
        <f t="shared" si="6"/>
        <v>1</v>
      </c>
    </row>
    <row r="4" ht="15.75" customHeight="1">
      <c r="A4" s="17">
        <v>19.0</v>
      </c>
      <c r="B4" s="23" t="str">
        <f t="shared" si="1"/>
        <v>Young</v>
      </c>
      <c r="C4" s="23" t="str">
        <f t="shared" si="2"/>
        <v>Teen</v>
      </c>
      <c r="D4" s="23" t="str">
        <f t="shared" si="3"/>
        <v>Teen</v>
      </c>
      <c r="E4" s="23" t="str">
        <f t="shared" si="4"/>
        <v>Teen</v>
      </c>
      <c r="F4" s="23" t="str">
        <f t="shared" si="5"/>
        <v>Teen</v>
      </c>
      <c r="G4" s="23" t="b">
        <f>AND(A4&lt;25, Data!H4="Gold", Data!E4="USA")</f>
        <v>0</v>
      </c>
      <c r="H4" s="23" t="b">
        <f>OR(A4&lt;25,Data!H4="Gold",Data!H4&lt;&gt;"USA")</f>
        <v>1</v>
      </c>
      <c r="I4" s="52" t="b">
        <f t="shared" si="6"/>
        <v>1</v>
      </c>
    </row>
    <row r="5" ht="15.75" customHeight="1">
      <c r="A5" s="17">
        <v>33.0</v>
      </c>
      <c r="B5" s="23" t="str">
        <f t="shared" si="1"/>
        <v>Experienced</v>
      </c>
      <c r="C5" s="23" t="str">
        <f t="shared" si="2"/>
        <v>Other</v>
      </c>
      <c r="D5" s="23" t="str">
        <f t="shared" si="3"/>
        <v>Others</v>
      </c>
      <c r="E5" s="23" t="str">
        <f t="shared" si="4"/>
        <v>Thirties</v>
      </c>
      <c r="F5" s="23" t="str">
        <f t="shared" si="5"/>
        <v>Thirties</v>
      </c>
      <c r="G5" s="23" t="b">
        <f>AND(A5&lt;25, Data!H5="Gold", Data!E5="USA")</f>
        <v>0</v>
      </c>
      <c r="H5" s="23" t="b">
        <f>OR(A5&lt;25,Data!H5="Gold",Data!H5&lt;&gt;"USA")</f>
        <v>1</v>
      </c>
      <c r="I5" s="52" t="b">
        <f t="shared" si="6"/>
        <v>1</v>
      </c>
    </row>
    <row r="6" ht="15.75" customHeight="1">
      <c r="A6" s="17">
        <v>19.0</v>
      </c>
      <c r="B6" s="23" t="str">
        <f t="shared" si="1"/>
        <v>Young</v>
      </c>
      <c r="C6" s="23" t="str">
        <f t="shared" si="2"/>
        <v>Teen</v>
      </c>
      <c r="D6" s="23" t="str">
        <f t="shared" si="3"/>
        <v>Teen</v>
      </c>
      <c r="E6" s="23" t="str">
        <f t="shared" si="4"/>
        <v>Teen</v>
      </c>
      <c r="F6" s="23" t="str">
        <f t="shared" si="5"/>
        <v>Teen</v>
      </c>
      <c r="G6" s="23" t="b">
        <f>AND(A6&lt;25, Data!H6="Gold", Data!E6="USA")</f>
        <v>0</v>
      </c>
      <c r="H6" s="23" t="b">
        <f>OR(A6&lt;25,Data!H6="Gold",Data!H6&lt;&gt;"USA")</f>
        <v>1</v>
      </c>
      <c r="I6" s="52" t="b">
        <f t="shared" si="6"/>
        <v>1</v>
      </c>
      <c r="J6" s="60" t="s">
        <v>252</v>
      </c>
      <c r="K6" s="33"/>
    </row>
    <row r="7" ht="15.75" customHeight="1">
      <c r="A7" s="17">
        <v>25.0</v>
      </c>
      <c r="B7" s="23" t="str">
        <f t="shared" si="1"/>
        <v>Experienced</v>
      </c>
      <c r="C7" s="23" t="str">
        <f t="shared" si="2"/>
        <v>Other</v>
      </c>
      <c r="D7" s="23" t="str">
        <f t="shared" si="3"/>
        <v>Twenties</v>
      </c>
      <c r="E7" s="23" t="str">
        <f t="shared" si="4"/>
        <v>Twenties</v>
      </c>
      <c r="F7" s="23" t="str">
        <f t="shared" si="5"/>
        <v>Twenties</v>
      </c>
      <c r="G7" s="23" t="b">
        <f>AND(A7&lt;25, Data!H7="Gold", Data!E7="USA")</f>
        <v>0</v>
      </c>
      <c r="H7" s="23" t="b">
        <f>OR(A7&lt;25,Data!H7="Gold",Data!H7&lt;&gt;"USA")</f>
        <v>1</v>
      </c>
      <c r="I7" s="52" t="b">
        <f t="shared" si="6"/>
        <v>1</v>
      </c>
      <c r="J7" s="34" t="s">
        <v>253</v>
      </c>
      <c r="K7" s="74" t="s">
        <v>254</v>
      </c>
    </row>
    <row r="8" ht="15.75" customHeight="1">
      <c r="A8" s="17">
        <v>17.0</v>
      </c>
      <c r="B8" s="23" t="str">
        <f t="shared" si="1"/>
        <v>Young</v>
      </c>
      <c r="C8" s="23" t="str">
        <f t="shared" si="2"/>
        <v>Teen</v>
      </c>
      <c r="D8" s="23" t="str">
        <f t="shared" si="3"/>
        <v>Teen</v>
      </c>
      <c r="E8" s="23" t="str">
        <f t="shared" si="4"/>
        <v>Teen</v>
      </c>
      <c r="F8" s="23" t="str">
        <f t="shared" si="5"/>
        <v>Teen</v>
      </c>
      <c r="G8" s="23" t="b">
        <f>AND(A8&lt;25, Data!H8="Gold", Data!E8="USA")</f>
        <v>1</v>
      </c>
      <c r="H8" s="23" t="b">
        <f>OR(A8&lt;25,Data!H8="Gold",Data!H8&lt;&gt;"USA")</f>
        <v>1</v>
      </c>
      <c r="I8" s="52" t="b">
        <f t="shared" si="6"/>
        <v>1</v>
      </c>
      <c r="J8" s="34" t="s">
        <v>255</v>
      </c>
      <c r="K8" s="75" t="s">
        <v>256</v>
      </c>
    </row>
    <row r="9" ht="15.75" customHeight="1">
      <c r="A9" s="17">
        <v>16.0</v>
      </c>
      <c r="B9" s="23" t="str">
        <f t="shared" si="1"/>
        <v>Young</v>
      </c>
      <c r="C9" s="23" t="str">
        <f t="shared" si="2"/>
        <v>Teen</v>
      </c>
      <c r="D9" s="23" t="str">
        <f t="shared" si="3"/>
        <v>Teen</v>
      </c>
      <c r="E9" s="23" t="str">
        <f t="shared" si="4"/>
        <v>Teen</v>
      </c>
      <c r="F9" s="23" t="str">
        <f t="shared" si="5"/>
        <v>Teen</v>
      </c>
      <c r="G9" s="23" t="b">
        <f>AND(A9&lt;25, Data!H9="Gold", Data!E9="USA")</f>
        <v>0</v>
      </c>
      <c r="H9" s="23" t="b">
        <f>OR(A9&lt;25,Data!H9="Gold",Data!H9&lt;&gt;"USA")</f>
        <v>1</v>
      </c>
      <c r="I9" s="52" t="b">
        <f t="shared" si="6"/>
        <v>1</v>
      </c>
      <c r="J9" s="34" t="s">
        <v>246</v>
      </c>
      <c r="K9" s="74" t="s">
        <v>257</v>
      </c>
    </row>
    <row r="10" ht="15.75" customHeight="1">
      <c r="A10" s="17">
        <v>23.0</v>
      </c>
      <c r="B10" s="23" t="str">
        <f t="shared" si="1"/>
        <v>Young</v>
      </c>
      <c r="C10" s="23" t="str">
        <f t="shared" si="2"/>
        <v>Other</v>
      </c>
      <c r="D10" s="23" t="str">
        <f t="shared" si="3"/>
        <v>Twenties</v>
      </c>
      <c r="E10" s="23" t="str">
        <f t="shared" si="4"/>
        <v>Twenties</v>
      </c>
      <c r="F10" s="23" t="str">
        <f t="shared" si="5"/>
        <v>Twenties</v>
      </c>
      <c r="G10" s="23" t="b">
        <f>AND(A10&lt;25, Data!H10="Gold", Data!E10="USA")</f>
        <v>0</v>
      </c>
      <c r="H10" s="23" t="b">
        <f>OR(A10&lt;25,Data!H10="Gold",Data!H10&lt;&gt;"USA")</f>
        <v>1</v>
      </c>
      <c r="I10" s="52" t="b">
        <f t="shared" si="6"/>
        <v>1</v>
      </c>
      <c r="J10" s="34" t="s">
        <v>247</v>
      </c>
      <c r="K10" s="74" t="s">
        <v>258</v>
      </c>
    </row>
    <row r="11" ht="15.75" customHeight="1">
      <c r="A11" s="17">
        <v>16.0</v>
      </c>
      <c r="B11" s="23" t="str">
        <f t="shared" si="1"/>
        <v>Young</v>
      </c>
      <c r="C11" s="23" t="str">
        <f t="shared" si="2"/>
        <v>Teen</v>
      </c>
      <c r="D11" s="23" t="str">
        <f t="shared" si="3"/>
        <v>Teen</v>
      </c>
      <c r="E11" s="23" t="str">
        <f t="shared" si="4"/>
        <v>Teen</v>
      </c>
      <c r="F11" s="23" t="str">
        <f t="shared" si="5"/>
        <v>Teen</v>
      </c>
      <c r="G11" s="23" t="b">
        <f>AND(A11&lt;25, Data!H11="Gold", Data!E11="USA")</f>
        <v>0</v>
      </c>
      <c r="H11" s="23" t="b">
        <f>OR(A11&lt;25,Data!H11="Gold",Data!H11&lt;&gt;"USA")</f>
        <v>1</v>
      </c>
      <c r="I11" s="52" t="b">
        <f t="shared" si="6"/>
        <v>1</v>
      </c>
      <c r="J11" s="36" t="s">
        <v>248</v>
      </c>
      <c r="K11" s="70" t="s">
        <v>259</v>
      </c>
    </row>
    <row r="12" ht="15.75" customHeight="1">
      <c r="A12" s="17">
        <v>21.0</v>
      </c>
      <c r="B12" s="23" t="str">
        <f t="shared" si="1"/>
        <v>Young</v>
      </c>
      <c r="C12" s="23" t="str">
        <f t="shared" si="2"/>
        <v>Other</v>
      </c>
      <c r="D12" s="23" t="str">
        <f t="shared" si="3"/>
        <v>Twenties</v>
      </c>
      <c r="E12" s="23" t="str">
        <f t="shared" si="4"/>
        <v>Twenties</v>
      </c>
      <c r="F12" s="23" t="str">
        <f t="shared" si="5"/>
        <v>Twenties</v>
      </c>
      <c r="G12" s="23" t="b">
        <f>AND(A12&lt;25, Data!H12="Gold", Data!E12="USA")</f>
        <v>0</v>
      </c>
      <c r="H12" s="23" t="b">
        <f>OR(A12&lt;25,Data!H12="Gold",Data!H12&lt;&gt;"USA")</f>
        <v>1</v>
      </c>
      <c r="I12" s="52" t="b">
        <f t="shared" si="6"/>
        <v>1</v>
      </c>
    </row>
    <row r="13" ht="15.75" customHeight="1">
      <c r="A13" s="17">
        <v>23.0</v>
      </c>
      <c r="B13" s="23" t="str">
        <f t="shared" si="1"/>
        <v>Young</v>
      </c>
      <c r="C13" s="23" t="str">
        <f t="shared" si="2"/>
        <v>Other</v>
      </c>
      <c r="D13" s="23" t="str">
        <f t="shared" si="3"/>
        <v>Twenties</v>
      </c>
      <c r="E13" s="23" t="str">
        <f t="shared" si="4"/>
        <v>Twenties</v>
      </c>
      <c r="F13" s="23" t="str">
        <f t="shared" si="5"/>
        <v>Twenties</v>
      </c>
      <c r="G13" s="23" t="b">
        <f>AND(A13&lt;25, Data!H13="Gold", Data!E13="USA")</f>
        <v>0</v>
      </c>
      <c r="H13" s="23" t="b">
        <f>OR(A13&lt;25,Data!H13="Gold",Data!H13&lt;&gt;"USA")</f>
        <v>1</v>
      </c>
      <c r="I13" s="52" t="b">
        <f t="shared" si="6"/>
        <v>1</v>
      </c>
      <c r="J13" s="60" t="s">
        <v>260</v>
      </c>
      <c r="K13" s="33"/>
    </row>
    <row r="14" ht="15.75" customHeight="1">
      <c r="A14" s="17">
        <v>18.0</v>
      </c>
      <c r="B14" s="23" t="str">
        <f t="shared" si="1"/>
        <v>Young</v>
      </c>
      <c r="C14" s="23" t="str">
        <f t="shared" si="2"/>
        <v>Teen</v>
      </c>
      <c r="D14" s="23" t="str">
        <f t="shared" si="3"/>
        <v>Teen</v>
      </c>
      <c r="E14" s="23" t="str">
        <f t="shared" si="4"/>
        <v>Teen</v>
      </c>
      <c r="F14" s="23" t="str">
        <f t="shared" si="5"/>
        <v>Teen</v>
      </c>
      <c r="G14" s="23" t="b">
        <f>AND(A14&lt;25, Data!H14="Gold", Data!E14="USA")</f>
        <v>1</v>
      </c>
      <c r="H14" s="23" t="b">
        <f>OR(A14&lt;25,Data!H14="Gold",Data!H14&lt;&gt;"USA")</f>
        <v>1</v>
      </c>
      <c r="I14" s="52" t="b">
        <f t="shared" si="6"/>
        <v>1</v>
      </c>
      <c r="J14" s="34" t="s">
        <v>249</v>
      </c>
      <c r="K14" s="74" t="s">
        <v>261</v>
      </c>
    </row>
    <row r="15" ht="15.75" customHeight="1">
      <c r="A15" s="17">
        <v>26.0</v>
      </c>
      <c r="B15" s="23" t="str">
        <f t="shared" si="1"/>
        <v>Experienced</v>
      </c>
      <c r="C15" s="23" t="str">
        <f t="shared" si="2"/>
        <v>Other</v>
      </c>
      <c r="D15" s="23" t="str">
        <f t="shared" si="3"/>
        <v>Twenties</v>
      </c>
      <c r="E15" s="23" t="str">
        <f t="shared" si="4"/>
        <v>Twenties</v>
      </c>
      <c r="F15" s="23" t="str">
        <f t="shared" si="5"/>
        <v>Twenties</v>
      </c>
      <c r="G15" s="23" t="b">
        <f>AND(A15&lt;25, Data!H15="Gold", Data!E15="USA")</f>
        <v>0</v>
      </c>
      <c r="H15" s="23" t="b">
        <f>OR(A15&lt;25,Data!H15="Gold",Data!H15&lt;&gt;"USA")</f>
        <v>1</v>
      </c>
      <c r="I15" s="52" t="b">
        <f t="shared" si="6"/>
        <v>1</v>
      </c>
      <c r="J15" s="36" t="s">
        <v>250</v>
      </c>
      <c r="K15" s="70" t="s">
        <v>262</v>
      </c>
    </row>
    <row r="16" ht="15.75" customHeight="1">
      <c r="A16" s="17">
        <v>26.0</v>
      </c>
      <c r="B16" s="23" t="str">
        <f t="shared" si="1"/>
        <v>Experienced</v>
      </c>
      <c r="C16" s="23" t="str">
        <f t="shared" si="2"/>
        <v>Other</v>
      </c>
      <c r="D16" s="23" t="str">
        <f t="shared" si="3"/>
        <v>Twenties</v>
      </c>
      <c r="E16" s="23" t="str">
        <f t="shared" si="4"/>
        <v>Twenties</v>
      </c>
      <c r="F16" s="23" t="str">
        <f t="shared" si="5"/>
        <v>Twenties</v>
      </c>
      <c r="G16" s="23" t="b">
        <f>AND(A16&lt;25, Data!H16="Gold", Data!E16="USA")</f>
        <v>0</v>
      </c>
      <c r="H16" s="23" t="b">
        <f>OR(A16&lt;25,Data!H16="Gold",Data!H16&lt;&gt;"USA")</f>
        <v>1</v>
      </c>
      <c r="I16" s="52" t="b">
        <f t="shared" si="6"/>
        <v>1</v>
      </c>
    </row>
    <row r="17" ht="15.75" customHeight="1">
      <c r="A17" s="17">
        <v>19.0</v>
      </c>
      <c r="B17" s="23" t="str">
        <f t="shared" si="1"/>
        <v>Young</v>
      </c>
      <c r="C17" s="23" t="str">
        <f t="shared" si="2"/>
        <v>Teen</v>
      </c>
      <c r="D17" s="23" t="str">
        <f t="shared" si="3"/>
        <v>Teen</v>
      </c>
      <c r="E17" s="23" t="str">
        <f t="shared" si="4"/>
        <v>Teen</v>
      </c>
      <c r="F17" s="23" t="str">
        <f t="shared" si="5"/>
        <v>Teen</v>
      </c>
      <c r="G17" s="23" t="b">
        <f>AND(A17&lt;25, Data!H17="Gold", Data!E17="USA")</f>
        <v>1</v>
      </c>
      <c r="H17" s="23" t="b">
        <f>OR(A17&lt;25,Data!H17="Gold",Data!H17&lt;&gt;"USA")</f>
        <v>1</v>
      </c>
      <c r="I17" s="52" t="b">
        <f t="shared" si="6"/>
        <v>1</v>
      </c>
    </row>
    <row r="18" ht="15.75" customHeight="1">
      <c r="A18" s="17">
        <v>21.0</v>
      </c>
      <c r="B18" s="23" t="str">
        <f t="shared" si="1"/>
        <v>Young</v>
      </c>
      <c r="C18" s="23" t="str">
        <f t="shared" si="2"/>
        <v>Other</v>
      </c>
      <c r="D18" s="23" t="str">
        <f t="shared" si="3"/>
        <v>Twenties</v>
      </c>
      <c r="E18" s="23" t="str">
        <f t="shared" si="4"/>
        <v>Twenties</v>
      </c>
      <c r="F18" s="23" t="str">
        <f t="shared" si="5"/>
        <v>Twenties</v>
      </c>
      <c r="G18" s="23" t="b">
        <f>AND(A18&lt;25, Data!H18="Gold", Data!E18="USA")</f>
        <v>0</v>
      </c>
      <c r="H18" s="23" t="b">
        <f>OR(A18&lt;25,Data!H18="Gold",Data!H18&lt;&gt;"USA")</f>
        <v>1</v>
      </c>
      <c r="I18" s="52" t="b">
        <f t="shared" si="6"/>
        <v>1</v>
      </c>
    </row>
    <row r="19" ht="15.75" customHeight="1">
      <c r="A19" s="17">
        <v>16.0</v>
      </c>
      <c r="B19" s="23" t="str">
        <f t="shared" si="1"/>
        <v>Young</v>
      </c>
      <c r="C19" s="23" t="str">
        <f t="shared" si="2"/>
        <v>Teen</v>
      </c>
      <c r="D19" s="23" t="str">
        <f t="shared" si="3"/>
        <v>Teen</v>
      </c>
      <c r="E19" s="23" t="str">
        <f t="shared" si="4"/>
        <v>Teen</v>
      </c>
      <c r="F19" s="23" t="str">
        <f t="shared" si="5"/>
        <v>Teen</v>
      </c>
      <c r="G19" s="23" t="b">
        <f>AND(A19&lt;25, Data!H19="Gold", Data!E19="USA")</f>
        <v>0</v>
      </c>
      <c r="H19" s="23" t="b">
        <f>OR(A19&lt;25,Data!H19="Gold",Data!H19&lt;&gt;"USA")</f>
        <v>1</v>
      </c>
      <c r="I19" s="52" t="b">
        <f t="shared" si="6"/>
        <v>1</v>
      </c>
    </row>
    <row r="20" ht="15.75" customHeight="1">
      <c r="A20" s="17">
        <v>34.0</v>
      </c>
      <c r="B20" s="23" t="str">
        <f t="shared" si="1"/>
        <v>Experienced</v>
      </c>
      <c r="C20" s="23" t="str">
        <f t="shared" si="2"/>
        <v>Other</v>
      </c>
      <c r="D20" s="23" t="str">
        <f t="shared" si="3"/>
        <v>Others</v>
      </c>
      <c r="E20" s="23" t="str">
        <f t="shared" si="4"/>
        <v>Thirties</v>
      </c>
      <c r="F20" s="23" t="str">
        <f t="shared" si="5"/>
        <v>Thirties</v>
      </c>
      <c r="G20" s="23" t="b">
        <f>AND(A20&lt;25, Data!H20="Gold", Data!E20="USA")</f>
        <v>0</v>
      </c>
      <c r="H20" s="23" t="b">
        <f>OR(A20&lt;25,Data!H20="Gold",Data!H20&lt;&gt;"USA")</f>
        <v>1</v>
      </c>
      <c r="I20" s="52" t="b">
        <f t="shared" si="6"/>
        <v>1</v>
      </c>
    </row>
    <row r="21" ht="15.75" customHeight="1">
      <c r="A21" s="17">
        <v>30.0</v>
      </c>
      <c r="B21" s="23" t="str">
        <f t="shared" si="1"/>
        <v>Experienced</v>
      </c>
      <c r="C21" s="23" t="str">
        <f t="shared" si="2"/>
        <v>Other</v>
      </c>
      <c r="D21" s="23" t="str">
        <f t="shared" si="3"/>
        <v>Others</v>
      </c>
      <c r="E21" s="23" t="str">
        <f t="shared" si="4"/>
        <v>Thirties</v>
      </c>
      <c r="F21" s="23" t="str">
        <f t="shared" si="5"/>
        <v>Thirties</v>
      </c>
      <c r="G21" s="23" t="b">
        <f>AND(A21&lt;25, Data!H21="Gold", Data!E21="USA")</f>
        <v>0</v>
      </c>
      <c r="H21" s="23" t="b">
        <f>OR(A21&lt;25,Data!H21="Gold",Data!H21&lt;&gt;"USA")</f>
        <v>1</v>
      </c>
      <c r="I21" s="52" t="b">
        <f t="shared" si="6"/>
        <v>1</v>
      </c>
    </row>
    <row r="22" ht="15.75" customHeight="1">
      <c r="A22" s="17">
        <v>24.0</v>
      </c>
      <c r="B22" s="23" t="str">
        <f t="shared" si="1"/>
        <v>Young</v>
      </c>
      <c r="C22" s="23" t="str">
        <f t="shared" si="2"/>
        <v>Other</v>
      </c>
      <c r="D22" s="23" t="str">
        <f t="shared" si="3"/>
        <v>Twenties</v>
      </c>
      <c r="E22" s="23" t="str">
        <f t="shared" si="4"/>
        <v>Twenties</v>
      </c>
      <c r="F22" s="23" t="str">
        <f t="shared" si="5"/>
        <v>Twenties</v>
      </c>
      <c r="G22" s="23" t="b">
        <f>AND(A22&lt;25, Data!H22="Gold", Data!E22="USA")</f>
        <v>0</v>
      </c>
      <c r="H22" s="23" t="b">
        <f>OR(A22&lt;25,Data!H22="Gold",Data!H22&lt;&gt;"USA")</f>
        <v>1</v>
      </c>
      <c r="I22" s="52" t="b">
        <f t="shared" si="6"/>
        <v>1</v>
      </c>
    </row>
    <row r="23" ht="15.75" customHeight="1">
      <c r="A23" s="17">
        <v>17.0</v>
      </c>
      <c r="B23" s="23" t="str">
        <f t="shared" si="1"/>
        <v>Young</v>
      </c>
      <c r="C23" s="23" t="str">
        <f t="shared" si="2"/>
        <v>Teen</v>
      </c>
      <c r="D23" s="23" t="str">
        <f t="shared" si="3"/>
        <v>Teen</v>
      </c>
      <c r="E23" s="23" t="str">
        <f t="shared" si="4"/>
        <v>Teen</v>
      </c>
      <c r="F23" s="23" t="str">
        <f t="shared" si="5"/>
        <v>Teen</v>
      </c>
      <c r="G23" s="23" t="b">
        <f>AND(A23&lt;25, Data!H23="Gold", Data!E23="USA")</f>
        <v>0</v>
      </c>
      <c r="H23" s="23" t="b">
        <f>OR(A23&lt;25,Data!H23="Gold",Data!H23&lt;&gt;"USA")</f>
        <v>1</v>
      </c>
      <c r="I23" s="52" t="b">
        <f t="shared" si="6"/>
        <v>1</v>
      </c>
    </row>
    <row r="24" ht="15.75" customHeight="1">
      <c r="A24" s="17">
        <v>24.0</v>
      </c>
      <c r="B24" s="23" t="str">
        <f t="shared" si="1"/>
        <v>Young</v>
      </c>
      <c r="C24" s="23" t="str">
        <f t="shared" si="2"/>
        <v>Other</v>
      </c>
      <c r="D24" s="23" t="str">
        <f t="shared" si="3"/>
        <v>Twenties</v>
      </c>
      <c r="E24" s="23" t="str">
        <f t="shared" si="4"/>
        <v>Twenties</v>
      </c>
      <c r="F24" s="23" t="str">
        <f t="shared" si="5"/>
        <v>Twenties</v>
      </c>
      <c r="G24" s="23" t="b">
        <f>AND(A24&lt;25, Data!H24="Gold", Data!E24="USA")</f>
        <v>0</v>
      </c>
      <c r="H24" s="23" t="b">
        <f>OR(A24&lt;25,Data!H24="Gold",Data!H24&lt;&gt;"USA")</f>
        <v>1</v>
      </c>
      <c r="I24" s="52" t="b">
        <f t="shared" si="6"/>
        <v>1</v>
      </c>
    </row>
    <row r="25" ht="15.75" customHeight="1">
      <c r="A25" s="17">
        <v>27.0</v>
      </c>
      <c r="B25" s="23" t="str">
        <f t="shared" si="1"/>
        <v>Experienced</v>
      </c>
      <c r="C25" s="23" t="str">
        <f t="shared" si="2"/>
        <v>Other</v>
      </c>
      <c r="D25" s="23" t="str">
        <f t="shared" si="3"/>
        <v>Twenties</v>
      </c>
      <c r="E25" s="23" t="str">
        <f t="shared" si="4"/>
        <v>Twenties</v>
      </c>
      <c r="F25" s="23" t="str">
        <f t="shared" si="5"/>
        <v>Twenties</v>
      </c>
      <c r="G25" s="23" t="b">
        <f>AND(A25&lt;25, Data!H25="Gold", Data!E25="USA")</f>
        <v>0</v>
      </c>
      <c r="H25" s="23" t="b">
        <f>OR(A25&lt;25,Data!H25="Gold",Data!H25&lt;&gt;"USA")</f>
        <v>1</v>
      </c>
      <c r="I25" s="52" t="b">
        <f t="shared" si="6"/>
        <v>1</v>
      </c>
    </row>
    <row r="26" ht="15.75" customHeight="1">
      <c r="A26" s="17">
        <v>24.0</v>
      </c>
      <c r="B26" s="23" t="str">
        <f t="shared" si="1"/>
        <v>Young</v>
      </c>
      <c r="C26" s="23" t="str">
        <f t="shared" si="2"/>
        <v>Other</v>
      </c>
      <c r="D26" s="23" t="str">
        <f t="shared" si="3"/>
        <v>Twenties</v>
      </c>
      <c r="E26" s="23" t="str">
        <f t="shared" si="4"/>
        <v>Twenties</v>
      </c>
      <c r="F26" s="23" t="str">
        <f t="shared" si="5"/>
        <v>Twenties</v>
      </c>
      <c r="G26" s="23" t="b">
        <f>AND(A26&lt;25, Data!H26="Gold", Data!E26="USA")</f>
        <v>1</v>
      </c>
      <c r="H26" s="23" t="b">
        <f>OR(A26&lt;25,Data!H26="Gold",Data!H26&lt;&gt;"USA")</f>
        <v>1</v>
      </c>
      <c r="I26" s="52" t="b">
        <f t="shared" si="6"/>
        <v>1</v>
      </c>
    </row>
    <row r="27" ht="15.75" customHeight="1">
      <c r="A27" s="17">
        <v>28.0</v>
      </c>
      <c r="B27" s="23" t="str">
        <f t="shared" si="1"/>
        <v>Experienced</v>
      </c>
      <c r="C27" s="23" t="str">
        <f t="shared" si="2"/>
        <v>Other</v>
      </c>
      <c r="D27" s="23" t="str">
        <f t="shared" si="3"/>
        <v>Twenties</v>
      </c>
      <c r="E27" s="23" t="str">
        <f t="shared" si="4"/>
        <v>Twenties</v>
      </c>
      <c r="F27" s="23" t="str">
        <f t="shared" si="5"/>
        <v>Twenties</v>
      </c>
      <c r="G27" s="23" t="b">
        <f>AND(A27&lt;25, Data!H27="Gold", Data!E27="USA")</f>
        <v>0</v>
      </c>
      <c r="H27" s="23" t="b">
        <f>OR(A27&lt;25,Data!H27="Gold",Data!H27&lt;&gt;"USA")</f>
        <v>1</v>
      </c>
      <c r="I27" s="52" t="b">
        <f t="shared" si="6"/>
        <v>1</v>
      </c>
    </row>
    <row r="28" ht="15.75" customHeight="1">
      <c r="A28" s="17">
        <v>23.0</v>
      </c>
      <c r="B28" s="23" t="str">
        <f t="shared" si="1"/>
        <v>Young</v>
      </c>
      <c r="C28" s="23" t="str">
        <f t="shared" si="2"/>
        <v>Other</v>
      </c>
      <c r="D28" s="23" t="str">
        <f t="shared" si="3"/>
        <v>Twenties</v>
      </c>
      <c r="E28" s="23" t="str">
        <f t="shared" si="4"/>
        <v>Twenties</v>
      </c>
      <c r="F28" s="23" t="str">
        <f t="shared" si="5"/>
        <v>Twenties</v>
      </c>
      <c r="G28" s="23" t="b">
        <f>AND(A28&lt;25, Data!H28="Gold", Data!E28="USA")</f>
        <v>0</v>
      </c>
      <c r="H28" s="23" t="b">
        <f>OR(A28&lt;25,Data!H28="Gold",Data!H28&lt;&gt;"USA")</f>
        <v>1</v>
      </c>
      <c r="I28" s="52" t="b">
        <f t="shared" si="6"/>
        <v>1</v>
      </c>
    </row>
    <row r="29" ht="15.75" customHeight="1">
      <c r="A29" s="17">
        <v>28.0</v>
      </c>
      <c r="B29" s="23" t="str">
        <f t="shared" si="1"/>
        <v>Experienced</v>
      </c>
      <c r="C29" s="23" t="str">
        <f t="shared" si="2"/>
        <v>Other</v>
      </c>
      <c r="D29" s="23" t="str">
        <f t="shared" si="3"/>
        <v>Twenties</v>
      </c>
      <c r="E29" s="23" t="str">
        <f t="shared" si="4"/>
        <v>Twenties</v>
      </c>
      <c r="F29" s="23" t="str">
        <f t="shared" si="5"/>
        <v>Twenties</v>
      </c>
      <c r="G29" s="23" t="b">
        <f>AND(A29&lt;25, Data!H29="Gold", Data!E29="USA")</f>
        <v>0</v>
      </c>
      <c r="H29" s="23" t="b">
        <f>OR(A29&lt;25,Data!H29="Gold",Data!H29&lt;&gt;"USA")</f>
        <v>1</v>
      </c>
      <c r="I29" s="52" t="b">
        <f t="shared" si="6"/>
        <v>1</v>
      </c>
    </row>
    <row r="30" ht="15.75" customHeight="1">
      <c r="A30" s="17">
        <v>17.0</v>
      </c>
      <c r="B30" s="23" t="str">
        <f t="shared" si="1"/>
        <v>Young</v>
      </c>
      <c r="C30" s="23" t="str">
        <f t="shared" si="2"/>
        <v>Teen</v>
      </c>
      <c r="D30" s="23" t="str">
        <f t="shared" si="3"/>
        <v>Teen</v>
      </c>
      <c r="E30" s="23" t="str">
        <f t="shared" si="4"/>
        <v>Teen</v>
      </c>
      <c r="F30" s="23" t="str">
        <f t="shared" si="5"/>
        <v>Teen</v>
      </c>
      <c r="G30" s="23" t="b">
        <f>AND(A30&lt;25, Data!H30="Gold", Data!E30="USA")</f>
        <v>0</v>
      </c>
      <c r="H30" s="23" t="b">
        <f>OR(A30&lt;25,Data!H30="Gold",Data!H30&lt;&gt;"USA")</f>
        <v>1</v>
      </c>
      <c r="I30" s="52" t="b">
        <f t="shared" si="6"/>
        <v>1</v>
      </c>
    </row>
    <row r="31" ht="15.75" customHeight="1">
      <c r="A31" s="17">
        <v>21.0</v>
      </c>
      <c r="B31" s="23" t="str">
        <f t="shared" si="1"/>
        <v>Young</v>
      </c>
      <c r="C31" s="23" t="str">
        <f t="shared" si="2"/>
        <v>Other</v>
      </c>
      <c r="D31" s="23" t="str">
        <f t="shared" si="3"/>
        <v>Twenties</v>
      </c>
      <c r="E31" s="23" t="str">
        <f t="shared" si="4"/>
        <v>Twenties</v>
      </c>
      <c r="F31" s="23" t="str">
        <f t="shared" si="5"/>
        <v>Twenties</v>
      </c>
      <c r="G31" s="23" t="b">
        <f>AND(A31&lt;25, Data!H31="Gold", Data!E31="USA")</f>
        <v>0</v>
      </c>
      <c r="H31" s="23" t="b">
        <f>OR(A31&lt;25,Data!H31="Gold",Data!H31&lt;&gt;"USA")</f>
        <v>1</v>
      </c>
      <c r="I31" s="52" t="b">
        <f t="shared" si="6"/>
        <v>1</v>
      </c>
    </row>
    <row r="32" ht="15.75" customHeight="1">
      <c r="A32" s="17">
        <v>32.0</v>
      </c>
      <c r="B32" s="23" t="str">
        <f t="shared" si="1"/>
        <v>Experienced</v>
      </c>
      <c r="C32" s="23" t="str">
        <f t="shared" si="2"/>
        <v>Other</v>
      </c>
      <c r="D32" s="23" t="str">
        <f t="shared" si="3"/>
        <v>Others</v>
      </c>
      <c r="E32" s="23" t="str">
        <f t="shared" si="4"/>
        <v>Thirties</v>
      </c>
      <c r="F32" s="23" t="str">
        <f t="shared" si="5"/>
        <v>Thirties</v>
      </c>
      <c r="G32" s="23" t="b">
        <f>AND(A32&lt;25, Data!H32="Gold", Data!E32="USA")</f>
        <v>0</v>
      </c>
      <c r="H32" s="23" t="b">
        <f>OR(A32&lt;25,Data!H32="Gold",Data!H32&lt;&gt;"USA")</f>
        <v>1</v>
      </c>
      <c r="I32" s="52" t="b">
        <f t="shared" si="6"/>
        <v>1</v>
      </c>
    </row>
    <row r="33" ht="15.75" customHeight="1">
      <c r="A33" s="17">
        <v>20.0</v>
      </c>
      <c r="B33" s="23" t="str">
        <f t="shared" si="1"/>
        <v>Young</v>
      </c>
      <c r="C33" s="23" t="str">
        <f t="shared" si="2"/>
        <v>Other</v>
      </c>
      <c r="D33" s="23" t="str">
        <f t="shared" si="3"/>
        <v>Twenties</v>
      </c>
      <c r="E33" s="23" t="str">
        <f t="shared" si="4"/>
        <v>Twenties</v>
      </c>
      <c r="F33" s="23" t="str">
        <f t="shared" si="5"/>
        <v>Twenties</v>
      </c>
      <c r="G33" s="23" t="b">
        <f>AND(A33&lt;25, Data!H33="Gold", Data!E33="USA")</f>
        <v>0</v>
      </c>
      <c r="H33" s="23" t="b">
        <f>OR(A33&lt;25,Data!H33="Gold",Data!H33&lt;&gt;"USA")</f>
        <v>1</v>
      </c>
      <c r="I33" s="52" t="b">
        <f t="shared" si="6"/>
        <v>1</v>
      </c>
    </row>
    <row r="34" ht="15.75" customHeight="1">
      <c r="A34" s="17">
        <v>17.0</v>
      </c>
      <c r="B34" s="23" t="str">
        <f t="shared" si="1"/>
        <v>Young</v>
      </c>
      <c r="C34" s="23" t="str">
        <f t="shared" si="2"/>
        <v>Teen</v>
      </c>
      <c r="D34" s="23" t="str">
        <f t="shared" si="3"/>
        <v>Teen</v>
      </c>
      <c r="E34" s="23" t="str">
        <f t="shared" si="4"/>
        <v>Teen</v>
      </c>
      <c r="F34" s="23" t="str">
        <f t="shared" si="5"/>
        <v>Teen</v>
      </c>
      <c r="G34" s="23" t="b">
        <f>AND(A34&lt;25, Data!H34="Gold", Data!E34="USA")</f>
        <v>0</v>
      </c>
      <c r="H34" s="23" t="b">
        <f>OR(A34&lt;25,Data!H34="Gold",Data!H34&lt;&gt;"USA")</f>
        <v>1</v>
      </c>
      <c r="I34" s="52" t="b">
        <f t="shared" si="6"/>
        <v>1</v>
      </c>
    </row>
    <row r="35" ht="15.75" customHeight="1">
      <c r="A35" s="17">
        <v>25.0</v>
      </c>
      <c r="B35" s="23" t="str">
        <f t="shared" si="1"/>
        <v>Experienced</v>
      </c>
      <c r="C35" s="23" t="str">
        <f t="shared" si="2"/>
        <v>Other</v>
      </c>
      <c r="D35" s="23" t="str">
        <f t="shared" si="3"/>
        <v>Twenties</v>
      </c>
      <c r="E35" s="23" t="str">
        <f t="shared" si="4"/>
        <v>Twenties</v>
      </c>
      <c r="F35" s="23" t="str">
        <f t="shared" si="5"/>
        <v>Twenties</v>
      </c>
      <c r="G35" s="23" t="b">
        <f>AND(A35&lt;25, Data!H35="Gold", Data!E35="USA")</f>
        <v>0</v>
      </c>
      <c r="H35" s="23" t="b">
        <f>OR(A35&lt;25,Data!H35="Gold",Data!H35&lt;&gt;"USA")</f>
        <v>1</v>
      </c>
      <c r="I35" s="52" t="b">
        <f t="shared" si="6"/>
        <v>1</v>
      </c>
    </row>
    <row r="36" ht="15.75" customHeight="1">
      <c r="A36" s="17">
        <v>25.0</v>
      </c>
      <c r="B36" s="23" t="str">
        <f t="shared" si="1"/>
        <v>Experienced</v>
      </c>
      <c r="C36" s="23" t="str">
        <f t="shared" si="2"/>
        <v>Other</v>
      </c>
      <c r="D36" s="23" t="str">
        <f t="shared" si="3"/>
        <v>Twenties</v>
      </c>
      <c r="E36" s="23" t="str">
        <f t="shared" si="4"/>
        <v>Twenties</v>
      </c>
      <c r="F36" s="23" t="str">
        <f t="shared" si="5"/>
        <v>Twenties</v>
      </c>
      <c r="G36" s="23" t="b">
        <f>AND(A36&lt;25, Data!H36="Gold", Data!E36="USA")</f>
        <v>0</v>
      </c>
      <c r="H36" s="23" t="b">
        <f>OR(A36&lt;25,Data!H36="Gold",Data!H36&lt;&gt;"USA")</f>
        <v>1</v>
      </c>
      <c r="I36" s="52" t="b">
        <f t="shared" si="6"/>
        <v>1</v>
      </c>
    </row>
    <row r="37" ht="15.75" customHeight="1">
      <c r="A37" s="17">
        <v>28.0</v>
      </c>
      <c r="B37" s="23" t="str">
        <f t="shared" si="1"/>
        <v>Experienced</v>
      </c>
      <c r="C37" s="23" t="str">
        <f t="shared" si="2"/>
        <v>Other</v>
      </c>
      <c r="D37" s="23" t="str">
        <f t="shared" si="3"/>
        <v>Twenties</v>
      </c>
      <c r="E37" s="23" t="str">
        <f t="shared" si="4"/>
        <v>Twenties</v>
      </c>
      <c r="F37" s="23" t="str">
        <f t="shared" si="5"/>
        <v>Twenties</v>
      </c>
      <c r="G37" s="23" t="b">
        <f>AND(A37&lt;25, Data!H37="Gold", Data!E37="USA")</f>
        <v>0</v>
      </c>
      <c r="H37" s="23" t="b">
        <f>OR(A37&lt;25,Data!H37="Gold",Data!H37&lt;&gt;"USA")</f>
        <v>1</v>
      </c>
      <c r="I37" s="52" t="b">
        <f t="shared" si="6"/>
        <v>1</v>
      </c>
    </row>
    <row r="38" ht="15.75" customHeight="1">
      <c r="A38" s="17">
        <v>22.0</v>
      </c>
      <c r="B38" s="23" t="str">
        <f t="shared" si="1"/>
        <v>Young</v>
      </c>
      <c r="C38" s="23" t="str">
        <f t="shared" si="2"/>
        <v>Other</v>
      </c>
      <c r="D38" s="23" t="str">
        <f t="shared" si="3"/>
        <v>Twenties</v>
      </c>
      <c r="E38" s="23" t="str">
        <f t="shared" si="4"/>
        <v>Twenties</v>
      </c>
      <c r="F38" s="23" t="str">
        <f t="shared" si="5"/>
        <v>Twenties</v>
      </c>
      <c r="G38" s="23" t="b">
        <f>AND(A38&lt;25, Data!H38="Gold", Data!E38="USA")</f>
        <v>1</v>
      </c>
      <c r="H38" s="23" t="b">
        <f>OR(A38&lt;25,Data!H38="Gold",Data!H38&lt;&gt;"USA")</f>
        <v>1</v>
      </c>
      <c r="I38" s="52" t="b">
        <f t="shared" si="6"/>
        <v>1</v>
      </c>
    </row>
    <row r="39" ht="15.75" customHeight="1">
      <c r="A39" s="17">
        <v>18.0</v>
      </c>
      <c r="B39" s="23" t="str">
        <f t="shared" si="1"/>
        <v>Young</v>
      </c>
      <c r="C39" s="23" t="str">
        <f t="shared" si="2"/>
        <v>Teen</v>
      </c>
      <c r="D39" s="23" t="str">
        <f t="shared" si="3"/>
        <v>Teen</v>
      </c>
      <c r="E39" s="23" t="str">
        <f t="shared" si="4"/>
        <v>Teen</v>
      </c>
      <c r="F39" s="23" t="str">
        <f t="shared" si="5"/>
        <v>Teen</v>
      </c>
      <c r="G39" s="23" t="b">
        <f>AND(A39&lt;25, Data!H39="Gold", Data!E39="USA")</f>
        <v>0</v>
      </c>
      <c r="H39" s="23" t="b">
        <f>OR(A39&lt;25,Data!H39="Gold",Data!H39&lt;&gt;"USA")</f>
        <v>1</v>
      </c>
      <c r="I39" s="52" t="b">
        <f t="shared" si="6"/>
        <v>1</v>
      </c>
    </row>
    <row r="40" ht="15.75" customHeight="1">
      <c r="A40" s="17">
        <v>26.0</v>
      </c>
      <c r="B40" s="23" t="str">
        <f t="shared" si="1"/>
        <v>Experienced</v>
      </c>
      <c r="C40" s="23" t="str">
        <f t="shared" si="2"/>
        <v>Other</v>
      </c>
      <c r="D40" s="23" t="str">
        <f t="shared" si="3"/>
        <v>Twenties</v>
      </c>
      <c r="E40" s="23" t="str">
        <f t="shared" si="4"/>
        <v>Twenties</v>
      </c>
      <c r="F40" s="23" t="str">
        <f t="shared" si="5"/>
        <v>Twenties</v>
      </c>
      <c r="G40" s="23" t="b">
        <f>AND(A40&lt;25, Data!H40="Gold", Data!E40="USA")</f>
        <v>0</v>
      </c>
      <c r="H40" s="23" t="b">
        <f>OR(A40&lt;25,Data!H40="Gold",Data!H40&lt;&gt;"USA")</f>
        <v>1</v>
      </c>
      <c r="I40" s="52" t="b">
        <f t="shared" si="6"/>
        <v>1</v>
      </c>
    </row>
    <row r="41" ht="15.75" customHeight="1">
      <c r="A41" s="17">
        <v>17.0</v>
      </c>
      <c r="B41" s="23" t="str">
        <f t="shared" si="1"/>
        <v>Young</v>
      </c>
      <c r="C41" s="23" t="str">
        <f t="shared" si="2"/>
        <v>Teen</v>
      </c>
      <c r="D41" s="23" t="str">
        <f t="shared" si="3"/>
        <v>Teen</v>
      </c>
      <c r="E41" s="23" t="str">
        <f t="shared" si="4"/>
        <v>Teen</v>
      </c>
      <c r="F41" s="23" t="str">
        <f t="shared" si="5"/>
        <v>Teen</v>
      </c>
      <c r="G41" s="23" t="b">
        <f>AND(A41&lt;25, Data!H41="Gold", Data!E41="USA")</f>
        <v>1</v>
      </c>
      <c r="H41" s="23" t="b">
        <f>OR(A41&lt;25,Data!H41="Gold",Data!H41&lt;&gt;"USA")</f>
        <v>1</v>
      </c>
      <c r="I41" s="52" t="b">
        <f t="shared" si="6"/>
        <v>1</v>
      </c>
    </row>
    <row r="42" ht="15.75" customHeight="1">
      <c r="A42" s="17">
        <v>23.0</v>
      </c>
      <c r="B42" s="23" t="str">
        <f t="shared" si="1"/>
        <v>Young</v>
      </c>
      <c r="C42" s="23" t="str">
        <f t="shared" si="2"/>
        <v>Other</v>
      </c>
      <c r="D42" s="23" t="str">
        <f t="shared" si="3"/>
        <v>Twenties</v>
      </c>
      <c r="E42" s="23" t="str">
        <f t="shared" si="4"/>
        <v>Twenties</v>
      </c>
      <c r="F42" s="23" t="str">
        <f t="shared" si="5"/>
        <v>Twenties</v>
      </c>
      <c r="G42" s="23" t="b">
        <f>AND(A42&lt;25, Data!H42="Gold", Data!E42="USA")</f>
        <v>0</v>
      </c>
      <c r="H42" s="23" t="b">
        <f>OR(A42&lt;25,Data!H42="Gold",Data!H42&lt;&gt;"USA")</f>
        <v>1</v>
      </c>
      <c r="I42" s="52" t="b">
        <f t="shared" si="6"/>
        <v>1</v>
      </c>
    </row>
    <row r="43" ht="15.75" customHeight="1">
      <c r="A43" s="17">
        <v>16.0</v>
      </c>
      <c r="B43" s="23" t="str">
        <f t="shared" si="1"/>
        <v>Young</v>
      </c>
      <c r="C43" s="23" t="str">
        <f t="shared" si="2"/>
        <v>Teen</v>
      </c>
      <c r="D43" s="23" t="str">
        <f t="shared" si="3"/>
        <v>Teen</v>
      </c>
      <c r="E43" s="23" t="str">
        <f t="shared" si="4"/>
        <v>Teen</v>
      </c>
      <c r="F43" s="23" t="str">
        <f t="shared" si="5"/>
        <v>Teen</v>
      </c>
      <c r="G43" s="23" t="b">
        <f>AND(A43&lt;25, Data!H43="Gold", Data!E43="USA")</f>
        <v>0</v>
      </c>
      <c r="H43" s="23" t="b">
        <f>OR(A43&lt;25,Data!H43="Gold",Data!H43&lt;&gt;"USA")</f>
        <v>1</v>
      </c>
      <c r="I43" s="52" t="b">
        <f t="shared" si="6"/>
        <v>1</v>
      </c>
    </row>
    <row r="44" ht="15.75" customHeight="1">
      <c r="A44" s="17">
        <v>25.0</v>
      </c>
      <c r="B44" s="23" t="str">
        <f t="shared" si="1"/>
        <v>Experienced</v>
      </c>
      <c r="C44" s="23" t="str">
        <f t="shared" si="2"/>
        <v>Other</v>
      </c>
      <c r="D44" s="23" t="str">
        <f t="shared" si="3"/>
        <v>Twenties</v>
      </c>
      <c r="E44" s="23" t="str">
        <f t="shared" si="4"/>
        <v>Twenties</v>
      </c>
      <c r="F44" s="23" t="str">
        <f t="shared" si="5"/>
        <v>Twenties</v>
      </c>
      <c r="G44" s="23" t="b">
        <f>AND(A44&lt;25, Data!H44="Gold", Data!E44="USA")</f>
        <v>0</v>
      </c>
      <c r="H44" s="23" t="b">
        <f>OR(A44&lt;25,Data!H44="Gold",Data!H44&lt;&gt;"USA")</f>
        <v>1</v>
      </c>
      <c r="I44" s="52" t="b">
        <f t="shared" si="6"/>
        <v>1</v>
      </c>
    </row>
    <row r="45" ht="15.75" customHeight="1">
      <c r="A45" s="17">
        <v>27.0</v>
      </c>
      <c r="B45" s="23" t="str">
        <f t="shared" si="1"/>
        <v>Experienced</v>
      </c>
      <c r="C45" s="23" t="str">
        <f t="shared" si="2"/>
        <v>Other</v>
      </c>
      <c r="D45" s="23" t="str">
        <f t="shared" si="3"/>
        <v>Twenties</v>
      </c>
      <c r="E45" s="23" t="str">
        <f t="shared" si="4"/>
        <v>Twenties</v>
      </c>
      <c r="F45" s="23" t="str">
        <f t="shared" si="5"/>
        <v>Twenties</v>
      </c>
      <c r="G45" s="23" t="b">
        <f>AND(A45&lt;25, Data!H45="Gold", Data!E45="USA")</f>
        <v>0</v>
      </c>
      <c r="H45" s="23" t="b">
        <f>OR(A45&lt;25,Data!H45="Gold",Data!H45&lt;&gt;"USA")</f>
        <v>1</v>
      </c>
      <c r="I45" s="52" t="b">
        <f t="shared" si="6"/>
        <v>1</v>
      </c>
    </row>
    <row r="46" ht="15.75" customHeight="1">
      <c r="A46" s="17">
        <v>24.0</v>
      </c>
      <c r="B46" s="23" t="str">
        <f t="shared" si="1"/>
        <v>Young</v>
      </c>
      <c r="C46" s="23" t="str">
        <f t="shared" si="2"/>
        <v>Other</v>
      </c>
      <c r="D46" s="23" t="str">
        <f t="shared" si="3"/>
        <v>Twenties</v>
      </c>
      <c r="E46" s="23" t="str">
        <f t="shared" si="4"/>
        <v>Twenties</v>
      </c>
      <c r="F46" s="23" t="str">
        <f t="shared" si="5"/>
        <v>Twenties</v>
      </c>
      <c r="G46" s="23" t="b">
        <f>AND(A46&lt;25, Data!H46="Gold", Data!E46="USA")</f>
        <v>0</v>
      </c>
      <c r="H46" s="23" t="b">
        <f>OR(A46&lt;25,Data!H46="Gold",Data!H46&lt;&gt;"USA")</f>
        <v>1</v>
      </c>
      <c r="I46" s="52" t="b">
        <f t="shared" si="6"/>
        <v>1</v>
      </c>
    </row>
    <row r="47" ht="15.75" customHeight="1">
      <c r="A47" s="17">
        <v>28.0</v>
      </c>
      <c r="B47" s="23" t="str">
        <f t="shared" si="1"/>
        <v>Experienced</v>
      </c>
      <c r="C47" s="23" t="str">
        <f t="shared" si="2"/>
        <v>Other</v>
      </c>
      <c r="D47" s="23" t="str">
        <f t="shared" si="3"/>
        <v>Twenties</v>
      </c>
      <c r="E47" s="23" t="str">
        <f t="shared" si="4"/>
        <v>Twenties</v>
      </c>
      <c r="F47" s="23" t="str">
        <f t="shared" si="5"/>
        <v>Twenties</v>
      </c>
      <c r="G47" s="23" t="b">
        <f>AND(A47&lt;25, Data!H47="Gold", Data!E47="USA")</f>
        <v>0</v>
      </c>
      <c r="H47" s="23" t="b">
        <f>OR(A47&lt;25,Data!H47="Gold",Data!H47&lt;&gt;"USA")</f>
        <v>1</v>
      </c>
      <c r="I47" s="52" t="b">
        <f t="shared" si="6"/>
        <v>1</v>
      </c>
    </row>
    <row r="48" ht="15.75" customHeight="1">
      <c r="A48" s="17">
        <v>18.0</v>
      </c>
      <c r="B48" s="23" t="str">
        <f t="shared" si="1"/>
        <v>Young</v>
      </c>
      <c r="C48" s="23" t="str">
        <f t="shared" si="2"/>
        <v>Teen</v>
      </c>
      <c r="D48" s="23" t="str">
        <f t="shared" si="3"/>
        <v>Teen</v>
      </c>
      <c r="E48" s="23" t="str">
        <f t="shared" si="4"/>
        <v>Teen</v>
      </c>
      <c r="F48" s="23" t="str">
        <f t="shared" si="5"/>
        <v>Teen</v>
      </c>
      <c r="G48" s="23" t="b">
        <f>AND(A48&lt;25, Data!H48="Gold", Data!E48="USA")</f>
        <v>0</v>
      </c>
      <c r="H48" s="23" t="b">
        <f>OR(A48&lt;25,Data!H48="Gold",Data!H48&lt;&gt;"USA")</f>
        <v>1</v>
      </c>
      <c r="I48" s="52" t="b">
        <f t="shared" si="6"/>
        <v>1</v>
      </c>
    </row>
    <row r="49" ht="15.75" customHeight="1">
      <c r="A49" s="17">
        <v>22.0</v>
      </c>
      <c r="B49" s="23" t="str">
        <f t="shared" si="1"/>
        <v>Young</v>
      </c>
      <c r="C49" s="23" t="str">
        <f t="shared" si="2"/>
        <v>Other</v>
      </c>
      <c r="D49" s="23" t="str">
        <f t="shared" si="3"/>
        <v>Twenties</v>
      </c>
      <c r="E49" s="23" t="str">
        <f t="shared" si="4"/>
        <v>Twenties</v>
      </c>
      <c r="F49" s="23" t="str">
        <f t="shared" si="5"/>
        <v>Twenties</v>
      </c>
      <c r="G49" s="23" t="b">
        <f>AND(A49&lt;25, Data!H49="Gold", Data!E49="USA")</f>
        <v>0</v>
      </c>
      <c r="H49" s="23" t="b">
        <f>OR(A49&lt;25,Data!H49="Gold",Data!H49&lt;&gt;"USA")</f>
        <v>1</v>
      </c>
      <c r="I49" s="52" t="b">
        <f t="shared" si="6"/>
        <v>1</v>
      </c>
    </row>
    <row r="50" ht="15.75" customHeight="1">
      <c r="A50" s="17">
        <v>20.0</v>
      </c>
      <c r="B50" s="23" t="str">
        <f t="shared" si="1"/>
        <v>Young</v>
      </c>
      <c r="C50" s="23" t="str">
        <f t="shared" si="2"/>
        <v>Other</v>
      </c>
      <c r="D50" s="23" t="str">
        <f t="shared" si="3"/>
        <v>Twenties</v>
      </c>
      <c r="E50" s="23" t="str">
        <f t="shared" si="4"/>
        <v>Twenties</v>
      </c>
      <c r="F50" s="23" t="str">
        <f t="shared" si="5"/>
        <v>Twenties</v>
      </c>
      <c r="G50" s="23" t="b">
        <f>AND(A50&lt;25, Data!H50="Gold", Data!E50="USA")</f>
        <v>0</v>
      </c>
      <c r="H50" s="23" t="b">
        <f>OR(A50&lt;25,Data!H50="Gold",Data!H50&lt;&gt;"USA")</f>
        <v>1</v>
      </c>
      <c r="I50" s="52" t="b">
        <f t="shared" si="6"/>
        <v>1</v>
      </c>
    </row>
    <row r="51" ht="15.75" customHeight="1">
      <c r="A51" s="17">
        <v>27.0</v>
      </c>
      <c r="B51" s="23" t="str">
        <f t="shared" si="1"/>
        <v>Experienced</v>
      </c>
      <c r="C51" s="23" t="str">
        <f t="shared" si="2"/>
        <v>Other</v>
      </c>
      <c r="D51" s="23" t="str">
        <f t="shared" si="3"/>
        <v>Twenties</v>
      </c>
      <c r="E51" s="23" t="str">
        <f t="shared" si="4"/>
        <v>Twenties</v>
      </c>
      <c r="F51" s="23" t="str">
        <f t="shared" si="5"/>
        <v>Twenties</v>
      </c>
      <c r="G51" s="23" t="b">
        <f>AND(A51&lt;25, Data!H51="Gold", Data!E51="USA")</f>
        <v>0</v>
      </c>
      <c r="H51" s="23" t="b">
        <f>OR(A51&lt;25,Data!H51="Gold",Data!H51&lt;&gt;"USA")</f>
        <v>1</v>
      </c>
      <c r="I51" s="52" t="b">
        <f t="shared" si="6"/>
        <v>1</v>
      </c>
    </row>
    <row r="52" ht="15.75" customHeight="1">
      <c r="I52" s="52" t="b">
        <f>AND(I2:I51)</f>
        <v>1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J6:K6"/>
    <mergeCell ref="J13:K13"/>
  </mergeCells>
  <conditionalFormatting sqref="M3:Z3">
    <cfRule type="notContainsBlanks" dxfId="0" priority="1">
      <formula>LEN(TRIM(M3))&gt;0</formula>
    </cfRule>
  </conditionalFormatting>
  <hyperlinks>
    <hyperlink display="🏠 Back to Table of Contents" location="'Table of Contents'!A1" ref="K1"/>
  </hyperlin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19.88"/>
    <col customWidth="1" min="6" max="6" width="16.38"/>
    <col customWidth="1" min="7" max="7" width="24.5"/>
  </cols>
  <sheetData>
    <row r="1" ht="15.75" customHeight="1">
      <c r="A1" s="12" t="s">
        <v>24</v>
      </c>
      <c r="B1" s="12" t="s">
        <v>30</v>
      </c>
      <c r="C1" s="12" t="s">
        <v>22</v>
      </c>
      <c r="G1" s="47" t="s">
        <v>35</v>
      </c>
    </row>
    <row r="2" ht="15.75" customHeight="1">
      <c r="A2" s="17" t="s">
        <v>42</v>
      </c>
      <c r="B2" s="17">
        <v>29.0</v>
      </c>
      <c r="C2" s="17" t="s">
        <v>40</v>
      </c>
    </row>
    <row r="3" ht="15.75" customHeight="1">
      <c r="A3" s="17" t="s">
        <v>49</v>
      </c>
      <c r="B3" s="17">
        <v>31.0</v>
      </c>
      <c r="C3" s="17" t="s">
        <v>47</v>
      </c>
    </row>
    <row r="4" ht="15.75" customHeight="1">
      <c r="A4" s="17" t="s">
        <v>55</v>
      </c>
      <c r="B4" s="17">
        <v>19.0</v>
      </c>
      <c r="C4" s="17" t="s">
        <v>53</v>
      </c>
    </row>
    <row r="5" ht="15.75" customHeight="1">
      <c r="A5" s="17" t="s">
        <v>42</v>
      </c>
      <c r="B5" s="17">
        <v>33.0</v>
      </c>
      <c r="C5" s="17" t="s">
        <v>40</v>
      </c>
      <c r="E5" s="76" t="s">
        <v>263</v>
      </c>
      <c r="F5" s="77">
        <f>SUMIF(A2:A51, "Gold", B2:B51)</f>
        <v>404</v>
      </c>
      <c r="G5" s="78" t="s">
        <v>264</v>
      </c>
    </row>
    <row r="6" ht="15.75" customHeight="1">
      <c r="A6" s="17" t="s">
        <v>49</v>
      </c>
      <c r="B6" s="17">
        <v>19.0</v>
      </c>
      <c r="C6" s="17" t="s">
        <v>47</v>
      </c>
      <c r="E6" s="79" t="s">
        <v>265</v>
      </c>
      <c r="F6" s="23">
        <f>SUMIFS(B2:B51, A2:A51, "Gold", C2:C51, "Swimming")</f>
        <v>177</v>
      </c>
      <c r="G6" s="74" t="s">
        <v>266</v>
      </c>
    </row>
    <row r="7" ht="15.75" customHeight="1">
      <c r="A7" s="17" t="s">
        <v>55</v>
      </c>
      <c r="B7" s="17">
        <v>25.0</v>
      </c>
      <c r="C7" s="17" t="s">
        <v>40</v>
      </c>
      <c r="E7" s="80" t="s">
        <v>267</v>
      </c>
      <c r="F7" s="81">
        <f>AVERAGEIF(A2:A51, "Gold", B2:B51)</f>
        <v>23.76470588</v>
      </c>
      <c r="G7" s="74" t="s">
        <v>268</v>
      </c>
    </row>
    <row r="8" ht="15.75" customHeight="1">
      <c r="A8" s="17" t="s">
        <v>42</v>
      </c>
      <c r="B8" s="17">
        <v>17.0</v>
      </c>
      <c r="C8" s="17" t="s">
        <v>47</v>
      </c>
      <c r="E8" s="82" t="s">
        <v>269</v>
      </c>
      <c r="F8" s="83">
        <f>AVERAGEIFS(B2:B51, A2:A51, "Gold", C2:C51, "Athletics")</f>
        <v>30.16666667</v>
      </c>
      <c r="G8" s="70" t="s">
        <v>270</v>
      </c>
    </row>
    <row r="9" ht="15.75" customHeight="1">
      <c r="A9" s="17" t="s">
        <v>49</v>
      </c>
      <c r="B9" s="17">
        <v>16.0</v>
      </c>
      <c r="C9" s="17" t="s">
        <v>53</v>
      </c>
    </row>
    <row r="10" ht="15.75" customHeight="1">
      <c r="A10" s="17" t="s">
        <v>55</v>
      </c>
      <c r="B10" s="17">
        <v>23.0</v>
      </c>
      <c r="C10" s="17" t="s">
        <v>40</v>
      </c>
    </row>
    <row r="11" ht="15.75" customHeight="1">
      <c r="A11" s="17" t="s">
        <v>42</v>
      </c>
      <c r="B11" s="17">
        <v>16.0</v>
      </c>
      <c r="C11" s="17" t="s">
        <v>47</v>
      </c>
    </row>
    <row r="12" ht="15.75" customHeight="1">
      <c r="A12" s="17" t="s">
        <v>49</v>
      </c>
      <c r="B12" s="17">
        <v>21.0</v>
      </c>
      <c r="C12" s="17" t="s">
        <v>40</v>
      </c>
    </row>
    <row r="13" ht="15.75" customHeight="1">
      <c r="A13" s="17" t="s">
        <v>55</v>
      </c>
      <c r="B13" s="17">
        <v>23.0</v>
      </c>
      <c r="C13" s="17" t="s">
        <v>47</v>
      </c>
    </row>
    <row r="14" ht="15.75" customHeight="1">
      <c r="A14" s="17" t="s">
        <v>42</v>
      </c>
      <c r="B14" s="17">
        <v>18.0</v>
      </c>
      <c r="C14" s="17" t="s">
        <v>53</v>
      </c>
    </row>
    <row r="15" ht="15.75" customHeight="1">
      <c r="A15" s="17" t="s">
        <v>49</v>
      </c>
      <c r="B15" s="17">
        <v>26.0</v>
      </c>
      <c r="C15" s="17" t="s">
        <v>40</v>
      </c>
    </row>
    <row r="16" ht="15.75" customHeight="1">
      <c r="A16" s="17" t="s">
        <v>55</v>
      </c>
      <c r="B16" s="17">
        <v>26.0</v>
      </c>
      <c r="C16" s="17" t="s">
        <v>40</v>
      </c>
    </row>
    <row r="17" ht="15.75" customHeight="1">
      <c r="A17" s="17" t="s">
        <v>42</v>
      </c>
      <c r="B17" s="17">
        <v>19.0</v>
      </c>
      <c r="C17" s="17" t="s">
        <v>47</v>
      </c>
    </row>
    <row r="18" ht="15.75" customHeight="1">
      <c r="A18" s="17" t="s">
        <v>49</v>
      </c>
      <c r="B18" s="17">
        <v>21.0</v>
      </c>
      <c r="C18" s="17" t="s">
        <v>40</v>
      </c>
    </row>
    <row r="19" ht="15.75" customHeight="1">
      <c r="A19" s="17" t="s">
        <v>55</v>
      </c>
      <c r="B19" s="17">
        <v>16.0</v>
      </c>
      <c r="C19" s="17" t="s">
        <v>53</v>
      </c>
    </row>
    <row r="20" ht="15.75" customHeight="1">
      <c r="A20" s="17" t="s">
        <v>42</v>
      </c>
      <c r="B20" s="17">
        <v>34.0</v>
      </c>
      <c r="C20" s="17" t="s">
        <v>40</v>
      </c>
    </row>
    <row r="21" ht="15.75" customHeight="1">
      <c r="A21" s="17" t="s">
        <v>49</v>
      </c>
      <c r="B21" s="17">
        <v>30.0</v>
      </c>
      <c r="C21" s="17" t="s">
        <v>47</v>
      </c>
    </row>
    <row r="22" ht="15.75" customHeight="1">
      <c r="A22" s="17" t="s">
        <v>55</v>
      </c>
      <c r="B22" s="17">
        <v>24.0</v>
      </c>
      <c r="C22" s="17" t="s">
        <v>40</v>
      </c>
    </row>
    <row r="23" ht="15.75" customHeight="1">
      <c r="A23" s="17" t="s">
        <v>42</v>
      </c>
      <c r="B23" s="17">
        <v>17.0</v>
      </c>
      <c r="C23" s="17" t="s">
        <v>47</v>
      </c>
    </row>
    <row r="24" ht="15.75" customHeight="1">
      <c r="A24" s="17" t="s">
        <v>49</v>
      </c>
      <c r="B24" s="17">
        <v>24.0</v>
      </c>
      <c r="C24" s="17" t="s">
        <v>53</v>
      </c>
    </row>
    <row r="25" ht="15.75" customHeight="1">
      <c r="A25" s="17" t="s">
        <v>55</v>
      </c>
      <c r="B25" s="17">
        <v>27.0</v>
      </c>
      <c r="C25" s="17" t="s">
        <v>40</v>
      </c>
    </row>
    <row r="26" ht="15.75" customHeight="1">
      <c r="A26" s="17" t="s">
        <v>42</v>
      </c>
      <c r="B26" s="17">
        <v>24.0</v>
      </c>
      <c r="C26" s="17" t="s">
        <v>47</v>
      </c>
    </row>
    <row r="27" ht="15.75" customHeight="1">
      <c r="A27" s="17" t="s">
        <v>49</v>
      </c>
      <c r="B27" s="17">
        <v>28.0</v>
      </c>
      <c r="C27" s="17" t="s">
        <v>40</v>
      </c>
    </row>
    <row r="28" ht="15.75" customHeight="1">
      <c r="A28" s="17" t="s">
        <v>55</v>
      </c>
      <c r="B28" s="17">
        <v>23.0</v>
      </c>
      <c r="C28" s="17" t="s">
        <v>47</v>
      </c>
    </row>
    <row r="29" ht="15.75" customHeight="1">
      <c r="A29" s="17" t="s">
        <v>42</v>
      </c>
      <c r="B29" s="17">
        <v>28.0</v>
      </c>
      <c r="C29" s="17" t="s">
        <v>40</v>
      </c>
    </row>
    <row r="30" ht="15.75" customHeight="1">
      <c r="A30" s="17" t="s">
        <v>49</v>
      </c>
      <c r="B30" s="17">
        <v>17.0</v>
      </c>
      <c r="C30" s="17" t="s">
        <v>53</v>
      </c>
    </row>
    <row r="31" ht="15.75" customHeight="1">
      <c r="A31" s="17" t="s">
        <v>55</v>
      </c>
      <c r="B31" s="17">
        <v>21.0</v>
      </c>
      <c r="C31" s="17" t="s">
        <v>47</v>
      </c>
    </row>
    <row r="32" ht="15.75" customHeight="1">
      <c r="A32" s="17" t="s">
        <v>42</v>
      </c>
      <c r="B32" s="17">
        <v>32.0</v>
      </c>
      <c r="C32" s="17" t="s">
        <v>40</v>
      </c>
    </row>
    <row r="33" ht="15.75" customHeight="1">
      <c r="A33" s="17" t="s">
        <v>49</v>
      </c>
      <c r="B33" s="17">
        <v>20.0</v>
      </c>
      <c r="C33" s="17" t="s">
        <v>53</v>
      </c>
    </row>
    <row r="34" ht="15.75" customHeight="1">
      <c r="A34" s="17" t="s">
        <v>55</v>
      </c>
      <c r="B34" s="17">
        <v>17.0</v>
      </c>
      <c r="C34" s="17" t="s">
        <v>47</v>
      </c>
    </row>
    <row r="35" ht="15.75" customHeight="1">
      <c r="A35" s="17" t="s">
        <v>42</v>
      </c>
      <c r="B35" s="17">
        <v>25.0</v>
      </c>
      <c r="C35" s="17" t="s">
        <v>40</v>
      </c>
    </row>
    <row r="36" ht="15.75" customHeight="1">
      <c r="A36" s="17" t="s">
        <v>49</v>
      </c>
      <c r="B36" s="17">
        <v>25.0</v>
      </c>
      <c r="C36" s="17" t="s">
        <v>40</v>
      </c>
    </row>
    <row r="37" ht="15.75" customHeight="1">
      <c r="A37" s="17" t="s">
        <v>55</v>
      </c>
      <c r="B37" s="17">
        <v>28.0</v>
      </c>
      <c r="C37" s="17" t="s">
        <v>40</v>
      </c>
    </row>
    <row r="38" ht="15.75" customHeight="1">
      <c r="A38" s="17" t="s">
        <v>42</v>
      </c>
      <c r="B38" s="17">
        <v>22.0</v>
      </c>
      <c r="C38" s="17" t="s">
        <v>47</v>
      </c>
    </row>
    <row r="39" ht="15.75" customHeight="1">
      <c r="A39" s="17" t="s">
        <v>49</v>
      </c>
      <c r="B39" s="17">
        <v>18.0</v>
      </c>
      <c r="C39" s="17" t="s">
        <v>53</v>
      </c>
    </row>
    <row r="40" ht="15.75" customHeight="1">
      <c r="A40" s="17" t="s">
        <v>55</v>
      </c>
      <c r="B40" s="17">
        <v>26.0</v>
      </c>
      <c r="C40" s="17" t="s">
        <v>40</v>
      </c>
    </row>
    <row r="41" ht="15.75" customHeight="1">
      <c r="A41" s="17" t="s">
        <v>42</v>
      </c>
      <c r="B41" s="17">
        <v>17.0</v>
      </c>
      <c r="C41" s="17" t="s">
        <v>47</v>
      </c>
    </row>
    <row r="42" ht="15.75" customHeight="1">
      <c r="A42" s="17" t="s">
        <v>49</v>
      </c>
      <c r="B42" s="17">
        <v>23.0</v>
      </c>
      <c r="C42" s="17" t="s">
        <v>40</v>
      </c>
    </row>
    <row r="43" ht="15.75" customHeight="1">
      <c r="A43" s="17" t="s">
        <v>55</v>
      </c>
      <c r="B43" s="17">
        <v>16.0</v>
      </c>
      <c r="C43" s="17" t="s">
        <v>53</v>
      </c>
    </row>
    <row r="44" ht="15.75" customHeight="1">
      <c r="A44" s="17" t="s">
        <v>42</v>
      </c>
      <c r="B44" s="17">
        <v>25.0</v>
      </c>
      <c r="C44" s="17" t="s">
        <v>47</v>
      </c>
    </row>
    <row r="45" ht="15.75" customHeight="1">
      <c r="A45" s="17" t="s">
        <v>49</v>
      </c>
      <c r="B45" s="17">
        <v>27.0</v>
      </c>
      <c r="C45" s="17" t="s">
        <v>40</v>
      </c>
    </row>
    <row r="46" ht="15.75" customHeight="1">
      <c r="A46" s="17" t="s">
        <v>55</v>
      </c>
      <c r="B46" s="17">
        <v>24.0</v>
      </c>
      <c r="C46" s="17" t="s">
        <v>160</v>
      </c>
    </row>
    <row r="47" ht="15.75" customHeight="1">
      <c r="A47" s="17" t="s">
        <v>42</v>
      </c>
      <c r="B47" s="17">
        <v>28.0</v>
      </c>
      <c r="C47" s="17" t="s">
        <v>165</v>
      </c>
    </row>
    <row r="48" ht="15.75" customHeight="1">
      <c r="A48" s="17" t="s">
        <v>49</v>
      </c>
      <c r="B48" s="17">
        <v>18.0</v>
      </c>
      <c r="C48" s="17" t="s">
        <v>53</v>
      </c>
    </row>
    <row r="49" ht="15.75" customHeight="1">
      <c r="A49" s="17" t="s">
        <v>55</v>
      </c>
      <c r="B49" s="17">
        <v>22.0</v>
      </c>
      <c r="C49" s="17" t="s">
        <v>53</v>
      </c>
    </row>
    <row r="50" ht="15.75" customHeight="1">
      <c r="A50" s="17" t="s">
        <v>42</v>
      </c>
      <c r="B50" s="17">
        <v>20.0</v>
      </c>
      <c r="C50" s="17" t="s">
        <v>47</v>
      </c>
    </row>
    <row r="51" ht="15.75" customHeight="1">
      <c r="A51" s="17" t="s">
        <v>49</v>
      </c>
      <c r="B51" s="17">
        <v>27.0</v>
      </c>
      <c r="C51" s="17" t="s">
        <v>40</v>
      </c>
    </row>
    <row r="52" ht="15.75" customHeight="1">
      <c r="A52" s="20"/>
      <c r="B52" s="20"/>
      <c r="C52" s="20"/>
    </row>
    <row r="53" ht="15.75" customHeight="1">
      <c r="A53" s="20"/>
      <c r="B53" s="20"/>
      <c r="C53" s="20"/>
    </row>
    <row r="54" ht="15.75" customHeight="1">
      <c r="A54" s="20"/>
      <c r="B54" s="20"/>
      <c r="C54" s="20"/>
    </row>
    <row r="55" ht="15.75" customHeight="1">
      <c r="A55" s="20"/>
      <c r="B55" s="20"/>
      <c r="C55" s="20"/>
    </row>
    <row r="56" ht="15.75" customHeight="1">
      <c r="A56" s="20"/>
      <c r="B56" s="20"/>
      <c r="C56" s="20"/>
    </row>
    <row r="57" ht="15.75" customHeight="1">
      <c r="A57" s="20"/>
      <c r="B57" s="20"/>
      <c r="C57" s="20"/>
    </row>
    <row r="58" ht="15.75" customHeight="1">
      <c r="A58" s="20"/>
      <c r="B58" s="20"/>
      <c r="C58" s="20"/>
    </row>
    <row r="59" ht="15.75" customHeight="1">
      <c r="A59" s="20"/>
      <c r="B59" s="20"/>
      <c r="C59" s="20"/>
    </row>
    <row r="60" ht="15.75" customHeight="1">
      <c r="A60" s="20"/>
      <c r="B60" s="20"/>
      <c r="C60" s="20"/>
    </row>
    <row r="61" ht="15.75" customHeight="1">
      <c r="A61" s="20"/>
      <c r="B61" s="20"/>
      <c r="C61" s="20"/>
    </row>
    <row r="62" ht="15.75" customHeight="1">
      <c r="A62" s="20"/>
      <c r="B62" s="20"/>
      <c r="C62" s="20"/>
    </row>
    <row r="63" ht="15.75" customHeight="1">
      <c r="A63" s="20"/>
      <c r="B63" s="20"/>
      <c r="C63" s="20"/>
    </row>
    <row r="64" ht="15.75" customHeight="1">
      <c r="A64" s="20"/>
      <c r="B64" s="20"/>
      <c r="C64" s="20"/>
    </row>
    <row r="65" ht="15.75" customHeight="1">
      <c r="A65" s="20"/>
      <c r="B65" s="20"/>
      <c r="C65" s="20"/>
    </row>
    <row r="66" ht="15.75" customHeight="1">
      <c r="A66" s="20"/>
      <c r="B66" s="20"/>
      <c r="C66" s="20"/>
    </row>
    <row r="67" ht="15.75" customHeight="1">
      <c r="A67" s="20"/>
      <c r="B67" s="20"/>
      <c r="C67" s="20"/>
    </row>
    <row r="68" ht="15.75" customHeight="1">
      <c r="A68" s="20"/>
      <c r="B68" s="20"/>
      <c r="C68" s="20"/>
    </row>
    <row r="69" ht="15.75" customHeight="1">
      <c r="A69" s="20"/>
      <c r="B69" s="20"/>
      <c r="C69" s="20"/>
    </row>
    <row r="70" ht="15.75" customHeight="1">
      <c r="A70" s="20"/>
      <c r="B70" s="20"/>
      <c r="C70" s="20"/>
    </row>
    <row r="71" ht="15.75" customHeight="1">
      <c r="A71" s="20"/>
      <c r="B71" s="20"/>
      <c r="C71" s="20"/>
    </row>
    <row r="72" ht="15.75" customHeight="1">
      <c r="A72" s="20"/>
      <c r="B72" s="20"/>
      <c r="C72" s="20"/>
    </row>
    <row r="73" ht="15.75" customHeight="1">
      <c r="A73" s="20"/>
      <c r="B73" s="20"/>
      <c r="C73" s="20"/>
    </row>
    <row r="74" ht="15.75" customHeight="1">
      <c r="A74" s="20"/>
      <c r="B74" s="20"/>
      <c r="C74" s="20"/>
    </row>
    <row r="75" ht="15.75" customHeight="1">
      <c r="A75" s="20"/>
      <c r="B75" s="20"/>
      <c r="C75" s="20"/>
    </row>
    <row r="76" ht="15.75" customHeight="1">
      <c r="A76" s="20"/>
      <c r="B76" s="20"/>
      <c r="C76" s="20"/>
    </row>
    <row r="77" ht="15.75" customHeight="1">
      <c r="A77" s="20"/>
      <c r="B77" s="20"/>
      <c r="C77" s="20"/>
    </row>
    <row r="78" ht="15.75" customHeight="1">
      <c r="A78" s="20"/>
      <c r="B78" s="20"/>
      <c r="C78" s="20"/>
    </row>
    <row r="79" ht="15.75" customHeight="1">
      <c r="A79" s="20"/>
      <c r="B79" s="20"/>
      <c r="C79" s="20"/>
    </row>
    <row r="80" ht="15.75" customHeight="1">
      <c r="A80" s="20"/>
      <c r="B80" s="20"/>
      <c r="C80" s="20"/>
    </row>
    <row r="81" ht="15.75" customHeight="1">
      <c r="A81" s="20"/>
      <c r="B81" s="20"/>
      <c r="C81" s="20"/>
    </row>
    <row r="82" ht="15.75" customHeight="1">
      <c r="A82" s="20"/>
      <c r="B82" s="20"/>
      <c r="C82" s="20"/>
    </row>
    <row r="83" ht="15.75" customHeight="1">
      <c r="A83" s="20"/>
      <c r="B83" s="20"/>
      <c r="C83" s="20"/>
    </row>
    <row r="84" ht="15.75" customHeight="1">
      <c r="A84" s="20"/>
      <c r="B84" s="20"/>
      <c r="C84" s="20"/>
    </row>
    <row r="85" ht="15.75" customHeight="1">
      <c r="A85" s="20"/>
      <c r="B85" s="20"/>
      <c r="C85" s="20"/>
    </row>
    <row r="86" ht="15.75" customHeight="1">
      <c r="A86" s="20"/>
      <c r="B86" s="20"/>
      <c r="C86" s="20"/>
    </row>
    <row r="87" ht="15.75" customHeight="1">
      <c r="A87" s="20"/>
      <c r="B87" s="20"/>
      <c r="C87" s="20"/>
    </row>
    <row r="88" ht="15.75" customHeight="1">
      <c r="A88" s="20"/>
      <c r="B88" s="20"/>
      <c r="C88" s="20"/>
    </row>
    <row r="89" ht="15.75" customHeight="1">
      <c r="A89" s="20"/>
      <c r="B89" s="20"/>
      <c r="C89" s="20"/>
    </row>
    <row r="90" ht="15.75" customHeight="1">
      <c r="A90" s="20"/>
      <c r="B90" s="20"/>
      <c r="C90" s="20"/>
    </row>
    <row r="91" ht="15.75" customHeight="1">
      <c r="A91" s="20"/>
      <c r="B91" s="20"/>
      <c r="C91" s="20"/>
    </row>
    <row r="92" ht="15.75" customHeight="1">
      <c r="A92" s="20"/>
      <c r="B92" s="20"/>
      <c r="C92" s="20"/>
    </row>
    <row r="93" ht="15.75" customHeight="1">
      <c r="A93" s="20"/>
      <c r="B93" s="20"/>
      <c r="C93" s="20"/>
    </row>
    <row r="94" ht="15.75" customHeight="1">
      <c r="A94" s="20"/>
      <c r="B94" s="20"/>
      <c r="C94" s="20"/>
    </row>
    <row r="95" ht="15.75" customHeight="1">
      <c r="A95" s="20"/>
      <c r="B95" s="20"/>
      <c r="C95" s="20"/>
    </row>
    <row r="96" ht="15.75" customHeight="1">
      <c r="A96" s="20"/>
      <c r="B96" s="20"/>
      <c r="C96" s="20"/>
    </row>
    <row r="97" ht="15.75" customHeight="1">
      <c r="A97" s="20"/>
      <c r="B97" s="20"/>
      <c r="C97" s="20"/>
    </row>
    <row r="98" ht="15.75" customHeight="1">
      <c r="A98" s="20"/>
      <c r="B98" s="20"/>
      <c r="C98" s="20"/>
    </row>
    <row r="99" ht="15.75" customHeight="1">
      <c r="A99" s="20"/>
      <c r="B99" s="20"/>
      <c r="C99" s="20"/>
    </row>
    <row r="100" ht="15.75" customHeight="1">
      <c r="A100" s="20"/>
      <c r="B100" s="20"/>
      <c r="C100" s="20"/>
    </row>
    <row r="101" ht="15.75" customHeight="1">
      <c r="A101" s="20"/>
      <c r="B101" s="20"/>
      <c r="C101" s="20"/>
    </row>
    <row r="102" ht="15.75" customHeight="1">
      <c r="A102" s="20"/>
      <c r="B102" s="20"/>
      <c r="C102" s="20"/>
    </row>
    <row r="103" ht="15.75" customHeight="1">
      <c r="A103" s="20"/>
      <c r="B103" s="20"/>
      <c r="C103" s="20"/>
    </row>
    <row r="104" ht="15.75" customHeight="1">
      <c r="A104" s="20"/>
      <c r="B104" s="20"/>
      <c r="C104" s="20"/>
    </row>
    <row r="105" ht="15.75" customHeight="1">
      <c r="A105" s="20"/>
      <c r="B105" s="20"/>
      <c r="C105" s="20"/>
    </row>
    <row r="106" ht="15.75" customHeight="1">
      <c r="A106" s="20"/>
      <c r="B106" s="20"/>
      <c r="C106" s="20"/>
    </row>
    <row r="107" ht="15.75" customHeight="1">
      <c r="A107" s="20"/>
      <c r="B107" s="20"/>
      <c r="C107" s="20"/>
    </row>
    <row r="108" ht="15.75" customHeight="1">
      <c r="A108" s="20"/>
      <c r="B108" s="20"/>
      <c r="C108" s="20"/>
    </row>
    <row r="109" ht="15.75" customHeight="1">
      <c r="A109" s="20"/>
      <c r="B109" s="20"/>
      <c r="C109" s="20"/>
    </row>
    <row r="110" ht="15.75" customHeight="1">
      <c r="A110" s="20"/>
      <c r="B110" s="20"/>
      <c r="C110" s="20"/>
    </row>
    <row r="111" ht="15.75" customHeight="1">
      <c r="A111" s="20"/>
      <c r="B111" s="20"/>
      <c r="C111" s="20"/>
    </row>
    <row r="112" ht="15.75" customHeight="1">
      <c r="A112" s="20"/>
      <c r="B112" s="20"/>
      <c r="C112" s="20"/>
    </row>
    <row r="113" ht="15.75" customHeight="1">
      <c r="A113" s="20"/>
      <c r="B113" s="20"/>
      <c r="C113" s="20"/>
    </row>
    <row r="114" ht="15.75" customHeight="1">
      <c r="A114" s="20"/>
      <c r="B114" s="20"/>
      <c r="C114" s="20"/>
    </row>
    <row r="115" ht="15.75" customHeight="1">
      <c r="A115" s="20"/>
      <c r="B115" s="20"/>
      <c r="C115" s="20"/>
    </row>
    <row r="116" ht="15.75" customHeight="1">
      <c r="A116" s="20"/>
      <c r="B116" s="20"/>
      <c r="C116" s="20"/>
    </row>
    <row r="117" ht="15.75" customHeight="1">
      <c r="A117" s="20"/>
      <c r="B117" s="20"/>
      <c r="C117" s="20"/>
    </row>
    <row r="118" ht="15.75" customHeight="1">
      <c r="A118" s="20"/>
      <c r="B118" s="20"/>
      <c r="C118" s="20"/>
    </row>
    <row r="119" ht="15.75" customHeight="1">
      <c r="A119" s="20"/>
      <c r="B119" s="20"/>
      <c r="C119" s="20"/>
    </row>
    <row r="120" ht="15.75" customHeight="1">
      <c r="A120" s="20"/>
      <c r="B120" s="20"/>
      <c r="C120" s="20"/>
    </row>
    <row r="121" ht="15.75" customHeight="1">
      <c r="A121" s="20"/>
      <c r="B121" s="20"/>
      <c r="C121" s="20"/>
    </row>
    <row r="122" ht="15.75" customHeight="1">
      <c r="A122" s="20"/>
      <c r="B122" s="20"/>
      <c r="C122" s="20"/>
    </row>
    <row r="123" ht="15.75" customHeight="1">
      <c r="A123" s="20"/>
      <c r="B123" s="20"/>
      <c r="C123" s="20"/>
    </row>
    <row r="124" ht="15.75" customHeight="1">
      <c r="A124" s="20"/>
      <c r="B124" s="20"/>
      <c r="C124" s="20"/>
    </row>
    <row r="125" ht="15.75" customHeight="1">
      <c r="A125" s="20"/>
      <c r="B125" s="20"/>
      <c r="C125" s="20"/>
    </row>
    <row r="126" ht="15.75" customHeight="1">
      <c r="A126" s="20"/>
      <c r="B126" s="20"/>
      <c r="C126" s="20"/>
    </row>
    <row r="127" ht="15.75" customHeight="1">
      <c r="A127" s="20"/>
      <c r="B127" s="20"/>
      <c r="C127" s="20"/>
    </row>
    <row r="128" ht="15.75" customHeight="1">
      <c r="A128" s="20"/>
      <c r="B128" s="20"/>
      <c r="C128" s="20"/>
    </row>
    <row r="129" ht="15.75" customHeight="1">
      <c r="A129" s="20"/>
      <c r="B129" s="20"/>
      <c r="C129" s="20"/>
    </row>
    <row r="130" ht="15.75" customHeight="1">
      <c r="A130" s="20"/>
      <c r="B130" s="20"/>
      <c r="C130" s="20"/>
    </row>
    <row r="131" ht="15.75" customHeight="1">
      <c r="A131" s="20"/>
      <c r="B131" s="20"/>
      <c r="C131" s="20"/>
    </row>
    <row r="132" ht="15.75" customHeight="1">
      <c r="A132" s="20"/>
      <c r="B132" s="20"/>
      <c r="C132" s="20"/>
    </row>
    <row r="133" ht="15.75" customHeight="1">
      <c r="A133" s="20"/>
      <c r="B133" s="20"/>
      <c r="C133" s="20"/>
    </row>
    <row r="134" ht="15.75" customHeight="1">
      <c r="A134" s="20"/>
      <c r="B134" s="20"/>
      <c r="C134" s="20"/>
    </row>
    <row r="135" ht="15.75" customHeight="1">
      <c r="A135" s="20"/>
      <c r="B135" s="20"/>
      <c r="C135" s="20"/>
    </row>
    <row r="136" ht="15.75" customHeight="1">
      <c r="A136" s="20"/>
      <c r="B136" s="20"/>
      <c r="C136" s="20"/>
    </row>
    <row r="137" ht="15.75" customHeight="1">
      <c r="A137" s="20"/>
      <c r="B137" s="20"/>
      <c r="C137" s="20"/>
    </row>
    <row r="138" ht="15.75" customHeight="1">
      <c r="A138" s="20"/>
      <c r="B138" s="20"/>
      <c r="C138" s="20"/>
    </row>
    <row r="139" ht="15.75" customHeight="1">
      <c r="A139" s="20"/>
      <c r="B139" s="20"/>
      <c r="C139" s="20"/>
    </row>
    <row r="140" ht="15.75" customHeight="1">
      <c r="A140" s="20"/>
      <c r="B140" s="20"/>
      <c r="C140" s="20"/>
    </row>
    <row r="141" ht="15.75" customHeight="1">
      <c r="A141" s="20"/>
      <c r="B141" s="20"/>
      <c r="C141" s="20"/>
    </row>
    <row r="142" ht="15.75" customHeight="1">
      <c r="A142" s="20"/>
      <c r="B142" s="20"/>
      <c r="C142" s="20"/>
    </row>
    <row r="143" ht="15.75" customHeight="1">
      <c r="A143" s="20"/>
      <c r="B143" s="20"/>
      <c r="C143" s="20"/>
    </row>
    <row r="144" ht="15.75" customHeight="1">
      <c r="A144" s="20"/>
      <c r="B144" s="20"/>
      <c r="C144" s="20"/>
    </row>
    <row r="145" ht="15.75" customHeight="1">
      <c r="A145" s="20"/>
      <c r="B145" s="20"/>
      <c r="C145" s="20"/>
    </row>
    <row r="146" ht="15.75" customHeight="1">
      <c r="A146" s="20"/>
      <c r="B146" s="20"/>
      <c r="C146" s="20"/>
    </row>
    <row r="147" ht="15.75" customHeight="1">
      <c r="A147" s="20"/>
      <c r="B147" s="20"/>
      <c r="C147" s="20"/>
    </row>
    <row r="148" ht="15.75" customHeight="1">
      <c r="A148" s="20"/>
      <c r="B148" s="20"/>
      <c r="C148" s="20"/>
    </row>
    <row r="149" ht="15.75" customHeight="1">
      <c r="A149" s="20"/>
      <c r="B149" s="20"/>
      <c r="C149" s="20"/>
    </row>
    <row r="150" ht="15.75" customHeight="1">
      <c r="A150" s="20"/>
      <c r="B150" s="20"/>
      <c r="C150" s="20"/>
    </row>
    <row r="151" ht="15.75" customHeight="1">
      <c r="A151" s="20"/>
      <c r="B151" s="20"/>
      <c r="C151" s="20"/>
    </row>
    <row r="152" ht="15.75" customHeight="1">
      <c r="A152" s="20"/>
      <c r="B152" s="20"/>
      <c r="C152" s="20"/>
    </row>
    <row r="153" ht="15.75" customHeight="1">
      <c r="A153" s="20"/>
      <c r="B153" s="20"/>
      <c r="C153" s="20"/>
    </row>
    <row r="154" ht="15.75" customHeight="1">
      <c r="A154" s="20"/>
      <c r="B154" s="20"/>
      <c r="C154" s="20"/>
    </row>
    <row r="155" ht="15.75" customHeight="1">
      <c r="A155" s="20"/>
      <c r="B155" s="20"/>
      <c r="C155" s="20"/>
    </row>
    <row r="156" ht="15.75" customHeight="1">
      <c r="A156" s="20"/>
      <c r="B156" s="20"/>
      <c r="C156" s="20"/>
    </row>
    <row r="157" ht="15.75" customHeight="1">
      <c r="A157" s="20"/>
      <c r="B157" s="20"/>
      <c r="C157" s="20"/>
    </row>
    <row r="158" ht="15.75" customHeight="1">
      <c r="A158" s="20"/>
      <c r="B158" s="20"/>
      <c r="C158" s="20"/>
    </row>
    <row r="159" ht="15.75" customHeight="1">
      <c r="A159" s="20"/>
      <c r="B159" s="20"/>
      <c r="C159" s="20"/>
    </row>
    <row r="160" ht="15.75" customHeight="1">
      <c r="A160" s="20"/>
      <c r="B160" s="20"/>
      <c r="C160" s="20"/>
    </row>
    <row r="161" ht="15.75" customHeight="1">
      <c r="A161" s="20"/>
      <c r="B161" s="20"/>
      <c r="C161" s="20"/>
    </row>
    <row r="162" ht="15.75" customHeight="1">
      <c r="A162" s="20"/>
      <c r="B162" s="20"/>
      <c r="C162" s="20"/>
    </row>
    <row r="163" ht="15.75" customHeight="1">
      <c r="A163" s="20"/>
      <c r="B163" s="20"/>
      <c r="C163" s="20"/>
    </row>
    <row r="164" ht="15.75" customHeight="1">
      <c r="A164" s="20"/>
      <c r="B164" s="20"/>
      <c r="C164" s="20"/>
    </row>
    <row r="165" ht="15.75" customHeight="1">
      <c r="A165" s="20"/>
      <c r="B165" s="20"/>
      <c r="C165" s="20"/>
    </row>
    <row r="166" ht="15.75" customHeight="1">
      <c r="A166" s="20"/>
      <c r="B166" s="20"/>
      <c r="C166" s="20"/>
    </row>
    <row r="167" ht="15.75" customHeight="1">
      <c r="A167" s="20"/>
      <c r="B167" s="20"/>
      <c r="C167" s="20"/>
    </row>
    <row r="168" ht="15.75" customHeight="1">
      <c r="A168" s="20"/>
      <c r="B168" s="20"/>
      <c r="C168" s="20"/>
    </row>
    <row r="169" ht="15.75" customHeight="1">
      <c r="A169" s="20"/>
      <c r="B169" s="20"/>
      <c r="C169" s="20"/>
    </row>
    <row r="170" ht="15.75" customHeight="1">
      <c r="A170" s="20"/>
      <c r="B170" s="20"/>
      <c r="C170" s="20"/>
    </row>
    <row r="171" ht="15.75" customHeight="1">
      <c r="A171" s="20"/>
      <c r="B171" s="20"/>
      <c r="C171" s="20"/>
    </row>
    <row r="172" ht="15.75" customHeight="1">
      <c r="A172" s="20"/>
      <c r="B172" s="20"/>
      <c r="C172" s="20"/>
    </row>
    <row r="173" ht="15.75" customHeight="1">
      <c r="A173" s="20"/>
      <c r="B173" s="20"/>
      <c r="C173" s="20"/>
    </row>
    <row r="174" ht="15.75" customHeight="1">
      <c r="A174" s="20"/>
      <c r="B174" s="20"/>
      <c r="C174" s="20"/>
    </row>
    <row r="175" ht="15.75" customHeight="1">
      <c r="A175" s="20"/>
      <c r="B175" s="20"/>
      <c r="C175" s="20"/>
    </row>
    <row r="176" ht="15.75" customHeight="1">
      <c r="A176" s="20"/>
      <c r="B176" s="20"/>
      <c r="C176" s="20"/>
    </row>
    <row r="177" ht="15.75" customHeight="1">
      <c r="A177" s="20"/>
      <c r="B177" s="20"/>
      <c r="C177" s="20"/>
    </row>
    <row r="178" ht="15.75" customHeight="1">
      <c r="A178" s="20"/>
      <c r="B178" s="20"/>
      <c r="C178" s="20"/>
    </row>
    <row r="179" ht="15.75" customHeight="1">
      <c r="A179" s="20"/>
      <c r="B179" s="20"/>
      <c r="C179" s="20"/>
    </row>
    <row r="180" ht="15.75" customHeight="1">
      <c r="A180" s="20"/>
      <c r="B180" s="20"/>
      <c r="C180" s="20"/>
    </row>
    <row r="181" ht="15.75" customHeight="1">
      <c r="A181" s="20"/>
      <c r="B181" s="20"/>
      <c r="C181" s="20"/>
    </row>
    <row r="182" ht="15.75" customHeight="1">
      <c r="A182" s="20"/>
      <c r="B182" s="20"/>
      <c r="C182" s="20"/>
    </row>
    <row r="183" ht="15.75" customHeight="1">
      <c r="A183" s="20"/>
      <c r="B183" s="20"/>
      <c r="C183" s="20"/>
    </row>
    <row r="184" ht="15.75" customHeight="1">
      <c r="A184" s="20"/>
      <c r="B184" s="20"/>
      <c r="C184" s="20"/>
    </row>
    <row r="185" ht="15.75" customHeight="1">
      <c r="A185" s="20"/>
      <c r="B185" s="20"/>
      <c r="C185" s="20"/>
    </row>
    <row r="186" ht="15.75" customHeight="1">
      <c r="A186" s="20"/>
      <c r="B186" s="20"/>
      <c r="C186" s="20"/>
    </row>
    <row r="187" ht="15.75" customHeight="1">
      <c r="A187" s="20"/>
      <c r="B187" s="20"/>
      <c r="C187" s="20"/>
    </row>
    <row r="188" ht="15.75" customHeight="1">
      <c r="A188" s="20"/>
      <c r="B188" s="20"/>
      <c r="C188" s="20"/>
    </row>
    <row r="189" ht="15.75" customHeight="1">
      <c r="A189" s="20"/>
      <c r="B189" s="20"/>
      <c r="C189" s="20"/>
    </row>
    <row r="190" ht="15.75" customHeight="1">
      <c r="A190" s="20"/>
      <c r="B190" s="20"/>
      <c r="C190" s="20"/>
    </row>
    <row r="191" ht="15.75" customHeight="1">
      <c r="A191" s="20"/>
      <c r="B191" s="20"/>
      <c r="C191" s="20"/>
    </row>
    <row r="192" ht="15.75" customHeight="1">
      <c r="A192" s="20"/>
      <c r="B192" s="20"/>
      <c r="C192" s="20"/>
    </row>
    <row r="193" ht="15.75" customHeight="1">
      <c r="A193" s="20"/>
      <c r="B193" s="20"/>
      <c r="C193" s="20"/>
    </row>
    <row r="194" ht="15.75" customHeight="1">
      <c r="A194" s="20"/>
      <c r="B194" s="20"/>
      <c r="C194" s="20"/>
    </row>
    <row r="195" ht="15.75" customHeight="1">
      <c r="A195" s="20"/>
      <c r="B195" s="20"/>
      <c r="C195" s="20"/>
    </row>
    <row r="196" ht="15.75" customHeight="1">
      <c r="A196" s="20"/>
      <c r="B196" s="20"/>
      <c r="C196" s="20"/>
    </row>
    <row r="197" ht="15.75" customHeight="1">
      <c r="A197" s="20"/>
      <c r="B197" s="20"/>
      <c r="C197" s="20"/>
    </row>
    <row r="198" ht="15.75" customHeight="1">
      <c r="A198" s="20"/>
      <c r="B198" s="20"/>
      <c r="C198" s="20"/>
    </row>
    <row r="199" ht="15.75" customHeight="1">
      <c r="A199" s="20"/>
      <c r="B199" s="20"/>
      <c r="C199" s="20"/>
    </row>
    <row r="200" ht="15.75" customHeight="1">
      <c r="A200" s="20"/>
      <c r="B200" s="20"/>
      <c r="C200" s="20"/>
    </row>
    <row r="201" ht="15.75" customHeight="1">
      <c r="A201" s="20"/>
      <c r="B201" s="20"/>
      <c r="C201" s="20"/>
    </row>
    <row r="202" ht="15.75" customHeight="1">
      <c r="A202" s="20"/>
      <c r="B202" s="20"/>
      <c r="C202" s="20"/>
    </row>
    <row r="203" ht="15.75" customHeight="1">
      <c r="A203" s="20"/>
      <c r="B203" s="20"/>
      <c r="C203" s="20"/>
    </row>
    <row r="204" ht="15.75" customHeight="1">
      <c r="A204" s="20"/>
      <c r="B204" s="20"/>
      <c r="C204" s="20"/>
    </row>
    <row r="205" ht="15.75" customHeight="1">
      <c r="A205" s="20"/>
      <c r="B205" s="20"/>
      <c r="C205" s="20"/>
    </row>
    <row r="206" ht="15.75" customHeight="1">
      <c r="A206" s="20"/>
      <c r="B206" s="20"/>
      <c r="C206" s="20"/>
    </row>
    <row r="207" ht="15.75" customHeight="1">
      <c r="A207" s="20"/>
      <c r="B207" s="20"/>
      <c r="C207" s="20"/>
    </row>
    <row r="208" ht="15.75" customHeight="1">
      <c r="A208" s="20"/>
      <c r="B208" s="20"/>
      <c r="C208" s="20"/>
    </row>
    <row r="209" ht="15.75" customHeight="1">
      <c r="A209" s="20"/>
      <c r="B209" s="20"/>
      <c r="C209" s="20"/>
    </row>
    <row r="210" ht="15.75" customHeight="1">
      <c r="A210" s="20"/>
      <c r="B210" s="20"/>
      <c r="C210" s="20"/>
    </row>
    <row r="211" ht="15.75" customHeight="1">
      <c r="A211" s="20"/>
      <c r="B211" s="20"/>
      <c r="C211" s="20"/>
    </row>
    <row r="212" ht="15.75" customHeight="1">
      <c r="A212" s="20"/>
      <c r="B212" s="20"/>
      <c r="C212" s="20"/>
    </row>
    <row r="213" ht="15.75" customHeight="1">
      <c r="A213" s="20"/>
      <c r="B213" s="20"/>
      <c r="C213" s="20"/>
    </row>
    <row r="214" ht="15.75" customHeight="1">
      <c r="A214" s="20"/>
      <c r="B214" s="20"/>
      <c r="C214" s="20"/>
    </row>
    <row r="215" ht="15.75" customHeight="1">
      <c r="A215" s="20"/>
      <c r="B215" s="20"/>
      <c r="C215" s="20"/>
    </row>
    <row r="216" ht="15.75" customHeight="1">
      <c r="A216" s="20"/>
      <c r="B216" s="20"/>
      <c r="C216" s="20"/>
    </row>
    <row r="217" ht="15.75" customHeight="1">
      <c r="A217" s="20"/>
      <c r="B217" s="20"/>
      <c r="C217" s="20"/>
    </row>
    <row r="218" ht="15.75" customHeight="1">
      <c r="A218" s="20"/>
      <c r="B218" s="20"/>
      <c r="C218" s="20"/>
    </row>
    <row r="219" ht="15.75" customHeight="1">
      <c r="A219" s="20"/>
      <c r="B219" s="20"/>
      <c r="C219" s="20"/>
    </row>
    <row r="220" ht="15.75" customHeight="1">
      <c r="A220" s="20"/>
      <c r="B220" s="20"/>
      <c r="C220" s="20"/>
    </row>
    <row r="221" ht="15.75" customHeight="1">
      <c r="A221" s="20"/>
      <c r="B221" s="20"/>
      <c r="C221" s="20"/>
    </row>
    <row r="222" ht="15.75" customHeight="1">
      <c r="A222" s="20"/>
      <c r="B222" s="20"/>
      <c r="C222" s="20"/>
    </row>
    <row r="223" ht="15.75" customHeight="1">
      <c r="A223" s="20"/>
      <c r="B223" s="20"/>
      <c r="C223" s="20"/>
    </row>
    <row r="224" ht="15.75" customHeight="1">
      <c r="A224" s="20"/>
      <c r="B224" s="20"/>
      <c r="C224" s="20"/>
    </row>
    <row r="225" ht="15.75" customHeight="1">
      <c r="A225" s="20"/>
      <c r="B225" s="20"/>
      <c r="C225" s="20"/>
    </row>
    <row r="226" ht="15.75" customHeight="1">
      <c r="A226" s="20"/>
      <c r="B226" s="20"/>
      <c r="C226" s="20"/>
    </row>
    <row r="227" ht="15.75" customHeight="1">
      <c r="A227" s="20"/>
      <c r="B227" s="20"/>
      <c r="C227" s="20"/>
    </row>
    <row r="228" ht="15.75" customHeight="1">
      <c r="A228" s="20"/>
      <c r="B228" s="20"/>
      <c r="C228" s="20"/>
    </row>
    <row r="229" ht="15.75" customHeight="1">
      <c r="A229" s="20"/>
      <c r="B229" s="20"/>
      <c r="C229" s="20"/>
    </row>
    <row r="230" ht="15.75" customHeight="1">
      <c r="A230" s="20"/>
      <c r="B230" s="20"/>
      <c r="C230" s="20"/>
    </row>
    <row r="231" ht="15.75" customHeight="1">
      <c r="A231" s="20"/>
      <c r="B231" s="20"/>
      <c r="C231" s="20"/>
    </row>
    <row r="232" ht="15.75" customHeight="1">
      <c r="A232" s="20"/>
      <c r="B232" s="20"/>
      <c r="C232" s="20"/>
    </row>
    <row r="233" ht="15.75" customHeight="1">
      <c r="A233" s="20"/>
      <c r="B233" s="20"/>
      <c r="C233" s="20"/>
    </row>
    <row r="234" ht="15.75" customHeight="1">
      <c r="A234" s="20"/>
      <c r="B234" s="20"/>
      <c r="C234" s="20"/>
    </row>
    <row r="235" ht="15.75" customHeight="1">
      <c r="A235" s="20"/>
      <c r="B235" s="20"/>
      <c r="C235" s="20"/>
    </row>
    <row r="236" ht="15.75" customHeight="1">
      <c r="A236" s="20"/>
      <c r="B236" s="20"/>
      <c r="C236" s="20"/>
    </row>
    <row r="237" ht="15.75" customHeight="1">
      <c r="A237" s="20"/>
      <c r="B237" s="20"/>
      <c r="C237" s="20"/>
    </row>
    <row r="238" ht="15.75" customHeight="1">
      <c r="A238" s="20"/>
      <c r="B238" s="20"/>
      <c r="C238" s="20"/>
    </row>
    <row r="239" ht="15.75" customHeight="1">
      <c r="A239" s="20"/>
      <c r="B239" s="20"/>
      <c r="C239" s="20"/>
    </row>
    <row r="240" ht="15.75" customHeight="1">
      <c r="A240" s="20"/>
      <c r="B240" s="20"/>
      <c r="C240" s="20"/>
    </row>
    <row r="241" ht="15.75" customHeight="1">
      <c r="A241" s="20"/>
      <c r="B241" s="20"/>
      <c r="C241" s="20"/>
    </row>
    <row r="242" ht="15.75" customHeight="1">
      <c r="A242" s="20"/>
      <c r="B242" s="20"/>
      <c r="C242" s="20"/>
    </row>
    <row r="243" ht="15.75" customHeight="1">
      <c r="A243" s="20"/>
      <c r="B243" s="20"/>
      <c r="C243" s="20"/>
    </row>
    <row r="244" ht="15.75" customHeight="1">
      <c r="A244" s="20"/>
      <c r="B244" s="20"/>
      <c r="C244" s="20"/>
    </row>
    <row r="245" ht="15.75" customHeight="1">
      <c r="A245" s="20"/>
      <c r="B245" s="20"/>
      <c r="C245" s="20"/>
    </row>
    <row r="246" ht="15.75" customHeight="1">
      <c r="A246" s="20"/>
      <c r="B246" s="20"/>
      <c r="C246" s="20"/>
    </row>
    <row r="247" ht="15.75" customHeight="1">
      <c r="A247" s="20"/>
      <c r="B247" s="20"/>
      <c r="C247" s="20"/>
    </row>
    <row r="248" ht="15.75" customHeight="1">
      <c r="A248" s="20"/>
      <c r="B248" s="20"/>
      <c r="C248" s="20"/>
    </row>
    <row r="249" ht="15.75" customHeight="1">
      <c r="A249" s="20"/>
      <c r="B249" s="20"/>
      <c r="C249" s="20"/>
    </row>
    <row r="250" ht="15.75" customHeight="1">
      <c r="A250" s="20"/>
      <c r="B250" s="20"/>
      <c r="C250" s="20"/>
    </row>
    <row r="251" ht="15.75" customHeight="1">
      <c r="A251" s="20"/>
      <c r="B251" s="20"/>
      <c r="C251" s="20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🏠 Back to Table of Contents" location="'Table of Contents'!A1" ref="G1"/>
  </hyperlin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  <row r="6"/>
  </sheetData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27BA0"/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9.75"/>
    <col customWidth="1" min="3" max="3" width="18.88"/>
    <col customWidth="1" min="4" max="4" width="5.75"/>
    <col customWidth="1" min="5" max="5" width="12.63"/>
    <col customWidth="1" min="6" max="6" width="48.63"/>
  </cols>
  <sheetData>
    <row r="1" ht="15.75" customHeight="1">
      <c r="A1" s="85" t="s">
        <v>17</v>
      </c>
      <c r="B1" s="85" t="s">
        <v>273</v>
      </c>
      <c r="C1" s="85" t="s">
        <v>274</v>
      </c>
      <c r="G1" s="47" t="s">
        <v>35</v>
      </c>
    </row>
    <row r="2" ht="15.75" customHeight="1">
      <c r="A2" s="16">
        <v>2016.0</v>
      </c>
      <c r="B2" s="86">
        <f t="shared" ref="B2:B51" si="1">2024-A2</f>
        <v>8</v>
      </c>
      <c r="C2" s="23">
        <f t="shared" ref="C2:C51" si="2">IFERROR(2024-A2, "Year is Missing")</f>
        <v>8</v>
      </c>
    </row>
    <row r="3" ht="15.75" customHeight="1">
      <c r="A3" s="16">
        <v>2016.0</v>
      </c>
      <c r="B3" s="86">
        <f t="shared" si="1"/>
        <v>8</v>
      </c>
      <c r="C3" s="23">
        <f t="shared" si="2"/>
        <v>8</v>
      </c>
    </row>
    <row r="4" ht="15.75" customHeight="1">
      <c r="A4" s="87" t="s">
        <v>68</v>
      </c>
      <c r="B4" s="86" t="str">
        <f t="shared" si="1"/>
        <v>#VALUE!</v>
      </c>
      <c r="C4" s="23" t="str">
        <f t="shared" si="2"/>
        <v>Year is Missing</v>
      </c>
      <c r="E4" s="88" t="s">
        <v>275</v>
      </c>
      <c r="F4" s="89" t="s">
        <v>276</v>
      </c>
    </row>
    <row r="5" ht="15.75" customHeight="1">
      <c r="A5" s="16">
        <v>2016.0</v>
      </c>
      <c r="B5" s="86">
        <f t="shared" si="1"/>
        <v>8</v>
      </c>
      <c r="C5" s="23">
        <f t="shared" si="2"/>
        <v>8</v>
      </c>
    </row>
    <row r="6" ht="15.75" customHeight="1">
      <c r="A6" s="16">
        <v>2016.0</v>
      </c>
      <c r="B6" s="86">
        <f t="shared" si="1"/>
        <v>8</v>
      </c>
      <c r="C6" s="23">
        <f t="shared" si="2"/>
        <v>8</v>
      </c>
    </row>
    <row r="7" ht="15.75" customHeight="1">
      <c r="A7" s="16">
        <v>2012.0</v>
      </c>
      <c r="B7" s="86">
        <f t="shared" si="1"/>
        <v>12</v>
      </c>
      <c r="C7" s="23">
        <f t="shared" si="2"/>
        <v>12</v>
      </c>
    </row>
    <row r="8" ht="15.75" customHeight="1">
      <c r="A8" s="87" t="s">
        <v>68</v>
      </c>
      <c r="B8" s="86" t="str">
        <f t="shared" si="1"/>
        <v>#VALUE!</v>
      </c>
      <c r="C8" s="23" t="str">
        <f t="shared" si="2"/>
        <v>Year is Missing</v>
      </c>
    </row>
    <row r="9" ht="15.75" customHeight="1">
      <c r="A9" s="16">
        <v>2012.0</v>
      </c>
      <c r="B9" s="86">
        <f t="shared" si="1"/>
        <v>12</v>
      </c>
      <c r="C9" s="23">
        <f t="shared" si="2"/>
        <v>12</v>
      </c>
    </row>
    <row r="10" ht="15.75" customHeight="1">
      <c r="A10" s="16">
        <v>2012.0</v>
      </c>
      <c r="B10" s="86">
        <f t="shared" si="1"/>
        <v>12</v>
      </c>
      <c r="C10" s="23">
        <f t="shared" si="2"/>
        <v>12</v>
      </c>
    </row>
    <row r="11" ht="15.75" customHeight="1">
      <c r="A11" s="16">
        <v>2012.0</v>
      </c>
      <c r="B11" s="86">
        <f t="shared" si="1"/>
        <v>12</v>
      </c>
      <c r="C11" s="23">
        <f t="shared" si="2"/>
        <v>12</v>
      </c>
    </row>
    <row r="12" ht="15.75" customHeight="1">
      <c r="A12" s="87" t="s">
        <v>68</v>
      </c>
      <c r="B12" s="86" t="str">
        <f t="shared" si="1"/>
        <v>#VALUE!</v>
      </c>
      <c r="C12" s="23" t="str">
        <f t="shared" si="2"/>
        <v>Year is Missing</v>
      </c>
    </row>
    <row r="13" ht="15.75" customHeight="1">
      <c r="A13" s="16">
        <v>2008.0</v>
      </c>
      <c r="B13" s="86">
        <f t="shared" si="1"/>
        <v>16</v>
      </c>
      <c r="C13" s="23">
        <f t="shared" si="2"/>
        <v>16</v>
      </c>
    </row>
    <row r="14" ht="15.75" customHeight="1">
      <c r="A14" s="16">
        <v>2008.0</v>
      </c>
      <c r="B14" s="86">
        <f t="shared" si="1"/>
        <v>16</v>
      </c>
      <c r="C14" s="23">
        <f t="shared" si="2"/>
        <v>16</v>
      </c>
    </row>
    <row r="15" ht="15.75" customHeight="1">
      <c r="A15" s="16">
        <v>2008.0</v>
      </c>
      <c r="B15" s="86">
        <f t="shared" si="1"/>
        <v>16</v>
      </c>
      <c r="C15" s="23">
        <f t="shared" si="2"/>
        <v>16</v>
      </c>
    </row>
    <row r="16" ht="15.75" customHeight="1">
      <c r="A16" s="16">
        <v>2008.0</v>
      </c>
      <c r="B16" s="86">
        <f t="shared" si="1"/>
        <v>16</v>
      </c>
      <c r="C16" s="23">
        <f t="shared" si="2"/>
        <v>16</v>
      </c>
    </row>
    <row r="17" ht="15.75" customHeight="1">
      <c r="A17" s="16">
        <v>2004.0</v>
      </c>
      <c r="B17" s="86">
        <f t="shared" si="1"/>
        <v>20</v>
      </c>
      <c r="C17" s="23">
        <f t="shared" si="2"/>
        <v>20</v>
      </c>
    </row>
    <row r="18" ht="15.75" customHeight="1">
      <c r="A18" s="16">
        <v>2004.0</v>
      </c>
      <c r="B18" s="86">
        <f t="shared" si="1"/>
        <v>20</v>
      </c>
      <c r="C18" s="23">
        <f t="shared" si="2"/>
        <v>20</v>
      </c>
    </row>
    <row r="19" ht="15.75" customHeight="1">
      <c r="A19" s="16">
        <v>2004.0</v>
      </c>
      <c r="B19" s="86">
        <f t="shared" si="1"/>
        <v>20</v>
      </c>
      <c r="C19" s="23">
        <f t="shared" si="2"/>
        <v>20</v>
      </c>
    </row>
    <row r="20" ht="15.75" customHeight="1">
      <c r="A20" s="16">
        <v>2004.0</v>
      </c>
      <c r="B20" s="86">
        <f t="shared" si="1"/>
        <v>20</v>
      </c>
      <c r="C20" s="23">
        <f t="shared" si="2"/>
        <v>20</v>
      </c>
    </row>
    <row r="21" ht="15.75" customHeight="1">
      <c r="A21" s="16">
        <v>2004.0</v>
      </c>
      <c r="B21" s="86">
        <f t="shared" si="1"/>
        <v>20</v>
      </c>
      <c r="C21" s="23">
        <f t="shared" si="2"/>
        <v>20</v>
      </c>
    </row>
    <row r="22" ht="15.75" customHeight="1">
      <c r="A22" s="16">
        <v>2000.0</v>
      </c>
      <c r="B22" s="86">
        <f t="shared" si="1"/>
        <v>24</v>
      </c>
      <c r="C22" s="23">
        <f t="shared" si="2"/>
        <v>24</v>
      </c>
    </row>
    <row r="23" ht="15.75" customHeight="1">
      <c r="A23" s="16">
        <v>2000.0</v>
      </c>
      <c r="B23" s="86">
        <f t="shared" si="1"/>
        <v>24</v>
      </c>
      <c r="C23" s="23">
        <f t="shared" si="2"/>
        <v>24</v>
      </c>
    </row>
    <row r="24" ht="15.75" customHeight="1">
      <c r="A24" s="16">
        <v>2000.0</v>
      </c>
      <c r="B24" s="86">
        <f t="shared" si="1"/>
        <v>24</v>
      </c>
      <c r="C24" s="23">
        <f t="shared" si="2"/>
        <v>24</v>
      </c>
    </row>
    <row r="25" ht="15.75" customHeight="1">
      <c r="A25" s="16">
        <v>2000.0</v>
      </c>
      <c r="B25" s="86">
        <f t="shared" si="1"/>
        <v>24</v>
      </c>
      <c r="C25" s="23">
        <f t="shared" si="2"/>
        <v>24</v>
      </c>
    </row>
    <row r="26" ht="15.75" customHeight="1">
      <c r="A26" s="16">
        <v>2000.0</v>
      </c>
      <c r="B26" s="86">
        <f t="shared" si="1"/>
        <v>24</v>
      </c>
      <c r="C26" s="23">
        <f t="shared" si="2"/>
        <v>24</v>
      </c>
    </row>
    <row r="27" ht="15.75" customHeight="1">
      <c r="A27" s="16">
        <v>1996.0</v>
      </c>
      <c r="B27" s="86">
        <f t="shared" si="1"/>
        <v>28</v>
      </c>
      <c r="C27" s="23">
        <f t="shared" si="2"/>
        <v>28</v>
      </c>
    </row>
    <row r="28" ht="15.75" customHeight="1">
      <c r="A28" s="16">
        <v>1996.0</v>
      </c>
      <c r="B28" s="86">
        <f t="shared" si="1"/>
        <v>28</v>
      </c>
      <c r="C28" s="23">
        <f t="shared" si="2"/>
        <v>28</v>
      </c>
    </row>
    <row r="29" ht="15.75" customHeight="1">
      <c r="A29" s="16">
        <v>1996.0</v>
      </c>
      <c r="B29" s="86">
        <f t="shared" si="1"/>
        <v>28</v>
      </c>
      <c r="C29" s="23">
        <f t="shared" si="2"/>
        <v>28</v>
      </c>
    </row>
    <row r="30" ht="15.75" customHeight="1">
      <c r="A30" s="16">
        <v>1996.0</v>
      </c>
      <c r="B30" s="86">
        <f t="shared" si="1"/>
        <v>28</v>
      </c>
      <c r="C30" s="23">
        <f t="shared" si="2"/>
        <v>28</v>
      </c>
    </row>
    <row r="31" ht="15.75" customHeight="1">
      <c r="A31" s="16">
        <v>1996.0</v>
      </c>
      <c r="B31" s="86">
        <f t="shared" si="1"/>
        <v>28</v>
      </c>
      <c r="C31" s="23">
        <f t="shared" si="2"/>
        <v>28</v>
      </c>
    </row>
    <row r="32" ht="15.75" customHeight="1">
      <c r="A32" s="16">
        <v>1992.0</v>
      </c>
      <c r="B32" s="86">
        <f t="shared" si="1"/>
        <v>32</v>
      </c>
      <c r="C32" s="23">
        <f t="shared" si="2"/>
        <v>32</v>
      </c>
    </row>
    <row r="33" ht="15.75" customHeight="1">
      <c r="A33" s="16">
        <v>1992.0</v>
      </c>
      <c r="B33" s="86">
        <f t="shared" si="1"/>
        <v>32</v>
      </c>
      <c r="C33" s="23">
        <f t="shared" si="2"/>
        <v>32</v>
      </c>
    </row>
    <row r="34" ht="15.75" customHeight="1">
      <c r="A34" s="16">
        <v>1992.0</v>
      </c>
      <c r="B34" s="86">
        <f t="shared" si="1"/>
        <v>32</v>
      </c>
      <c r="C34" s="23">
        <f t="shared" si="2"/>
        <v>32</v>
      </c>
    </row>
    <row r="35" ht="15.75" customHeight="1">
      <c r="A35" s="16">
        <v>1992.0</v>
      </c>
      <c r="B35" s="86">
        <f t="shared" si="1"/>
        <v>32</v>
      </c>
      <c r="C35" s="23">
        <f t="shared" si="2"/>
        <v>32</v>
      </c>
    </row>
    <row r="36" ht="15.75" customHeight="1">
      <c r="A36" s="16">
        <v>1992.0</v>
      </c>
      <c r="B36" s="86">
        <f t="shared" si="1"/>
        <v>32</v>
      </c>
      <c r="C36" s="23">
        <f t="shared" si="2"/>
        <v>32</v>
      </c>
    </row>
    <row r="37" ht="15.75" customHeight="1">
      <c r="A37" s="16">
        <v>1988.0</v>
      </c>
      <c r="B37" s="86">
        <f t="shared" si="1"/>
        <v>36</v>
      </c>
      <c r="C37" s="23">
        <f t="shared" si="2"/>
        <v>36</v>
      </c>
    </row>
    <row r="38" ht="15.75" customHeight="1">
      <c r="A38" s="16">
        <v>1988.0</v>
      </c>
      <c r="B38" s="86">
        <f t="shared" si="1"/>
        <v>36</v>
      </c>
      <c r="C38" s="23">
        <f t="shared" si="2"/>
        <v>36</v>
      </c>
    </row>
    <row r="39" ht="15.75" customHeight="1">
      <c r="A39" s="16">
        <v>1988.0</v>
      </c>
      <c r="B39" s="86">
        <f t="shared" si="1"/>
        <v>36</v>
      </c>
      <c r="C39" s="23">
        <f t="shared" si="2"/>
        <v>36</v>
      </c>
    </row>
    <row r="40" ht="15.75" customHeight="1">
      <c r="A40" s="16">
        <v>1988.0</v>
      </c>
      <c r="B40" s="86">
        <f t="shared" si="1"/>
        <v>36</v>
      </c>
      <c r="C40" s="23">
        <f t="shared" si="2"/>
        <v>36</v>
      </c>
    </row>
    <row r="41" ht="15.75" customHeight="1">
      <c r="A41" s="16">
        <v>1988.0</v>
      </c>
      <c r="B41" s="86">
        <f t="shared" si="1"/>
        <v>36</v>
      </c>
      <c r="C41" s="23">
        <f t="shared" si="2"/>
        <v>36</v>
      </c>
    </row>
    <row r="42" ht="15.75" customHeight="1">
      <c r="A42" s="16">
        <v>1984.0</v>
      </c>
      <c r="B42" s="86">
        <f t="shared" si="1"/>
        <v>40</v>
      </c>
      <c r="C42" s="23">
        <f t="shared" si="2"/>
        <v>40</v>
      </c>
    </row>
    <row r="43" ht="15.75" customHeight="1">
      <c r="A43" s="16">
        <v>1984.0</v>
      </c>
      <c r="B43" s="86">
        <f t="shared" si="1"/>
        <v>40</v>
      </c>
      <c r="C43" s="23">
        <f t="shared" si="2"/>
        <v>40</v>
      </c>
    </row>
    <row r="44" ht="15.75" customHeight="1">
      <c r="A44" s="16">
        <v>1984.0</v>
      </c>
      <c r="B44" s="86">
        <f t="shared" si="1"/>
        <v>40</v>
      </c>
      <c r="C44" s="23">
        <f t="shared" si="2"/>
        <v>40</v>
      </c>
    </row>
    <row r="45" ht="15.75" customHeight="1">
      <c r="A45" s="16">
        <v>1984.0</v>
      </c>
      <c r="B45" s="86">
        <f t="shared" si="1"/>
        <v>40</v>
      </c>
      <c r="C45" s="23">
        <f t="shared" si="2"/>
        <v>40</v>
      </c>
    </row>
    <row r="46" ht="15.75" customHeight="1">
      <c r="A46" s="16">
        <v>1984.0</v>
      </c>
      <c r="B46" s="86">
        <f t="shared" si="1"/>
        <v>40</v>
      </c>
      <c r="C46" s="23">
        <f t="shared" si="2"/>
        <v>40</v>
      </c>
    </row>
    <row r="47" ht="15.75" customHeight="1">
      <c r="A47" s="16">
        <v>1980.0</v>
      </c>
      <c r="B47" s="86">
        <f t="shared" si="1"/>
        <v>44</v>
      </c>
      <c r="C47" s="23">
        <f t="shared" si="2"/>
        <v>44</v>
      </c>
    </row>
    <row r="48" ht="15.75" customHeight="1">
      <c r="A48" s="16">
        <v>1980.0</v>
      </c>
      <c r="B48" s="86">
        <f t="shared" si="1"/>
        <v>44</v>
      </c>
      <c r="C48" s="23">
        <f t="shared" si="2"/>
        <v>44</v>
      </c>
    </row>
    <row r="49" ht="15.75" customHeight="1">
      <c r="A49" s="16">
        <v>1980.0</v>
      </c>
      <c r="B49" s="86">
        <f t="shared" si="1"/>
        <v>44</v>
      </c>
      <c r="C49" s="23">
        <f t="shared" si="2"/>
        <v>44</v>
      </c>
    </row>
    <row r="50" ht="15.75" customHeight="1">
      <c r="A50" s="16">
        <v>1980.0</v>
      </c>
      <c r="B50" s="86">
        <f t="shared" si="1"/>
        <v>44</v>
      </c>
      <c r="C50" s="23">
        <f t="shared" si="2"/>
        <v>44</v>
      </c>
    </row>
    <row r="51" ht="15.75" customHeight="1">
      <c r="A51" s="16">
        <v>1980.0</v>
      </c>
      <c r="B51" s="86">
        <f t="shared" si="1"/>
        <v>44</v>
      </c>
      <c r="C51" s="23">
        <f t="shared" si="2"/>
        <v>44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🏠 Back to Table of Contents" location="'Table of Contents'!A1" ref="G1"/>
  </hyperlink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4C2F4"/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8.5"/>
    <col customWidth="1" min="3" max="3" width="12.63"/>
    <col customWidth="1" min="4" max="4" width="3.5"/>
    <col customWidth="1" min="5" max="5" width="25.0"/>
    <col customWidth="1" min="6" max="6" width="28.25"/>
    <col customWidth="1" min="8" max="8" width="45.88"/>
    <col customWidth="1" min="9" max="9" width="33.0"/>
  </cols>
  <sheetData>
    <row r="1" ht="15.75" customHeight="1">
      <c r="A1" s="90" t="s">
        <v>30</v>
      </c>
      <c r="B1" s="90" t="s">
        <v>277</v>
      </c>
      <c r="C1" s="90" t="s">
        <v>278</v>
      </c>
      <c r="D1" s="90"/>
      <c r="E1" s="90"/>
      <c r="F1" s="90"/>
      <c r="G1" s="90"/>
      <c r="H1" s="90" t="s">
        <v>279</v>
      </c>
      <c r="I1" s="91" t="s">
        <v>35</v>
      </c>
      <c r="L1" s="92"/>
      <c r="M1" s="92"/>
      <c r="N1" s="92"/>
      <c r="O1" s="92"/>
      <c r="P1" s="92"/>
      <c r="Q1" s="92"/>
      <c r="R1" s="92"/>
      <c r="S1" s="92"/>
      <c r="T1" s="92"/>
      <c r="U1" s="92"/>
    </row>
    <row r="2" ht="15.75" customHeight="1">
      <c r="A2" s="17">
        <v>29.0</v>
      </c>
      <c r="B2" s="93">
        <f t="array" ref="B2:B51">A2:A51 -1</f>
        <v>28</v>
      </c>
      <c r="C2" s="93">
        <f t="array" ref="C2:C51">A2:A51 - AVERAGE($A$2:$A$51)</f>
        <v>5.9</v>
      </c>
      <c r="D2" s="94" t="s">
        <v>280</v>
      </c>
      <c r="E2" s="95"/>
      <c r="H2" s="23" t="str">
        <f t="array" ref="H2:H41">Data!D2:D41 &amp; " from " &amp; Data!E2:E41 &amp; " competing in " &amp; Data!F2:F41</f>
        <v>Usain Bolt from Jamaica competing in Athletics</v>
      </c>
    </row>
    <row r="3" ht="15.75" customHeight="1">
      <c r="A3" s="17">
        <v>31.0</v>
      </c>
      <c r="B3" s="23">
        <v>30.0</v>
      </c>
      <c r="C3" s="23">
        <v>7.899999999999999</v>
      </c>
      <c r="E3" s="96" t="s">
        <v>277</v>
      </c>
      <c r="F3" s="78" t="s">
        <v>281</v>
      </c>
      <c r="H3" s="23" t="s">
        <v>282</v>
      </c>
    </row>
    <row r="4" ht="15.75" customHeight="1">
      <c r="A4" s="17">
        <v>19.0</v>
      </c>
      <c r="B4" s="23">
        <v>18.0</v>
      </c>
      <c r="C4" s="23">
        <v>-4.100000000000001</v>
      </c>
      <c r="E4" s="97" t="s">
        <v>278</v>
      </c>
      <c r="F4" s="74" t="s">
        <v>283</v>
      </c>
      <c r="H4" s="23" t="s">
        <v>284</v>
      </c>
    </row>
    <row r="5" ht="15.75" customHeight="1">
      <c r="A5" s="17">
        <v>33.0</v>
      </c>
      <c r="B5" s="23">
        <v>32.0</v>
      </c>
      <c r="C5" s="23">
        <v>9.899999999999999</v>
      </c>
      <c r="E5" s="98" t="s">
        <v>279</v>
      </c>
      <c r="F5" s="70" t="s">
        <v>285</v>
      </c>
      <c r="H5" s="23" t="s">
        <v>286</v>
      </c>
    </row>
    <row r="6" ht="15.75" customHeight="1">
      <c r="A6" s="17">
        <v>19.0</v>
      </c>
      <c r="B6" s="23">
        <v>18.0</v>
      </c>
      <c r="C6" s="23">
        <v>-4.100000000000001</v>
      </c>
      <c r="H6" s="23" t="s">
        <v>287</v>
      </c>
    </row>
    <row r="7" ht="15.75" customHeight="1">
      <c r="A7" s="17">
        <v>25.0</v>
      </c>
      <c r="B7" s="23">
        <v>24.0</v>
      </c>
      <c r="C7" s="23">
        <v>1.8999999999999986</v>
      </c>
      <c r="H7" s="23" t="s">
        <v>288</v>
      </c>
    </row>
    <row r="8" ht="15.75" customHeight="1">
      <c r="A8" s="17">
        <v>17.0</v>
      </c>
      <c r="B8" s="23">
        <v>16.0</v>
      </c>
      <c r="C8" s="23">
        <v>-6.100000000000001</v>
      </c>
      <c r="H8" s="23" t="s">
        <v>289</v>
      </c>
    </row>
    <row r="9" ht="15.75" customHeight="1">
      <c r="A9" s="17">
        <v>16.0</v>
      </c>
      <c r="B9" s="23">
        <v>15.0</v>
      </c>
      <c r="C9" s="23">
        <v>-7.100000000000001</v>
      </c>
      <c r="H9" s="23" t="s">
        <v>290</v>
      </c>
    </row>
    <row r="10" ht="15.75" customHeight="1">
      <c r="A10" s="17">
        <v>23.0</v>
      </c>
      <c r="B10" s="23">
        <v>22.0</v>
      </c>
      <c r="C10" s="23">
        <v>-0.10000000000000142</v>
      </c>
      <c r="H10" s="23" t="s">
        <v>291</v>
      </c>
    </row>
    <row r="11" ht="15.75" customHeight="1">
      <c r="A11" s="17">
        <v>16.0</v>
      </c>
      <c r="B11" s="23">
        <v>15.0</v>
      </c>
      <c r="C11" s="23">
        <v>-7.100000000000001</v>
      </c>
      <c r="H11" s="23" t="s">
        <v>292</v>
      </c>
    </row>
    <row r="12" ht="15.75" customHeight="1">
      <c r="A12" s="17">
        <v>21.0</v>
      </c>
      <c r="B12" s="23">
        <v>20.0</v>
      </c>
      <c r="C12" s="23">
        <v>-2.1000000000000014</v>
      </c>
      <c r="H12" s="23" t="s">
        <v>288</v>
      </c>
    </row>
    <row r="13" ht="15.75" customHeight="1">
      <c r="A13" s="17">
        <v>23.0</v>
      </c>
      <c r="B13" s="23">
        <v>22.0</v>
      </c>
      <c r="C13" s="23">
        <v>-0.10000000000000142</v>
      </c>
      <c r="H13" s="23" t="s">
        <v>282</v>
      </c>
    </row>
    <row r="14" ht="15.75" customHeight="1">
      <c r="A14" s="17">
        <v>18.0</v>
      </c>
      <c r="B14" s="23">
        <v>17.0</v>
      </c>
      <c r="C14" s="23">
        <v>-5.100000000000001</v>
      </c>
      <c r="H14" s="23" t="s">
        <v>293</v>
      </c>
    </row>
    <row r="15" ht="15.75" customHeight="1">
      <c r="A15" s="17">
        <v>26.0</v>
      </c>
      <c r="B15" s="23">
        <v>25.0</v>
      </c>
      <c r="C15" s="23">
        <v>2.8999999999999986</v>
      </c>
      <c r="H15" s="23" t="s">
        <v>294</v>
      </c>
    </row>
    <row r="16" ht="15.75" customHeight="1">
      <c r="A16" s="17">
        <v>26.0</v>
      </c>
      <c r="B16" s="23">
        <v>25.0</v>
      </c>
      <c r="C16" s="23">
        <v>2.8999999999999986</v>
      </c>
      <c r="H16" s="23" t="s">
        <v>295</v>
      </c>
    </row>
    <row r="17" ht="15.75" customHeight="1">
      <c r="A17" s="17">
        <v>19.0</v>
      </c>
      <c r="B17" s="23">
        <v>18.0</v>
      </c>
      <c r="C17" s="23">
        <v>-4.100000000000001</v>
      </c>
      <c r="H17" s="23" t="s">
        <v>282</v>
      </c>
    </row>
    <row r="18" ht="15.75" customHeight="1">
      <c r="A18" s="17">
        <v>21.0</v>
      </c>
      <c r="B18" s="23">
        <v>20.0</v>
      </c>
      <c r="C18" s="23">
        <v>-2.1000000000000014</v>
      </c>
      <c r="H18" s="23" t="s">
        <v>296</v>
      </c>
    </row>
    <row r="19" ht="15.75" customHeight="1">
      <c r="A19" s="17">
        <v>16.0</v>
      </c>
      <c r="B19" s="23">
        <v>15.0</v>
      </c>
      <c r="C19" s="23">
        <v>-7.100000000000001</v>
      </c>
      <c r="H19" s="23" t="s">
        <v>297</v>
      </c>
    </row>
    <row r="20" ht="15.75" customHeight="1">
      <c r="A20" s="17">
        <v>34.0</v>
      </c>
      <c r="B20" s="23">
        <v>33.0</v>
      </c>
      <c r="C20" s="23">
        <v>10.899999999999999</v>
      </c>
      <c r="H20" s="23" t="s">
        <v>298</v>
      </c>
    </row>
    <row r="21" ht="15.75" customHeight="1">
      <c r="A21" s="17">
        <v>30.0</v>
      </c>
      <c r="B21" s="23">
        <v>29.0</v>
      </c>
      <c r="C21" s="23">
        <v>6.899999999999999</v>
      </c>
      <c r="H21" s="23" t="s">
        <v>299</v>
      </c>
    </row>
    <row r="22" ht="15.75" customHeight="1">
      <c r="A22" s="17">
        <v>24.0</v>
      </c>
      <c r="B22" s="23">
        <v>23.0</v>
      </c>
      <c r="C22" s="23">
        <v>0.8999999999999986</v>
      </c>
      <c r="H22" s="23" t="s">
        <v>300</v>
      </c>
    </row>
    <row r="23" ht="15.75" customHeight="1">
      <c r="A23" s="17">
        <v>17.0</v>
      </c>
      <c r="B23" s="23">
        <v>16.0</v>
      </c>
      <c r="C23" s="23">
        <v>-6.100000000000001</v>
      </c>
      <c r="H23" s="23" t="s">
        <v>301</v>
      </c>
    </row>
    <row r="24" ht="15.75" customHeight="1">
      <c r="A24" s="17">
        <v>24.0</v>
      </c>
      <c r="B24" s="23">
        <v>23.0</v>
      </c>
      <c r="C24" s="23">
        <v>0.8999999999999986</v>
      </c>
      <c r="H24" s="23" t="s">
        <v>302</v>
      </c>
    </row>
    <row r="25" ht="15.75" customHeight="1">
      <c r="A25" s="17">
        <v>27.0</v>
      </c>
      <c r="B25" s="23">
        <v>26.0</v>
      </c>
      <c r="C25" s="23">
        <v>3.8999999999999986</v>
      </c>
      <c r="H25" s="23" t="s">
        <v>303</v>
      </c>
    </row>
    <row r="26" ht="15.75" customHeight="1">
      <c r="A26" s="17">
        <v>24.0</v>
      </c>
      <c r="B26" s="23">
        <v>23.0</v>
      </c>
      <c r="C26" s="23">
        <v>0.8999999999999986</v>
      </c>
      <c r="H26" s="23" t="s">
        <v>304</v>
      </c>
    </row>
    <row r="27" ht="15.75" customHeight="1">
      <c r="A27" s="17">
        <v>28.0</v>
      </c>
      <c r="B27" s="23">
        <v>27.0</v>
      </c>
      <c r="C27" s="23">
        <v>4.899999999999999</v>
      </c>
      <c r="H27" s="23" t="s">
        <v>305</v>
      </c>
    </row>
    <row r="28" ht="15.75" customHeight="1">
      <c r="A28" s="17">
        <v>23.0</v>
      </c>
      <c r="B28" s="23">
        <v>22.0</v>
      </c>
      <c r="C28" s="23">
        <v>-0.10000000000000142</v>
      </c>
      <c r="H28" s="23" t="s">
        <v>306</v>
      </c>
    </row>
    <row r="29" ht="15.75" customHeight="1">
      <c r="A29" s="17">
        <v>28.0</v>
      </c>
      <c r="B29" s="23">
        <v>27.0</v>
      </c>
      <c r="C29" s="23">
        <v>4.899999999999999</v>
      </c>
      <c r="H29" s="23" t="s">
        <v>307</v>
      </c>
    </row>
    <row r="30" ht="15.75" customHeight="1">
      <c r="A30" s="17">
        <v>17.0</v>
      </c>
      <c r="B30" s="23">
        <v>16.0</v>
      </c>
      <c r="C30" s="23">
        <v>-6.100000000000001</v>
      </c>
      <c r="H30" s="23" t="s">
        <v>308</v>
      </c>
    </row>
    <row r="31" ht="15.75" customHeight="1">
      <c r="A31" s="17">
        <v>21.0</v>
      </c>
      <c r="B31" s="23">
        <v>20.0</v>
      </c>
      <c r="C31" s="23">
        <v>-2.1000000000000014</v>
      </c>
      <c r="H31" s="23" t="s">
        <v>309</v>
      </c>
    </row>
    <row r="32" ht="15.75" customHeight="1">
      <c r="A32" s="17">
        <v>32.0</v>
      </c>
      <c r="B32" s="23">
        <v>31.0</v>
      </c>
      <c r="C32" s="23">
        <v>8.899999999999999</v>
      </c>
      <c r="H32" s="23" t="s">
        <v>310</v>
      </c>
    </row>
    <row r="33" ht="15.75" customHeight="1">
      <c r="A33" s="17">
        <v>20.0</v>
      </c>
      <c r="B33" s="23">
        <v>19.0</v>
      </c>
      <c r="C33" s="23">
        <v>-3.1000000000000014</v>
      </c>
      <c r="H33" s="23" t="s">
        <v>311</v>
      </c>
    </row>
    <row r="34" ht="15.75" customHeight="1">
      <c r="A34" s="17">
        <v>17.0</v>
      </c>
      <c r="B34" s="23">
        <v>16.0</v>
      </c>
      <c r="C34" s="23">
        <v>-6.100000000000001</v>
      </c>
      <c r="H34" s="23" t="s">
        <v>312</v>
      </c>
    </row>
    <row r="35" ht="15.75" customHeight="1">
      <c r="A35" s="17">
        <v>25.0</v>
      </c>
      <c r="B35" s="23">
        <v>24.0</v>
      </c>
      <c r="C35" s="23">
        <v>1.8999999999999986</v>
      </c>
      <c r="H35" s="23" t="s">
        <v>313</v>
      </c>
    </row>
    <row r="36" ht="15.75" customHeight="1">
      <c r="A36" s="17">
        <v>25.0</v>
      </c>
      <c r="B36" s="23">
        <v>24.0</v>
      </c>
      <c r="C36" s="23">
        <v>1.8999999999999986</v>
      </c>
      <c r="H36" s="23" t="s">
        <v>314</v>
      </c>
    </row>
    <row r="37" ht="15.75" customHeight="1">
      <c r="A37" s="17">
        <v>28.0</v>
      </c>
      <c r="B37" s="23">
        <v>27.0</v>
      </c>
      <c r="C37" s="23">
        <v>4.899999999999999</v>
      </c>
      <c r="H37" s="23" t="s">
        <v>315</v>
      </c>
    </row>
    <row r="38" ht="15.75" customHeight="1">
      <c r="A38" s="17">
        <v>22.0</v>
      </c>
      <c r="B38" s="23">
        <v>21.0</v>
      </c>
      <c r="C38" s="23">
        <v>-1.1000000000000014</v>
      </c>
      <c r="H38" s="23" t="s">
        <v>316</v>
      </c>
    </row>
    <row r="39" ht="15.75" customHeight="1">
      <c r="A39" s="17">
        <v>18.0</v>
      </c>
      <c r="B39" s="23">
        <v>17.0</v>
      </c>
      <c r="C39" s="23">
        <v>-5.100000000000001</v>
      </c>
      <c r="H39" s="23" t="s">
        <v>317</v>
      </c>
    </row>
    <row r="40" ht="15.75" customHeight="1">
      <c r="A40" s="17">
        <v>26.0</v>
      </c>
      <c r="B40" s="23">
        <v>25.0</v>
      </c>
      <c r="C40" s="23">
        <v>2.8999999999999986</v>
      </c>
      <c r="H40" s="23" t="s">
        <v>318</v>
      </c>
    </row>
    <row r="41" ht="15.75" customHeight="1">
      <c r="A41" s="17">
        <v>17.0</v>
      </c>
      <c r="B41" s="23">
        <v>16.0</v>
      </c>
      <c r="C41" s="23">
        <v>-6.100000000000001</v>
      </c>
      <c r="H41" s="23" t="s">
        <v>319</v>
      </c>
    </row>
    <row r="42" ht="15.75" customHeight="1">
      <c r="A42" s="17">
        <v>23.0</v>
      </c>
      <c r="B42" s="23">
        <v>22.0</v>
      </c>
      <c r="C42" s="23">
        <v>-0.10000000000000142</v>
      </c>
    </row>
    <row r="43" ht="15.75" customHeight="1">
      <c r="A43" s="17">
        <v>16.0</v>
      </c>
      <c r="B43" s="23">
        <v>15.0</v>
      </c>
      <c r="C43" s="23">
        <v>-7.100000000000001</v>
      </c>
    </row>
    <row r="44" ht="15.75" customHeight="1">
      <c r="A44" s="17">
        <v>25.0</v>
      </c>
      <c r="B44" s="23">
        <v>24.0</v>
      </c>
      <c r="C44" s="23">
        <v>1.8999999999999986</v>
      </c>
    </row>
    <row r="45" ht="15.75" customHeight="1">
      <c r="A45" s="17">
        <v>27.0</v>
      </c>
      <c r="B45" s="23">
        <v>26.0</v>
      </c>
      <c r="C45" s="23">
        <v>3.8999999999999986</v>
      </c>
    </row>
    <row r="46" ht="15.75" customHeight="1">
      <c r="A46" s="17">
        <v>24.0</v>
      </c>
      <c r="B46" s="23">
        <v>23.0</v>
      </c>
      <c r="C46" s="23">
        <v>0.8999999999999986</v>
      </c>
    </row>
    <row r="47" ht="15.75" customHeight="1">
      <c r="A47" s="17">
        <v>28.0</v>
      </c>
      <c r="B47" s="23">
        <v>27.0</v>
      </c>
      <c r="C47" s="23">
        <v>4.899999999999999</v>
      </c>
    </row>
    <row r="48" ht="15.75" customHeight="1">
      <c r="A48" s="17">
        <v>18.0</v>
      </c>
      <c r="B48" s="23">
        <v>17.0</v>
      </c>
      <c r="C48" s="23">
        <v>-5.100000000000001</v>
      </c>
    </row>
    <row r="49" ht="15.75" customHeight="1">
      <c r="A49" s="17">
        <v>22.0</v>
      </c>
      <c r="B49" s="23">
        <v>21.0</v>
      </c>
      <c r="C49" s="23">
        <v>-1.1000000000000014</v>
      </c>
    </row>
    <row r="50" ht="15.75" customHeight="1">
      <c r="A50" s="17">
        <v>20.0</v>
      </c>
      <c r="B50" s="23">
        <v>19.0</v>
      </c>
      <c r="C50" s="23">
        <v>-3.1000000000000014</v>
      </c>
    </row>
    <row r="51" ht="15.75" customHeight="1">
      <c r="A51" s="17">
        <v>27.0</v>
      </c>
      <c r="B51" s="23">
        <v>26.0</v>
      </c>
      <c r="C51" s="23">
        <v>3.8999999999999986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2:E2"/>
  </mergeCells>
  <hyperlinks>
    <hyperlink display="🏠 Back to Table of Contents" location="'Table of Contents'!A1" ref="I1"/>
  </hyperlin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4C2F4"/>
    <outlinePr summaryBelow="0" summaryRight="0"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17.88"/>
    <col customWidth="1" min="3" max="3" width="20.25"/>
    <col customWidth="1" min="4" max="4" width="12.63"/>
    <col customWidth="1" min="5" max="5" width="25.75"/>
    <col customWidth="1" min="6" max="6" width="12.63"/>
    <col customWidth="1" min="7" max="9" width="16.25"/>
    <col customWidth="1" min="10" max="10" width="4.38"/>
    <col customWidth="1" min="11" max="11" width="27.13"/>
    <col customWidth="1" min="12" max="12" width="33.88"/>
  </cols>
  <sheetData>
    <row r="1" ht="15.75" customHeight="1">
      <c r="A1" s="99" t="s">
        <v>320</v>
      </c>
      <c r="B1" s="99"/>
      <c r="C1" s="100" t="s">
        <v>321</v>
      </c>
      <c r="D1" s="99" t="s">
        <v>22</v>
      </c>
      <c r="E1" s="99"/>
      <c r="F1" s="101" t="s">
        <v>322</v>
      </c>
      <c r="G1" s="102"/>
      <c r="H1" s="102"/>
      <c r="I1" s="102"/>
      <c r="J1" s="102"/>
      <c r="K1" s="103"/>
      <c r="L1" s="104" t="s">
        <v>35</v>
      </c>
    </row>
    <row r="2" ht="15.75" customHeight="1">
      <c r="A2" s="23" t="str">
        <f>IFERROR(__xludf.DUMMYFUNCTION("UNIQUE(Data!D2:D51)"),"Usain Bolt")</f>
        <v>Usain Bolt</v>
      </c>
      <c r="B2" s="105" t="s">
        <v>323</v>
      </c>
      <c r="C2" s="23" t="s">
        <v>45</v>
      </c>
      <c r="D2" s="23" t="str">
        <f>VLOOKUP(C2,Data!D2:G51,3, FALSE)</f>
        <v>Swimming</v>
      </c>
      <c r="E2" s="106" t="s">
        <v>324</v>
      </c>
      <c r="F2" s="107"/>
      <c r="K2" s="108"/>
    </row>
    <row r="3" ht="15.75" customHeight="1">
      <c r="A3" s="23" t="str">
        <f>IFERROR(__xludf.DUMMYFUNCTION("""COMPUTED_VALUE"""),"Michael Phelps")</f>
        <v>Michael Phelps</v>
      </c>
      <c r="B3" s="105" t="s">
        <v>323</v>
      </c>
      <c r="C3" s="23" t="s">
        <v>38</v>
      </c>
      <c r="D3" s="23" t="str">
        <f t="array" ref="D3">XLOOKUP(C3,Data!D2:D51,Data!F2:F51)</f>
        <v>Athletics</v>
      </c>
      <c r="E3" s="106" t="s">
        <v>325</v>
      </c>
      <c r="F3" s="109" t="s">
        <v>326</v>
      </c>
      <c r="G3" s="110">
        <v>1.0</v>
      </c>
      <c r="H3" s="110">
        <v>2.0</v>
      </c>
      <c r="I3" s="110">
        <v>3.0</v>
      </c>
      <c r="K3" s="108"/>
    </row>
    <row r="4" ht="15.75" customHeight="1">
      <c r="A4" s="23" t="str">
        <f>IFERROR(__xludf.DUMMYFUNCTION("""COMPUTED_VALUE"""),"Simone Biles")</f>
        <v>Simone Biles</v>
      </c>
      <c r="C4" s="28" t="s">
        <v>52</v>
      </c>
      <c r="D4" s="52" t="str">
        <f t="array" ref="D4">XLOOKUP(C4,Data!D2:D1000,Data!F2:F1000)</f>
        <v>Gymnastics</v>
      </c>
      <c r="E4" s="28" t="s">
        <v>327</v>
      </c>
      <c r="F4" s="111"/>
      <c r="G4" s="112" t="s">
        <v>328</v>
      </c>
      <c r="H4" s="113" t="s">
        <v>21</v>
      </c>
      <c r="I4" s="114" t="s">
        <v>329</v>
      </c>
      <c r="K4" s="108"/>
    </row>
    <row r="5" ht="15.75" customHeight="1">
      <c r="A5" s="23" t="str">
        <f>IFERROR(__xludf.DUMMYFUNCTION("""COMPUTED_VALUE"""),"Mo Farah")</f>
        <v>Mo Farah</v>
      </c>
      <c r="D5" s="52" t="str">
        <f t="array" ref="D5">INDEX(Data!F2:F1000,MATCH(C4,Data!D2:D1000,0))</f>
        <v>Gymnastics</v>
      </c>
      <c r="F5" s="111" t="s">
        <v>330</v>
      </c>
      <c r="G5" s="115" t="s">
        <v>38</v>
      </c>
      <c r="H5" s="116" t="s">
        <v>39</v>
      </c>
      <c r="I5" s="117" t="s">
        <v>40</v>
      </c>
      <c r="K5" s="108"/>
    </row>
    <row r="6" ht="15.75" customHeight="1">
      <c r="A6" s="23" t="str">
        <f>IFERROR(__xludf.DUMMYFUNCTION("""COMPUTED_VALUE"""),"Katie Ledecky")</f>
        <v>Katie Ledecky</v>
      </c>
      <c r="F6" s="118"/>
      <c r="G6" s="115" t="s">
        <v>45</v>
      </c>
      <c r="H6" s="116" t="s">
        <v>46</v>
      </c>
      <c r="I6" s="117" t="s">
        <v>47</v>
      </c>
      <c r="K6" s="108"/>
    </row>
    <row r="7" ht="15.75" customHeight="1">
      <c r="A7" s="23" t="str">
        <f>IFERROR(__xludf.DUMMYFUNCTION("""COMPUTED_VALUE"""),"Missy Franklin")</f>
        <v>Missy Franklin</v>
      </c>
      <c r="F7" s="118"/>
      <c r="G7" s="115" t="s">
        <v>52</v>
      </c>
      <c r="H7" s="116" t="s">
        <v>46</v>
      </c>
      <c r="I7" s="117" t="s">
        <v>53</v>
      </c>
      <c r="K7" s="108"/>
    </row>
    <row r="8" ht="15.75" customHeight="1">
      <c r="A8" s="23" t="str">
        <f>IFERROR(__xludf.DUMMYFUNCTION("""COMPUTED_VALUE"""),"Gabby Douglas")</f>
        <v>Gabby Douglas</v>
      </c>
      <c r="F8" s="118"/>
      <c r="G8" s="115" t="s">
        <v>58</v>
      </c>
      <c r="H8" s="116" t="s">
        <v>59</v>
      </c>
      <c r="I8" s="117" t="s">
        <v>40</v>
      </c>
      <c r="K8" s="108"/>
    </row>
    <row r="9" ht="15.75" customHeight="1">
      <c r="A9" s="23" t="str">
        <f>IFERROR(__xludf.DUMMYFUNCTION("""COMPUTED_VALUE"""),"David Rudisha")</f>
        <v>David Rudisha</v>
      </c>
      <c r="F9" s="118"/>
      <c r="G9" s="119" t="s">
        <v>62</v>
      </c>
      <c r="H9" s="120" t="s">
        <v>46</v>
      </c>
      <c r="I9" s="121" t="s">
        <v>47</v>
      </c>
      <c r="K9" s="108"/>
    </row>
    <row r="10" ht="15.75" customHeight="1">
      <c r="A10" s="23" t="str">
        <f>IFERROR(__xludf.DUMMYFUNCTION("""COMPUTED_VALUE"""),"Ye Shiwen")</f>
        <v>Ye Shiwen</v>
      </c>
      <c r="F10" s="107"/>
      <c r="G10" s="122" t="s">
        <v>331</v>
      </c>
      <c r="H10" s="122" t="s">
        <v>332</v>
      </c>
      <c r="K10" s="108"/>
    </row>
    <row r="11" ht="15.75" customHeight="1">
      <c r="A11" s="23" t="str">
        <f>IFERROR(__xludf.DUMMYFUNCTION("""COMPUTED_VALUE"""),"Nastia Liukin")</f>
        <v>Nastia Liukin</v>
      </c>
      <c r="F11" s="107"/>
      <c r="K11" s="108"/>
    </row>
    <row r="12" ht="15.75" customHeight="1">
      <c r="A12" s="23" t="str">
        <f>IFERROR(__xludf.DUMMYFUNCTION("""COMPUTED_VALUE"""),"Yelena Isinbayeva")</f>
        <v>Yelena Isinbayeva</v>
      </c>
      <c r="F12" s="107"/>
      <c r="K12" s="108"/>
    </row>
    <row r="13" ht="15.75" customHeight="1">
      <c r="A13" s="23" t="str">
        <f>IFERROR(__xludf.DUMMYFUNCTION("""COMPUTED_VALUE"""),"Kenenisa Bekele")</f>
        <v>Kenenisa Bekele</v>
      </c>
      <c r="F13" s="107"/>
      <c r="K13" s="108"/>
    </row>
    <row r="14" ht="15.75" customHeight="1">
      <c r="A14" s="23" t="str">
        <f>IFERROR(__xludf.DUMMYFUNCTION("""COMPUTED_VALUE"""),"Liu Xiang")</f>
        <v>Liu Xiang</v>
      </c>
      <c r="F14" s="107"/>
      <c r="K14" s="108"/>
    </row>
    <row r="15" ht="15.75" customHeight="1">
      <c r="A15" s="23" t="str">
        <f>IFERROR(__xludf.DUMMYFUNCTION("""COMPUTED_VALUE"""),"Carly Patterson")</f>
        <v>Carly Patterson</v>
      </c>
      <c r="F15" s="107"/>
      <c r="G15" s="123" t="s">
        <v>328</v>
      </c>
      <c r="H15" s="124" t="s">
        <v>45</v>
      </c>
      <c r="I15" s="106" t="s">
        <v>333</v>
      </c>
      <c r="K15" s="108"/>
    </row>
    <row r="16" ht="15.75" customHeight="1">
      <c r="A16" s="23" t="str">
        <f>IFERROR(__xludf.DUMMYFUNCTION("""COMPUTED_VALUE"""),"Kelly Holmes")</f>
        <v>Kelly Holmes</v>
      </c>
      <c r="F16" s="107"/>
      <c r="G16" s="125" t="s">
        <v>21</v>
      </c>
      <c r="H16" s="23" t="str">
        <f>VLOOKUP(H15,G5:I9,2)</f>
        <v>USA</v>
      </c>
      <c r="I16" s="106" t="s">
        <v>334</v>
      </c>
      <c r="J16" s="126" t="s">
        <v>335</v>
      </c>
      <c r="K16" s="127"/>
    </row>
    <row r="17" ht="15.75" customHeight="1">
      <c r="A17" s="23" t="str">
        <f>IFERROR(__xludf.DUMMYFUNCTION("""COMPUTED_VALUE"""),"Inge de Bruijn")</f>
        <v>Inge de Bruijn</v>
      </c>
      <c r="F17" s="107"/>
      <c r="G17" s="125" t="s">
        <v>329</v>
      </c>
      <c r="H17" s="23" t="str">
        <f>VLOOKUP(H15, G5:I9, 3, false)</f>
        <v>Swimming</v>
      </c>
      <c r="I17" s="106" t="s">
        <v>334</v>
      </c>
      <c r="J17" s="126" t="s">
        <v>336</v>
      </c>
      <c r="K17" s="127"/>
    </row>
    <row r="18" ht="15.75" customHeight="1">
      <c r="A18" s="23" t="str">
        <f>IFERROR(__xludf.DUMMYFUNCTION("""COMPUTED_VALUE"""),"Marion Jones")</f>
        <v>Marion Jones</v>
      </c>
      <c r="F18" s="107"/>
      <c r="K18" s="108"/>
    </row>
    <row r="19" ht="15.75" customHeight="1">
      <c r="A19" s="23" t="str">
        <f>IFERROR(__xludf.DUMMYFUNCTION("""COMPUTED_VALUE"""),"Ian Thorpe")</f>
        <v>Ian Thorpe</v>
      </c>
      <c r="F19" s="128"/>
      <c r="G19" s="129"/>
      <c r="H19" s="129"/>
      <c r="I19" s="129"/>
      <c r="J19" s="129"/>
      <c r="K19" s="130"/>
    </row>
    <row r="20" ht="15.75" customHeight="1">
      <c r="A20" s="23" t="str">
        <f>IFERROR(__xludf.DUMMYFUNCTION("""COMPUTED_VALUE"""),"Alexei Nemov")</f>
        <v>Alexei Nemov</v>
      </c>
    </row>
    <row r="21" ht="15.75" customHeight="1">
      <c r="A21" s="23" t="str">
        <f>IFERROR(__xludf.DUMMYFUNCTION("""COMPUTED_VALUE"""),"Cathy Freeman")</f>
        <v>Cathy Freeman</v>
      </c>
    </row>
    <row r="22" ht="15.75" customHeight="1">
      <c r="A22" s="23" t="str">
        <f>IFERROR(__xludf.DUMMYFUNCTION("""COMPUTED_VALUE"""),"Lenny Krayzelburg")</f>
        <v>Lenny Krayzelburg</v>
      </c>
      <c r="F22" s="131" t="s">
        <v>337</v>
      </c>
      <c r="G22" s="132"/>
      <c r="H22" s="132"/>
      <c r="I22" s="132"/>
      <c r="J22" s="132"/>
      <c r="K22" s="133"/>
    </row>
    <row r="23" ht="15.75" customHeight="1">
      <c r="A23" s="23" t="str">
        <f>IFERROR(__xludf.DUMMYFUNCTION("""COMPUTED_VALUE"""),"Michael Johnson")</f>
        <v>Michael Johnson</v>
      </c>
      <c r="F23" s="134"/>
      <c r="G23" s="135"/>
      <c r="H23" s="135"/>
      <c r="I23" s="135"/>
      <c r="J23" s="136"/>
      <c r="K23" s="137"/>
      <c r="L23" s="116"/>
    </row>
    <row r="24" ht="15.75" customHeight="1">
      <c r="A24" s="23" t="str">
        <f>IFERROR(__xludf.DUMMYFUNCTION("""COMPUTED_VALUE"""),"Amy Van Dyken")</f>
        <v>Amy Van Dyken</v>
      </c>
      <c r="F24" s="138"/>
      <c r="J24" s="116"/>
      <c r="K24" s="139"/>
      <c r="L24" s="116"/>
    </row>
    <row r="25" ht="15.75" customHeight="1">
      <c r="A25" s="23" t="str">
        <f>IFERROR(__xludf.DUMMYFUNCTION("""COMPUTED_VALUE"""),"Donovan Bailey")</f>
        <v>Donovan Bailey</v>
      </c>
      <c r="E25" s="140" t="s">
        <v>338</v>
      </c>
      <c r="F25" s="141" t="s">
        <v>328</v>
      </c>
      <c r="G25" s="142" t="s">
        <v>38</v>
      </c>
      <c r="H25" s="142" t="s">
        <v>45</v>
      </c>
      <c r="I25" s="143" t="s">
        <v>52</v>
      </c>
      <c r="J25" s="110">
        <v>1.0</v>
      </c>
      <c r="K25" s="144" t="s">
        <v>339</v>
      </c>
      <c r="L25" s="116"/>
    </row>
    <row r="26" ht="15.75" customHeight="1">
      <c r="A26" s="23" t="str">
        <f>IFERROR(__xludf.DUMMYFUNCTION("""COMPUTED_VALUE"""),"Lilia Podkopayeva")</f>
        <v>Lilia Podkopayeva</v>
      </c>
      <c r="E26" s="140" t="s">
        <v>340</v>
      </c>
      <c r="F26" s="145" t="s">
        <v>21</v>
      </c>
      <c r="G26" s="116" t="s">
        <v>39</v>
      </c>
      <c r="H26" s="116" t="s">
        <v>46</v>
      </c>
      <c r="I26" s="117" t="s">
        <v>46</v>
      </c>
      <c r="J26" s="110">
        <v>2.0</v>
      </c>
      <c r="K26" s="146"/>
    </row>
    <row r="27" ht="15.75" customHeight="1">
      <c r="A27" s="23" t="str">
        <f>IFERROR(__xludf.DUMMYFUNCTION("""COMPUTED_VALUE"""),"Penny Heyns")</f>
        <v>Penny Heyns</v>
      </c>
      <c r="F27" s="147" t="s">
        <v>329</v>
      </c>
      <c r="G27" s="120" t="s">
        <v>40</v>
      </c>
      <c r="H27" s="120" t="s">
        <v>47</v>
      </c>
      <c r="I27" s="121" t="s">
        <v>53</v>
      </c>
      <c r="J27" s="110">
        <v>3.0</v>
      </c>
      <c r="K27" s="146"/>
    </row>
    <row r="28" ht="15.75" customHeight="1">
      <c r="A28" s="23" t="str">
        <f>IFERROR(__xludf.DUMMYFUNCTION("""COMPUTED_VALUE"""),"Linford Christie")</f>
        <v>Linford Christie</v>
      </c>
      <c r="F28" s="138"/>
      <c r="K28" s="148"/>
    </row>
    <row r="29" ht="15.75" customHeight="1">
      <c r="A29" s="23" t="str">
        <f>IFERROR(__xludf.DUMMYFUNCTION("""COMPUTED_VALUE"""),"Vitaly Scherbo")</f>
        <v>Vitaly Scherbo</v>
      </c>
      <c r="F29" s="149" t="s">
        <v>328</v>
      </c>
      <c r="G29" s="124" t="s">
        <v>45</v>
      </c>
      <c r="H29" s="106" t="s">
        <v>333</v>
      </c>
      <c r="K29" s="148"/>
    </row>
    <row r="30" ht="15.75" customHeight="1">
      <c r="A30" s="23" t="str">
        <f>IFERROR(__xludf.DUMMYFUNCTION("""COMPUTED_VALUE"""),"Krisztina Egerszegi")</f>
        <v>Krisztina Egerszegi</v>
      </c>
      <c r="F30" s="150" t="s">
        <v>21</v>
      </c>
      <c r="G30" s="23" t="str">
        <f>HLOOKUP(G29, G25:I28, 2)</f>
        <v>USA</v>
      </c>
      <c r="H30" s="106" t="s">
        <v>334</v>
      </c>
      <c r="I30" s="126" t="s">
        <v>341</v>
      </c>
      <c r="K30" s="146"/>
    </row>
    <row r="31" ht="15.75" customHeight="1">
      <c r="A31" s="23" t="str">
        <f>IFERROR(__xludf.DUMMYFUNCTION("""COMPUTED_VALUE"""),"Kevin Young")</f>
        <v>Kevin Young</v>
      </c>
      <c r="F31" s="150" t="s">
        <v>329</v>
      </c>
      <c r="G31" s="23" t="str">
        <f>HLOOKUP(G29, G25:I28, 3)</f>
        <v>Swimming</v>
      </c>
      <c r="H31" s="106" t="s">
        <v>334</v>
      </c>
      <c r="I31" s="126" t="s">
        <v>342</v>
      </c>
      <c r="K31" s="146"/>
    </row>
    <row r="32" ht="15.75" customHeight="1">
      <c r="A32" s="23" t="str">
        <f>IFERROR(__xludf.DUMMYFUNCTION("""COMPUTED_VALUE"""),"Evelyn Ashford")</f>
        <v>Evelyn Ashford</v>
      </c>
      <c r="F32" s="151"/>
      <c r="G32" s="152"/>
      <c r="H32" s="152"/>
      <c r="I32" s="152"/>
      <c r="J32" s="152"/>
      <c r="K32" s="153"/>
    </row>
    <row r="33" ht="15.75" customHeight="1">
      <c r="A33" s="23" t="str">
        <f>IFERROR(__xludf.DUMMYFUNCTION("""COMPUTED_VALUE"""),"Florence Griffith Joyner")</f>
        <v>Florence Griffith Joyner</v>
      </c>
    </row>
    <row r="34" ht="15.75" customHeight="1">
      <c r="A34" s="23" t="str">
        <f>IFERROR(__xludf.DUMMYFUNCTION("""COMPUTED_VALUE"""),"Matt Biondi")</f>
        <v>Matt Biondi</v>
      </c>
    </row>
    <row r="35" ht="15.75" customHeight="1">
      <c r="A35" s="23" t="str">
        <f>IFERROR(__xludf.DUMMYFUNCTION("""COMPUTED_VALUE"""),"Daniela Silivas")</f>
        <v>Daniela Silivas</v>
      </c>
      <c r="F35" s="154" t="s">
        <v>343</v>
      </c>
      <c r="G35" s="155"/>
      <c r="H35" s="155"/>
      <c r="I35" s="155"/>
      <c r="J35" s="155"/>
      <c r="K35" s="156"/>
    </row>
    <row r="36" ht="15.75" customHeight="1">
      <c r="A36" s="23" t="str">
        <f>IFERROR(__xludf.DUMMYFUNCTION("""COMPUTED_VALUE"""),"Ben Johnson")</f>
        <v>Ben Johnson</v>
      </c>
      <c r="F36" s="157"/>
      <c r="G36" s="158"/>
      <c r="H36" s="158"/>
      <c r="I36" s="158"/>
      <c r="J36" s="158"/>
      <c r="K36" s="159"/>
    </row>
    <row r="37" ht="15.75" customHeight="1">
      <c r="A37" s="23" t="str">
        <f>IFERROR(__xludf.DUMMYFUNCTION("""COMPUTED_VALUE"""),"Janet Evans")</f>
        <v>Janet Evans</v>
      </c>
      <c r="F37" s="160"/>
      <c r="G37" s="112" t="s">
        <v>328</v>
      </c>
      <c r="H37" s="113" t="s">
        <v>21</v>
      </c>
      <c r="I37" s="114" t="s">
        <v>329</v>
      </c>
      <c r="K37" s="161"/>
    </row>
    <row r="38" ht="15.75" customHeight="1">
      <c r="A38" s="23" t="str">
        <f>IFERROR(__xludf.DUMMYFUNCTION("""COMPUTED_VALUE"""),"Carl Lewis")</f>
        <v>Carl Lewis</v>
      </c>
      <c r="F38" s="162" t="s">
        <v>330</v>
      </c>
      <c r="G38" s="115" t="s">
        <v>38</v>
      </c>
      <c r="H38" s="116" t="s">
        <v>39</v>
      </c>
      <c r="I38" s="117" t="s">
        <v>40</v>
      </c>
      <c r="K38" s="161"/>
    </row>
    <row r="39" ht="15.75" customHeight="1">
      <c r="A39" s="23" t="str">
        <f>IFERROR(__xludf.DUMMYFUNCTION("""COMPUTED_VALUE"""),"Mary Lou Retton")</f>
        <v>Mary Lou Retton</v>
      </c>
      <c r="F39" s="163"/>
      <c r="G39" s="115" t="s">
        <v>45</v>
      </c>
      <c r="H39" s="116" t="s">
        <v>46</v>
      </c>
      <c r="I39" s="117" t="s">
        <v>47</v>
      </c>
      <c r="K39" s="161"/>
    </row>
    <row r="40" ht="15.75" customHeight="1">
      <c r="A40" s="23" t="str">
        <f>IFERROR(__xludf.DUMMYFUNCTION("""COMPUTED_VALUE"""),"Rowdy Gaines")</f>
        <v>Rowdy Gaines</v>
      </c>
      <c r="F40" s="163"/>
      <c r="G40" s="115" t="s">
        <v>52</v>
      </c>
      <c r="H40" s="116" t="s">
        <v>46</v>
      </c>
      <c r="I40" s="117" t="s">
        <v>53</v>
      </c>
      <c r="K40" s="161"/>
    </row>
    <row r="41" ht="15.75" customHeight="1">
      <c r="A41" s="23" t="str">
        <f>IFERROR(__xludf.DUMMYFUNCTION("""COMPUTED_VALUE"""),"Joan Benoit")</f>
        <v>Joan Benoit</v>
      </c>
      <c r="F41" s="163"/>
      <c r="G41" s="115" t="s">
        <v>58</v>
      </c>
      <c r="H41" s="116" t="s">
        <v>59</v>
      </c>
      <c r="I41" s="117" t="s">
        <v>40</v>
      </c>
      <c r="K41" s="161"/>
    </row>
    <row r="42" ht="15.75" customHeight="1">
      <c r="A42" s="23" t="str">
        <f>IFERROR(__xludf.DUMMYFUNCTION("""COMPUTED_VALUE"""),"Greg Louganis")</f>
        <v>Greg Louganis</v>
      </c>
      <c r="F42" s="163"/>
      <c r="G42" s="119" t="s">
        <v>62</v>
      </c>
      <c r="H42" s="120" t="s">
        <v>46</v>
      </c>
      <c r="I42" s="121" t="s">
        <v>47</v>
      </c>
      <c r="K42" s="161"/>
    </row>
    <row r="43" ht="15.75" customHeight="1">
      <c r="A43" s="23" t="str">
        <f>IFERROR(__xludf.DUMMYFUNCTION("""COMPUTED_VALUE"""),"Vladislav Tretiak")</f>
        <v>Vladislav Tretiak</v>
      </c>
      <c r="F43" s="160"/>
      <c r="G43" s="122" t="s">
        <v>344</v>
      </c>
      <c r="H43" s="122" t="s">
        <v>345</v>
      </c>
      <c r="K43" s="161"/>
    </row>
    <row r="44" ht="15.75" customHeight="1">
      <c r="A44" s="23" t="str">
        <f>IFERROR(__xludf.DUMMYFUNCTION("""COMPUTED_VALUE"""),"Nadia Comaneci")</f>
        <v>Nadia Comaneci</v>
      </c>
      <c r="F44" s="160"/>
      <c r="K44" s="161"/>
    </row>
    <row r="45" ht="15.75" customHeight="1">
      <c r="A45" s="23" t="str">
        <f>IFERROR(__xludf.DUMMYFUNCTION("""COMPUTED_VALUE"""),"Alexander Dityatin")</f>
        <v>Alexander Dityatin</v>
      </c>
      <c r="F45" s="160"/>
      <c r="G45" s="123" t="s">
        <v>328</v>
      </c>
      <c r="H45" s="124" t="s">
        <v>45</v>
      </c>
      <c r="I45" s="106" t="s">
        <v>333</v>
      </c>
      <c r="K45" s="161"/>
    </row>
    <row r="46" ht="15.75" customHeight="1">
      <c r="A46" s="23" t="str">
        <f>IFERROR(__xludf.DUMMYFUNCTION("""COMPUTED_VALUE"""),"Vladimir Salnikov")</f>
        <v>Vladimir Salnikov</v>
      </c>
      <c r="F46" s="160"/>
      <c r="G46" s="125" t="s">
        <v>21</v>
      </c>
      <c r="H46" s="23" t="str">
        <f t="array" ref="H46">XLOOKUP(H45,G38:G42, H38:H42)</f>
        <v>USA</v>
      </c>
      <c r="I46" s="106" t="s">
        <v>334</v>
      </c>
      <c r="J46" s="126" t="s">
        <v>346</v>
      </c>
      <c r="K46" s="164"/>
    </row>
    <row r="47" ht="15.75" customHeight="1">
      <c r="A47" s="23" t="str">
        <f>IFERROR(__xludf.DUMMYFUNCTION("""COMPUTED_VALUE"""),"Sara Simeoni")</f>
        <v>Sara Simeoni</v>
      </c>
      <c r="F47" s="160"/>
      <c r="G47" s="125" t="s">
        <v>329</v>
      </c>
      <c r="H47" s="23" t="str">
        <f t="array" ref="H47">XLOOKUP(H45,G38:G42, I38:I42)</f>
        <v>Swimming</v>
      </c>
      <c r="I47" s="106" t="s">
        <v>334</v>
      </c>
      <c r="J47" s="126" t="s">
        <v>347</v>
      </c>
      <c r="K47" s="164"/>
    </row>
    <row r="48" ht="15.75" customHeight="1">
      <c r="F48" s="165"/>
      <c r="G48" s="166"/>
      <c r="H48" s="166"/>
      <c r="I48" s="166"/>
      <c r="J48" s="166"/>
      <c r="K48" s="167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>
      <c r="F117" s="122"/>
    </row>
    <row r="118" ht="15.75" customHeight="1">
      <c r="D118" s="122"/>
      <c r="E118" s="122"/>
      <c r="F118" s="122"/>
    </row>
    <row r="119" ht="15.75" customHeight="1">
      <c r="D119" s="122"/>
      <c r="E119" s="122"/>
      <c r="F119" s="122"/>
    </row>
    <row r="120" ht="15.75" customHeight="1">
      <c r="D120" s="122"/>
      <c r="E120" s="122"/>
      <c r="F120" s="122"/>
    </row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F1:K1"/>
    <mergeCell ref="F5:F9"/>
    <mergeCell ref="G10:G13"/>
    <mergeCell ref="H10:I13"/>
    <mergeCell ref="J16:K16"/>
    <mergeCell ref="J17:K17"/>
    <mergeCell ref="F22:K22"/>
    <mergeCell ref="H43:I43"/>
    <mergeCell ref="J46:K46"/>
    <mergeCell ref="J47:K47"/>
    <mergeCell ref="K25:K27"/>
    <mergeCell ref="E26:E27"/>
    <mergeCell ref="G28:I28"/>
    <mergeCell ref="I30:K30"/>
    <mergeCell ref="I31:K31"/>
    <mergeCell ref="F35:K35"/>
    <mergeCell ref="F38:F42"/>
  </mergeCells>
  <hyperlinks>
    <hyperlink display="🏠 Back to Table of Contents" location="'Table of Contents'!A1" ref="L1"/>
  </hyperlink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7E6B"/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1.88"/>
    <col customWidth="1" min="3" max="3" width="16.75"/>
    <col customWidth="1" min="4" max="4" width="18.63"/>
    <col customWidth="1" min="5" max="5" width="34.13"/>
    <col customWidth="1" min="6" max="6" width="12.63"/>
    <col customWidth="1" min="7" max="7" width="14.63"/>
    <col customWidth="1" min="8" max="8" width="16.25"/>
  </cols>
  <sheetData>
    <row r="1" ht="15.75" customHeight="1">
      <c r="B1" s="168" t="s">
        <v>348</v>
      </c>
      <c r="C1" s="169"/>
      <c r="D1" s="170"/>
      <c r="G1" s="47" t="s">
        <v>35</v>
      </c>
    </row>
    <row r="2" ht="15.75" customHeight="1">
      <c r="B2" s="171" t="s">
        <v>349</v>
      </c>
      <c r="C2" s="172">
        <f>today()</f>
        <v>45783</v>
      </c>
      <c r="D2" s="173">
        <f>TODAY()+1</f>
        <v>45784</v>
      </c>
    </row>
    <row r="3" ht="15.75" customHeight="1">
      <c r="B3" s="171" t="s">
        <v>350</v>
      </c>
      <c r="C3" s="174">
        <f>NOW()</f>
        <v>45783.68255</v>
      </c>
      <c r="D3" s="175">
        <f>NOW() + 1</f>
        <v>45784.68255</v>
      </c>
    </row>
    <row r="4" ht="15.75" customHeight="1">
      <c r="B4" s="160"/>
      <c r="D4" s="161"/>
    </row>
    <row r="5" ht="15.75" customHeight="1">
      <c r="B5" s="171" t="s">
        <v>351</v>
      </c>
      <c r="C5" s="176">
        <f>YEAR(C2)</f>
        <v>2025</v>
      </c>
      <c r="D5" s="161"/>
    </row>
    <row r="6" ht="15.75" customHeight="1">
      <c r="B6" s="171" t="s">
        <v>352</v>
      </c>
      <c r="C6" s="23">
        <f>MONTH(C2)</f>
        <v>5</v>
      </c>
      <c r="D6" s="161"/>
      <c r="E6" s="28" t="s">
        <v>353</v>
      </c>
    </row>
    <row r="7" ht="15.75" customHeight="1">
      <c r="B7" s="171" t="s">
        <v>354</v>
      </c>
      <c r="C7" s="23">
        <f>DAY(C2)</f>
        <v>6</v>
      </c>
      <c r="D7" s="161"/>
      <c r="E7" s="28" t="s">
        <v>355</v>
      </c>
      <c r="F7" s="177">
        <f>DATE(C5,C6+2,C7)</f>
        <v>45844</v>
      </c>
    </row>
    <row r="8" ht="15.75" customHeight="1">
      <c r="B8" s="178" t="s">
        <v>356</v>
      </c>
      <c r="C8" s="52">
        <f>WEEKDAY(C2)</f>
        <v>3</v>
      </c>
      <c r="D8" s="161"/>
      <c r="F8" s="52">
        <f>WEEKDAY(F7)</f>
        <v>1</v>
      </c>
    </row>
    <row r="9" ht="15.75" customHeight="1">
      <c r="B9" s="179" t="s">
        <v>357</v>
      </c>
      <c r="C9" s="180">
        <v>44754.0</v>
      </c>
      <c r="D9" s="161"/>
    </row>
    <row r="10" ht="15.75" customHeight="1">
      <c r="B10" s="171" t="s">
        <v>358</v>
      </c>
      <c r="C10" s="23">
        <f>DATEDIF(C9,C2,"Y")</f>
        <v>2</v>
      </c>
      <c r="D10" s="181" t="s">
        <v>359</v>
      </c>
    </row>
    <row r="11" ht="15.75" customHeight="1">
      <c r="B11" s="160"/>
      <c r="C11" s="23">
        <f>DATEDIF(C9,C2,"M")</f>
        <v>33</v>
      </c>
      <c r="D11" s="181" t="s">
        <v>360</v>
      </c>
    </row>
    <row r="12" ht="15.75" customHeight="1">
      <c r="B12" s="160"/>
      <c r="C12" s="23">
        <f>DATEDIF(C9,C2,"D")</f>
        <v>1029</v>
      </c>
      <c r="D12" s="181" t="s">
        <v>361</v>
      </c>
    </row>
    <row r="13" ht="15.75" customHeight="1">
      <c r="B13" s="160"/>
      <c r="D13" s="181"/>
    </row>
    <row r="14" ht="15.75" customHeight="1">
      <c r="B14" s="165"/>
      <c r="C14" s="166"/>
      <c r="D14" s="182"/>
    </row>
    <row r="15" ht="15.75" customHeight="1">
      <c r="D15" s="183"/>
    </row>
    <row r="16" ht="15.75" customHeight="1"/>
    <row r="17" ht="15.75" customHeight="1">
      <c r="B17" s="184" t="s">
        <v>362</v>
      </c>
      <c r="C17" s="185"/>
      <c r="D17" s="185"/>
      <c r="E17" s="185"/>
      <c r="F17" s="185"/>
      <c r="G17" s="185"/>
      <c r="H17" s="186"/>
    </row>
    <row r="18" ht="15.75" customHeight="1">
      <c r="A18" s="28" t="s">
        <v>363</v>
      </c>
      <c r="B18" s="187" t="s">
        <v>20</v>
      </c>
      <c r="C18" s="188" t="s">
        <v>21</v>
      </c>
      <c r="D18" s="188" t="s">
        <v>22</v>
      </c>
      <c r="E18" s="189" t="s">
        <v>364</v>
      </c>
      <c r="F18" s="190" t="s">
        <v>365</v>
      </c>
      <c r="G18" s="190" t="s">
        <v>366</v>
      </c>
      <c r="H18" s="191" t="s">
        <v>367</v>
      </c>
    </row>
    <row r="19" ht="15.75" customHeight="1">
      <c r="A19" s="52">
        <f>COUNTIF(Data!$D$2:$D1000,B19)</f>
        <v>3</v>
      </c>
      <c r="B19" s="192" t="s">
        <v>38</v>
      </c>
      <c r="C19" s="17" t="s">
        <v>39</v>
      </c>
      <c r="D19" s="17" t="s">
        <v>40</v>
      </c>
      <c r="E19" s="23" t="str">
        <f>CONCATENATE(B19, " from ", C19, " has won ",TEXT(A19,"0.0")," medals!")</f>
        <v>Usain Bolt from Jamaica has won 3.0 medals!</v>
      </c>
      <c r="F19" s="23" t="str">
        <f t="shared" ref="F19:F27" si="1">LEFT(B19,3)</f>
        <v>Usa</v>
      </c>
      <c r="G19" s="23" t="str">
        <f t="shared" ref="G19:G27" si="2">RIGHT(C19,3)</f>
        <v>ica</v>
      </c>
      <c r="H19" s="193" t="str">
        <f t="shared" ref="H19:H27" si="3">MID(D19,3, 7)</f>
        <v>hletics</v>
      </c>
    </row>
    <row r="20" ht="15.75" customHeight="1">
      <c r="A20" s="52">
        <f>COUNTIF(Data!$D$2:$D1000,B20)</f>
        <v>3</v>
      </c>
      <c r="B20" s="192" t="s">
        <v>45</v>
      </c>
      <c r="C20" s="17" t="s">
        <v>46</v>
      </c>
      <c r="D20" s="17" t="s">
        <v>47</v>
      </c>
      <c r="E20" s="23" t="str">
        <f t="shared" ref="E20:E27" si="4">CONCATENATE(B20, " from ", C20)</f>
        <v>Michael Phelps from USA</v>
      </c>
      <c r="F20" s="23" t="str">
        <f t="shared" si="1"/>
        <v>Mic</v>
      </c>
      <c r="G20" s="23" t="str">
        <f t="shared" si="2"/>
        <v>USA</v>
      </c>
      <c r="H20" s="193" t="str">
        <f t="shared" si="3"/>
        <v>imming</v>
      </c>
    </row>
    <row r="21" ht="15.75" customHeight="1">
      <c r="A21" s="52">
        <f>COUNTIF(Data!$D$2:$D1000,B21)</f>
        <v>1</v>
      </c>
      <c r="B21" s="192" t="s">
        <v>52</v>
      </c>
      <c r="C21" s="17" t="s">
        <v>46</v>
      </c>
      <c r="D21" s="17" t="s">
        <v>53</v>
      </c>
      <c r="E21" s="23" t="str">
        <f t="shared" si="4"/>
        <v>Simone Biles from USA</v>
      </c>
      <c r="F21" s="23" t="str">
        <f t="shared" si="1"/>
        <v>Sim</v>
      </c>
      <c r="G21" s="23" t="str">
        <f t="shared" si="2"/>
        <v>USA</v>
      </c>
      <c r="H21" s="193" t="str">
        <f t="shared" si="3"/>
        <v>mnastic</v>
      </c>
    </row>
    <row r="22" ht="15.75" customHeight="1">
      <c r="A22" s="52">
        <f>COUNTIF(Data!$D$2:$D1000,B22)</f>
        <v>1</v>
      </c>
      <c r="B22" s="192" t="s">
        <v>58</v>
      </c>
      <c r="C22" s="17" t="s">
        <v>59</v>
      </c>
      <c r="D22" s="17" t="s">
        <v>40</v>
      </c>
      <c r="E22" s="23" t="str">
        <f t="shared" si="4"/>
        <v>Mo Farah from Great Britain</v>
      </c>
      <c r="F22" s="23" t="str">
        <f t="shared" si="1"/>
        <v>Mo </v>
      </c>
      <c r="G22" s="23" t="str">
        <f t="shared" si="2"/>
        <v>ain</v>
      </c>
      <c r="H22" s="193" t="str">
        <f t="shared" si="3"/>
        <v>hletics</v>
      </c>
    </row>
    <row r="23" ht="15.75" customHeight="1">
      <c r="A23" s="52">
        <f>COUNTIF(Data!$D$2:$D1000,B23)</f>
        <v>1</v>
      </c>
      <c r="B23" s="192" t="s">
        <v>62</v>
      </c>
      <c r="C23" s="17" t="s">
        <v>46</v>
      </c>
      <c r="D23" s="17" t="s">
        <v>47</v>
      </c>
      <c r="E23" s="23" t="str">
        <f t="shared" si="4"/>
        <v>Katie Ledecky from USA</v>
      </c>
      <c r="F23" s="23" t="str">
        <f t="shared" si="1"/>
        <v>Kat</v>
      </c>
      <c r="G23" s="23" t="str">
        <f t="shared" si="2"/>
        <v>USA</v>
      </c>
      <c r="H23" s="193" t="str">
        <f t="shared" si="3"/>
        <v>imming</v>
      </c>
    </row>
    <row r="24" ht="15.75" customHeight="1">
      <c r="A24" s="52">
        <f>COUNTIF(Data!$D$2:$D1000,B24)</f>
        <v>3</v>
      </c>
      <c r="B24" s="192" t="s">
        <v>38</v>
      </c>
      <c r="C24" s="17" t="s">
        <v>39</v>
      </c>
      <c r="D24" s="17" t="s">
        <v>40</v>
      </c>
      <c r="E24" s="23" t="str">
        <f t="shared" si="4"/>
        <v>Usain Bolt from Jamaica</v>
      </c>
      <c r="F24" s="23" t="str">
        <f t="shared" si="1"/>
        <v>Usa</v>
      </c>
      <c r="G24" s="23" t="str">
        <f t="shared" si="2"/>
        <v>ica</v>
      </c>
      <c r="H24" s="193" t="str">
        <f t="shared" si="3"/>
        <v>hletics</v>
      </c>
    </row>
    <row r="25" ht="15.75" customHeight="1">
      <c r="A25" s="52">
        <f>COUNTIF(Data!$D$2:$D1000,B25)</f>
        <v>1</v>
      </c>
      <c r="B25" s="192" t="s">
        <v>69</v>
      </c>
      <c r="C25" s="17" t="s">
        <v>46</v>
      </c>
      <c r="D25" s="17" t="s">
        <v>47</v>
      </c>
      <c r="E25" s="23" t="str">
        <f t="shared" si="4"/>
        <v>Missy Franklin from USA</v>
      </c>
      <c r="F25" s="23" t="str">
        <f t="shared" si="1"/>
        <v>Mis</v>
      </c>
      <c r="G25" s="23" t="str">
        <f t="shared" si="2"/>
        <v>USA</v>
      </c>
      <c r="H25" s="193" t="str">
        <f t="shared" si="3"/>
        <v>imming</v>
      </c>
    </row>
    <row r="26" ht="15.75" customHeight="1">
      <c r="A26" s="52">
        <f>COUNTIF(Data!$D$2:$D1000,B26)</f>
        <v>1</v>
      </c>
      <c r="B26" s="192" t="s">
        <v>72</v>
      </c>
      <c r="C26" s="17" t="s">
        <v>46</v>
      </c>
      <c r="D26" s="17" t="s">
        <v>53</v>
      </c>
      <c r="E26" s="23" t="str">
        <f t="shared" si="4"/>
        <v>Gabby Douglas from USA</v>
      </c>
      <c r="F26" s="23" t="str">
        <f t="shared" si="1"/>
        <v>Gab</v>
      </c>
      <c r="G26" s="23" t="str">
        <f t="shared" si="2"/>
        <v>USA</v>
      </c>
      <c r="H26" s="193" t="str">
        <f t="shared" si="3"/>
        <v>mnastic</v>
      </c>
    </row>
    <row r="27" ht="15.75" customHeight="1">
      <c r="A27" s="52">
        <f>COUNTIF(Data!$D$2:$D1000,B27)</f>
        <v>1</v>
      </c>
      <c r="B27" s="192" t="s">
        <v>74</v>
      </c>
      <c r="C27" s="17" t="s">
        <v>75</v>
      </c>
      <c r="D27" s="17" t="s">
        <v>40</v>
      </c>
      <c r="E27" s="23" t="str">
        <f t="shared" si="4"/>
        <v>David Rudisha from Kenya</v>
      </c>
      <c r="F27" s="23" t="str">
        <f t="shared" si="1"/>
        <v>Dav</v>
      </c>
      <c r="G27" s="23" t="str">
        <f t="shared" si="2"/>
        <v>nya</v>
      </c>
      <c r="H27" s="193" t="str">
        <f t="shared" si="3"/>
        <v>hletics</v>
      </c>
    </row>
    <row r="28" ht="15.75" customHeight="1">
      <c r="B28" s="194"/>
      <c r="H28" s="193"/>
    </row>
    <row r="29" ht="15.75" customHeight="1">
      <c r="B29" s="194"/>
      <c r="H29" s="193"/>
    </row>
    <row r="30" ht="15.75" customHeight="1">
      <c r="B30" s="194"/>
      <c r="C30" s="195" t="s">
        <v>368</v>
      </c>
      <c r="D30" s="23" t="str">
        <f>UPPER(B19)</f>
        <v>USAIN BOLT</v>
      </c>
      <c r="H30" s="193"/>
    </row>
    <row r="31" ht="15.75" customHeight="1">
      <c r="B31" s="194"/>
      <c r="C31" s="195" t="s">
        <v>369</v>
      </c>
      <c r="D31" s="23" t="str">
        <f>LOWER(B19)</f>
        <v>usain bolt</v>
      </c>
      <c r="H31" s="193"/>
    </row>
    <row r="32" ht="15.75" customHeight="1">
      <c r="B32" s="194"/>
      <c r="C32" s="195" t="s">
        <v>370</v>
      </c>
      <c r="D32" s="23" t="str">
        <f>PROPER(B19)</f>
        <v>Usain Bolt</v>
      </c>
      <c r="H32" s="193"/>
    </row>
    <row r="33" ht="15.75" customHeight="1">
      <c r="B33" s="196"/>
      <c r="C33" s="197"/>
      <c r="D33" s="197"/>
      <c r="E33" s="197"/>
      <c r="F33" s="197"/>
      <c r="G33" s="197"/>
      <c r="H33" s="198"/>
    </row>
    <row r="34" ht="15.75" customHeight="1"/>
    <row r="35" ht="15.75" customHeight="1">
      <c r="C35" s="28" t="s">
        <v>371</v>
      </c>
      <c r="E35" s="52" t="str">
        <f>TEXT(2,"0.0000")</f>
        <v>2.0000</v>
      </c>
    </row>
    <row r="36" ht="15.75" customHeight="1">
      <c r="C36" s="28" t="s">
        <v>372</v>
      </c>
      <c r="E36" s="52">
        <f>VALUE("3") + 4</f>
        <v>7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D1"/>
    <mergeCell ref="B17:H17"/>
  </mergeCells>
  <hyperlinks>
    <hyperlink display="🏠 Back to Table of Contents" location="'Table of Contents'!A1" ref="G1"/>
  </hyperlink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D7E6B"/>
    <outlinePr summaryBelow="0" summaryRight="0"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9.38"/>
    <col customWidth="1" min="3" max="3" width="12.63"/>
    <col customWidth="1" min="4" max="4" width="13.75"/>
    <col customWidth="1" min="5" max="6" width="12.63"/>
  </cols>
  <sheetData>
    <row r="1" ht="15.75" customHeight="1">
      <c r="A1" s="11" t="s">
        <v>17</v>
      </c>
      <c r="B1" s="90" t="s">
        <v>20</v>
      </c>
      <c r="C1" s="90" t="s">
        <v>21</v>
      </c>
      <c r="D1" s="90" t="s">
        <v>22</v>
      </c>
      <c r="E1" s="90" t="s">
        <v>28</v>
      </c>
      <c r="F1" s="90" t="s">
        <v>30</v>
      </c>
      <c r="G1" s="90" t="s">
        <v>33</v>
      </c>
      <c r="I1" s="199"/>
      <c r="J1" s="199"/>
      <c r="K1" s="47" t="s">
        <v>35</v>
      </c>
    </row>
    <row r="2" ht="15.75" customHeight="1">
      <c r="A2" s="16">
        <v>2016.0</v>
      </c>
      <c r="B2" s="116" t="s">
        <v>38</v>
      </c>
      <c r="C2" s="116" t="s">
        <v>39</v>
      </c>
      <c r="D2" s="116" t="s">
        <v>40</v>
      </c>
      <c r="E2" s="116" t="b">
        <v>0</v>
      </c>
      <c r="F2" s="17">
        <v>29.0</v>
      </c>
      <c r="G2" s="116" t="s">
        <v>44</v>
      </c>
    </row>
    <row r="3" ht="15.75" customHeight="1">
      <c r="A3" s="16">
        <v>2016.0</v>
      </c>
      <c r="B3" s="116" t="s">
        <v>45</v>
      </c>
      <c r="C3" s="116" t="s">
        <v>46</v>
      </c>
      <c r="D3" s="116" t="s">
        <v>47</v>
      </c>
      <c r="E3" s="116" t="b">
        <v>0</v>
      </c>
      <c r="F3" s="17">
        <v>31.0</v>
      </c>
      <c r="G3" s="116" t="s">
        <v>44</v>
      </c>
      <c r="H3" s="200" t="s">
        <v>373</v>
      </c>
    </row>
    <row r="4" ht="15.75" customHeight="1">
      <c r="A4" s="16">
        <v>2016.0</v>
      </c>
      <c r="B4" s="116" t="s">
        <v>52</v>
      </c>
      <c r="C4" s="116" t="s">
        <v>46</v>
      </c>
      <c r="D4" s="116" t="s">
        <v>53</v>
      </c>
      <c r="E4" s="116" t="b">
        <v>1</v>
      </c>
      <c r="F4" s="17">
        <v>19.0</v>
      </c>
      <c r="G4" s="116" t="s">
        <v>57</v>
      </c>
      <c r="H4" s="201"/>
      <c r="I4" s="201"/>
      <c r="J4" s="201"/>
    </row>
    <row r="5" ht="15.75" customHeight="1">
      <c r="A5" s="16">
        <v>2016.0</v>
      </c>
      <c r="B5" s="116" t="s">
        <v>58</v>
      </c>
      <c r="C5" s="116" t="s">
        <v>59</v>
      </c>
      <c r="D5" s="116" t="s">
        <v>40</v>
      </c>
      <c r="E5" s="116" t="b">
        <v>0</v>
      </c>
      <c r="F5" s="17">
        <v>33.0</v>
      </c>
      <c r="G5" s="116" t="s">
        <v>44</v>
      </c>
      <c r="H5" s="200" t="s">
        <v>374</v>
      </c>
    </row>
    <row r="6" ht="15.75" customHeight="1">
      <c r="A6" s="16">
        <v>2016.0</v>
      </c>
      <c r="B6" s="116" t="s">
        <v>62</v>
      </c>
      <c r="C6" s="116" t="s">
        <v>46</v>
      </c>
      <c r="D6" s="116" t="s">
        <v>47</v>
      </c>
      <c r="E6" s="116" t="b">
        <v>1</v>
      </c>
      <c r="F6" s="17">
        <v>19.0</v>
      </c>
      <c r="G6" s="116" t="s">
        <v>57</v>
      </c>
      <c r="H6" s="201"/>
      <c r="I6" s="201"/>
      <c r="J6" s="201"/>
    </row>
    <row r="7" ht="15.75" customHeight="1">
      <c r="A7" s="16">
        <v>2012.0</v>
      </c>
      <c r="B7" s="116" t="s">
        <v>38</v>
      </c>
      <c r="C7" s="116" t="s">
        <v>39</v>
      </c>
      <c r="D7" s="116" t="s">
        <v>40</v>
      </c>
      <c r="E7" s="116" t="b">
        <v>0</v>
      </c>
      <c r="F7" s="17">
        <v>25.0</v>
      </c>
      <c r="G7" s="116" t="s">
        <v>44</v>
      </c>
      <c r="H7" s="200" t="s">
        <v>375</v>
      </c>
    </row>
    <row r="8" ht="15.75" customHeight="1">
      <c r="A8" s="16" t="s">
        <v>68</v>
      </c>
      <c r="B8" s="116" t="s">
        <v>69</v>
      </c>
      <c r="C8" s="116" t="s">
        <v>46</v>
      </c>
      <c r="D8" s="116" t="s">
        <v>47</v>
      </c>
      <c r="E8" s="116" t="b">
        <v>1</v>
      </c>
      <c r="F8" s="17">
        <v>17.0</v>
      </c>
      <c r="G8" s="116" t="s">
        <v>57</v>
      </c>
      <c r="H8" s="202"/>
      <c r="I8" s="202"/>
      <c r="J8" s="202"/>
    </row>
    <row r="9" ht="15.75" customHeight="1">
      <c r="A9" s="16">
        <v>2012.0</v>
      </c>
      <c r="B9" s="116" t="s">
        <v>72</v>
      </c>
      <c r="C9" s="116" t="s">
        <v>46</v>
      </c>
      <c r="D9" s="116" t="s">
        <v>53</v>
      </c>
      <c r="E9" s="116" t="b">
        <v>0</v>
      </c>
      <c r="F9" s="17">
        <v>16.0</v>
      </c>
      <c r="G9" s="116" t="s">
        <v>57</v>
      </c>
    </row>
    <row r="10" ht="15.75" customHeight="1">
      <c r="A10" s="16">
        <v>2012.0</v>
      </c>
      <c r="B10" s="116" t="s">
        <v>74</v>
      </c>
      <c r="C10" s="116" t="s">
        <v>75</v>
      </c>
      <c r="D10" s="116" t="s">
        <v>40</v>
      </c>
      <c r="E10" s="116" t="b">
        <v>1</v>
      </c>
      <c r="F10" s="17">
        <v>23.0</v>
      </c>
      <c r="G10" s="116" t="s">
        <v>44</v>
      </c>
    </row>
    <row r="11" ht="15.75" customHeight="1">
      <c r="A11" s="16">
        <v>2012.0</v>
      </c>
      <c r="B11" s="116" t="s">
        <v>78</v>
      </c>
      <c r="C11" s="116" t="s">
        <v>79</v>
      </c>
      <c r="D11" s="116" t="s">
        <v>47</v>
      </c>
      <c r="E11" s="116" t="b">
        <v>1</v>
      </c>
      <c r="F11" s="17">
        <v>16.0</v>
      </c>
      <c r="G11" s="116" t="s">
        <v>57</v>
      </c>
    </row>
    <row r="12" ht="15.75" customHeight="1">
      <c r="A12" s="16">
        <v>2008.0</v>
      </c>
      <c r="B12" s="116" t="s">
        <v>38</v>
      </c>
      <c r="C12" s="116" t="s">
        <v>39</v>
      </c>
      <c r="D12" s="116" t="s">
        <v>40</v>
      </c>
      <c r="E12" s="116" t="b">
        <v>1</v>
      </c>
      <c r="F12" s="17">
        <v>21.0</v>
      </c>
      <c r="G12" s="116" t="s">
        <v>44</v>
      </c>
    </row>
    <row r="13" ht="15.75" customHeight="1">
      <c r="A13" s="16">
        <v>2008.0</v>
      </c>
      <c r="B13" s="116" t="s">
        <v>45</v>
      </c>
      <c r="C13" s="116" t="s">
        <v>46</v>
      </c>
      <c r="D13" s="116" t="s">
        <v>47</v>
      </c>
      <c r="E13" s="116" t="b">
        <v>1</v>
      </c>
      <c r="F13" s="17">
        <v>23.0</v>
      </c>
      <c r="G13" s="116" t="s">
        <v>44</v>
      </c>
    </row>
    <row r="14" ht="15.75" customHeight="1">
      <c r="A14" s="16">
        <v>2008.0</v>
      </c>
      <c r="B14" s="116" t="s">
        <v>85</v>
      </c>
      <c r="C14" s="116" t="s">
        <v>46</v>
      </c>
      <c r="D14" s="116" t="s">
        <v>53</v>
      </c>
      <c r="E14" s="116" t="b">
        <v>0</v>
      </c>
      <c r="F14" s="17">
        <v>18.0</v>
      </c>
      <c r="G14" s="116" t="s">
        <v>57</v>
      </c>
    </row>
    <row r="15" ht="15.75" customHeight="1">
      <c r="A15" s="16">
        <v>2008.0</v>
      </c>
      <c r="B15" s="116" t="s">
        <v>86</v>
      </c>
      <c r="C15" s="116" t="s">
        <v>87</v>
      </c>
      <c r="D15" s="116" t="s">
        <v>40</v>
      </c>
      <c r="E15" s="116" t="b">
        <v>1</v>
      </c>
      <c r="F15" s="17">
        <v>26.0</v>
      </c>
      <c r="G15" s="116" t="s">
        <v>57</v>
      </c>
    </row>
    <row r="16" ht="15.75" customHeight="1">
      <c r="A16" s="16">
        <v>2008.0</v>
      </c>
      <c r="B16" s="116" t="s">
        <v>90</v>
      </c>
      <c r="C16" s="116" t="s">
        <v>91</v>
      </c>
      <c r="D16" s="116" t="s">
        <v>40</v>
      </c>
      <c r="E16" s="116" t="b">
        <v>0</v>
      </c>
      <c r="F16" s="17">
        <v>26.0</v>
      </c>
      <c r="G16" s="116" t="s">
        <v>44</v>
      </c>
    </row>
    <row r="17" ht="15.75" customHeight="1">
      <c r="A17" s="16">
        <v>2004.0</v>
      </c>
      <c r="B17" s="116" t="s">
        <v>45</v>
      </c>
      <c r="C17" s="116" t="s">
        <v>46</v>
      </c>
      <c r="D17" s="116" t="s">
        <v>47</v>
      </c>
      <c r="E17" s="116" t="b">
        <v>1</v>
      </c>
      <c r="F17" s="17">
        <v>19.0</v>
      </c>
      <c r="G17" s="116" t="s">
        <v>44</v>
      </c>
    </row>
    <row r="18" ht="15.75" customHeight="1">
      <c r="A18" s="16">
        <v>2004.0</v>
      </c>
      <c r="B18" s="116" t="s">
        <v>97</v>
      </c>
      <c r="C18" s="116" t="s">
        <v>79</v>
      </c>
      <c r="D18" s="116" t="s">
        <v>40</v>
      </c>
      <c r="E18" s="116" t="b">
        <v>1</v>
      </c>
      <c r="F18" s="17">
        <v>21.0</v>
      </c>
      <c r="G18" s="116" t="s">
        <v>44</v>
      </c>
    </row>
    <row r="19" ht="15.75" customHeight="1">
      <c r="A19" s="16">
        <v>2004.0</v>
      </c>
      <c r="B19" s="116" t="s">
        <v>99</v>
      </c>
      <c r="C19" s="116" t="s">
        <v>46</v>
      </c>
      <c r="D19" s="116" t="s">
        <v>53</v>
      </c>
      <c r="E19" s="116" t="b">
        <v>0</v>
      </c>
      <c r="F19" s="17">
        <v>16.0</v>
      </c>
      <c r="G19" s="116" t="s">
        <v>57</v>
      </c>
    </row>
    <row r="20" ht="15.75" customHeight="1">
      <c r="A20" s="16">
        <v>2004.0</v>
      </c>
      <c r="B20" s="116" t="s">
        <v>100</v>
      </c>
      <c r="C20" s="116" t="s">
        <v>59</v>
      </c>
      <c r="D20" s="116" t="s">
        <v>40</v>
      </c>
      <c r="E20" s="116" t="b">
        <v>0</v>
      </c>
      <c r="F20" s="17">
        <v>34.0</v>
      </c>
      <c r="G20" s="116" t="s">
        <v>57</v>
      </c>
    </row>
    <row r="21" ht="15.75" customHeight="1">
      <c r="A21" s="16">
        <v>2004.0</v>
      </c>
      <c r="B21" s="116" t="s">
        <v>102</v>
      </c>
      <c r="C21" s="116" t="s">
        <v>103</v>
      </c>
      <c r="D21" s="116" t="s">
        <v>47</v>
      </c>
      <c r="E21" s="116" t="b">
        <v>0</v>
      </c>
      <c r="F21" s="17">
        <v>30.0</v>
      </c>
      <c r="G21" s="116" t="s">
        <v>57</v>
      </c>
    </row>
    <row r="22" ht="15.75" customHeight="1">
      <c r="A22" s="16">
        <v>2000.0</v>
      </c>
      <c r="B22" s="116" t="s">
        <v>106</v>
      </c>
      <c r="C22" s="116" t="s">
        <v>46</v>
      </c>
      <c r="D22" s="116" t="s">
        <v>40</v>
      </c>
      <c r="E22" s="116" t="b">
        <v>0</v>
      </c>
      <c r="F22" s="17">
        <v>24.0</v>
      </c>
      <c r="G22" s="116" t="s">
        <v>57</v>
      </c>
    </row>
    <row r="23" ht="15.75" customHeight="1">
      <c r="A23" s="16">
        <v>2000.0</v>
      </c>
      <c r="B23" s="116" t="s">
        <v>108</v>
      </c>
      <c r="C23" s="116" t="s">
        <v>109</v>
      </c>
      <c r="D23" s="116" t="s">
        <v>47</v>
      </c>
      <c r="E23" s="116" t="b">
        <v>1</v>
      </c>
      <c r="F23" s="17">
        <v>17.0</v>
      </c>
      <c r="G23" s="116" t="s">
        <v>44</v>
      </c>
    </row>
    <row r="24" ht="15.75" customHeight="1">
      <c r="A24" s="16">
        <v>2000.0</v>
      </c>
      <c r="B24" s="116" t="s">
        <v>112</v>
      </c>
      <c r="C24" s="116" t="s">
        <v>87</v>
      </c>
      <c r="D24" s="116" t="s">
        <v>53</v>
      </c>
      <c r="E24" s="116" t="b">
        <v>0</v>
      </c>
      <c r="F24" s="17">
        <v>24.0</v>
      </c>
      <c r="G24" s="116" t="s">
        <v>44</v>
      </c>
    </row>
    <row r="25" ht="15.75" customHeight="1">
      <c r="A25" s="16">
        <v>2000.0</v>
      </c>
      <c r="B25" s="116" t="s">
        <v>113</v>
      </c>
      <c r="C25" s="116" t="s">
        <v>109</v>
      </c>
      <c r="D25" s="116" t="s">
        <v>40</v>
      </c>
      <c r="E25" s="116" t="b">
        <v>0</v>
      </c>
      <c r="F25" s="17">
        <v>27.0</v>
      </c>
      <c r="G25" s="116" t="s">
        <v>57</v>
      </c>
    </row>
    <row r="26" ht="15.75" customHeight="1">
      <c r="A26" s="16">
        <v>2000.0</v>
      </c>
      <c r="B26" s="116" t="s">
        <v>115</v>
      </c>
      <c r="C26" s="116" t="s">
        <v>46</v>
      </c>
      <c r="D26" s="116" t="s">
        <v>47</v>
      </c>
      <c r="E26" s="116" t="b">
        <v>1</v>
      </c>
      <c r="F26" s="17">
        <v>24.0</v>
      </c>
      <c r="G26" s="116" t="s">
        <v>44</v>
      </c>
    </row>
    <row r="27" ht="15.75" customHeight="1">
      <c r="A27" s="16">
        <v>1996.0</v>
      </c>
      <c r="B27" s="116" t="s">
        <v>118</v>
      </c>
      <c r="C27" s="116" t="s">
        <v>46</v>
      </c>
      <c r="D27" s="116" t="s">
        <v>40</v>
      </c>
      <c r="E27" s="116" t="b">
        <v>1</v>
      </c>
      <c r="F27" s="17">
        <v>28.0</v>
      </c>
      <c r="G27" s="116" t="s">
        <v>44</v>
      </c>
    </row>
    <row r="28" ht="15.75" customHeight="1">
      <c r="A28" s="16">
        <v>1996.0</v>
      </c>
      <c r="B28" s="116" t="s">
        <v>119</v>
      </c>
      <c r="C28" s="116" t="s">
        <v>46</v>
      </c>
      <c r="D28" s="116" t="s">
        <v>47</v>
      </c>
      <c r="E28" s="116" t="b">
        <v>0</v>
      </c>
      <c r="F28" s="17">
        <v>23.0</v>
      </c>
      <c r="G28" s="116" t="s">
        <v>57</v>
      </c>
    </row>
    <row r="29" ht="15.75" customHeight="1">
      <c r="A29" s="16">
        <v>1996.0</v>
      </c>
      <c r="B29" s="116" t="s">
        <v>120</v>
      </c>
      <c r="C29" s="116" t="s">
        <v>121</v>
      </c>
      <c r="D29" s="116" t="s">
        <v>40</v>
      </c>
      <c r="E29" s="116" t="b">
        <v>1</v>
      </c>
      <c r="F29" s="17">
        <v>28.0</v>
      </c>
      <c r="G29" s="116" t="s">
        <v>44</v>
      </c>
    </row>
    <row r="30" ht="15.75" customHeight="1">
      <c r="A30" s="16">
        <v>1996.0</v>
      </c>
      <c r="B30" s="116" t="s">
        <v>122</v>
      </c>
      <c r="C30" s="116" t="s">
        <v>123</v>
      </c>
      <c r="D30" s="116" t="s">
        <v>53</v>
      </c>
      <c r="E30" s="116" t="b">
        <v>0</v>
      </c>
      <c r="F30" s="17">
        <v>17.0</v>
      </c>
      <c r="G30" s="116" t="s">
        <v>57</v>
      </c>
    </row>
    <row r="31" ht="15.75" customHeight="1">
      <c r="A31" s="16">
        <v>1996.0</v>
      </c>
      <c r="B31" s="116" t="s">
        <v>124</v>
      </c>
      <c r="C31" s="116" t="s">
        <v>125</v>
      </c>
      <c r="D31" s="116" t="s">
        <v>47</v>
      </c>
      <c r="E31" s="116" t="b">
        <v>1</v>
      </c>
      <c r="F31" s="17">
        <v>21.0</v>
      </c>
      <c r="G31" s="116" t="s">
        <v>57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H3:J3"/>
    <mergeCell ref="H5:J5"/>
    <mergeCell ref="H7:J7"/>
  </mergeCells>
  <conditionalFormatting sqref="A2:G31">
    <cfRule type="expression" dxfId="1" priority="1">
      <formula>$G2="Female"</formula>
    </cfRule>
  </conditionalFormatting>
  <hyperlinks>
    <hyperlink display="🏠 Back to Table of Contents" location="'Table of Contents'!A1" ref="K1"/>
  </hyperlinks>
  <drawing r:id="rId1"/>
</worksheet>
</file>