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77238\Documents\Tracker Design and Subcomponent Selections\"/>
    </mc:Choice>
  </mc:AlternateContent>
  <xr:revisionPtr revIDLastSave="0" documentId="13_ncr:1_{5D9F0586-5CAB-4808-8FEC-94605F92966B}" xr6:coauthVersionLast="36" xr6:coauthVersionMax="36" xr10:uidLastSave="{00000000-0000-0000-0000-000000000000}"/>
  <bookViews>
    <workbookView xWindow="0" yWindow="0" windowWidth="23040" windowHeight="9096" activeTab="2" xr2:uid="{3570E485-27C5-4340-A493-724C1F9336A2}"/>
  </bookViews>
  <sheets>
    <sheet name="Torsion and Bending Bending Mem" sheetId="1" r:id="rId1"/>
    <sheet name="Bending Beam Members" sheetId="2" r:id="rId2"/>
    <sheet name="For Same Coil Wid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25" i="3" l="1"/>
  <c r="Y25" i="3" s="1"/>
  <c r="AA25" i="3" s="1"/>
  <c r="X24" i="3"/>
  <c r="Y24" i="3" s="1"/>
  <c r="X23" i="3"/>
  <c r="Y23" i="3" s="1"/>
  <c r="X22" i="3"/>
  <c r="AA22" i="3" s="1"/>
  <c r="X17" i="3"/>
  <c r="Y17" i="3" s="1"/>
  <c r="AA17" i="3" s="1"/>
  <c r="X16" i="3"/>
  <c r="Y16" i="3" s="1"/>
  <c r="X15" i="3"/>
  <c r="Y15" i="3" s="1"/>
  <c r="X14" i="3"/>
  <c r="AA14" i="3" s="1"/>
  <c r="X9" i="3"/>
  <c r="Y9" i="3" s="1"/>
  <c r="AA9" i="3" s="1"/>
  <c r="X8" i="3"/>
  <c r="Y8" i="3" s="1"/>
  <c r="X7" i="3"/>
  <c r="Y7" i="3" s="1"/>
  <c r="X6" i="3"/>
  <c r="AA6" i="3" s="1"/>
  <c r="C25" i="3"/>
  <c r="D25" i="3" s="1"/>
  <c r="C24" i="3"/>
  <c r="D24" i="3" s="1"/>
  <c r="C23" i="3"/>
  <c r="D23" i="3" s="1"/>
  <c r="C22" i="3"/>
  <c r="E22" i="3" s="1"/>
  <c r="C17" i="3"/>
  <c r="D17" i="3" s="1"/>
  <c r="C16" i="3"/>
  <c r="D16" i="3" s="1"/>
  <c r="E16" i="3" s="1"/>
  <c r="C15" i="3"/>
  <c r="D15" i="3" s="1"/>
  <c r="C14" i="3"/>
  <c r="F14" i="3" s="1"/>
  <c r="C9" i="3"/>
  <c r="D9" i="3" s="1"/>
  <c r="C8" i="3"/>
  <c r="D8" i="3" s="1"/>
  <c r="C7" i="3"/>
  <c r="D7" i="3" s="1"/>
  <c r="C6" i="3"/>
  <c r="F6" i="3" s="1"/>
  <c r="Q25" i="3"/>
  <c r="R25" i="3" s="1"/>
  <c r="Q24" i="3"/>
  <c r="R24" i="3" s="1"/>
  <c r="Q23" i="3"/>
  <c r="R23" i="3" s="1"/>
  <c r="T23" i="3" s="1"/>
  <c r="Q22" i="3"/>
  <c r="R22" i="3" s="1"/>
  <c r="Q17" i="3"/>
  <c r="R17" i="3" s="1"/>
  <c r="Q16" i="3"/>
  <c r="R16" i="3" s="1"/>
  <c r="Q15" i="3"/>
  <c r="R15" i="3" s="1"/>
  <c r="T15" i="3" s="1"/>
  <c r="Q14" i="3"/>
  <c r="R14" i="3" s="1"/>
  <c r="Q9" i="3"/>
  <c r="R9" i="3" s="1"/>
  <c r="Q8" i="3"/>
  <c r="R8" i="3" s="1"/>
  <c r="Q7" i="3"/>
  <c r="R7" i="3" s="1"/>
  <c r="T7" i="3" s="1"/>
  <c r="Q6" i="3"/>
  <c r="R6" i="3" s="1"/>
  <c r="J25" i="3"/>
  <c r="K25" i="3" s="1"/>
  <c r="J24" i="3"/>
  <c r="K24" i="3" s="1"/>
  <c r="M24" i="3" s="1"/>
  <c r="J23" i="3"/>
  <c r="K23" i="3" s="1"/>
  <c r="J22" i="3"/>
  <c r="M22" i="3" s="1"/>
  <c r="J17" i="3"/>
  <c r="K17" i="3" s="1"/>
  <c r="J16" i="3"/>
  <c r="K16" i="3" s="1"/>
  <c r="J15" i="3"/>
  <c r="K15" i="3" s="1"/>
  <c r="J14" i="3"/>
  <c r="M14" i="3" s="1"/>
  <c r="J9" i="3"/>
  <c r="K9" i="3" s="1"/>
  <c r="J8" i="3"/>
  <c r="K8" i="3" s="1"/>
  <c r="J7" i="3"/>
  <c r="K7" i="3" s="1"/>
  <c r="J6" i="3"/>
  <c r="L6" i="3" s="1"/>
  <c r="F22" i="3" l="1"/>
  <c r="G22" i="3" s="1"/>
  <c r="D6" i="3"/>
  <c r="E6" i="3"/>
  <c r="G6" i="3" s="1"/>
  <c r="D22" i="3"/>
  <c r="M6" i="3"/>
  <c r="N6" i="3" s="1"/>
  <c r="S14" i="3"/>
  <c r="M7" i="3"/>
  <c r="L7" i="3"/>
  <c r="E24" i="3"/>
  <c r="F24" i="3"/>
  <c r="M8" i="3"/>
  <c r="L8" i="3"/>
  <c r="E8" i="3"/>
  <c r="F8" i="3"/>
  <c r="M9" i="3"/>
  <c r="L9" i="3"/>
  <c r="T6" i="3"/>
  <c r="K6" i="3"/>
  <c r="L22" i="3"/>
  <c r="N22" i="3" s="1"/>
  <c r="S22" i="3"/>
  <c r="D14" i="3"/>
  <c r="T22" i="3"/>
  <c r="E14" i="3"/>
  <c r="G14" i="3" s="1"/>
  <c r="S6" i="3"/>
  <c r="T14" i="3"/>
  <c r="F16" i="3"/>
  <c r="G16" i="3" s="1"/>
  <c r="Z7" i="3"/>
  <c r="AA7" i="3"/>
  <c r="AA16" i="3"/>
  <c r="Z16" i="3"/>
  <c r="Z23" i="3"/>
  <c r="AA23" i="3"/>
  <c r="AA24" i="3"/>
  <c r="Z24" i="3"/>
  <c r="AA8" i="3"/>
  <c r="Z8" i="3"/>
  <c r="Z15" i="3"/>
  <c r="AA15" i="3"/>
  <c r="Y6" i="3"/>
  <c r="Z9" i="3"/>
  <c r="AB9" i="3" s="1"/>
  <c r="Y14" i="3"/>
  <c r="Z17" i="3"/>
  <c r="AB17" i="3" s="1"/>
  <c r="Y22" i="3"/>
  <c r="Z25" i="3"/>
  <c r="AB25" i="3" s="1"/>
  <c r="Z6" i="3"/>
  <c r="AB6" i="3" s="1"/>
  <c r="Z14" i="3"/>
  <c r="AB14" i="3" s="1"/>
  <c r="Z22" i="3"/>
  <c r="AB22" i="3" s="1"/>
  <c r="F23" i="3"/>
  <c r="E23" i="3"/>
  <c r="F25" i="3"/>
  <c r="E25" i="3"/>
  <c r="E7" i="3"/>
  <c r="F7" i="3"/>
  <c r="F9" i="3"/>
  <c r="E9" i="3"/>
  <c r="F15" i="3"/>
  <c r="E15" i="3"/>
  <c r="F17" i="3"/>
  <c r="E17" i="3"/>
  <c r="T24" i="3"/>
  <c r="S24" i="3"/>
  <c r="T16" i="3"/>
  <c r="S16" i="3"/>
  <c r="S25" i="3"/>
  <c r="T25" i="3"/>
  <c r="T8" i="3"/>
  <c r="S8" i="3"/>
  <c r="S17" i="3"/>
  <c r="T17" i="3"/>
  <c r="S9" i="3"/>
  <c r="T9" i="3"/>
  <c r="S7" i="3"/>
  <c r="U7" i="3" s="1"/>
  <c r="S15" i="3"/>
  <c r="U15" i="3" s="1"/>
  <c r="S23" i="3"/>
  <c r="U23" i="3" s="1"/>
  <c r="K22" i="3"/>
  <c r="L23" i="3"/>
  <c r="M23" i="3"/>
  <c r="M25" i="3"/>
  <c r="L25" i="3"/>
  <c r="L24" i="3"/>
  <c r="N24" i="3" s="1"/>
  <c r="K14" i="3"/>
  <c r="L14" i="3"/>
  <c r="N14" i="3" s="1"/>
  <c r="M16" i="3"/>
  <c r="L16" i="3"/>
  <c r="M15" i="3"/>
  <c r="L15" i="3"/>
  <c r="M17" i="3"/>
  <c r="L17" i="3"/>
  <c r="AP58" i="1"/>
  <c r="AO58" i="1"/>
  <c r="AS55" i="1"/>
  <c r="AS56" i="1"/>
  <c r="AS57" i="1"/>
  <c r="AS54" i="1"/>
  <c r="AP57" i="1"/>
  <c r="AO57" i="1"/>
  <c r="AP56" i="1"/>
  <c r="AO56" i="1"/>
  <c r="AP55" i="1"/>
  <c r="AP54" i="1"/>
  <c r="AO55" i="1"/>
  <c r="AO54" i="1"/>
  <c r="G8" i="3" l="1"/>
  <c r="G24" i="3"/>
  <c r="U22" i="3"/>
  <c r="U6" i="3"/>
  <c r="U14" i="3"/>
  <c r="N17" i="3"/>
  <c r="N16" i="3"/>
  <c r="U9" i="3"/>
  <c r="G25" i="3"/>
  <c r="AB23" i="3"/>
  <c r="AB7" i="3"/>
  <c r="N23" i="3"/>
  <c r="U17" i="3"/>
  <c r="U25" i="3"/>
  <c r="G23" i="3"/>
  <c r="N9" i="3"/>
  <c r="N8" i="3"/>
  <c r="N7" i="3"/>
  <c r="AB15" i="3"/>
  <c r="AB16" i="3"/>
  <c r="AB8" i="3"/>
  <c r="AB24" i="3"/>
  <c r="G7" i="3"/>
  <c r="G17" i="3"/>
  <c r="G9" i="3"/>
  <c r="G15" i="3"/>
  <c r="U24" i="3"/>
  <c r="U8" i="3"/>
  <c r="U16" i="3"/>
  <c r="N25" i="3"/>
  <c r="N15" i="3"/>
  <c r="E43" i="1"/>
  <c r="H29" i="1"/>
  <c r="G29" i="1"/>
  <c r="F29" i="1"/>
  <c r="E29" i="1"/>
  <c r="D29" i="1"/>
  <c r="H28" i="1"/>
  <c r="G28" i="1"/>
  <c r="F28" i="1"/>
  <c r="E28" i="1"/>
  <c r="D28" i="1"/>
  <c r="D43" i="1" s="1"/>
  <c r="H27" i="1"/>
  <c r="G27" i="1"/>
  <c r="F27" i="1"/>
  <c r="E27" i="1"/>
  <c r="D27" i="1"/>
  <c r="H26" i="1"/>
  <c r="G26" i="1"/>
  <c r="G41" i="1" s="1"/>
  <c r="F26" i="1"/>
  <c r="E26" i="1"/>
  <c r="D26" i="1"/>
  <c r="H25" i="1"/>
  <c r="G25" i="1"/>
  <c r="G40" i="1" s="1"/>
  <c r="F25" i="1"/>
  <c r="E25" i="1"/>
  <c r="D25" i="1"/>
  <c r="E15" i="1"/>
  <c r="E44" i="1" s="1"/>
  <c r="F15" i="1"/>
  <c r="G15" i="1"/>
  <c r="G44" i="1" s="1"/>
  <c r="H15" i="1"/>
  <c r="H44" i="1" s="1"/>
  <c r="D15" i="1"/>
  <c r="D44" i="1" s="1"/>
  <c r="E14" i="1"/>
  <c r="F14" i="1"/>
  <c r="F43" i="1" s="1"/>
  <c r="G14" i="1"/>
  <c r="H14" i="1"/>
  <c r="D14" i="1"/>
  <c r="E13" i="1"/>
  <c r="F13" i="1"/>
  <c r="F42" i="1" s="1"/>
  <c r="G13" i="1"/>
  <c r="G42" i="1" s="1"/>
  <c r="H13" i="1"/>
  <c r="D13" i="1"/>
  <c r="E12" i="1"/>
  <c r="F12" i="1"/>
  <c r="G12" i="1"/>
  <c r="H12" i="1"/>
  <c r="D12" i="1"/>
  <c r="E11" i="1"/>
  <c r="F11" i="1"/>
  <c r="G11" i="1"/>
  <c r="H11" i="1"/>
  <c r="H40" i="1" s="1"/>
  <c r="D11" i="1"/>
  <c r="D40" i="1" s="1"/>
  <c r="H42" i="1" l="1"/>
  <c r="E42" i="1"/>
  <c r="D42" i="1"/>
  <c r="F41" i="1"/>
  <c r="H43" i="1"/>
  <c r="AQ55" i="1"/>
  <c r="AQ54" i="1"/>
  <c r="AQ56" i="1"/>
  <c r="AQ57" i="1"/>
  <c r="AQ58" i="1"/>
  <c r="AS58" i="1"/>
  <c r="H41" i="1"/>
  <c r="E41" i="1"/>
  <c r="G43" i="1"/>
  <c r="F44" i="1"/>
  <c r="D41" i="1"/>
  <c r="F40" i="1"/>
  <c r="E40" i="1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H6" i="2"/>
  <c r="AG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6" i="2"/>
  <c r="AI29" i="1" l="1"/>
  <c r="AH29" i="1"/>
  <c r="AG29" i="1"/>
  <c r="AF29" i="1"/>
  <c r="AE29" i="1"/>
  <c r="AI28" i="1"/>
  <c r="AH28" i="1"/>
  <c r="AG28" i="1"/>
  <c r="AF28" i="1"/>
  <c r="AE28" i="1"/>
  <c r="AI27" i="1"/>
  <c r="AH27" i="1"/>
  <c r="AG27" i="1"/>
  <c r="AF27" i="1"/>
  <c r="AE27" i="1"/>
  <c r="AI26" i="1"/>
  <c r="AH26" i="1"/>
  <c r="AG26" i="1"/>
  <c r="AF26" i="1"/>
  <c r="AE26" i="1"/>
  <c r="AI25" i="1"/>
  <c r="AH25" i="1"/>
  <c r="AG25" i="1"/>
  <c r="AF25" i="1"/>
  <c r="AE25" i="1"/>
  <c r="X29" i="1"/>
  <c r="Y29" i="1"/>
  <c r="Z29" i="1"/>
  <c r="W29" i="1"/>
  <c r="V29" i="1"/>
  <c r="W28" i="1"/>
  <c r="X28" i="1"/>
  <c r="Y28" i="1"/>
  <c r="Z28" i="1"/>
  <c r="V28" i="1"/>
  <c r="W27" i="1"/>
  <c r="X27" i="1"/>
  <c r="Y27" i="1"/>
  <c r="Z27" i="1"/>
  <c r="V27" i="1"/>
  <c r="Z26" i="1"/>
  <c r="Y26" i="1"/>
  <c r="X26" i="1"/>
  <c r="W26" i="1"/>
  <c r="V26" i="1"/>
  <c r="Z25" i="1"/>
  <c r="Y25" i="1"/>
  <c r="X25" i="1"/>
  <c r="W25" i="1"/>
  <c r="V25" i="1"/>
  <c r="Q44" i="1"/>
  <c r="P44" i="1"/>
  <c r="O44" i="1"/>
  <c r="N44" i="1"/>
  <c r="M44" i="1"/>
  <c r="Q43" i="1"/>
  <c r="P43" i="1"/>
  <c r="O43" i="1"/>
  <c r="N43" i="1"/>
  <c r="M43" i="1"/>
  <c r="Q42" i="1"/>
  <c r="P42" i="1"/>
  <c r="O42" i="1"/>
  <c r="N42" i="1"/>
  <c r="M42" i="1"/>
  <c r="Q41" i="1"/>
  <c r="P41" i="1"/>
  <c r="O41" i="1"/>
  <c r="N41" i="1"/>
  <c r="M41" i="1"/>
  <c r="Q40" i="1"/>
  <c r="P40" i="1"/>
  <c r="O40" i="1"/>
  <c r="N40" i="1"/>
  <c r="M40" i="1"/>
  <c r="Q15" i="1"/>
  <c r="P15" i="1"/>
  <c r="O15" i="1"/>
  <c r="N15" i="1"/>
  <c r="M15" i="1"/>
  <c r="Q14" i="1"/>
  <c r="P14" i="1"/>
  <c r="O14" i="1"/>
  <c r="N14" i="1"/>
  <c r="M14" i="1"/>
  <c r="Q13" i="1"/>
  <c r="P13" i="1"/>
  <c r="O13" i="1"/>
  <c r="N13" i="1"/>
  <c r="M13" i="1"/>
  <c r="Q12" i="1"/>
  <c r="P12" i="1"/>
  <c r="O12" i="1"/>
  <c r="N12" i="1"/>
  <c r="M12" i="1"/>
  <c r="Q11" i="1"/>
  <c r="P11" i="1"/>
  <c r="O11" i="1"/>
  <c r="N11" i="1"/>
  <c r="M11" i="1"/>
  <c r="Q25" i="1"/>
  <c r="P25" i="1"/>
  <c r="O25" i="1"/>
  <c r="N25" i="1"/>
  <c r="M25" i="1"/>
  <c r="Q26" i="1"/>
  <c r="P26" i="1"/>
  <c r="O26" i="1"/>
  <c r="N26" i="1"/>
  <c r="M26" i="1"/>
  <c r="Q27" i="1"/>
  <c r="P27" i="1"/>
  <c r="O27" i="1"/>
  <c r="N27" i="1"/>
  <c r="M27" i="1"/>
  <c r="Q28" i="1"/>
  <c r="P28" i="1"/>
  <c r="O28" i="1"/>
  <c r="N28" i="1"/>
  <c r="M28" i="1"/>
  <c r="Q29" i="1"/>
  <c r="P29" i="1"/>
  <c r="O29" i="1"/>
  <c r="N29" i="1"/>
  <c r="M29" i="1"/>
  <c r="Z16" i="2" l="1"/>
  <c r="Z15" i="2"/>
  <c r="Z14" i="2"/>
  <c r="Z12" i="2"/>
  <c r="Z11" i="2"/>
  <c r="Z10" i="2"/>
  <c r="Z8" i="2"/>
  <c r="Z7" i="2"/>
  <c r="Y16" i="2"/>
  <c r="Y15" i="2"/>
  <c r="Y14" i="2"/>
  <c r="Y12" i="2"/>
  <c r="Y11" i="2"/>
  <c r="Y10" i="2"/>
  <c r="Y8" i="2"/>
  <c r="Y7" i="2"/>
  <c r="Z6" i="2"/>
  <c r="Y6" i="2"/>
  <c r="Q20" i="2" l="1"/>
  <c r="Q19" i="2"/>
  <c r="Q18" i="2"/>
  <c r="Q16" i="2"/>
  <c r="Q15" i="2"/>
  <c r="Q14" i="2"/>
  <c r="Q12" i="2"/>
  <c r="Q11" i="2"/>
  <c r="Q10" i="2"/>
  <c r="Q8" i="2"/>
  <c r="Q7" i="2"/>
  <c r="P20" i="2"/>
  <c r="P19" i="2"/>
  <c r="P18" i="2"/>
  <c r="P16" i="2"/>
  <c r="P15" i="2"/>
  <c r="P14" i="2"/>
  <c r="P12" i="2"/>
  <c r="P11" i="2"/>
  <c r="P10" i="2"/>
  <c r="P8" i="2"/>
  <c r="P7" i="2"/>
  <c r="Q6" i="2"/>
  <c r="P6" i="2"/>
  <c r="H29" i="2"/>
  <c r="H28" i="2"/>
  <c r="H27" i="2"/>
  <c r="H26" i="2"/>
  <c r="H24" i="2"/>
  <c r="H23" i="2"/>
  <c r="H22" i="2"/>
  <c r="H21" i="2"/>
  <c r="H19" i="2"/>
  <c r="H18" i="2"/>
  <c r="H17" i="2"/>
  <c r="H16" i="2"/>
  <c r="H15" i="2"/>
  <c r="H13" i="2"/>
  <c r="H12" i="2"/>
  <c r="H11" i="2"/>
  <c r="H10" i="2"/>
  <c r="H9" i="2"/>
  <c r="G29" i="2"/>
  <c r="G28" i="2"/>
  <c r="G27" i="2"/>
  <c r="G26" i="2"/>
  <c r="G24" i="2"/>
  <c r="G23" i="2"/>
  <c r="G22" i="2"/>
  <c r="G21" i="2"/>
  <c r="G19" i="2"/>
  <c r="G18" i="2"/>
  <c r="G17" i="2"/>
  <c r="G16" i="2"/>
  <c r="G15" i="2"/>
  <c r="G13" i="2"/>
  <c r="G12" i="2"/>
  <c r="G11" i="2"/>
  <c r="G10" i="2"/>
  <c r="G9" i="2"/>
  <c r="H7" i="2"/>
  <c r="H6" i="2"/>
  <c r="H34" i="2"/>
  <c r="H33" i="2"/>
  <c r="H32" i="2"/>
  <c r="H31" i="2"/>
  <c r="G34" i="2"/>
  <c r="G33" i="2"/>
  <c r="G32" i="2"/>
  <c r="G31" i="2"/>
  <c r="G7" i="2"/>
  <c r="G6" i="2"/>
  <c r="Z44" i="1"/>
  <c r="Y44" i="1"/>
  <c r="X44" i="1"/>
  <c r="W44" i="1"/>
  <c r="V44" i="1"/>
  <c r="Z43" i="1"/>
  <c r="Y43" i="1"/>
  <c r="X43" i="1"/>
  <c r="W43" i="1"/>
  <c r="V43" i="1"/>
  <c r="Z42" i="1"/>
  <c r="Y42" i="1"/>
  <c r="X42" i="1"/>
  <c r="W42" i="1"/>
  <c r="V42" i="1"/>
  <c r="Z41" i="1"/>
  <c r="Y41" i="1"/>
  <c r="X41" i="1"/>
  <c r="W41" i="1"/>
  <c r="V41" i="1"/>
  <c r="Z40" i="1"/>
  <c r="Y40" i="1"/>
  <c r="X40" i="1"/>
  <c r="W40" i="1"/>
  <c r="V40" i="1"/>
  <c r="AI44" i="1"/>
  <c r="AH44" i="1"/>
  <c r="AG44" i="1"/>
  <c r="AF44" i="1"/>
  <c r="AE44" i="1"/>
  <c r="AI43" i="1"/>
  <c r="AH43" i="1"/>
  <c r="AG43" i="1"/>
  <c r="AF43" i="1"/>
  <c r="AE43" i="1"/>
  <c r="AI42" i="1"/>
  <c r="AH42" i="1"/>
  <c r="AG42" i="1"/>
  <c r="AF42" i="1"/>
  <c r="AE42" i="1"/>
  <c r="AI41" i="1"/>
  <c r="AH41" i="1"/>
  <c r="AG41" i="1"/>
  <c r="AF41" i="1"/>
  <c r="AE41" i="1"/>
  <c r="AI40" i="1"/>
  <c r="AH40" i="1"/>
  <c r="AG40" i="1"/>
  <c r="AF40" i="1"/>
  <c r="AE40" i="1"/>
  <c r="AR58" i="1" l="1"/>
  <c r="AL6" i="1"/>
  <c r="AR56" i="1" l="1"/>
  <c r="AR54" i="1"/>
  <c r="AR55" i="1"/>
  <c r="AR57" i="1"/>
  <c r="AF15" i="1"/>
  <c r="AG15" i="1"/>
  <c r="AH15" i="1"/>
  <c r="AI15" i="1"/>
  <c r="AE15" i="1"/>
  <c r="AF14" i="1"/>
  <c r="AG14" i="1"/>
  <c r="AH14" i="1"/>
  <c r="AI14" i="1"/>
  <c r="AE14" i="1"/>
  <c r="AF13" i="1"/>
  <c r="AG13" i="1"/>
  <c r="AH13" i="1"/>
  <c r="AI13" i="1"/>
  <c r="AE13" i="1"/>
  <c r="AF12" i="1"/>
  <c r="AG12" i="1"/>
  <c r="AH12" i="1"/>
  <c r="AI12" i="1"/>
  <c r="AE12" i="1"/>
  <c r="AF11" i="1"/>
  <c r="AG11" i="1"/>
  <c r="AH11" i="1"/>
  <c r="AI11" i="1"/>
  <c r="AE11" i="1"/>
  <c r="X15" i="1"/>
  <c r="Y15" i="1"/>
  <c r="Z15" i="1"/>
  <c r="W15" i="1"/>
  <c r="X14" i="1"/>
  <c r="Y14" i="1"/>
  <c r="Z14" i="1"/>
  <c r="W14" i="1"/>
  <c r="X13" i="1"/>
  <c r="Y13" i="1"/>
  <c r="Z13" i="1"/>
  <c r="W13" i="1"/>
  <c r="X12" i="1"/>
  <c r="Y12" i="1"/>
  <c r="Z12" i="1"/>
  <c r="W12" i="1"/>
  <c r="X11" i="1"/>
  <c r="Y11" i="1"/>
  <c r="Z11" i="1"/>
  <c r="W11" i="1"/>
  <c r="V12" i="1"/>
  <c r="V13" i="1"/>
  <c r="V14" i="1"/>
  <c r="V15" i="1"/>
  <c r="V11" i="1"/>
</calcChain>
</file>

<file path=xl/sharedStrings.xml><?xml version="1.0" encoding="utf-8"?>
<sst xmlns="http://schemas.openxmlformats.org/spreadsheetml/2006/main" count="447" uniqueCount="110">
  <si>
    <t>Circular tube</t>
  </si>
  <si>
    <t>Dia</t>
  </si>
  <si>
    <t>Thickness</t>
  </si>
  <si>
    <t>Square Tube</t>
  </si>
  <si>
    <t>Side of Square</t>
  </si>
  <si>
    <t>Polar moment of inertial (2nd moment of area) for the section: important property for design of beams</t>
  </si>
  <si>
    <t>Mass of tube, per meter of length (ignoring holes, dimples and other imperfections): contributor towards tonnage, and finally cost</t>
  </si>
  <si>
    <t>m of torque tube required per MW</t>
  </si>
  <si>
    <t>mm</t>
  </si>
  <si>
    <t>kg/m</t>
  </si>
  <si>
    <t>mm^4</t>
  </si>
  <si>
    <t>Looking at the values in the table, following choices can be made:</t>
  </si>
  <si>
    <t>Tube</t>
  </si>
  <si>
    <t>J Value</t>
  </si>
  <si>
    <t>Wt./m</t>
  </si>
  <si>
    <t>Shp.</t>
  </si>
  <si>
    <t>Savings in kg</t>
  </si>
  <si>
    <t>Saving in Rs. (per MW)</t>
  </si>
  <si>
    <t>I Type Hot-rolled Beam</t>
  </si>
  <si>
    <t>ISMC Type Hot-rolled Beam</t>
  </si>
  <si>
    <t>Heavy</t>
  </si>
  <si>
    <t>Medium</t>
  </si>
  <si>
    <t>Wide Flange</t>
  </si>
  <si>
    <t>Light</t>
  </si>
  <si>
    <t>Junior</t>
  </si>
  <si>
    <t>(based on IS808)</t>
  </si>
  <si>
    <t>ISMB 100</t>
  </si>
  <si>
    <t>ISMB 150</t>
  </si>
  <si>
    <t>ISMB 200</t>
  </si>
  <si>
    <t>ISMB 250</t>
  </si>
  <si>
    <t>ISMB 300</t>
  </si>
  <si>
    <t>ISHB 150</t>
  </si>
  <si>
    <t>ISHB 200</t>
  </si>
  <si>
    <t>ISHB 250</t>
  </si>
  <si>
    <t>ISHB 300</t>
  </si>
  <si>
    <t>ISWB 150</t>
  </si>
  <si>
    <t>ISWB 200</t>
  </si>
  <si>
    <t>ISWB 250</t>
  </si>
  <si>
    <t>ISWB 300</t>
  </si>
  <si>
    <t>Beam ID</t>
  </si>
  <si>
    <t>Beam Series</t>
  </si>
  <si>
    <t>Weight</t>
  </si>
  <si>
    <t>Ixx</t>
  </si>
  <si>
    <t>Iyy</t>
  </si>
  <si>
    <t>ρx</t>
  </si>
  <si>
    <t>ρy</t>
  </si>
  <si>
    <t>ISLB 100</t>
  </si>
  <si>
    <t>ISLB 150</t>
  </si>
  <si>
    <t>ISLB 200</t>
  </si>
  <si>
    <t>ISLB 250</t>
  </si>
  <si>
    <t>ISLB 300</t>
  </si>
  <si>
    <t>ISJB 150</t>
  </si>
  <si>
    <t>ISJB 200</t>
  </si>
  <si>
    <t>Column Section</t>
  </si>
  <si>
    <t>ISSC 100</t>
  </si>
  <si>
    <t>ISSC 150</t>
  </si>
  <si>
    <t>ISSC 200</t>
  </si>
  <si>
    <t>ISSC 250</t>
  </si>
  <si>
    <t>ISMC 100</t>
  </si>
  <si>
    <t>ISMC 150</t>
  </si>
  <si>
    <t>ISMC 200</t>
  </si>
  <si>
    <t>Medium Parellel Flange</t>
  </si>
  <si>
    <t>ISMCP 100</t>
  </si>
  <si>
    <t>ISMCP 150</t>
  </si>
  <si>
    <t>ISMCP 200</t>
  </si>
  <si>
    <t>ISJC 100</t>
  </si>
  <si>
    <t>ISJC 150</t>
  </si>
  <si>
    <t>ISJC 200</t>
  </si>
  <si>
    <t>ISLC 100</t>
  </si>
  <si>
    <t>ISLC 150</t>
  </si>
  <si>
    <t>ISLC 200</t>
  </si>
  <si>
    <t>Essay on section size, shape and thickness: Torque Tube Selection Metric</t>
  </si>
  <si>
    <t>cm^4/kg</t>
  </si>
  <si>
    <t>Index</t>
  </si>
  <si>
    <t>Shape Section Index for Torsion Modulus and Mass of the Section</t>
  </si>
  <si>
    <t>C-Type Cold-formed section</t>
  </si>
  <si>
    <t>Beam Dimensions</t>
  </si>
  <si>
    <t>180x80x25</t>
  </si>
  <si>
    <t>150x100x25</t>
  </si>
  <si>
    <t>170x50x20</t>
  </si>
  <si>
    <t>(calculated from solidworks)</t>
  </si>
  <si>
    <t>Face to Face</t>
  </si>
  <si>
    <t>Octagon Tube</t>
  </si>
  <si>
    <t>H</t>
  </si>
  <si>
    <t>B</t>
  </si>
  <si>
    <t>t</t>
  </si>
  <si>
    <t>RHS</t>
  </si>
  <si>
    <t>Hexagonal Tube</t>
  </si>
  <si>
    <t>Essay on section size, shape and thickness: Vertical Post/ Bending Beam Selection Metric</t>
  </si>
  <si>
    <t>Sq</t>
  </si>
  <si>
    <t>Let us say we need a lower limiting value of 40,00,000 mm^4</t>
  </si>
  <si>
    <t>100x3.5</t>
  </si>
  <si>
    <t>110x2.5</t>
  </si>
  <si>
    <t>Cir</t>
  </si>
  <si>
    <t>130x2.5</t>
  </si>
  <si>
    <t>Oct</t>
  </si>
  <si>
    <t>125x2.5</t>
  </si>
  <si>
    <t>Hex</t>
  </si>
  <si>
    <t>122.5x2.5</t>
  </si>
  <si>
    <t>For approximately the same coil width</t>
  </si>
  <si>
    <t>Coil Width</t>
  </si>
  <si>
    <t>Square</t>
  </si>
  <si>
    <t>Hexagon</t>
  </si>
  <si>
    <t>Octagon</t>
  </si>
  <si>
    <t>Circular</t>
  </si>
  <si>
    <t>Major Dim</t>
  </si>
  <si>
    <t>J</t>
  </si>
  <si>
    <t>M</t>
  </si>
  <si>
    <t>ρ</t>
  </si>
  <si>
    <t>(working dimension)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</si>
</sst>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.000_ ;_ * \-#,##0.000_ ;_ * &quot;-&quot;??_ ;_ @_ "/>
    <numFmt numFmtId="165" formatCode="_ * #,##0.0_ ;_ * \-#,##0.0_ ;_ * &quot;-&quot;??_ ;_ @_ "/>
    <numFmt numFmtId="166" formatCode="0.000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6">
    <xf numFmtId="0" fontId="0" fillId="0" borderId="0" xfId="0"/>
    <xf numFmtId="2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2" fontId="0" fillId="0" borderId="8" xfId="0" applyNumberFormat="1" applyBorder="1"/>
    <xf numFmtId="0" fontId="0" fillId="0" borderId="6" xfId="0" applyBorder="1"/>
    <xf numFmtId="0" fontId="0" fillId="0" borderId="10" xfId="0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9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43" fontId="0" fillId="0" borderId="22" xfId="1" applyFont="1" applyBorder="1"/>
    <xf numFmtId="43" fontId="0" fillId="0" borderId="23" xfId="1" applyFont="1" applyBorder="1"/>
    <xf numFmtId="43" fontId="0" fillId="0" borderId="13" xfId="1" applyFont="1" applyBorder="1"/>
    <xf numFmtId="43" fontId="0" fillId="0" borderId="1" xfId="1" applyFont="1" applyBorder="1"/>
    <xf numFmtId="43" fontId="0" fillId="0" borderId="14" xfId="1" applyFont="1" applyBorder="1"/>
    <xf numFmtId="43" fontId="0" fillId="0" borderId="16" xfId="1" applyFont="1" applyBorder="1"/>
    <xf numFmtId="43" fontId="0" fillId="0" borderId="17" xfId="1" applyFont="1" applyBorder="1"/>
    <xf numFmtId="3" fontId="0" fillId="0" borderId="1" xfId="0" applyNumberFormat="1" applyBorder="1"/>
    <xf numFmtId="164" fontId="0" fillId="0" borderId="21" xfId="1" applyNumberFormat="1" applyFont="1" applyBorder="1"/>
    <xf numFmtId="164" fontId="0" fillId="0" borderId="22" xfId="1" applyNumberFormat="1" applyFont="1" applyBorder="1"/>
    <xf numFmtId="164" fontId="0" fillId="0" borderId="23" xfId="1" applyNumberFormat="1" applyFont="1" applyBorder="1"/>
    <xf numFmtId="164" fontId="0" fillId="0" borderId="13" xfId="1" applyNumberFormat="1" applyFont="1" applyBorder="1"/>
    <xf numFmtId="164" fontId="0" fillId="0" borderId="1" xfId="1" applyNumberFormat="1" applyFont="1" applyBorder="1"/>
    <xf numFmtId="164" fontId="0" fillId="0" borderId="14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0" fontId="2" fillId="0" borderId="1" xfId="0" applyFont="1" applyBorder="1"/>
    <xf numFmtId="2" fontId="0" fillId="0" borderId="5" xfId="0" applyNumberFormat="1" applyBorder="1"/>
    <xf numFmtId="43" fontId="1" fillId="0" borderId="15" xfId="1" applyFont="1" applyBorder="1"/>
    <xf numFmtId="43" fontId="1" fillId="0" borderId="21" xfId="1" applyFont="1" applyBorder="1"/>
    <xf numFmtId="43" fontId="1" fillId="0" borderId="22" xfId="1" applyFont="1" applyBorder="1"/>
    <xf numFmtId="2" fontId="0" fillId="0" borderId="8" xfId="0" applyNumberFormat="1" applyFont="1" applyBorder="1"/>
    <xf numFmtId="2" fontId="0" fillId="0" borderId="11" xfId="0" applyNumberFormat="1" applyFont="1" applyBorder="1"/>
    <xf numFmtId="2" fontId="0" fillId="0" borderId="15" xfId="0" applyNumberFormat="1" applyFont="1" applyBorder="1"/>
    <xf numFmtId="164" fontId="1" fillId="0" borderId="15" xfId="1" applyNumberFormat="1" applyFont="1" applyBorder="1"/>
    <xf numFmtId="164" fontId="1" fillId="0" borderId="21" xfId="1" applyNumberFormat="1" applyFont="1" applyBorder="1"/>
    <xf numFmtId="164" fontId="1" fillId="0" borderId="22" xfId="1" applyNumberFormat="1" applyFont="1" applyBorder="1"/>
    <xf numFmtId="43" fontId="0" fillId="0" borderId="22" xfId="1" applyNumberFormat="1" applyFont="1" applyBorder="1"/>
    <xf numFmtId="43" fontId="0" fillId="0" borderId="23" xfId="1" applyNumberFormat="1" applyFont="1" applyBorder="1"/>
    <xf numFmtId="43" fontId="0" fillId="0" borderId="13" xfId="1" applyNumberFormat="1" applyFont="1" applyBorder="1"/>
    <xf numFmtId="43" fontId="0" fillId="0" borderId="1" xfId="1" applyNumberFormat="1" applyFont="1" applyBorder="1"/>
    <xf numFmtId="43" fontId="0" fillId="0" borderId="14" xfId="1" applyNumberFormat="1" applyFont="1" applyBorder="1"/>
    <xf numFmtId="43" fontId="0" fillId="0" borderId="16" xfId="1" applyNumberFormat="1" applyFont="1" applyBorder="1"/>
    <xf numFmtId="43" fontId="0" fillId="0" borderId="17" xfId="1" applyNumberFormat="1" applyFont="1" applyBorder="1"/>
    <xf numFmtId="43" fontId="0" fillId="0" borderId="21" xfId="1" applyFont="1" applyFill="1" applyBorder="1"/>
    <xf numFmtId="0" fontId="0" fillId="0" borderId="0" xfId="0" applyAlignment="1"/>
    <xf numFmtId="0" fontId="2" fillId="0" borderId="1" xfId="0" applyFont="1" applyFill="1" applyBorder="1"/>
    <xf numFmtId="43" fontId="1" fillId="0" borderId="13" xfId="1" applyFont="1" applyBorder="1"/>
    <xf numFmtId="164" fontId="1" fillId="0" borderId="13" xfId="1" applyNumberFormat="1" applyFont="1" applyBorder="1"/>
    <xf numFmtId="0" fontId="0" fillId="0" borderId="22" xfId="0" applyFont="1" applyBorder="1"/>
    <xf numFmtId="0" fontId="0" fillId="0" borderId="13" xfId="0" applyFont="1" applyBorder="1"/>
    <xf numFmtId="0" fontId="0" fillId="0" borderId="15" xfId="0" applyFont="1" applyBorder="1"/>
    <xf numFmtId="43" fontId="1" fillId="0" borderId="21" xfId="1" applyNumberFormat="1" applyFont="1" applyBorder="1"/>
    <xf numFmtId="43" fontId="1" fillId="0" borderId="22" xfId="1" applyNumberFormat="1" applyFont="1" applyBorder="1"/>
    <xf numFmtId="43" fontId="1" fillId="0" borderId="15" xfId="1" applyNumberFormat="1" applyFont="1" applyBorder="1"/>
    <xf numFmtId="166" fontId="0" fillId="0" borderId="1" xfId="0" applyNumberFormat="1" applyBorder="1"/>
    <xf numFmtId="167" fontId="0" fillId="0" borderId="5" xfId="0" applyNumberFormat="1" applyBorder="1"/>
    <xf numFmtId="0" fontId="5" fillId="0" borderId="0" xfId="0" applyFont="1"/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9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5" fillId="0" borderId="0" xfId="0" applyFont="1" applyBorder="1"/>
    <xf numFmtId="2" fontId="5" fillId="0" borderId="4" xfId="0" applyNumberFormat="1" applyFont="1" applyBorder="1"/>
    <xf numFmtId="2" fontId="5" fillId="0" borderId="5" xfId="0" applyNumberFormat="1" applyFont="1" applyBorder="1"/>
    <xf numFmtId="0" fontId="5" fillId="0" borderId="24" xfId="0" applyFont="1" applyBorder="1"/>
    <xf numFmtId="0" fontId="5" fillId="0" borderId="25" xfId="0" applyFont="1" applyBorder="1"/>
    <xf numFmtId="2" fontId="5" fillId="0" borderId="37" xfId="0" applyNumberFormat="1" applyFont="1" applyBorder="1"/>
    <xf numFmtId="2" fontId="5" fillId="0" borderId="31" xfId="0" applyNumberFormat="1" applyFont="1" applyBorder="1"/>
    <xf numFmtId="0" fontId="5" fillId="0" borderId="37" xfId="0" applyFont="1" applyBorder="1" applyAlignment="1">
      <alignment vertical="center"/>
    </xf>
    <xf numFmtId="0" fontId="5" fillId="0" borderId="21" xfId="0" applyFont="1" applyBorder="1"/>
    <xf numFmtId="0" fontId="5" fillId="0" borderId="22" xfId="0" applyFont="1" applyBorder="1"/>
    <xf numFmtId="165" fontId="5" fillId="0" borderId="22" xfId="1" applyNumberFormat="1" applyFont="1" applyBorder="1"/>
    <xf numFmtId="43" fontId="5" fillId="0" borderId="22" xfId="0" applyNumberFormat="1" applyFont="1" applyBorder="1"/>
    <xf numFmtId="43" fontId="5" fillId="0" borderId="23" xfId="0" applyNumberFormat="1" applyFont="1" applyBorder="1"/>
    <xf numFmtId="0" fontId="5" fillId="0" borderId="28" xfId="0" applyFont="1" applyBorder="1"/>
    <xf numFmtId="2" fontId="5" fillId="0" borderId="38" xfId="0" applyNumberFormat="1" applyFont="1" applyBorder="1"/>
    <xf numFmtId="2" fontId="5" fillId="0" borderId="32" xfId="0" applyNumberFormat="1" applyFont="1" applyBorder="1"/>
    <xf numFmtId="0" fontId="5" fillId="0" borderId="26" xfId="0" applyFont="1" applyBorder="1"/>
    <xf numFmtId="0" fontId="5" fillId="0" borderId="4" xfId="0" applyFont="1" applyBorder="1" applyAlignment="1">
      <alignment vertical="center"/>
    </xf>
    <xf numFmtId="0" fontId="5" fillId="2" borderId="26" xfId="0" applyFont="1" applyFill="1" applyBorder="1"/>
    <xf numFmtId="0" fontId="5" fillId="0" borderId="13" xfId="0" applyFont="1" applyBorder="1"/>
    <xf numFmtId="0" fontId="5" fillId="0" borderId="1" xfId="0" applyFont="1" applyBorder="1"/>
    <xf numFmtId="165" fontId="5" fillId="0" borderId="1" xfId="1" applyNumberFormat="1" applyFont="1" applyBorder="1"/>
    <xf numFmtId="43" fontId="5" fillId="0" borderId="1" xfId="0" applyNumberFormat="1" applyFont="1" applyBorder="1"/>
    <xf numFmtId="43" fontId="5" fillId="0" borderId="14" xfId="0" applyNumberFormat="1" applyFont="1" applyBorder="1"/>
    <xf numFmtId="0" fontId="5" fillId="0" borderId="33" xfId="0" applyFont="1" applyBorder="1" applyAlignment="1">
      <alignment vertical="center"/>
    </xf>
    <xf numFmtId="0" fontId="5" fillId="0" borderId="27" xfId="0" applyFont="1" applyBorder="1"/>
    <xf numFmtId="0" fontId="5" fillId="0" borderId="38" xfId="0" applyFont="1" applyBorder="1" applyAlignment="1">
      <alignment vertical="center"/>
    </xf>
    <xf numFmtId="0" fontId="5" fillId="0" borderId="15" xfId="0" applyFont="1" applyBorder="1"/>
    <xf numFmtId="0" fontId="5" fillId="0" borderId="16" xfId="0" applyFont="1" applyBorder="1"/>
    <xf numFmtId="165" fontId="5" fillId="0" borderId="16" xfId="1" applyNumberFormat="1" applyFont="1" applyBorder="1"/>
    <xf numFmtId="43" fontId="5" fillId="0" borderId="16" xfId="0" applyNumberFormat="1" applyFont="1" applyBorder="1"/>
    <xf numFmtId="43" fontId="5" fillId="0" borderId="17" xfId="0" applyNumberFormat="1" applyFont="1" applyBorder="1"/>
    <xf numFmtId="0" fontId="5" fillId="0" borderId="0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165" fontId="5" fillId="2" borderId="16" xfId="1" applyNumberFormat="1" applyFont="1" applyFill="1" applyBorder="1"/>
    <xf numFmtId="43" fontId="5" fillId="2" borderId="16" xfId="0" applyNumberFormat="1" applyFont="1" applyFill="1" applyBorder="1"/>
    <xf numFmtId="43" fontId="5" fillId="2" borderId="17" xfId="0" applyNumberFormat="1" applyFont="1" applyFill="1" applyBorder="1"/>
    <xf numFmtId="0" fontId="5" fillId="2" borderId="27" xfId="0" applyFont="1" applyFill="1" applyBorder="1"/>
    <xf numFmtId="0" fontId="5" fillId="0" borderId="35" xfId="0" applyFont="1" applyBorder="1"/>
    <xf numFmtId="0" fontId="5" fillId="0" borderId="10" xfId="0" applyFont="1" applyBorder="1"/>
    <xf numFmtId="2" fontId="5" fillId="0" borderId="6" xfId="0" applyNumberFormat="1" applyFont="1" applyBorder="1"/>
    <xf numFmtId="2" fontId="5" fillId="0" borderId="7" xfId="0" applyNumberFormat="1" applyFont="1" applyBorder="1"/>
    <xf numFmtId="0" fontId="5" fillId="0" borderId="6" xfId="0" applyFont="1" applyBorder="1" applyAlignment="1">
      <alignment vertical="center"/>
    </xf>
    <xf numFmtId="0" fontId="5" fillId="0" borderId="11" xfId="0" applyFont="1" applyBorder="1"/>
    <xf numFmtId="0" fontId="5" fillId="0" borderId="8" xfId="0" applyFont="1" applyBorder="1"/>
    <xf numFmtId="165" fontId="5" fillId="0" borderId="8" xfId="1" applyNumberFormat="1" applyFont="1" applyBorder="1"/>
    <xf numFmtId="43" fontId="5" fillId="0" borderId="8" xfId="0" applyNumberFormat="1" applyFont="1" applyBorder="1"/>
    <xf numFmtId="43" fontId="5" fillId="0" borderId="12" xfId="0" applyNumberFormat="1" applyFont="1" applyBorder="1"/>
    <xf numFmtId="0" fontId="5" fillId="0" borderId="11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1" xfId="0" applyNumberFormat="1" applyBorder="1"/>
    <xf numFmtId="2" fontId="0" fillId="0" borderId="1" xfId="0" applyNumberFormat="1" applyFont="1" applyBorder="1"/>
    <xf numFmtId="43" fontId="0" fillId="0" borderId="1" xfId="1" applyFont="1" applyFill="1" applyBorder="1"/>
    <xf numFmtId="43" fontId="1" fillId="0" borderId="1" xfId="1" applyFont="1" applyBorder="1"/>
    <xf numFmtId="0" fontId="0" fillId="0" borderId="2" xfId="0" applyBorder="1"/>
    <xf numFmtId="0" fontId="7" fillId="0" borderId="14" xfId="0" applyFont="1" applyBorder="1" applyAlignment="1">
      <alignment horizontal="center"/>
    </xf>
    <xf numFmtId="43" fontId="0" fillId="0" borderId="14" xfId="0" applyNumberFormat="1" applyBorder="1"/>
    <xf numFmtId="167" fontId="0" fillId="0" borderId="16" xfId="0" applyNumberFormat="1" applyBorder="1"/>
    <xf numFmtId="2" fontId="0" fillId="0" borderId="16" xfId="0" applyNumberFormat="1" applyFont="1" applyBorder="1"/>
    <xf numFmtId="43" fontId="1" fillId="0" borderId="16" xfId="1" applyNumberFormat="1" applyFont="1" applyBorder="1"/>
    <xf numFmtId="43" fontId="0" fillId="0" borderId="17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8AA1-95E1-430D-9049-E27E461C916B}">
  <dimension ref="B1:AS58"/>
  <sheetViews>
    <sheetView topLeftCell="G8" workbookViewId="0">
      <selection activeCell="V25" sqref="V25"/>
    </sheetView>
  </sheetViews>
  <sheetFormatPr defaultRowHeight="14.4" x14ac:dyDescent="0.3"/>
  <cols>
    <col min="1" max="1" width="4.109375" customWidth="1"/>
    <col min="2" max="2" width="3.5546875" bestFit="1" customWidth="1"/>
    <col min="3" max="3" width="6.5546875" bestFit="1" customWidth="1"/>
    <col min="4" max="4" width="14.21875" bestFit="1" customWidth="1"/>
    <col min="5" max="5" width="12.5546875" bestFit="1" customWidth="1"/>
    <col min="6" max="6" width="12.33203125" bestFit="1" customWidth="1"/>
    <col min="7" max="8" width="13.88671875" bestFit="1" customWidth="1"/>
    <col min="9" max="9" width="8" bestFit="1" customWidth="1"/>
    <col min="10" max="10" width="4.109375" customWidth="1"/>
    <col min="11" max="11" width="3.5546875" bestFit="1" customWidth="1"/>
    <col min="12" max="12" width="4" bestFit="1" customWidth="1"/>
    <col min="13" max="13" width="14.21875" bestFit="1" customWidth="1"/>
    <col min="14" max="14" width="12.5546875" bestFit="1" customWidth="1"/>
    <col min="15" max="15" width="12.33203125" bestFit="1" customWidth="1"/>
    <col min="16" max="17" width="13.88671875" bestFit="1" customWidth="1"/>
    <col min="18" max="18" width="8" bestFit="1" customWidth="1"/>
    <col min="19" max="19" width="4.109375" customWidth="1"/>
    <col min="20" max="20" width="5.33203125" bestFit="1" customWidth="1"/>
    <col min="21" max="21" width="4.109375" bestFit="1" customWidth="1"/>
    <col min="22" max="23" width="12.5546875" bestFit="1" customWidth="1"/>
    <col min="24" max="24" width="12.33203125" bestFit="1" customWidth="1"/>
    <col min="25" max="26" width="13.88671875" bestFit="1" customWidth="1"/>
    <col min="27" max="27" width="8" bestFit="1" customWidth="1"/>
    <col min="28" max="28" width="4.109375" customWidth="1"/>
    <col min="29" max="29" width="3.5546875" bestFit="1" customWidth="1"/>
    <col min="30" max="30" width="4.109375" bestFit="1" customWidth="1"/>
    <col min="31" max="31" width="12.33203125" bestFit="1" customWidth="1"/>
    <col min="32" max="35" width="13.88671875" bestFit="1" customWidth="1"/>
    <col min="36" max="36" width="8" bestFit="1" customWidth="1"/>
    <col min="38" max="38" width="29.5546875" bestFit="1" customWidth="1"/>
    <col min="39" max="39" width="4.44140625" bestFit="1" customWidth="1"/>
    <col min="40" max="40" width="11.33203125" bestFit="1" customWidth="1"/>
    <col min="42" max="42" width="6.33203125" bestFit="1" customWidth="1"/>
    <col min="43" max="43" width="12" bestFit="1" customWidth="1"/>
    <col min="44" max="44" width="19.21875" bestFit="1" customWidth="1"/>
    <col min="45" max="45" width="5.6640625" bestFit="1" customWidth="1"/>
  </cols>
  <sheetData>
    <row r="1" spans="2:38" ht="23.4" x14ac:dyDescent="0.45">
      <c r="B1" s="133" t="s">
        <v>71</v>
      </c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4"/>
    </row>
    <row r="5" spans="2:38" x14ac:dyDescent="0.3">
      <c r="B5" s="59" t="s">
        <v>6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L5" t="s">
        <v>7</v>
      </c>
    </row>
    <row r="6" spans="2:38" ht="15" thickBot="1" x14ac:dyDescent="0.35">
      <c r="AL6">
        <f>1000000/340</f>
        <v>2941.1764705882351</v>
      </c>
    </row>
    <row r="7" spans="2:38" ht="15" thickBot="1" x14ac:dyDescent="0.35">
      <c r="D7" s="138" t="s">
        <v>87</v>
      </c>
      <c r="E7" s="139"/>
      <c r="F7" s="139"/>
      <c r="G7" s="139"/>
      <c r="H7" s="140"/>
      <c r="M7" s="138" t="s">
        <v>82</v>
      </c>
      <c r="N7" s="139"/>
      <c r="O7" s="139"/>
      <c r="P7" s="139"/>
      <c r="Q7" s="140"/>
      <c r="V7" s="138" t="s">
        <v>0</v>
      </c>
      <c r="W7" s="139"/>
      <c r="X7" s="139"/>
      <c r="Y7" s="139"/>
      <c r="Z7" s="140"/>
      <c r="AE7" s="138" t="s">
        <v>3</v>
      </c>
      <c r="AF7" s="139"/>
      <c r="AG7" s="139"/>
      <c r="AH7" s="139"/>
      <c r="AI7" s="140"/>
    </row>
    <row r="8" spans="2:38" ht="15" thickBot="1" x14ac:dyDescent="0.35"/>
    <row r="9" spans="2:38" x14ac:dyDescent="0.3">
      <c r="D9" s="141" t="s">
        <v>2</v>
      </c>
      <c r="E9" s="142"/>
      <c r="F9" s="142"/>
      <c r="G9" s="142"/>
      <c r="H9" s="143"/>
      <c r="M9" s="141" t="s">
        <v>2</v>
      </c>
      <c r="N9" s="142"/>
      <c r="O9" s="142"/>
      <c r="P9" s="142"/>
      <c r="Q9" s="143"/>
      <c r="V9" s="141" t="s">
        <v>2</v>
      </c>
      <c r="W9" s="142"/>
      <c r="X9" s="142"/>
      <c r="Y9" s="142"/>
      <c r="Z9" s="143"/>
      <c r="AE9" s="141" t="s">
        <v>2</v>
      </c>
      <c r="AF9" s="142"/>
      <c r="AG9" s="142"/>
      <c r="AH9" s="142"/>
      <c r="AI9" s="143"/>
    </row>
    <row r="10" spans="2:38" ht="15" thickBot="1" x14ac:dyDescent="0.35">
      <c r="D10" s="6">
        <v>2.5</v>
      </c>
      <c r="E10" s="7">
        <v>3</v>
      </c>
      <c r="F10" s="7">
        <v>3.5</v>
      </c>
      <c r="G10" s="7">
        <v>4</v>
      </c>
      <c r="H10" s="4">
        <v>5</v>
      </c>
      <c r="I10" t="s">
        <v>8</v>
      </c>
      <c r="M10" s="6">
        <v>2.5</v>
      </c>
      <c r="N10" s="7">
        <v>3</v>
      </c>
      <c r="O10" s="7">
        <v>3.5</v>
      </c>
      <c r="P10" s="7">
        <v>4</v>
      </c>
      <c r="Q10" s="4">
        <v>5</v>
      </c>
      <c r="R10" t="s">
        <v>8</v>
      </c>
      <c r="V10" s="6">
        <v>2.5</v>
      </c>
      <c r="W10" s="7">
        <v>3</v>
      </c>
      <c r="X10" s="7">
        <v>3.5</v>
      </c>
      <c r="Y10" s="7">
        <v>4</v>
      </c>
      <c r="Z10" s="4">
        <v>5</v>
      </c>
      <c r="AA10" t="s">
        <v>8</v>
      </c>
      <c r="AE10" s="14">
        <v>2.5</v>
      </c>
      <c r="AF10" s="15">
        <v>3</v>
      </c>
      <c r="AG10" s="15">
        <v>3.5</v>
      </c>
      <c r="AH10" s="15">
        <v>4</v>
      </c>
      <c r="AI10" s="3">
        <v>5</v>
      </c>
      <c r="AJ10" t="s">
        <v>8</v>
      </c>
    </row>
    <row r="11" spans="2:38" ht="14.4" customHeight="1" x14ac:dyDescent="0.3">
      <c r="B11" s="135" t="s">
        <v>81</v>
      </c>
      <c r="C11" s="2">
        <v>110</v>
      </c>
      <c r="D11" s="46">
        <f>0.866*($C$11^2 - ($C$11-2*D10)^2)*1000*7.86/1000000</f>
        <v>7.3172670000000002</v>
      </c>
      <c r="E11" s="45">
        <f t="shared" ref="E11:H11" si="0">0.866*($C$11^2 - ($C$11-2*E10)^2)*1000*7.86/1000000</f>
        <v>8.7398798400000004</v>
      </c>
      <c r="F11" s="5">
        <f t="shared" si="0"/>
        <v>10.14887916</v>
      </c>
      <c r="G11" s="5">
        <f t="shared" si="0"/>
        <v>11.54426496</v>
      </c>
      <c r="H11" s="8">
        <f t="shared" si="0"/>
        <v>14.294195999999999</v>
      </c>
      <c r="I11" t="s">
        <v>9</v>
      </c>
      <c r="K11" s="135" t="s">
        <v>81</v>
      </c>
      <c r="L11" s="2">
        <v>120</v>
      </c>
      <c r="M11" s="46">
        <f>$L$11/TAN(67.5*PI()/180)*8*M10*1000*7.8/1000000</f>
        <v>7.754077887624339</v>
      </c>
      <c r="N11" s="45">
        <f t="shared" ref="N11:Q11" si="1">$L$11/TAN(67.5*PI()/180)*8*N10*1000*7.8/1000000</f>
        <v>9.3048934651492079</v>
      </c>
      <c r="O11" s="5">
        <f t="shared" si="1"/>
        <v>10.855709042674075</v>
      </c>
      <c r="P11" s="5">
        <f t="shared" si="1"/>
        <v>12.406524620198942</v>
      </c>
      <c r="Q11" s="8">
        <f t="shared" si="1"/>
        <v>15.508155775248678</v>
      </c>
      <c r="R11" t="s">
        <v>9</v>
      </c>
      <c r="T11" s="135" t="s">
        <v>1</v>
      </c>
      <c r="U11" s="2">
        <v>130</v>
      </c>
      <c r="V11" s="46">
        <f>PI()*U11*$V$10*7.851/1000</f>
        <v>8.0160092750833751</v>
      </c>
      <c r="W11" s="45">
        <f>PI()*$U$11*W10*7.851/1000</f>
        <v>9.6192111301000516</v>
      </c>
      <c r="X11" s="5">
        <f>PI()*$U$11*X10*7.851/1000</f>
        <v>11.222412985116726</v>
      </c>
      <c r="Y11" s="5">
        <f>PI()*$U$11*Y10*7.851/1000</f>
        <v>12.825614840133401</v>
      </c>
      <c r="Z11" s="8">
        <f>PI()*$U$11*Z10*7.851/1000</f>
        <v>16.03201855016675</v>
      </c>
      <c r="AA11" t="s">
        <v>9</v>
      </c>
      <c r="AC11" s="135" t="s">
        <v>4</v>
      </c>
      <c r="AD11" s="13">
        <v>100</v>
      </c>
      <c r="AE11" s="17">
        <f>$AD$11*AE10*4*7.851/1000</f>
        <v>7.851</v>
      </c>
      <c r="AF11" s="63">
        <f>$AD$11*AF10*4*7.851/1000</f>
        <v>9.4212000000000007</v>
      </c>
      <c r="AG11" s="63">
        <f>$AD$11*AG10*4*7.851/1000</f>
        <v>10.991400000000001</v>
      </c>
      <c r="AH11" s="18">
        <f>$AD$11*AH10*4*7.851/1000</f>
        <v>12.5616</v>
      </c>
      <c r="AI11" s="19">
        <f>$AD$11*AI10*4*7.851/1000</f>
        <v>15.702</v>
      </c>
      <c r="AJ11" t="s">
        <v>9</v>
      </c>
    </row>
    <row r="12" spans="2:38" x14ac:dyDescent="0.3">
      <c r="B12" s="136"/>
      <c r="C12" s="3">
        <v>120</v>
      </c>
      <c r="D12" s="9">
        <f>0.866*($C$12^2 - ($C$12-2*D10)^2)*1000*7.86/1000000</f>
        <v>7.9979430000000002</v>
      </c>
      <c r="E12" s="1">
        <f t="shared" ref="E12:H12" si="2">0.866*($C$12^2 - ($C$12-2*E10)^2)*1000*7.86/1000000</f>
        <v>9.5566910400000005</v>
      </c>
      <c r="F12" s="1">
        <f t="shared" si="2"/>
        <v>11.10182556</v>
      </c>
      <c r="G12" s="1">
        <f t="shared" si="2"/>
        <v>12.63334656</v>
      </c>
      <c r="H12" s="10">
        <f t="shared" si="2"/>
        <v>15.655548</v>
      </c>
      <c r="I12" t="s">
        <v>9</v>
      </c>
      <c r="K12" s="136"/>
      <c r="L12" s="3">
        <v>125</v>
      </c>
      <c r="M12" s="9">
        <f>$L$12/TAN(67.5*PI()/180)*8*M10*1000*7.8/1000000</f>
        <v>8.0771644662753523</v>
      </c>
      <c r="N12" s="1">
        <f t="shared" ref="N12:Q12" si="3">$L$12/TAN(67.5*PI()/180)*8*N10*1000*7.8/1000000</f>
        <v>9.6925973595304225</v>
      </c>
      <c r="O12" s="1">
        <f t="shared" si="3"/>
        <v>11.308030252785494</v>
      </c>
      <c r="P12" s="1">
        <f t="shared" si="3"/>
        <v>12.923463146040564</v>
      </c>
      <c r="Q12" s="10">
        <f t="shared" si="3"/>
        <v>16.154328932550705</v>
      </c>
      <c r="R12" t="s">
        <v>9</v>
      </c>
      <c r="T12" s="136"/>
      <c r="U12" s="3">
        <v>135</v>
      </c>
      <c r="V12" s="9">
        <f>PI()*U12*$V$10*7.851/1000</f>
        <v>8.3243173241250439</v>
      </c>
      <c r="W12" s="1">
        <f>PI()*$U$12*W10*7.851/1000</f>
        <v>9.989180788950053</v>
      </c>
      <c r="X12" s="1">
        <f>PI()*$U$12*X10*7.851/1000</f>
        <v>11.654044253775062</v>
      </c>
      <c r="Y12" s="1">
        <f>PI()*$U$12*Y10*7.851/1000</f>
        <v>13.318907718600071</v>
      </c>
      <c r="Z12" s="10">
        <f>PI()*$U$12*Z10*7.851/1000</f>
        <v>16.648634648250088</v>
      </c>
      <c r="AA12" t="s">
        <v>9</v>
      </c>
      <c r="AC12" s="136"/>
      <c r="AD12" s="15">
        <v>110</v>
      </c>
      <c r="AE12" s="20">
        <f>$AD$12*AE10*4*7.851/1000</f>
        <v>8.6361000000000008</v>
      </c>
      <c r="AF12" s="16">
        <f>$AD$12*AF10*4*7.851/1000</f>
        <v>10.36332</v>
      </c>
      <c r="AG12" s="16">
        <f>$AD$12*AG10*4*7.851/1000</f>
        <v>12.090540000000001</v>
      </c>
      <c r="AH12" s="16">
        <f>$AD$12*AH10*4*7.851/1000</f>
        <v>13.81776</v>
      </c>
      <c r="AI12" s="21">
        <f>$AD$12*AI10*4*7.851/1000</f>
        <v>17.272200000000002</v>
      </c>
      <c r="AJ12" t="s">
        <v>9</v>
      </c>
    </row>
    <row r="13" spans="2:38" x14ac:dyDescent="0.3">
      <c r="B13" s="136"/>
      <c r="C13" s="70">
        <v>122.5</v>
      </c>
      <c r="D13" s="9">
        <f>0.866*($C$13^2 - ($C$13-2*D10)^2)*1000*7.86/1000000</f>
        <v>8.1681120000000007</v>
      </c>
      <c r="E13" s="1">
        <f t="shared" ref="E13:H13" si="4">0.866*($C$13^2 - ($C$13-2*E10)^2)*1000*7.86/1000000</f>
        <v>9.7608938399999996</v>
      </c>
      <c r="F13" s="1">
        <f t="shared" si="4"/>
        <v>11.34006216</v>
      </c>
      <c r="G13" s="1">
        <f t="shared" si="4"/>
        <v>12.905616960000001</v>
      </c>
      <c r="H13" s="10">
        <f t="shared" si="4"/>
        <v>15.995886</v>
      </c>
      <c r="I13" t="s">
        <v>9</v>
      </c>
      <c r="K13" s="136"/>
      <c r="L13" s="3">
        <v>130</v>
      </c>
      <c r="M13" s="9">
        <f>$L$13/TAN(67.5*PI()/180)*8*M10*1000*7.8/1000000</f>
        <v>8.4002510449263657</v>
      </c>
      <c r="N13" s="1">
        <f t="shared" ref="N13:Q13" si="5">$L$13/TAN(67.5*PI()/180)*8*N10*1000*7.8/1000000</f>
        <v>10.080301253911641</v>
      </c>
      <c r="O13" s="1">
        <f t="shared" si="5"/>
        <v>11.760351462896915</v>
      </c>
      <c r="P13" s="1">
        <f t="shared" si="5"/>
        <v>13.440401671882189</v>
      </c>
      <c r="Q13" s="10">
        <f t="shared" si="5"/>
        <v>16.800502089852731</v>
      </c>
      <c r="R13" t="s">
        <v>9</v>
      </c>
      <c r="T13" s="136"/>
      <c r="U13" s="3">
        <v>140</v>
      </c>
      <c r="V13" s="9">
        <f>PI()*U13*$V$10*7.851/1000</f>
        <v>8.6326253731667126</v>
      </c>
      <c r="W13" s="1">
        <f>PI()*$U$13*W10*7.851/1000</f>
        <v>10.359150447800056</v>
      </c>
      <c r="X13" s="1">
        <f>PI()*$U$13*X10*7.851/1000</f>
        <v>12.085675522433398</v>
      </c>
      <c r="Y13" s="1">
        <f>PI()*$U$13*Y10*7.851/1000</f>
        <v>13.81220059706674</v>
      </c>
      <c r="Z13" s="10">
        <f>PI()*$U$13*Z10*7.851/1000</f>
        <v>17.265250746333425</v>
      </c>
      <c r="AA13" t="s">
        <v>9</v>
      </c>
      <c r="AC13" s="136"/>
      <c r="AD13" s="15">
        <v>120</v>
      </c>
      <c r="AE13" s="64">
        <f>$AD$13*AE10*4*7.851/1000</f>
        <v>9.4212000000000007</v>
      </c>
      <c r="AF13" s="16">
        <f>$AD$13*AF10*4*7.851/1000</f>
        <v>11.305440000000001</v>
      </c>
      <c r="AG13" s="16">
        <f>$AD$13*AG10*4*7.851/1000</f>
        <v>13.189680000000001</v>
      </c>
      <c r="AH13" s="16">
        <f>$AD$13*AH10*4*7.851/1000</f>
        <v>15.073919999999999</v>
      </c>
      <c r="AI13" s="21">
        <f>$AD$13*AI10*4*7.851/1000</f>
        <v>18.842400000000001</v>
      </c>
      <c r="AJ13" t="s">
        <v>9</v>
      </c>
    </row>
    <row r="14" spans="2:38" x14ac:dyDescent="0.3">
      <c r="B14" s="136"/>
      <c r="C14" s="3">
        <v>130</v>
      </c>
      <c r="D14" s="9">
        <f>0.866*($C$14^2 - ($C$14-2*D10)^2)*1000*7.86/1000000</f>
        <v>8.6786189999999994</v>
      </c>
      <c r="E14" s="1">
        <f t="shared" ref="E14:H14" si="6">0.866*($C$14^2 - ($C$14-2*E10)^2)*1000*7.86/1000000</f>
        <v>10.373502239999999</v>
      </c>
      <c r="F14" s="1">
        <f t="shared" si="6"/>
        <v>12.05477196</v>
      </c>
      <c r="G14" s="1">
        <f t="shared" si="6"/>
        <v>13.72242816</v>
      </c>
      <c r="H14" s="10">
        <f t="shared" si="6"/>
        <v>17.0169</v>
      </c>
      <c r="I14" t="s">
        <v>9</v>
      </c>
      <c r="K14" s="136"/>
      <c r="L14" s="3">
        <v>135</v>
      </c>
      <c r="M14" s="9">
        <f>$L$14/TAN(67.5*PI()/180)*8*M10*1000*7.8/1000000</f>
        <v>8.7233376235773807</v>
      </c>
      <c r="N14" s="1">
        <f t="shared" ref="N14:Q14" si="7">$L$14/TAN(67.5*PI()/180)*8*N10*1000*7.8/1000000</f>
        <v>10.468005148292859</v>
      </c>
      <c r="O14" s="1">
        <f t="shared" si="7"/>
        <v>12.212672673008333</v>
      </c>
      <c r="P14" s="1">
        <f t="shared" si="7"/>
        <v>13.957340197723809</v>
      </c>
      <c r="Q14" s="10">
        <f t="shared" si="7"/>
        <v>17.446675247154761</v>
      </c>
      <c r="R14" t="s">
        <v>9</v>
      </c>
      <c r="T14" s="136"/>
      <c r="U14" s="3">
        <v>145</v>
      </c>
      <c r="V14" s="9">
        <f>PI()*U14*$V$10*7.851/1000</f>
        <v>8.9409334222083814</v>
      </c>
      <c r="W14" s="1">
        <f>PI()*$U$14*W10*7.851/1000</f>
        <v>10.729120106650058</v>
      </c>
      <c r="X14" s="1">
        <f>PI()*$U$14*X10*7.851/1000</f>
        <v>12.517306791091732</v>
      </c>
      <c r="Y14" s="1">
        <f>PI()*$U$14*Y10*7.851/1000</f>
        <v>14.305493475533408</v>
      </c>
      <c r="Z14" s="10">
        <f>PI()*$U$14*Z10*7.851/1000</f>
        <v>17.881866844416763</v>
      </c>
      <c r="AA14" t="s">
        <v>9</v>
      </c>
      <c r="AC14" s="136"/>
      <c r="AD14" s="15">
        <v>130</v>
      </c>
      <c r="AE14" s="20">
        <f>4*$AD$14*AE10*7.851/1000</f>
        <v>10.206299999999999</v>
      </c>
      <c r="AF14" s="16">
        <f>4*$AD$14*AF10*7.851/1000</f>
        <v>12.24756</v>
      </c>
      <c r="AG14" s="16">
        <f>4*$AD$14*AG10*7.851/1000</f>
        <v>14.288819999999999</v>
      </c>
      <c r="AH14" s="16">
        <f>4*$AD$14*AH10*7.851/1000</f>
        <v>16.330079999999999</v>
      </c>
      <c r="AI14" s="21">
        <f>4*$AD$14*AI10*7.851/1000</f>
        <v>20.412599999999998</v>
      </c>
      <c r="AJ14" t="s">
        <v>9</v>
      </c>
    </row>
    <row r="15" spans="2:38" ht="15" thickBot="1" x14ac:dyDescent="0.35">
      <c r="B15" s="137"/>
      <c r="C15" s="4">
        <v>135</v>
      </c>
      <c r="D15" s="47">
        <f>0.866*($C$15^2 - ($C$15-2*D10)^2)*1000*7.86/1000000</f>
        <v>9.0189570000000003</v>
      </c>
      <c r="E15" s="11">
        <f t="shared" ref="E15:H15" si="8">0.866*($C$15^2 - ($C$15-2*E10)^2)*1000*7.86/1000000</f>
        <v>10.781907840000001</v>
      </c>
      <c r="F15" s="11">
        <f t="shared" si="8"/>
        <v>12.531245160000001</v>
      </c>
      <c r="G15" s="11">
        <f t="shared" si="8"/>
        <v>14.266968960000002</v>
      </c>
      <c r="H15" s="12">
        <f t="shared" si="8"/>
        <v>17.697576000000002</v>
      </c>
      <c r="I15" t="s">
        <v>9</v>
      </c>
      <c r="K15" s="137"/>
      <c r="L15" s="4">
        <v>140</v>
      </c>
      <c r="M15" s="47">
        <f>$L$15/TAN(67.5*PI()/180)*8*M10*1000*7.8/1000000</f>
        <v>9.0464242022283958</v>
      </c>
      <c r="N15" s="11">
        <f t="shared" ref="N15:Q15" si="9">$L$15/TAN(67.5*PI()/180)*8*N10*1000*7.8/1000000</f>
        <v>10.855709042674075</v>
      </c>
      <c r="O15" s="11">
        <f t="shared" si="9"/>
        <v>12.664993883119752</v>
      </c>
      <c r="P15" s="11">
        <f t="shared" si="9"/>
        <v>14.474278723565433</v>
      </c>
      <c r="Q15" s="12">
        <f t="shared" si="9"/>
        <v>18.092848404456792</v>
      </c>
      <c r="R15" t="s">
        <v>9</v>
      </c>
      <c r="T15" s="137"/>
      <c r="U15" s="4">
        <v>150</v>
      </c>
      <c r="V15" s="47">
        <f>PI()*U15*$V$10*7.851/1000</f>
        <v>9.2492414712500501</v>
      </c>
      <c r="W15" s="11">
        <f>PI()*$U$15*W10*7.851/1000</f>
        <v>11.099089765500059</v>
      </c>
      <c r="X15" s="11">
        <f>PI()*$U$15*X10*7.851/1000</f>
        <v>12.94893805975007</v>
      </c>
      <c r="Y15" s="11">
        <f>PI()*$U$15*Y10*7.851/1000</f>
        <v>14.798786354000081</v>
      </c>
      <c r="Z15" s="12">
        <f>PI()*$U$15*Z10*7.851/1000</f>
        <v>18.4984829425001</v>
      </c>
      <c r="AA15" t="s">
        <v>9</v>
      </c>
      <c r="AC15" s="137"/>
      <c r="AD15" s="7">
        <v>140</v>
      </c>
      <c r="AE15" s="65">
        <f>4*$AD$15*AE10*7.851/1000</f>
        <v>10.991400000000001</v>
      </c>
      <c r="AF15" s="22">
        <f>4*$AD$15*AF10*7.851/1000</f>
        <v>13.189680000000001</v>
      </c>
      <c r="AG15" s="22">
        <f>4*$AD$15*AG10*7.851/1000</f>
        <v>15.38796</v>
      </c>
      <c r="AH15" s="22">
        <f>4*$AD$15*AH10*7.851/1000</f>
        <v>17.58624</v>
      </c>
      <c r="AI15" s="23">
        <f>4*$AD$15*AI10*7.851/1000</f>
        <v>21.982800000000001</v>
      </c>
      <c r="AJ15" t="s">
        <v>9</v>
      </c>
    </row>
    <row r="16" spans="2:38" x14ac:dyDescent="0.3">
      <c r="C16" t="s">
        <v>8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L16" t="s">
        <v>8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U16" t="s">
        <v>8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D16" t="s">
        <v>8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</row>
    <row r="19" spans="2:36" x14ac:dyDescent="0.3">
      <c r="B19" s="59" t="s">
        <v>5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</row>
    <row r="20" spans="2:36" ht="15" thickBot="1" x14ac:dyDescent="0.35"/>
    <row r="21" spans="2:36" ht="15" thickBot="1" x14ac:dyDescent="0.35">
      <c r="D21" s="138" t="s">
        <v>87</v>
      </c>
      <c r="E21" s="139"/>
      <c r="F21" s="139"/>
      <c r="G21" s="139"/>
      <c r="H21" s="140"/>
      <c r="M21" s="138" t="s">
        <v>82</v>
      </c>
      <c r="N21" s="139"/>
      <c r="O21" s="139"/>
      <c r="P21" s="139"/>
      <c r="Q21" s="140"/>
      <c r="V21" s="138" t="s">
        <v>0</v>
      </c>
      <c r="W21" s="139"/>
      <c r="X21" s="139"/>
      <c r="Y21" s="139"/>
      <c r="Z21" s="140"/>
      <c r="AE21" s="138" t="s">
        <v>3</v>
      </c>
      <c r="AF21" s="139"/>
      <c r="AG21" s="139"/>
      <c r="AH21" s="139"/>
      <c r="AI21" s="140"/>
    </row>
    <row r="22" spans="2:36" ht="15" thickBot="1" x14ac:dyDescent="0.35"/>
    <row r="23" spans="2:36" x14ac:dyDescent="0.3">
      <c r="D23" s="141" t="s">
        <v>2</v>
      </c>
      <c r="E23" s="142"/>
      <c r="F23" s="142"/>
      <c r="G23" s="142"/>
      <c r="H23" s="143"/>
      <c r="M23" s="141" t="s">
        <v>2</v>
      </c>
      <c r="N23" s="142"/>
      <c r="O23" s="142"/>
      <c r="P23" s="142"/>
      <c r="Q23" s="143"/>
      <c r="V23" s="141" t="s">
        <v>2</v>
      </c>
      <c r="W23" s="142"/>
      <c r="X23" s="142"/>
      <c r="Y23" s="142"/>
      <c r="Z23" s="143"/>
      <c r="AE23" s="141" t="s">
        <v>2</v>
      </c>
      <c r="AF23" s="142"/>
      <c r="AG23" s="142"/>
      <c r="AH23" s="142"/>
      <c r="AI23" s="143"/>
    </row>
    <row r="24" spans="2:36" ht="15" thickBot="1" x14ac:dyDescent="0.35">
      <c r="D24" s="6">
        <v>2.5</v>
      </c>
      <c r="E24" s="7">
        <v>3</v>
      </c>
      <c r="F24" s="7">
        <v>3.5</v>
      </c>
      <c r="G24" s="7">
        <v>4</v>
      </c>
      <c r="H24" s="4">
        <v>5</v>
      </c>
      <c r="I24" t="s">
        <v>8</v>
      </c>
      <c r="M24" s="14">
        <v>2.5</v>
      </c>
      <c r="N24" s="15">
        <v>3</v>
      </c>
      <c r="O24" s="15">
        <v>3.5</v>
      </c>
      <c r="P24" s="15">
        <v>4</v>
      </c>
      <c r="Q24" s="3">
        <v>5</v>
      </c>
      <c r="R24" t="s">
        <v>8</v>
      </c>
      <c r="V24" s="14">
        <v>2.5</v>
      </c>
      <c r="W24" s="15">
        <v>3</v>
      </c>
      <c r="X24" s="15">
        <v>3.5</v>
      </c>
      <c r="Y24" s="15">
        <v>4</v>
      </c>
      <c r="Z24" s="3">
        <v>5</v>
      </c>
      <c r="AA24" t="s">
        <v>8</v>
      </c>
      <c r="AE24" s="14">
        <v>2.5</v>
      </c>
      <c r="AF24" s="15">
        <v>3</v>
      </c>
      <c r="AG24" s="15">
        <v>3.5</v>
      </c>
      <c r="AH24" s="15">
        <v>4</v>
      </c>
      <c r="AI24" s="3">
        <v>5</v>
      </c>
      <c r="AJ24" t="s">
        <v>8</v>
      </c>
    </row>
    <row r="25" spans="2:36" ht="15" customHeight="1" x14ac:dyDescent="0.3">
      <c r="B25" s="135" t="s">
        <v>81</v>
      </c>
      <c r="C25" s="2">
        <v>110</v>
      </c>
      <c r="D25" s="46">
        <f>0.1203*($C$25^4 - ($C$25-2*D24)^4)</f>
        <v>2990582.8125</v>
      </c>
      <c r="E25" s="45">
        <f t="shared" ref="E25:H25" si="10">0.1203*($C$25^4 - ($C$25-2*E24)^4)</f>
        <v>3539724.5232000002</v>
      </c>
      <c r="F25" s="5">
        <f t="shared" si="10"/>
        <v>4073252.0157000003</v>
      </c>
      <c r="G25" s="5">
        <f t="shared" si="10"/>
        <v>4591464.1151999999</v>
      </c>
      <c r="H25" s="8">
        <f t="shared" si="10"/>
        <v>5583123</v>
      </c>
      <c r="I25" t="s">
        <v>10</v>
      </c>
      <c r="K25" s="135" t="s">
        <v>81</v>
      </c>
      <c r="L25" s="13">
        <v>120</v>
      </c>
      <c r="M25" s="43">
        <f>1.7515*(($L$25/2)^4 - ($L$25/2 - M24)^4)</f>
        <v>3553287.20703125</v>
      </c>
      <c r="N25" s="44">
        <f t="shared" ref="N25:Q25" si="11">1.7515*(($L$25/2)^4 - ($L$25/2 - N24)^4)</f>
        <v>4210604.2484999998</v>
      </c>
      <c r="O25" s="24">
        <f t="shared" si="11"/>
        <v>4850849.2005312499</v>
      </c>
      <c r="P25" s="24">
        <f t="shared" si="11"/>
        <v>5474320.2560000001</v>
      </c>
      <c r="Q25" s="25">
        <f t="shared" si="11"/>
        <v>6672120.3125</v>
      </c>
      <c r="R25" t="s">
        <v>10</v>
      </c>
      <c r="T25" s="135" t="s">
        <v>1</v>
      </c>
      <c r="U25" s="13">
        <v>130</v>
      </c>
      <c r="V25" s="66">
        <f>PI()/32 *($U$25^4 - ($U$25- 2*V24)^4)</f>
        <v>4071246.3702800069</v>
      </c>
      <c r="W25" s="67">
        <f>PI()/32 *($U$25^4 - ($U$25-2*W24)^4)</f>
        <v>4829081.8687059553</v>
      </c>
      <c r="X25" s="51">
        <f>PI()/32 *($U$25^4 - ($U$25-2*X24)^4)</f>
        <v>5568802.7475417648</v>
      </c>
      <c r="Y25" s="51">
        <f>PI()/32 *($U$25^4 - ($U$25-2*Y24)^4)</f>
        <v>6290699.9968069727</v>
      </c>
      <c r="Z25" s="52">
        <f>PI()/32 *($U$25^4 - ($U$25-2*Z24)^4)</f>
        <v>7682175.7857312914</v>
      </c>
      <c r="AA25" t="s">
        <v>10</v>
      </c>
      <c r="AC25" s="135" t="s">
        <v>4</v>
      </c>
      <c r="AD25" s="13">
        <v>100</v>
      </c>
      <c r="AE25" s="58">
        <f>1/6*($AD$25^4 - ($AD$25-2*AE24)^4)</f>
        <v>3091562.5</v>
      </c>
      <c r="AF25" s="44">
        <f t="shared" ref="AF25:AI25" si="12">1/6*($AD$25^4 - ($AD$25-2*AF24)^4)</f>
        <v>3654184</v>
      </c>
      <c r="AG25" s="44">
        <f t="shared" si="12"/>
        <v>4199133.166666666</v>
      </c>
      <c r="AH25" s="24">
        <f t="shared" si="12"/>
        <v>4726784</v>
      </c>
      <c r="AI25" s="25">
        <f t="shared" si="12"/>
        <v>5731666.666666666</v>
      </c>
      <c r="AJ25" t="s">
        <v>10</v>
      </c>
    </row>
    <row r="26" spans="2:36" x14ac:dyDescent="0.3">
      <c r="B26" s="136"/>
      <c r="C26" s="3">
        <v>120</v>
      </c>
      <c r="D26" s="9">
        <f>0.1203*($C$26^4 - ($C$26-2*D24)^4)</f>
        <v>3904862.8125</v>
      </c>
      <c r="E26" s="1">
        <f t="shared" ref="E26:H26" si="13">0.1203*($C$26^4 - ($C$26-2*E24)^4)</f>
        <v>4627217.2752</v>
      </c>
      <c r="F26" s="1">
        <f t="shared" si="13"/>
        <v>5330810.4717000006</v>
      </c>
      <c r="G26" s="1">
        <f t="shared" si="13"/>
        <v>6015970.0992000001</v>
      </c>
      <c r="H26" s="10">
        <f t="shared" si="13"/>
        <v>7332285</v>
      </c>
      <c r="I26" t="s">
        <v>10</v>
      </c>
      <c r="K26" s="136"/>
      <c r="L26" s="15">
        <v>125</v>
      </c>
      <c r="M26" s="26">
        <f>1.7515*(($L$26/2)^4 - ($L$26/2 - M24)^4)</f>
        <v>4026329.04296875</v>
      </c>
      <c r="N26" s="27">
        <f t="shared" ref="N26:Q26" si="14">1.7515*(($L$26/2)^4 - ($L$26/2 - N24)^4)</f>
        <v>4773571.3785000006</v>
      </c>
      <c r="O26" s="27">
        <f t="shared" si="14"/>
        <v>5502211.2514687497</v>
      </c>
      <c r="P26" s="27">
        <f t="shared" si="14"/>
        <v>6212559.9910000004</v>
      </c>
      <c r="Q26" s="28">
        <f t="shared" si="14"/>
        <v>7579616.25</v>
      </c>
      <c r="R26" t="s">
        <v>10</v>
      </c>
      <c r="T26" s="136"/>
      <c r="U26" s="15">
        <v>135</v>
      </c>
      <c r="V26" s="53">
        <f>PI()/32 *($U$26^4 - ($U$26-2*V24)^4)</f>
        <v>4569115.1747961706</v>
      </c>
      <c r="W26" s="54">
        <f>PI()/32 *($U$26^4 - ($U$26-2*W24)^4)</f>
        <v>5421971.0882730559</v>
      </c>
      <c r="X26" s="54">
        <f>PI()/32 *($U$26^4 - ($U$26-2*X24)^4)</f>
        <v>6255222.0891447542</v>
      </c>
      <c r="Y26" s="54">
        <f>PI()/32 *($U$26^4 - ($U$26-2*Y24)^4)</f>
        <v>7069170.948403256</v>
      </c>
      <c r="Z26" s="55">
        <f>PI()/32 *($U$26^4 - ($U$26-2*Z24)^4)</f>
        <v>8640361.5450761784</v>
      </c>
      <c r="AA26" t="s">
        <v>10</v>
      </c>
      <c r="AC26" s="136"/>
      <c r="AD26" s="15">
        <v>110</v>
      </c>
      <c r="AE26" s="26">
        <f>1/6*($AD$26^4 - ($AD$26-2*AE24)^4)</f>
        <v>4143229.1666666665</v>
      </c>
      <c r="AF26" s="27">
        <f t="shared" ref="AF26:AI26" si="15">1/6*($AD$26^4 - ($AD$26-2*AF24)^4)</f>
        <v>4904024</v>
      </c>
      <c r="AG26" s="27">
        <f t="shared" si="15"/>
        <v>5643186.5</v>
      </c>
      <c r="AH26" s="27">
        <f t="shared" si="15"/>
        <v>6361130.666666666</v>
      </c>
      <c r="AI26" s="28">
        <f t="shared" si="15"/>
        <v>7735000</v>
      </c>
      <c r="AJ26" t="s">
        <v>10</v>
      </c>
    </row>
    <row r="27" spans="2:36" x14ac:dyDescent="0.3">
      <c r="B27" s="136"/>
      <c r="C27" s="41">
        <v>122.5</v>
      </c>
      <c r="D27" s="9">
        <f>0.1203*($C$27^4 - ($C$27-2*D24)^4)</f>
        <v>4159372.5</v>
      </c>
      <c r="E27" s="1">
        <f t="shared" ref="E27:H27" si="16">0.1203*($C$27^4 - ($C$27-2*E24)^4)</f>
        <v>4930082.7506999997</v>
      </c>
      <c r="F27" s="1">
        <f t="shared" si="16"/>
        <v>5681199.8607000001</v>
      </c>
      <c r="G27" s="1">
        <f t="shared" si="16"/>
        <v>6413058.7451999998</v>
      </c>
      <c r="H27" s="10">
        <f t="shared" si="16"/>
        <v>7820327.0625</v>
      </c>
      <c r="I27" t="s">
        <v>10</v>
      </c>
      <c r="K27" s="136"/>
      <c r="L27" s="15">
        <v>130</v>
      </c>
      <c r="M27" s="26">
        <f>1.7515*(($L$27/2)^4 - ($L$27/2 - M24)^4)</f>
        <v>4539600.64453125</v>
      </c>
      <c r="N27" s="27">
        <f t="shared" ref="N27:Q27" si="17">1.7515*(($L$27/2)^4 - ($L$27/2 - N24)^4)</f>
        <v>5384617.1835000003</v>
      </c>
      <c r="O27" s="27">
        <f t="shared" si="17"/>
        <v>6209435.2055312498</v>
      </c>
      <c r="P27" s="27">
        <f t="shared" si="17"/>
        <v>7014379.176</v>
      </c>
      <c r="Q27" s="28">
        <f t="shared" si="17"/>
        <v>8565929.6875</v>
      </c>
      <c r="R27" t="s">
        <v>10</v>
      </c>
      <c r="T27" s="136"/>
      <c r="U27" s="15">
        <v>140</v>
      </c>
      <c r="V27" s="53">
        <f>PI()/32 *($U$27^4 - ($U$27-2*V24)^4)</f>
        <v>5106008.450556145</v>
      </c>
      <c r="W27" s="54">
        <f t="shared" ref="W27:Z27" si="18">PI()/32 *($U$27^4 - ($U$27-2*W24)^4)</f>
        <v>6061512.9587459639</v>
      </c>
      <c r="X27" s="54">
        <f t="shared" si="18"/>
        <v>6995863.3564532939</v>
      </c>
      <c r="Y27" s="54">
        <f t="shared" si="18"/>
        <v>7909374.1956425784</v>
      </c>
      <c r="Z27" s="55">
        <f t="shared" si="18"/>
        <v>9675123.6253523156</v>
      </c>
      <c r="AA27" t="s">
        <v>10</v>
      </c>
      <c r="AC27" s="136"/>
      <c r="AD27" s="15">
        <v>120</v>
      </c>
      <c r="AE27" s="61">
        <f>1/6*($AD$27^4 - ($AD$27-2*AE24)^4)</f>
        <v>5409895.833333333</v>
      </c>
      <c r="AF27" s="27">
        <f t="shared" ref="AF27:AI27" si="19">1/6*($AD$27^4 - ($AD$27-2*AF24)^4)</f>
        <v>6410664</v>
      </c>
      <c r="AG27" s="27">
        <f t="shared" si="19"/>
        <v>7385439.833333333</v>
      </c>
      <c r="AH27" s="27">
        <f t="shared" si="19"/>
        <v>8334677.333333333</v>
      </c>
      <c r="AI27" s="28">
        <f t="shared" si="19"/>
        <v>10158333.333333332</v>
      </c>
      <c r="AJ27" t="s">
        <v>10</v>
      </c>
    </row>
    <row r="28" spans="2:36" x14ac:dyDescent="0.3">
      <c r="B28" s="136"/>
      <c r="C28" s="3">
        <v>130</v>
      </c>
      <c r="D28" s="9">
        <f>0.1203*($C$28^4 - ($C$28-2*D24)^4)</f>
        <v>4988765.8125</v>
      </c>
      <c r="E28" s="1">
        <f t="shared" ref="E28:H28" si="20">0.1203*($C$28^4 - ($C$28-2*E24)^4)</f>
        <v>5917391.4671999998</v>
      </c>
      <c r="F28" s="1">
        <f t="shared" si="20"/>
        <v>6823820.0877</v>
      </c>
      <c r="G28" s="1">
        <f t="shared" si="20"/>
        <v>7708408.2432000004</v>
      </c>
      <c r="H28" s="10">
        <f t="shared" si="20"/>
        <v>9413475</v>
      </c>
      <c r="I28" t="s">
        <v>10</v>
      </c>
      <c r="K28" s="136"/>
      <c r="L28" s="15">
        <v>135</v>
      </c>
      <c r="M28" s="26">
        <f>1.7515*(($L$28/2)^4 - ($L$28/2 - M24)^4)</f>
        <v>5094744.04296875</v>
      </c>
      <c r="N28" s="27">
        <f t="shared" ref="N28:Q28" si="21">1.7515*(($L$28/2)^4 - ($L$28/2 - N24)^4)</f>
        <v>6045712.1009999998</v>
      </c>
      <c r="O28" s="27">
        <f t="shared" si="21"/>
        <v>6974819.90646875</v>
      </c>
      <c r="P28" s="27">
        <f t="shared" si="21"/>
        <v>7882405.0610000007</v>
      </c>
      <c r="Q28" s="28">
        <f t="shared" si="21"/>
        <v>9634344.6875</v>
      </c>
      <c r="R28" t="s">
        <v>10</v>
      </c>
      <c r="T28" s="136"/>
      <c r="U28" s="15">
        <v>145</v>
      </c>
      <c r="V28" s="53">
        <f>PI()/32 *($U$28^4 - ($U$28-2*V24)^4)</f>
        <v>5683398.8191163009</v>
      </c>
      <c r="W28" s="54">
        <f t="shared" ref="W28:Z28" si="22">PI()/32 *($U$28^4 - ($U$28-2*W24)^4)</f>
        <v>6749474.6259923242</v>
      </c>
      <c r="X28" s="54">
        <f t="shared" si="22"/>
        <v>7792788.2196463048</v>
      </c>
      <c r="Y28" s="54">
        <f t="shared" si="22"/>
        <v>8813665.9330151323</v>
      </c>
      <c r="Z28" s="55">
        <f t="shared" si="22"/>
        <v>10789407.269672446</v>
      </c>
      <c r="AA28" t="s">
        <v>10</v>
      </c>
      <c r="AC28" s="136"/>
      <c r="AD28" s="15">
        <v>130</v>
      </c>
      <c r="AE28" s="26">
        <f>1/6*($AD$28^4 - ($AD$28-2*AE24)^4)</f>
        <v>6911562.5</v>
      </c>
      <c r="AF28" s="27">
        <f t="shared" ref="AF28:AI28" si="23">1/6*($AD$28^4 - ($AD$28-2*AF24)^4)</f>
        <v>8198104</v>
      </c>
      <c r="AG28" s="27">
        <f t="shared" si="23"/>
        <v>9453893.166666666</v>
      </c>
      <c r="AH28" s="27">
        <f t="shared" si="23"/>
        <v>10679424</v>
      </c>
      <c r="AI28" s="28">
        <f t="shared" si="23"/>
        <v>13041666.666666666</v>
      </c>
      <c r="AJ28" t="s">
        <v>10</v>
      </c>
    </row>
    <row r="29" spans="2:36" ht="15" thickBot="1" x14ac:dyDescent="0.35">
      <c r="B29" s="137"/>
      <c r="C29" s="4">
        <v>135</v>
      </c>
      <c r="D29" s="47">
        <f>0.1203*($C$29^4 - ($C$29-2*D24)^4)</f>
        <v>5598837.1875</v>
      </c>
      <c r="E29" s="11">
        <f t="shared" ref="E29:H29" si="24">0.1203*($C$29^4 - ($C$29-2*E24)^4)</f>
        <v>6643897.6031999998</v>
      </c>
      <c r="F29" s="11">
        <f t="shared" si="24"/>
        <v>7664934.8306999998</v>
      </c>
      <c r="G29" s="11">
        <f t="shared" si="24"/>
        <v>8662319.8751999997</v>
      </c>
      <c r="H29" s="12">
        <f t="shared" si="24"/>
        <v>10587603</v>
      </c>
      <c r="I29" t="s">
        <v>10</v>
      </c>
      <c r="K29" s="137"/>
      <c r="L29" s="7">
        <v>140</v>
      </c>
      <c r="M29" s="42">
        <f>1.7515*(($L$29/2)^4 - ($L$29/2 - M24)^4)</f>
        <v>5693401.26953125</v>
      </c>
      <c r="N29" s="29">
        <f t="shared" ref="N29:Q29" si="25">1.7515*(($L$29/2)^4 - ($L$29/2 - N24)^4)</f>
        <v>6758826.5685000001</v>
      </c>
      <c r="O29" s="29">
        <f t="shared" si="25"/>
        <v>7800664.1980312504</v>
      </c>
      <c r="P29" s="29">
        <f t="shared" si="25"/>
        <v>8819264.8959999997</v>
      </c>
      <c r="Q29" s="30">
        <f t="shared" si="25"/>
        <v>10788145.3125</v>
      </c>
      <c r="R29" t="s">
        <v>10</v>
      </c>
      <c r="T29" s="137"/>
      <c r="U29" s="7">
        <v>150</v>
      </c>
      <c r="V29" s="68">
        <f>PI()/32 *($U$29^4 - ($U$29-2*V24)^4)</f>
        <v>6302758.9020330068</v>
      </c>
      <c r="W29" s="56">
        <f>PI()/32 *($U$29^4 - ($U$29-2*W24)^4)</f>
        <v>7487623.2358797826</v>
      </c>
      <c r="X29" s="56">
        <f t="shared" ref="X29:Z29" si="26">PI()/16 *($U$29^4 - ($U$29-X24)^4)</f>
        <v>8957824.3791881017</v>
      </c>
      <c r="Y29" s="56">
        <f t="shared" si="26"/>
        <v>10186249.754517088</v>
      </c>
      <c r="Z29" s="57">
        <f t="shared" si="26"/>
        <v>12605517.804066014</v>
      </c>
      <c r="AA29" t="s">
        <v>10</v>
      </c>
      <c r="AC29" s="137"/>
      <c r="AD29" s="7">
        <v>140</v>
      </c>
      <c r="AE29" s="42">
        <f>1/6*($AD$29^4 - ($AD$29-2*AE24)^4)</f>
        <v>8668229.166666666</v>
      </c>
      <c r="AF29" s="29">
        <f t="shared" ref="AF29:AI29" si="27">1/6*($AD$29^4 - ($AD$29-2*AF24)^4)</f>
        <v>10290344</v>
      </c>
      <c r="AG29" s="29">
        <f t="shared" si="27"/>
        <v>11876546.5</v>
      </c>
      <c r="AH29" s="29">
        <f t="shared" si="27"/>
        <v>13427370.666666666</v>
      </c>
      <c r="AI29" s="30">
        <f t="shared" si="27"/>
        <v>16425000</v>
      </c>
      <c r="AJ29" t="s">
        <v>10</v>
      </c>
    </row>
    <row r="30" spans="2:36" x14ac:dyDescent="0.3">
      <c r="C30" t="s">
        <v>8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L30" t="s">
        <v>8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U30" t="s">
        <v>8</v>
      </c>
      <c r="V30" t="s">
        <v>10</v>
      </c>
      <c r="W30" t="s">
        <v>10</v>
      </c>
      <c r="X30" t="s">
        <v>10</v>
      </c>
      <c r="Y30" t="s">
        <v>10</v>
      </c>
      <c r="Z30" t="s">
        <v>10</v>
      </c>
      <c r="AD30" t="s">
        <v>8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</row>
    <row r="34" spans="2:36" x14ac:dyDescent="0.3">
      <c r="B34" s="59" t="s">
        <v>74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</row>
    <row r="35" spans="2:36" ht="15" thickBot="1" x14ac:dyDescent="0.35"/>
    <row r="36" spans="2:36" ht="15" thickBot="1" x14ac:dyDescent="0.35">
      <c r="D36" s="138" t="s">
        <v>87</v>
      </c>
      <c r="E36" s="139"/>
      <c r="F36" s="139"/>
      <c r="G36" s="139"/>
      <c r="H36" s="140"/>
      <c r="M36" s="138" t="s">
        <v>82</v>
      </c>
      <c r="N36" s="139"/>
      <c r="O36" s="139"/>
      <c r="P36" s="139"/>
      <c r="Q36" s="140"/>
      <c r="V36" s="138" t="s">
        <v>0</v>
      </c>
      <c r="W36" s="139"/>
      <c r="X36" s="139"/>
      <c r="Y36" s="139"/>
      <c r="Z36" s="140"/>
      <c r="AE36" s="138" t="s">
        <v>3</v>
      </c>
      <c r="AF36" s="139"/>
      <c r="AG36" s="139"/>
      <c r="AH36" s="139"/>
      <c r="AI36" s="140"/>
    </row>
    <row r="37" spans="2:36" ht="15" thickBot="1" x14ac:dyDescent="0.35"/>
    <row r="38" spans="2:36" x14ac:dyDescent="0.3">
      <c r="D38" s="141" t="s">
        <v>2</v>
      </c>
      <c r="E38" s="142"/>
      <c r="F38" s="142"/>
      <c r="G38" s="142"/>
      <c r="H38" s="143"/>
      <c r="M38" s="141" t="s">
        <v>2</v>
      </c>
      <c r="N38" s="142"/>
      <c r="O38" s="142"/>
      <c r="P38" s="142"/>
      <c r="Q38" s="143"/>
      <c r="V38" s="141" t="s">
        <v>2</v>
      </c>
      <c r="W38" s="142"/>
      <c r="X38" s="142"/>
      <c r="Y38" s="142"/>
      <c r="Z38" s="143"/>
      <c r="AE38" s="141" t="s">
        <v>2</v>
      </c>
      <c r="AF38" s="142"/>
      <c r="AG38" s="142"/>
      <c r="AH38" s="142"/>
      <c r="AI38" s="143"/>
    </row>
    <row r="39" spans="2:36" ht="15" thickBot="1" x14ac:dyDescent="0.35">
      <c r="D39" s="6">
        <v>2.5</v>
      </c>
      <c r="E39" s="7">
        <v>3</v>
      </c>
      <c r="F39" s="7">
        <v>3.5</v>
      </c>
      <c r="G39" s="7">
        <v>4</v>
      </c>
      <c r="H39" s="4">
        <v>5</v>
      </c>
      <c r="I39" t="s">
        <v>8</v>
      </c>
      <c r="M39" s="14">
        <v>2.5</v>
      </c>
      <c r="N39" s="15">
        <v>3</v>
      </c>
      <c r="O39" s="15">
        <v>3.5</v>
      </c>
      <c r="P39" s="15">
        <v>4</v>
      </c>
      <c r="Q39" s="3">
        <v>5</v>
      </c>
      <c r="R39" t="s">
        <v>8</v>
      </c>
      <c r="V39" s="14">
        <v>2.5</v>
      </c>
      <c r="W39" s="15">
        <v>3</v>
      </c>
      <c r="X39" s="15">
        <v>3.5</v>
      </c>
      <c r="Y39" s="15">
        <v>4</v>
      </c>
      <c r="Z39" s="3">
        <v>5</v>
      </c>
      <c r="AA39" t="s">
        <v>8</v>
      </c>
      <c r="AE39" s="14">
        <v>2.5</v>
      </c>
      <c r="AF39" s="15">
        <v>3</v>
      </c>
      <c r="AG39" s="15">
        <v>3.5</v>
      </c>
      <c r="AH39" s="15">
        <v>4</v>
      </c>
      <c r="AI39" s="3">
        <v>5</v>
      </c>
      <c r="AJ39" t="s">
        <v>8</v>
      </c>
    </row>
    <row r="40" spans="2:36" ht="14.4" customHeight="1" x14ac:dyDescent="0.3">
      <c r="B40" s="135" t="s">
        <v>81</v>
      </c>
      <c r="C40" s="2">
        <v>110</v>
      </c>
      <c r="D40" s="49">
        <f t="shared" ref="D40:H40" si="28">D25/D11/1000000</f>
        <v>0.40870215785483843</v>
      </c>
      <c r="E40" s="50">
        <f t="shared" si="28"/>
        <v>0.40500837402817197</v>
      </c>
      <c r="F40" s="33">
        <f t="shared" si="28"/>
        <v>0.4013499374151579</v>
      </c>
      <c r="G40" s="33">
        <f t="shared" si="28"/>
        <v>0.39772684801579605</v>
      </c>
      <c r="H40" s="34">
        <f t="shared" si="28"/>
        <v>0.39058671085802937</v>
      </c>
      <c r="I40" t="s">
        <v>72</v>
      </c>
      <c r="K40" s="135" t="s">
        <v>81</v>
      </c>
      <c r="L40" s="2">
        <v>120</v>
      </c>
      <c r="M40" s="49">
        <f t="shared" ref="M40:Q40" si="29">M25/M11/1000000</f>
        <v>0.45824755161440489</v>
      </c>
      <c r="N40" s="50">
        <f t="shared" si="29"/>
        <v>0.45251504106634938</v>
      </c>
      <c r="O40" s="33">
        <f t="shared" si="29"/>
        <v>0.44684775369922269</v>
      </c>
      <c r="P40" s="33">
        <f t="shared" si="29"/>
        <v>0.44124526598587593</v>
      </c>
      <c r="Q40" s="34">
        <f t="shared" si="29"/>
        <v>0.43023299541192611</v>
      </c>
      <c r="R40" t="s">
        <v>72</v>
      </c>
      <c r="T40" s="135" t="s">
        <v>1</v>
      </c>
      <c r="U40" s="13">
        <v>130</v>
      </c>
      <c r="V40" s="49">
        <f t="shared" ref="V40:Z44" si="30">V25/V11/1000000</f>
        <v>0.50788942858822494</v>
      </c>
      <c r="W40" s="50">
        <f t="shared" si="30"/>
        <v>0.50202472982373625</v>
      </c>
      <c r="X40" s="33">
        <f t="shared" si="30"/>
        <v>0.49622151269314052</v>
      </c>
      <c r="Y40" s="33">
        <f t="shared" si="30"/>
        <v>0.4904794097763146</v>
      </c>
      <c r="Z40" s="34">
        <f t="shared" si="30"/>
        <v>0.47917707690348127</v>
      </c>
      <c r="AA40" t="s">
        <v>72</v>
      </c>
      <c r="AC40" s="135" t="s">
        <v>4</v>
      </c>
      <c r="AD40" s="13">
        <v>100</v>
      </c>
      <c r="AE40" s="32">
        <f t="shared" ref="AE40:AI44" si="31">AE25/AE11/1000000</f>
        <v>0.39377945484651639</v>
      </c>
      <c r="AF40" s="50">
        <f t="shared" si="31"/>
        <v>0.38786821211735234</v>
      </c>
      <c r="AG40" s="50">
        <f t="shared" si="31"/>
        <v>0.38203806309175042</v>
      </c>
      <c r="AH40" s="33">
        <f t="shared" si="31"/>
        <v>0.37628837090816453</v>
      </c>
      <c r="AI40" s="34">
        <f t="shared" si="31"/>
        <v>0.36502780962085501</v>
      </c>
      <c r="AJ40" t="s">
        <v>72</v>
      </c>
    </row>
    <row r="41" spans="2:36" x14ac:dyDescent="0.3">
      <c r="B41" s="136"/>
      <c r="C41" s="3">
        <v>120</v>
      </c>
      <c r="D41" s="35">
        <f t="shared" ref="D41:H41" si="32">D26/D12/1000000</f>
        <v>0.48823338857253668</v>
      </c>
      <c r="E41" s="36">
        <f t="shared" si="32"/>
        <v>0.48418613260934718</v>
      </c>
      <c r="F41" s="36">
        <f t="shared" si="32"/>
        <v>0.48017422385980996</v>
      </c>
      <c r="G41" s="36">
        <f t="shared" si="32"/>
        <v>0.47619766232392507</v>
      </c>
      <c r="H41" s="37">
        <f t="shared" si="32"/>
        <v>0.46835058089311216</v>
      </c>
      <c r="I41" t="s">
        <v>72</v>
      </c>
      <c r="K41" s="136"/>
      <c r="L41" s="3">
        <v>125</v>
      </c>
      <c r="M41" s="35">
        <f t="shared" ref="M41:Q41" si="33">M26/M12/1000000</f>
        <v>0.49848298369804317</v>
      </c>
      <c r="N41" s="36">
        <f t="shared" si="33"/>
        <v>0.49249661380045873</v>
      </c>
      <c r="O41" s="36">
        <f t="shared" si="33"/>
        <v>0.4865755687303186</v>
      </c>
      <c r="P41" s="36">
        <f t="shared" si="33"/>
        <v>0.48071944190156013</v>
      </c>
      <c r="Q41" s="37">
        <f t="shared" si="33"/>
        <v>0.46920031662393596</v>
      </c>
      <c r="R41" t="s">
        <v>72</v>
      </c>
      <c r="T41" s="136"/>
      <c r="U41" s="15">
        <v>135</v>
      </c>
      <c r="V41" s="35">
        <f t="shared" si="30"/>
        <v>0.54888767413445805</v>
      </c>
      <c r="W41" s="36">
        <f t="shared" si="30"/>
        <v>0.54278435868042296</v>
      </c>
      <c r="X41" s="36">
        <f t="shared" si="30"/>
        <v>0.53674260650919681</v>
      </c>
      <c r="Y41" s="36">
        <f t="shared" si="30"/>
        <v>0.53076206380880953</v>
      </c>
      <c r="Z41" s="37">
        <f t="shared" si="30"/>
        <v>0.5189831915726707</v>
      </c>
      <c r="AA41" t="s">
        <v>72</v>
      </c>
      <c r="AC41" s="136"/>
      <c r="AD41" s="15">
        <v>110</v>
      </c>
      <c r="AE41" s="35">
        <f t="shared" si="31"/>
        <v>0.47975696977416493</v>
      </c>
      <c r="AF41" s="36">
        <f t="shared" si="31"/>
        <v>0.47320974359568169</v>
      </c>
      <c r="AG41" s="36">
        <f t="shared" si="31"/>
        <v>0.46674395849978573</v>
      </c>
      <c r="AH41" s="36">
        <f t="shared" si="31"/>
        <v>0.4603590355214352</v>
      </c>
      <c r="AI41" s="37">
        <f t="shared" si="31"/>
        <v>0.4478294600572017</v>
      </c>
      <c r="AJ41" t="s">
        <v>72</v>
      </c>
    </row>
    <row r="42" spans="2:36" x14ac:dyDescent="0.3">
      <c r="B42" s="136"/>
      <c r="C42" s="41">
        <v>122.5</v>
      </c>
      <c r="D42" s="35">
        <f t="shared" ref="D42:H42" si="34">D27/D13/1000000</f>
        <v>0.50922079667859599</v>
      </c>
      <c r="E42" s="36">
        <f t="shared" si="34"/>
        <v>0.50508517268127562</v>
      </c>
      <c r="F42" s="36">
        <f t="shared" si="34"/>
        <v>0.50098489589760764</v>
      </c>
      <c r="G42" s="36">
        <f t="shared" si="34"/>
        <v>0.49691996632759189</v>
      </c>
      <c r="H42" s="37">
        <f t="shared" si="34"/>
        <v>0.48889614882851751</v>
      </c>
      <c r="I42" t="s">
        <v>72</v>
      </c>
      <c r="K42" s="136"/>
      <c r="L42" s="3">
        <v>130</v>
      </c>
      <c r="M42" s="35">
        <f t="shared" ref="M42:Q42" si="35">M27/M13/1000000</f>
        <v>0.54041249722805662</v>
      </c>
      <c r="N42" s="36">
        <f t="shared" si="35"/>
        <v>0.53417224821634279</v>
      </c>
      <c r="O42" s="36">
        <f t="shared" si="35"/>
        <v>0.52799741785962628</v>
      </c>
      <c r="P42" s="36">
        <f t="shared" si="35"/>
        <v>0.5218876152097699</v>
      </c>
      <c r="Q42" s="37">
        <f t="shared" si="35"/>
        <v>0.50986152923808759</v>
      </c>
      <c r="R42" t="s">
        <v>72</v>
      </c>
      <c r="T42" s="136"/>
      <c r="U42" s="15">
        <v>140</v>
      </c>
      <c r="V42" s="35">
        <f t="shared" si="30"/>
        <v>0.59147805329621339</v>
      </c>
      <c r="W42" s="36">
        <f t="shared" si="30"/>
        <v>0.58513610641046632</v>
      </c>
      <c r="X42" s="36">
        <f t="shared" si="30"/>
        <v>0.57885579862437897</v>
      </c>
      <c r="Y42" s="36">
        <f t="shared" si="30"/>
        <v>0.57263678876212321</v>
      </c>
      <c r="Z42" s="37">
        <f t="shared" si="30"/>
        <v>0.56038129810579185</v>
      </c>
      <c r="AA42" t="s">
        <v>72</v>
      </c>
      <c r="AC42" s="136"/>
      <c r="AD42" s="15">
        <v>120</v>
      </c>
      <c r="AE42" s="62">
        <f t="shared" si="31"/>
        <v>0.57422577095628302</v>
      </c>
      <c r="AF42" s="36">
        <f t="shared" si="31"/>
        <v>0.56704241497898356</v>
      </c>
      <c r="AG42" s="36">
        <f t="shared" si="31"/>
        <v>0.5599407895667925</v>
      </c>
      <c r="AH42" s="36">
        <f t="shared" si="31"/>
        <v>0.55292036400175493</v>
      </c>
      <c r="AI42" s="37">
        <f t="shared" si="31"/>
        <v>0.53912098954131804</v>
      </c>
      <c r="AJ42" t="s">
        <v>72</v>
      </c>
    </row>
    <row r="43" spans="2:36" x14ac:dyDescent="0.3">
      <c r="B43" s="136"/>
      <c r="C43" s="3">
        <v>130</v>
      </c>
      <c r="D43" s="35">
        <f t="shared" ref="D43:H43" si="36">D28/D14/1000000</f>
        <v>0.5748340620206972</v>
      </c>
      <c r="E43" s="36">
        <f t="shared" si="36"/>
        <v>0.5704333339209845</v>
      </c>
      <c r="F43" s="36">
        <f t="shared" si="36"/>
        <v>0.56606795303492408</v>
      </c>
      <c r="G43" s="36">
        <f t="shared" si="36"/>
        <v>0.56173791936251616</v>
      </c>
      <c r="H43" s="37">
        <f t="shared" si="36"/>
        <v>0.55318389365865694</v>
      </c>
      <c r="I43" t="s">
        <v>72</v>
      </c>
      <c r="K43" s="136"/>
      <c r="L43" s="3">
        <v>135</v>
      </c>
      <c r="M43" s="35">
        <f t="shared" ref="M43:Q43" si="37">M28/M14/1000000</f>
        <v>0.58403609522102051</v>
      </c>
      <c r="N43" s="36">
        <f t="shared" si="37"/>
        <v>0.57754194952664362</v>
      </c>
      <c r="O43" s="36">
        <f t="shared" si="37"/>
        <v>0.57111330936462823</v>
      </c>
      <c r="P43" s="36">
        <f t="shared" si="37"/>
        <v>0.56474979826639748</v>
      </c>
      <c r="Q43" s="37">
        <f t="shared" si="37"/>
        <v>0.552216657386982</v>
      </c>
      <c r="R43" t="s">
        <v>72</v>
      </c>
      <c r="T43" s="136"/>
      <c r="U43" s="15">
        <v>145</v>
      </c>
      <c r="V43" s="35">
        <f t="shared" si="30"/>
        <v>0.63566056816834238</v>
      </c>
      <c r="W43" s="36">
        <f t="shared" si="30"/>
        <v>0.62907997663376947</v>
      </c>
      <c r="X43" s="36">
        <f t="shared" si="30"/>
        <v>0.62256109478695898</v>
      </c>
      <c r="Y43" s="36">
        <f t="shared" si="30"/>
        <v>0.61610359321676578</v>
      </c>
      <c r="Z43" s="37">
        <f t="shared" si="30"/>
        <v>0.60337141326165356</v>
      </c>
      <c r="AA43" t="s">
        <v>72</v>
      </c>
      <c r="AC43" s="136"/>
      <c r="AD43" s="15">
        <v>130</v>
      </c>
      <c r="AE43" s="35">
        <f t="shared" si="31"/>
        <v>0.67718590478429996</v>
      </c>
      <c r="AF43" s="36">
        <f t="shared" si="31"/>
        <v>0.66936630643164841</v>
      </c>
      <c r="AG43" s="36">
        <f t="shared" si="31"/>
        <v>0.66162868359085403</v>
      </c>
      <c r="AH43" s="36">
        <f t="shared" si="31"/>
        <v>0.65397254636841951</v>
      </c>
      <c r="AI43" s="37">
        <f t="shared" si="31"/>
        <v>0.63890276920464162</v>
      </c>
      <c r="AJ43" t="s">
        <v>72</v>
      </c>
    </row>
    <row r="44" spans="2:36" ht="15" thickBot="1" x14ac:dyDescent="0.35">
      <c r="B44" s="137"/>
      <c r="C44" s="4">
        <v>135</v>
      </c>
      <c r="D44" s="48">
        <f t="shared" ref="D44:H44" si="38">D29/D15/1000000</f>
        <v>0.62078543976870049</v>
      </c>
      <c r="E44" s="38">
        <f t="shared" si="38"/>
        <v>0.61620797560072627</v>
      </c>
      <c r="F44" s="38">
        <f t="shared" si="38"/>
        <v>0.61166585864640433</v>
      </c>
      <c r="G44" s="38">
        <f t="shared" si="38"/>
        <v>0.60715908890573478</v>
      </c>
      <c r="H44" s="39">
        <f t="shared" si="38"/>
        <v>0.59825159106535264</v>
      </c>
      <c r="I44" t="s">
        <v>72</v>
      </c>
      <c r="K44" s="137"/>
      <c r="L44" s="4">
        <v>140</v>
      </c>
      <c r="M44" s="48">
        <f t="shared" ref="M44:Q44" si="39">M29/M15/1000000</f>
        <v>0.62935378026257061</v>
      </c>
      <c r="N44" s="38">
        <f t="shared" si="39"/>
        <v>0.62260572219934007</v>
      </c>
      <c r="O44" s="38">
        <f t="shared" si="39"/>
        <v>0.61592325034030915</v>
      </c>
      <c r="P44" s="38">
        <f t="shared" si="39"/>
        <v>0.6093060016622065</v>
      </c>
      <c r="Q44" s="39">
        <f t="shared" si="39"/>
        <v>0.59626572175570591</v>
      </c>
      <c r="R44" t="s">
        <v>72</v>
      </c>
      <c r="T44" s="137"/>
      <c r="U44" s="7">
        <v>150</v>
      </c>
      <c r="V44" s="48">
        <f t="shared" si="30"/>
        <v>0.68143522056638217</v>
      </c>
      <c r="W44" s="38">
        <f t="shared" si="30"/>
        <v>0.67461597248758132</v>
      </c>
      <c r="X44" s="38">
        <f t="shared" si="30"/>
        <v>0.69178061844563321</v>
      </c>
      <c r="Y44" s="38">
        <f t="shared" si="30"/>
        <v>0.68831656264594732</v>
      </c>
      <c r="Z44" s="39">
        <f t="shared" si="30"/>
        <v>0.68143522056638217</v>
      </c>
      <c r="AA44" t="s">
        <v>72</v>
      </c>
      <c r="AC44" s="137"/>
      <c r="AD44" s="7">
        <v>140</v>
      </c>
      <c r="AE44" s="48">
        <f t="shared" si="31"/>
        <v>0.78863740439495111</v>
      </c>
      <c r="AF44" s="38">
        <f t="shared" si="31"/>
        <v>0.78018147521395509</v>
      </c>
      <c r="AG44" s="38">
        <f t="shared" si="31"/>
        <v>0.77180773149917203</v>
      </c>
      <c r="AH44" s="38">
        <f t="shared" si="31"/>
        <v>0.76351571834949739</v>
      </c>
      <c r="AI44" s="39">
        <f t="shared" si="31"/>
        <v>0.74717506414105572</v>
      </c>
      <c r="AJ44" t="s">
        <v>72</v>
      </c>
    </row>
    <row r="45" spans="2:36" x14ac:dyDescent="0.3">
      <c r="C45" t="s">
        <v>8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L45" t="s">
        <v>8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U45" t="s">
        <v>8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D45" t="s">
        <v>8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</row>
    <row r="50" spans="38:45" x14ac:dyDescent="0.3">
      <c r="AL50" t="s">
        <v>90</v>
      </c>
    </row>
    <row r="51" spans="38:45" x14ac:dyDescent="0.3">
      <c r="AL51" t="s">
        <v>11</v>
      </c>
    </row>
    <row r="53" spans="38:45" x14ac:dyDescent="0.3">
      <c r="AM53" s="40" t="s">
        <v>15</v>
      </c>
      <c r="AN53" s="40" t="s">
        <v>12</v>
      </c>
      <c r="AO53" s="40" t="s">
        <v>13</v>
      </c>
      <c r="AP53" s="40" t="s">
        <v>14</v>
      </c>
      <c r="AQ53" s="60" t="s">
        <v>16</v>
      </c>
      <c r="AR53" s="60" t="s">
        <v>17</v>
      </c>
      <c r="AS53" s="60" t="s">
        <v>73</v>
      </c>
    </row>
    <row r="54" spans="38:45" x14ac:dyDescent="0.3">
      <c r="AM54" s="16" t="s">
        <v>89</v>
      </c>
      <c r="AN54" s="16" t="s">
        <v>91</v>
      </c>
      <c r="AO54" s="31">
        <f>AG25</f>
        <v>4199133.166666666</v>
      </c>
      <c r="AP54" s="16">
        <f>AG11</f>
        <v>10.991400000000001</v>
      </c>
      <c r="AQ54" s="27">
        <f>(AP54-MIN($AP$54:$AP$58))*$AL$6</f>
        <v>8751.1491909312499</v>
      </c>
      <c r="AR54" s="27">
        <f>AQ54*80</f>
        <v>700091.93527449993</v>
      </c>
      <c r="AS54" s="69">
        <f>AO54/AP54/1000000</f>
        <v>0.38203806309175042</v>
      </c>
    </row>
    <row r="55" spans="38:45" x14ac:dyDescent="0.3">
      <c r="AM55" s="16" t="s">
        <v>89</v>
      </c>
      <c r="AN55" s="16" t="s">
        <v>92</v>
      </c>
      <c r="AO55" s="31">
        <f>AE26</f>
        <v>4143229.1666666665</v>
      </c>
      <c r="AP55" s="16">
        <f>AE12</f>
        <v>8.6361000000000008</v>
      </c>
      <c r="AQ55" s="27">
        <f>(AP55-MIN($AP$54:$AP$58))*$AL$6</f>
        <v>1823.7962497547812</v>
      </c>
      <c r="AR55" s="27">
        <f>AQ55*80</f>
        <v>145903.69998038249</v>
      </c>
      <c r="AS55" s="69">
        <f t="shared" ref="AS55:AS58" si="40">AO55/AP55/1000000</f>
        <v>0.47975696977416493</v>
      </c>
    </row>
    <row r="56" spans="38:45" x14ac:dyDescent="0.3">
      <c r="AM56" s="16" t="s">
        <v>93</v>
      </c>
      <c r="AN56" s="16" t="s">
        <v>94</v>
      </c>
      <c r="AO56" s="31">
        <f>V25</f>
        <v>4071246.3702800069</v>
      </c>
      <c r="AP56" s="1">
        <f>V11</f>
        <v>8.0160092750833751</v>
      </c>
      <c r="AQ56" s="27">
        <f>(AP56-MIN($AP$54:$AP$58))*$AL$6</f>
        <v>0</v>
      </c>
      <c r="AR56" s="27">
        <f>AQ56*80</f>
        <v>0</v>
      </c>
      <c r="AS56" s="69">
        <f t="shared" si="40"/>
        <v>0.50788942858822494</v>
      </c>
    </row>
    <row r="57" spans="38:45" x14ac:dyDescent="0.3">
      <c r="AM57" s="16" t="s">
        <v>95</v>
      </c>
      <c r="AN57" s="16" t="s">
        <v>96</v>
      </c>
      <c r="AO57" s="31">
        <f>M26</f>
        <v>4026329.04296875</v>
      </c>
      <c r="AP57" s="1">
        <f>M12</f>
        <v>8.0771644662753523</v>
      </c>
      <c r="AQ57" s="27">
        <f>(AP57-MIN($AP$54:$AP$58))*$AL$6</f>
        <v>179.86820938816825</v>
      </c>
      <c r="AR57" s="27">
        <f>AQ57*80</f>
        <v>14389.45675105346</v>
      </c>
      <c r="AS57" s="69">
        <f t="shared" si="40"/>
        <v>0.49848298369804317</v>
      </c>
    </row>
    <row r="58" spans="38:45" x14ac:dyDescent="0.3">
      <c r="AM58" s="16" t="s">
        <v>97</v>
      </c>
      <c r="AN58" s="16" t="s">
        <v>98</v>
      </c>
      <c r="AO58" s="31">
        <f>D27</f>
        <v>4159372.5</v>
      </c>
      <c r="AP58" s="1">
        <f>D13</f>
        <v>8.1681120000000007</v>
      </c>
      <c r="AQ58" s="27">
        <f>(AP58-MIN($AP$54:$AP$58))*$AL$6</f>
        <v>447.360955637134</v>
      </c>
      <c r="AR58" s="27">
        <f>AQ58*80</f>
        <v>35788.876450970718</v>
      </c>
      <c r="AS58" s="69">
        <f t="shared" si="40"/>
        <v>0.50922079667859599</v>
      </c>
    </row>
  </sheetData>
  <mergeCells count="37">
    <mergeCell ref="AE36:AI36"/>
    <mergeCell ref="AE38:AI38"/>
    <mergeCell ref="AC40:AC44"/>
    <mergeCell ref="V36:Z36"/>
    <mergeCell ref="T40:T44"/>
    <mergeCell ref="M7:Q7"/>
    <mergeCell ref="M9:Q9"/>
    <mergeCell ref="K11:K15"/>
    <mergeCell ref="M21:Q21"/>
    <mergeCell ref="M23:Q23"/>
    <mergeCell ref="K25:K29"/>
    <mergeCell ref="M36:Q36"/>
    <mergeCell ref="M38:Q38"/>
    <mergeCell ref="K40:K44"/>
    <mergeCell ref="AE23:AI23"/>
    <mergeCell ref="T11:T15"/>
    <mergeCell ref="V9:Z9"/>
    <mergeCell ref="V7:Z7"/>
    <mergeCell ref="AE9:AI9"/>
    <mergeCell ref="AC11:AC15"/>
    <mergeCell ref="AE7:AI7"/>
    <mergeCell ref="B1:AK1"/>
    <mergeCell ref="B25:B29"/>
    <mergeCell ref="D36:H36"/>
    <mergeCell ref="D38:H38"/>
    <mergeCell ref="B40:B44"/>
    <mergeCell ref="D7:H7"/>
    <mergeCell ref="D9:H9"/>
    <mergeCell ref="B11:B15"/>
    <mergeCell ref="D21:H21"/>
    <mergeCell ref="D23:H23"/>
    <mergeCell ref="V38:Z38"/>
    <mergeCell ref="T25:T29"/>
    <mergeCell ref="AC25:AC29"/>
    <mergeCell ref="V21:Z21"/>
    <mergeCell ref="AE21:AI21"/>
    <mergeCell ref="V23:Z23"/>
  </mergeCells>
  <pageMargins left="0.7" right="0.7" top="0.75" bottom="0.75" header="0.3" footer="0.3"/>
  <pageSetup paperSize="9" orientation="portrait" r:id="rId1"/>
  <ignoredErrors>
    <ignoredError sqref="W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ABF-D320-4FE3-B9F6-832CC2DBF33E}">
  <dimension ref="B1:AJ34"/>
  <sheetViews>
    <sheetView topLeftCell="B1" workbookViewId="0">
      <selection activeCell="B1" sqref="B1:AJ1"/>
    </sheetView>
  </sheetViews>
  <sheetFormatPr defaultRowHeight="14.4" x14ac:dyDescent="0.3"/>
  <cols>
    <col min="1" max="1" width="8.88671875" style="71"/>
    <col min="2" max="2" width="20" style="71" bestFit="1" customWidth="1"/>
    <col min="3" max="10" width="8.88671875" style="71"/>
    <col min="11" max="11" width="20" style="71" bestFit="1" customWidth="1"/>
    <col min="12" max="12" width="9.6640625" style="71" bestFit="1" customWidth="1"/>
    <col min="13" max="19" width="8.88671875" style="71"/>
    <col min="20" max="20" width="20" style="71" bestFit="1" customWidth="1"/>
    <col min="21" max="21" width="9.6640625" style="71" bestFit="1" customWidth="1"/>
    <col min="22" max="32" width="8.88671875" style="71"/>
    <col min="33" max="33" width="12.44140625" style="71" bestFit="1" customWidth="1"/>
    <col min="34" max="34" width="12.33203125" style="71" bestFit="1" customWidth="1"/>
    <col min="35" max="35" width="11.33203125" style="71" bestFit="1" customWidth="1"/>
    <col min="36" max="16384" width="8.88671875" style="71"/>
  </cols>
  <sheetData>
    <row r="1" spans="2:36" ht="23.4" x14ac:dyDescent="0.45">
      <c r="B1" s="148" t="s">
        <v>88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</row>
    <row r="3" spans="2:36" x14ac:dyDescent="0.3">
      <c r="B3" s="71" t="s">
        <v>18</v>
      </c>
      <c r="E3" s="71" t="s">
        <v>25</v>
      </c>
      <c r="K3" s="71" t="s">
        <v>19</v>
      </c>
      <c r="N3" s="71" t="s">
        <v>25</v>
      </c>
      <c r="T3" s="71" t="s">
        <v>75</v>
      </c>
      <c r="W3" s="71" t="s">
        <v>80</v>
      </c>
      <c r="AC3" s="71" t="s">
        <v>86</v>
      </c>
    </row>
    <row r="4" spans="2:36" ht="15" thickBot="1" x14ac:dyDescent="0.35"/>
    <row r="5" spans="2:36" ht="16.2" thickBot="1" x14ac:dyDescent="0.35">
      <c r="B5" s="72" t="s">
        <v>40</v>
      </c>
      <c r="C5" s="73" t="s">
        <v>39</v>
      </c>
      <c r="D5" s="73" t="s">
        <v>41</v>
      </c>
      <c r="E5" s="73" t="s">
        <v>42</v>
      </c>
      <c r="F5" s="73" t="s">
        <v>43</v>
      </c>
      <c r="G5" s="72" t="s">
        <v>44</v>
      </c>
      <c r="H5" s="74" t="s">
        <v>45</v>
      </c>
      <c r="K5" s="75" t="s">
        <v>40</v>
      </c>
      <c r="L5" s="76" t="s">
        <v>39</v>
      </c>
      <c r="M5" s="76" t="s">
        <v>41</v>
      </c>
      <c r="N5" s="76" t="s">
        <v>42</v>
      </c>
      <c r="O5" s="76" t="s">
        <v>43</v>
      </c>
      <c r="P5" s="77" t="s">
        <v>44</v>
      </c>
      <c r="Q5" s="78" t="s">
        <v>45</v>
      </c>
      <c r="T5" s="75" t="s">
        <v>76</v>
      </c>
      <c r="U5" s="76" t="s">
        <v>2</v>
      </c>
      <c r="V5" s="76" t="s">
        <v>41</v>
      </c>
      <c r="W5" s="76" t="s">
        <v>42</v>
      </c>
      <c r="X5" s="76" t="s">
        <v>43</v>
      </c>
      <c r="Y5" s="77" t="s">
        <v>44</v>
      </c>
      <c r="Z5" s="78" t="s">
        <v>45</v>
      </c>
      <c r="AC5" s="79" t="s">
        <v>83</v>
      </c>
      <c r="AD5" s="80" t="s">
        <v>84</v>
      </c>
      <c r="AE5" s="80" t="s">
        <v>85</v>
      </c>
      <c r="AF5" s="80" t="s">
        <v>41</v>
      </c>
      <c r="AG5" s="80" t="s">
        <v>42</v>
      </c>
      <c r="AH5" s="80" t="s">
        <v>43</v>
      </c>
      <c r="AI5" s="81" t="s">
        <v>44</v>
      </c>
      <c r="AJ5" s="82" t="s">
        <v>45</v>
      </c>
    </row>
    <row r="6" spans="2:36" x14ac:dyDescent="0.3">
      <c r="B6" s="144" t="s">
        <v>24</v>
      </c>
      <c r="C6" s="83" t="s">
        <v>51</v>
      </c>
      <c r="D6" s="83">
        <v>7.1</v>
      </c>
      <c r="E6" s="83">
        <v>322</v>
      </c>
      <c r="F6" s="83">
        <v>9.1999999999999993</v>
      </c>
      <c r="G6" s="84">
        <f>E6/D6</f>
        <v>45.352112676056343</v>
      </c>
      <c r="H6" s="85">
        <f>F6/D6</f>
        <v>1.295774647887324</v>
      </c>
      <c r="K6" s="150" t="s">
        <v>21</v>
      </c>
      <c r="L6" s="86" t="s">
        <v>58</v>
      </c>
      <c r="M6" s="87">
        <v>9.56</v>
      </c>
      <c r="N6" s="87">
        <v>192</v>
      </c>
      <c r="O6" s="87">
        <v>26.7</v>
      </c>
      <c r="P6" s="88">
        <f>N6/M6</f>
        <v>20.0836820083682</v>
      </c>
      <c r="Q6" s="89">
        <f>O6/M6</f>
        <v>2.7928870292887029</v>
      </c>
      <c r="T6" s="90" t="s">
        <v>78</v>
      </c>
      <c r="U6" s="86">
        <v>2</v>
      </c>
      <c r="V6" s="87">
        <v>6.0890000000000004</v>
      </c>
      <c r="W6" s="87">
        <v>300.39</v>
      </c>
      <c r="X6" s="87">
        <v>110.6</v>
      </c>
      <c r="Y6" s="88">
        <f>W6/V6</f>
        <v>49.33322384628017</v>
      </c>
      <c r="Z6" s="89">
        <f>X6/V6</f>
        <v>18.163902118574477</v>
      </c>
      <c r="AC6" s="91">
        <v>100</v>
      </c>
      <c r="AD6" s="92">
        <v>50</v>
      </c>
      <c r="AE6" s="92">
        <v>2.5</v>
      </c>
      <c r="AF6" s="92">
        <f>2*AE6*(AC6+AD6-2*AE6)*7.86/1000</f>
        <v>5.6985000000000001</v>
      </c>
      <c r="AG6" s="93">
        <f>1/12 *((AD6*AC6^3)   -  ((AD6-2*AE6)*(AC6-2*AE6)^3)        )/10000</f>
        <v>95.151041666666657</v>
      </c>
      <c r="AH6" s="93">
        <f>1/12 *(((AD6^3) * AC6)    -  ((AD6-2*AE6)^3) * (AC6-2*AE6)      )/10000</f>
        <v>32.026041666666664</v>
      </c>
      <c r="AI6" s="94">
        <f>AG6/AF6</f>
        <v>16.69755929923079</v>
      </c>
      <c r="AJ6" s="95">
        <f>AH6/AF6</f>
        <v>5.6200827703196738</v>
      </c>
    </row>
    <row r="7" spans="2:36" x14ac:dyDescent="0.3">
      <c r="B7" s="145"/>
      <c r="C7" s="96" t="s">
        <v>52</v>
      </c>
      <c r="D7" s="96">
        <v>9.9</v>
      </c>
      <c r="E7" s="96">
        <v>781</v>
      </c>
      <c r="F7" s="96">
        <v>17.3</v>
      </c>
      <c r="G7" s="97">
        <f>E7/D7</f>
        <v>78.888888888888886</v>
      </c>
      <c r="H7" s="98">
        <f>F7/D7</f>
        <v>1.7474747474747474</v>
      </c>
      <c r="K7" s="151"/>
      <c r="L7" s="99" t="s">
        <v>59</v>
      </c>
      <c r="M7" s="83">
        <v>16.8</v>
      </c>
      <c r="N7" s="83">
        <v>788</v>
      </c>
      <c r="O7" s="83">
        <v>103</v>
      </c>
      <c r="P7" s="84">
        <f>N7/M7</f>
        <v>46.904761904761905</v>
      </c>
      <c r="Q7" s="85">
        <f>O7/M7</f>
        <v>6.1309523809523805</v>
      </c>
      <c r="T7" s="100"/>
      <c r="U7" s="101">
        <v>3.15</v>
      </c>
      <c r="V7" s="83">
        <v>9.4</v>
      </c>
      <c r="W7" s="83">
        <v>455.09</v>
      </c>
      <c r="X7" s="83">
        <v>165.26</v>
      </c>
      <c r="Y7" s="84">
        <f>W7/V7</f>
        <v>48.413829787234036</v>
      </c>
      <c r="Z7" s="85">
        <f>X7/V7</f>
        <v>17.580851063829787</v>
      </c>
      <c r="AC7" s="102">
        <v>120</v>
      </c>
      <c r="AD7" s="103">
        <v>50</v>
      </c>
      <c r="AE7" s="103">
        <v>2.5</v>
      </c>
      <c r="AF7" s="103">
        <f t="shared" ref="AF7:AF32" si="0">2*AE7*(AC7+AD7-2*AE7)*7.86/1000</f>
        <v>6.4844999999999997</v>
      </c>
      <c r="AG7" s="104">
        <f t="shared" ref="AG7:AG32" si="1">1/12 *((AD7*AC7^3)   -  ((AD7-2*AE7)*(AC7-2*AE7)^3)        )/10000</f>
        <v>149.671875</v>
      </c>
      <c r="AH7" s="104">
        <f t="shared" ref="AH7:AH32" si="2">1/12 *(((AD7^3) * AC7)    -  ((AD7-2*AE7)^3) * (AC7-2*AE7)      )/10000</f>
        <v>37.671875</v>
      </c>
      <c r="AI7" s="105">
        <f t="shared" ref="AI7:AI32" si="3">AG7/AF7</f>
        <v>23.081482766597272</v>
      </c>
      <c r="AJ7" s="106">
        <f t="shared" ref="AJ7:AJ32" si="4">AH7/AF7</f>
        <v>5.8095265633433577</v>
      </c>
    </row>
    <row r="8" spans="2:36" ht="15" thickBot="1" x14ac:dyDescent="0.35">
      <c r="B8" s="107"/>
      <c r="C8" s="83"/>
      <c r="D8" s="83"/>
      <c r="E8" s="83"/>
      <c r="F8" s="83"/>
      <c r="G8" s="84"/>
      <c r="H8" s="85"/>
      <c r="K8" s="152"/>
      <c r="L8" s="108" t="s">
        <v>60</v>
      </c>
      <c r="M8" s="96">
        <v>22.3</v>
      </c>
      <c r="N8" s="96">
        <v>1830</v>
      </c>
      <c r="O8" s="96">
        <v>141</v>
      </c>
      <c r="P8" s="97">
        <f>N8/M8</f>
        <v>82.062780269058294</v>
      </c>
      <c r="Q8" s="98">
        <f>O8/M8</f>
        <v>6.3228699551569507</v>
      </c>
      <c r="T8" s="109"/>
      <c r="U8" s="108">
        <v>4</v>
      </c>
      <c r="V8" s="96">
        <v>11.76</v>
      </c>
      <c r="W8" s="96">
        <v>561.29999999999995</v>
      </c>
      <c r="X8" s="96">
        <v>201.69</v>
      </c>
      <c r="Y8" s="97">
        <f>W8/V8</f>
        <v>47.729591836734691</v>
      </c>
      <c r="Z8" s="98">
        <f>X8/V8</f>
        <v>17.150510204081634</v>
      </c>
      <c r="AC8" s="110">
        <v>140</v>
      </c>
      <c r="AD8" s="111">
        <v>50</v>
      </c>
      <c r="AE8" s="111">
        <v>2.5</v>
      </c>
      <c r="AF8" s="111">
        <f t="shared" si="0"/>
        <v>7.2705000000000002</v>
      </c>
      <c r="AG8" s="112">
        <f t="shared" si="1"/>
        <v>220.69270833333331</v>
      </c>
      <c r="AH8" s="112">
        <f t="shared" si="2"/>
        <v>43.317708333333329</v>
      </c>
      <c r="AI8" s="113">
        <f t="shared" si="3"/>
        <v>30.35454347477248</v>
      </c>
      <c r="AJ8" s="114">
        <f t="shared" si="4"/>
        <v>5.9580095362538099</v>
      </c>
    </row>
    <row r="9" spans="2:36" x14ac:dyDescent="0.3">
      <c r="B9" s="146" t="s">
        <v>23</v>
      </c>
      <c r="C9" s="87" t="s">
        <v>46</v>
      </c>
      <c r="D9" s="87">
        <v>8</v>
      </c>
      <c r="E9" s="87">
        <v>168</v>
      </c>
      <c r="F9" s="87">
        <v>12.7</v>
      </c>
      <c r="G9" s="88">
        <f>E9/D9</f>
        <v>21</v>
      </c>
      <c r="H9" s="89">
        <f>F9/D9</f>
        <v>1.5874999999999999</v>
      </c>
      <c r="K9" s="100"/>
      <c r="L9" s="99"/>
      <c r="M9" s="83"/>
      <c r="N9" s="83"/>
      <c r="O9" s="83"/>
      <c r="P9" s="84"/>
      <c r="Q9" s="85"/>
      <c r="T9" s="100"/>
      <c r="U9" s="99"/>
      <c r="V9" s="83"/>
      <c r="W9" s="83"/>
      <c r="X9" s="83"/>
      <c r="Y9" s="84"/>
      <c r="Z9" s="85"/>
      <c r="AC9" s="91">
        <v>100</v>
      </c>
      <c r="AD9" s="92">
        <v>60</v>
      </c>
      <c r="AE9" s="92">
        <v>2.5</v>
      </c>
      <c r="AF9" s="92">
        <f t="shared" si="0"/>
        <v>6.0914999999999999</v>
      </c>
      <c r="AG9" s="93">
        <f t="shared" si="1"/>
        <v>107.03645833333333</v>
      </c>
      <c r="AH9" s="93">
        <f t="shared" si="2"/>
        <v>48.286458333333329</v>
      </c>
      <c r="AI9" s="94">
        <f t="shared" si="3"/>
        <v>17.571445183178746</v>
      </c>
      <c r="AJ9" s="95">
        <f t="shared" si="4"/>
        <v>7.9268584639798618</v>
      </c>
    </row>
    <row r="10" spans="2:36" x14ac:dyDescent="0.3">
      <c r="B10" s="147"/>
      <c r="C10" s="83" t="s">
        <v>47</v>
      </c>
      <c r="D10" s="83">
        <v>14.2</v>
      </c>
      <c r="E10" s="83">
        <v>690</v>
      </c>
      <c r="F10" s="83">
        <v>55.2</v>
      </c>
      <c r="G10" s="84">
        <f>E10/D10</f>
        <v>48.591549295774648</v>
      </c>
      <c r="H10" s="85">
        <f>F10/D10</f>
        <v>3.8873239436619724</v>
      </c>
      <c r="K10" s="150" t="s">
        <v>61</v>
      </c>
      <c r="L10" s="86" t="s">
        <v>62</v>
      </c>
      <c r="M10" s="87">
        <v>9.56</v>
      </c>
      <c r="N10" s="87">
        <v>194</v>
      </c>
      <c r="O10" s="87">
        <v>29.4</v>
      </c>
      <c r="P10" s="88">
        <f>N10/M10</f>
        <v>20.292887029288703</v>
      </c>
      <c r="Q10" s="89">
        <f>O10/M10</f>
        <v>3.0753138075313804</v>
      </c>
      <c r="T10" s="90" t="s">
        <v>77</v>
      </c>
      <c r="U10" s="86">
        <v>2</v>
      </c>
      <c r="V10" s="87">
        <v>5.931</v>
      </c>
      <c r="W10" s="87">
        <v>390.32</v>
      </c>
      <c r="X10" s="87">
        <v>96.35</v>
      </c>
      <c r="Y10" s="88">
        <f>W10/V10</f>
        <v>65.810150059011974</v>
      </c>
      <c r="Z10" s="89">
        <f>X10/V10</f>
        <v>16.245152588096442</v>
      </c>
      <c r="AC10" s="102">
        <v>120</v>
      </c>
      <c r="AD10" s="103">
        <v>60</v>
      </c>
      <c r="AE10" s="103">
        <v>2.5</v>
      </c>
      <c r="AF10" s="103">
        <f t="shared" si="0"/>
        <v>6.8775000000000004</v>
      </c>
      <c r="AG10" s="104">
        <f t="shared" si="1"/>
        <v>166.93229166666666</v>
      </c>
      <c r="AH10" s="104">
        <f t="shared" si="2"/>
        <v>56.557291666666664</v>
      </c>
      <c r="AI10" s="105">
        <f t="shared" si="3"/>
        <v>24.27223433902823</v>
      </c>
      <c r="AJ10" s="106">
        <f t="shared" si="4"/>
        <v>8.2235247788682901</v>
      </c>
    </row>
    <row r="11" spans="2:36" ht="15" thickBot="1" x14ac:dyDescent="0.35">
      <c r="B11" s="147"/>
      <c r="C11" s="83" t="s">
        <v>48</v>
      </c>
      <c r="D11" s="83">
        <v>19.8</v>
      </c>
      <c r="E11" s="83">
        <v>1700</v>
      </c>
      <c r="F11" s="83">
        <v>115</v>
      </c>
      <c r="G11" s="84">
        <f>E11/D11</f>
        <v>85.858585858585855</v>
      </c>
      <c r="H11" s="85">
        <f>F11/D11</f>
        <v>5.808080808080808</v>
      </c>
      <c r="K11" s="151"/>
      <c r="L11" s="99" t="s">
        <v>63</v>
      </c>
      <c r="M11" s="115">
        <v>16.8</v>
      </c>
      <c r="N11" s="115">
        <v>794</v>
      </c>
      <c r="O11" s="115">
        <v>120</v>
      </c>
      <c r="P11" s="84">
        <f>N11/M11</f>
        <v>47.261904761904759</v>
      </c>
      <c r="Q11" s="85">
        <f>O11/M11</f>
        <v>7.1428571428571423</v>
      </c>
      <c r="T11" s="100"/>
      <c r="U11" s="101">
        <v>3.15</v>
      </c>
      <c r="V11" s="115">
        <v>9.1539999999999999</v>
      </c>
      <c r="W11" s="115">
        <v>591.16999999999996</v>
      </c>
      <c r="X11" s="115">
        <v>102.8</v>
      </c>
      <c r="Y11" s="84">
        <f>W11/V11</f>
        <v>64.58051125191173</v>
      </c>
      <c r="Z11" s="85">
        <f>X11/V11</f>
        <v>11.23006336027966</v>
      </c>
      <c r="AC11" s="116">
        <v>140</v>
      </c>
      <c r="AD11" s="117">
        <v>60</v>
      </c>
      <c r="AE11" s="117">
        <v>2.5</v>
      </c>
      <c r="AF11" s="117">
        <f t="shared" si="0"/>
        <v>7.6635</v>
      </c>
      <c r="AG11" s="118">
        <f t="shared" si="1"/>
        <v>244.328125</v>
      </c>
      <c r="AH11" s="118">
        <f t="shared" si="2"/>
        <v>64.828125</v>
      </c>
      <c r="AI11" s="119">
        <f t="shared" si="3"/>
        <v>31.882054544268286</v>
      </c>
      <c r="AJ11" s="120">
        <f t="shared" si="4"/>
        <v>8.4593364650616554</v>
      </c>
    </row>
    <row r="12" spans="2:36" x14ac:dyDescent="0.3">
      <c r="B12" s="147"/>
      <c r="C12" s="83" t="s">
        <v>49</v>
      </c>
      <c r="D12" s="83">
        <v>27.9</v>
      </c>
      <c r="E12" s="83">
        <v>3720</v>
      </c>
      <c r="F12" s="83">
        <v>193</v>
      </c>
      <c r="G12" s="84">
        <f>E12/D12</f>
        <v>133.33333333333334</v>
      </c>
      <c r="H12" s="85">
        <f>F12/D12</f>
        <v>6.9175627240143376</v>
      </c>
      <c r="K12" s="152"/>
      <c r="L12" s="108" t="s">
        <v>64</v>
      </c>
      <c r="M12" s="96">
        <v>22.3</v>
      </c>
      <c r="N12" s="96">
        <v>1840</v>
      </c>
      <c r="O12" s="96">
        <v>156</v>
      </c>
      <c r="P12" s="97">
        <f>N12/M12</f>
        <v>82.511210762331842</v>
      </c>
      <c r="Q12" s="98">
        <f>O12/M12</f>
        <v>6.9955156950672643</v>
      </c>
      <c r="T12" s="109"/>
      <c r="U12" s="108">
        <v>4</v>
      </c>
      <c r="V12" s="96">
        <v>11.449</v>
      </c>
      <c r="W12" s="96">
        <v>782.88</v>
      </c>
      <c r="X12" s="96">
        <v>124.67</v>
      </c>
      <c r="Y12" s="97">
        <f>W12/V12</f>
        <v>68.379771159053192</v>
      </c>
      <c r="Z12" s="98">
        <f>X12/V12</f>
        <v>10.88916062538213</v>
      </c>
      <c r="AC12" s="91">
        <v>100</v>
      </c>
      <c r="AD12" s="92">
        <v>80</v>
      </c>
      <c r="AE12" s="92">
        <v>2.5</v>
      </c>
      <c r="AF12" s="92">
        <f t="shared" si="0"/>
        <v>6.8775000000000004</v>
      </c>
      <c r="AG12" s="93">
        <f t="shared" si="1"/>
        <v>130.80729166666666</v>
      </c>
      <c r="AH12" s="93">
        <f t="shared" si="2"/>
        <v>92.682291666666657</v>
      </c>
      <c r="AI12" s="94">
        <f t="shared" si="3"/>
        <v>19.019598933721067</v>
      </c>
      <c r="AJ12" s="95">
        <f t="shared" si="4"/>
        <v>13.476160184175448</v>
      </c>
    </row>
    <row r="13" spans="2:36" x14ac:dyDescent="0.3">
      <c r="B13" s="145"/>
      <c r="C13" s="96" t="s">
        <v>50</v>
      </c>
      <c r="D13" s="96">
        <v>37.700000000000003</v>
      </c>
      <c r="E13" s="96">
        <v>7330</v>
      </c>
      <c r="F13" s="96">
        <v>376</v>
      </c>
      <c r="G13" s="97">
        <f>E13/D13</f>
        <v>194.42970822281166</v>
      </c>
      <c r="H13" s="98">
        <f>F13/D13</f>
        <v>9.9734748010610073</v>
      </c>
      <c r="K13" s="100"/>
      <c r="L13" s="99"/>
      <c r="M13" s="83"/>
      <c r="N13" s="83"/>
      <c r="O13" s="83"/>
      <c r="P13" s="84"/>
      <c r="Q13" s="85"/>
      <c r="T13" s="100"/>
      <c r="U13" s="99"/>
      <c r="V13" s="83"/>
      <c r="W13" s="83"/>
      <c r="X13" s="83"/>
      <c r="Y13" s="84"/>
      <c r="Z13" s="85"/>
      <c r="AC13" s="102">
        <v>120</v>
      </c>
      <c r="AD13" s="103">
        <v>80</v>
      </c>
      <c r="AE13" s="103">
        <v>2.5</v>
      </c>
      <c r="AF13" s="103">
        <f t="shared" si="0"/>
        <v>7.6635</v>
      </c>
      <c r="AG13" s="104">
        <f t="shared" si="1"/>
        <v>201.453125</v>
      </c>
      <c r="AH13" s="104">
        <f t="shared" si="2"/>
        <v>107.703125</v>
      </c>
      <c r="AI13" s="105">
        <f t="shared" si="3"/>
        <v>26.287352384680631</v>
      </c>
      <c r="AJ13" s="106">
        <f t="shared" si="4"/>
        <v>14.054038624649312</v>
      </c>
    </row>
    <row r="14" spans="2:36" ht="15" thickBot="1" x14ac:dyDescent="0.35">
      <c r="B14" s="107"/>
      <c r="C14" s="83"/>
      <c r="D14" s="83"/>
      <c r="E14" s="83"/>
      <c r="F14" s="83"/>
      <c r="G14" s="84"/>
      <c r="H14" s="85"/>
      <c r="K14" s="150" t="s">
        <v>24</v>
      </c>
      <c r="L14" s="86" t="s">
        <v>65</v>
      </c>
      <c r="M14" s="87">
        <v>5.8</v>
      </c>
      <c r="N14" s="87">
        <v>124</v>
      </c>
      <c r="O14" s="87">
        <v>14.9</v>
      </c>
      <c r="P14" s="88">
        <f>N14/M14</f>
        <v>21.379310344827587</v>
      </c>
      <c r="Q14" s="89">
        <f>O14/M14</f>
        <v>2.5689655172413794</v>
      </c>
      <c r="T14" s="90" t="s">
        <v>79</v>
      </c>
      <c r="U14" s="86">
        <v>2</v>
      </c>
      <c r="V14" s="87">
        <v>4.6719999999999997</v>
      </c>
      <c r="W14" s="87">
        <v>249.61</v>
      </c>
      <c r="X14" s="87">
        <v>20.27</v>
      </c>
      <c r="Y14" s="88">
        <f>W14/V14</f>
        <v>53.426797945205486</v>
      </c>
      <c r="Z14" s="89">
        <f>X14/V14</f>
        <v>4.3386130136986303</v>
      </c>
      <c r="AC14" s="110">
        <v>140</v>
      </c>
      <c r="AD14" s="111">
        <v>80</v>
      </c>
      <c r="AE14" s="111">
        <v>2.5</v>
      </c>
      <c r="AF14" s="111">
        <f t="shared" si="0"/>
        <v>8.4495000000000005</v>
      </c>
      <c r="AG14" s="112">
        <f t="shared" si="1"/>
        <v>291.59895833333331</v>
      </c>
      <c r="AH14" s="112">
        <f t="shared" si="2"/>
        <v>122.72395833333333</v>
      </c>
      <c r="AI14" s="113">
        <f t="shared" si="3"/>
        <v>34.510794524330827</v>
      </c>
      <c r="AJ14" s="114">
        <f t="shared" si="4"/>
        <v>14.524404797128033</v>
      </c>
    </row>
    <row r="15" spans="2:36" x14ac:dyDescent="0.3">
      <c r="B15" s="146" t="s">
        <v>21</v>
      </c>
      <c r="C15" s="87" t="s">
        <v>26</v>
      </c>
      <c r="D15" s="87">
        <v>8.9</v>
      </c>
      <c r="E15" s="87">
        <v>183</v>
      </c>
      <c r="F15" s="87">
        <v>12.9</v>
      </c>
      <c r="G15" s="88">
        <f>E15/D15</f>
        <v>20.561797752808989</v>
      </c>
      <c r="H15" s="89">
        <f>F15/D15</f>
        <v>1.449438202247191</v>
      </c>
      <c r="K15" s="151"/>
      <c r="L15" s="99" t="s">
        <v>66</v>
      </c>
      <c r="M15" s="115">
        <v>9.9</v>
      </c>
      <c r="N15" s="115">
        <v>472</v>
      </c>
      <c r="O15" s="115">
        <v>37.9</v>
      </c>
      <c r="P15" s="84">
        <f>N15/M15</f>
        <v>47.676767676767675</v>
      </c>
      <c r="Q15" s="85">
        <f>O15/M15</f>
        <v>3.8282828282828278</v>
      </c>
      <c r="T15" s="100"/>
      <c r="U15" s="99">
        <v>3.15</v>
      </c>
      <c r="V15" s="115">
        <v>7.1710000000000003</v>
      </c>
      <c r="W15" s="115">
        <v>373.96</v>
      </c>
      <c r="X15" s="115">
        <v>29.12</v>
      </c>
      <c r="Y15" s="84">
        <f>W15/V15</f>
        <v>52.148933203179467</v>
      </c>
      <c r="Z15" s="85">
        <f>X15/V15</f>
        <v>4.0608004462418075</v>
      </c>
      <c r="AC15" s="91">
        <v>100</v>
      </c>
      <c r="AD15" s="92">
        <v>50</v>
      </c>
      <c r="AE15" s="92">
        <v>5</v>
      </c>
      <c r="AF15" s="92">
        <f t="shared" si="0"/>
        <v>11.004</v>
      </c>
      <c r="AG15" s="93">
        <f t="shared" si="1"/>
        <v>173.66666666666666</v>
      </c>
      <c r="AH15" s="93">
        <f t="shared" si="2"/>
        <v>56.166666666666664</v>
      </c>
      <c r="AI15" s="94">
        <f t="shared" si="3"/>
        <v>15.782139827941354</v>
      </c>
      <c r="AJ15" s="95">
        <f t="shared" si="4"/>
        <v>5.1042045316854479</v>
      </c>
    </row>
    <row r="16" spans="2:36" x14ac:dyDescent="0.3">
      <c r="B16" s="147"/>
      <c r="C16" s="83" t="s">
        <v>27</v>
      </c>
      <c r="D16" s="83">
        <v>15</v>
      </c>
      <c r="E16" s="83">
        <v>718</v>
      </c>
      <c r="F16" s="83">
        <v>46.8</v>
      </c>
      <c r="G16" s="84">
        <f>E16/D16</f>
        <v>47.866666666666667</v>
      </c>
      <c r="H16" s="85">
        <f>F16/D16</f>
        <v>3.1199999999999997</v>
      </c>
      <c r="K16" s="152"/>
      <c r="L16" s="108" t="s">
        <v>67</v>
      </c>
      <c r="M16" s="96">
        <v>14</v>
      </c>
      <c r="N16" s="96">
        <v>1160</v>
      </c>
      <c r="O16" s="96">
        <v>84.2</v>
      </c>
      <c r="P16" s="97">
        <f>N16/M16</f>
        <v>82.857142857142861</v>
      </c>
      <c r="Q16" s="98">
        <f>O16/M16</f>
        <v>6.0142857142857142</v>
      </c>
      <c r="T16" s="109"/>
      <c r="U16" s="121">
        <v>4</v>
      </c>
      <c r="V16" s="96">
        <v>8.93</v>
      </c>
      <c r="W16" s="96">
        <v>456.58</v>
      </c>
      <c r="X16" s="96">
        <v>34.47</v>
      </c>
      <c r="Y16" s="97">
        <f>W16/V16</f>
        <v>51.128779395296753</v>
      </c>
      <c r="Z16" s="98">
        <f>X16/V16</f>
        <v>3.8600223964165732</v>
      </c>
      <c r="AC16" s="102">
        <v>120</v>
      </c>
      <c r="AD16" s="103">
        <v>50</v>
      </c>
      <c r="AE16" s="103">
        <v>5</v>
      </c>
      <c r="AF16" s="103">
        <f t="shared" si="0"/>
        <v>12.576000000000001</v>
      </c>
      <c r="AG16" s="104">
        <f t="shared" si="1"/>
        <v>276.33333333333331</v>
      </c>
      <c r="AH16" s="104">
        <f t="shared" si="2"/>
        <v>66.333333333333329</v>
      </c>
      <c r="AI16" s="105">
        <f t="shared" si="3"/>
        <v>21.973070398642914</v>
      </c>
      <c r="AJ16" s="106">
        <f t="shared" si="4"/>
        <v>5.2745971162001695</v>
      </c>
    </row>
    <row r="17" spans="2:36" ht="15" thickBot="1" x14ac:dyDescent="0.35">
      <c r="B17" s="147"/>
      <c r="C17" s="83" t="s">
        <v>28</v>
      </c>
      <c r="D17" s="83">
        <v>24.2</v>
      </c>
      <c r="E17" s="83">
        <v>2120</v>
      </c>
      <c r="F17" s="83">
        <v>137</v>
      </c>
      <c r="G17" s="84">
        <f>E17/D17</f>
        <v>87.603305785123965</v>
      </c>
      <c r="H17" s="85">
        <f>F17/D17</f>
        <v>5.6611570247933889</v>
      </c>
      <c r="K17" s="100"/>
      <c r="L17" s="99"/>
      <c r="M17" s="83"/>
      <c r="N17" s="83"/>
      <c r="O17" s="83"/>
      <c r="P17" s="84"/>
      <c r="Q17" s="85"/>
      <c r="T17" s="100"/>
      <c r="U17" s="99"/>
      <c r="V17" s="83"/>
      <c r="W17" s="83"/>
      <c r="X17" s="83"/>
      <c r="Y17" s="84"/>
      <c r="Z17" s="85"/>
      <c r="AC17" s="110">
        <v>140</v>
      </c>
      <c r="AD17" s="111">
        <v>50</v>
      </c>
      <c r="AE17" s="111">
        <v>5</v>
      </c>
      <c r="AF17" s="111">
        <f t="shared" si="0"/>
        <v>14.148</v>
      </c>
      <c r="AG17" s="112">
        <f t="shared" si="1"/>
        <v>411</v>
      </c>
      <c r="AH17" s="112">
        <f t="shared" si="2"/>
        <v>76.5</v>
      </c>
      <c r="AI17" s="113">
        <f t="shared" si="3"/>
        <v>29.050042408821035</v>
      </c>
      <c r="AJ17" s="114">
        <f t="shared" si="4"/>
        <v>5.4071246819338423</v>
      </c>
    </row>
    <row r="18" spans="2:36" x14ac:dyDescent="0.3">
      <c r="B18" s="147"/>
      <c r="C18" s="83" t="s">
        <v>29</v>
      </c>
      <c r="D18" s="83">
        <v>37.299999999999997</v>
      </c>
      <c r="E18" s="83">
        <v>5130</v>
      </c>
      <c r="F18" s="83">
        <v>335</v>
      </c>
      <c r="G18" s="84">
        <f>E18/D18</f>
        <v>137.53351206434317</v>
      </c>
      <c r="H18" s="85">
        <f>F18/D18</f>
        <v>8.9812332439678286</v>
      </c>
      <c r="K18" s="150" t="s">
        <v>23</v>
      </c>
      <c r="L18" s="86" t="s">
        <v>68</v>
      </c>
      <c r="M18" s="87">
        <v>7.9</v>
      </c>
      <c r="N18" s="87">
        <v>165</v>
      </c>
      <c r="O18" s="87">
        <v>24.8</v>
      </c>
      <c r="P18" s="88">
        <f>N18/M18</f>
        <v>20.886075949367086</v>
      </c>
      <c r="Q18" s="89">
        <f>O18/M18</f>
        <v>3.1392405063291138</v>
      </c>
      <c r="T18" s="90"/>
      <c r="U18" s="86"/>
      <c r="V18" s="87"/>
      <c r="W18" s="87"/>
      <c r="X18" s="87"/>
      <c r="Y18" s="88"/>
      <c r="Z18" s="89"/>
      <c r="AC18" s="91">
        <v>100</v>
      </c>
      <c r="AD18" s="92">
        <v>60</v>
      </c>
      <c r="AE18" s="92">
        <v>5</v>
      </c>
      <c r="AF18" s="92">
        <f t="shared" si="0"/>
        <v>11.79</v>
      </c>
      <c r="AG18" s="93">
        <f t="shared" si="1"/>
        <v>196.25</v>
      </c>
      <c r="AH18" s="93">
        <f t="shared" si="2"/>
        <v>86.25</v>
      </c>
      <c r="AI18" s="94">
        <f t="shared" si="3"/>
        <v>16.64546225614928</v>
      </c>
      <c r="AJ18" s="95">
        <f t="shared" si="4"/>
        <v>7.3155216284987281</v>
      </c>
    </row>
    <row r="19" spans="2:36" x14ac:dyDescent="0.3">
      <c r="B19" s="145"/>
      <c r="C19" s="96" t="s">
        <v>30</v>
      </c>
      <c r="D19" s="96">
        <v>46</v>
      </c>
      <c r="E19" s="96">
        <v>8990</v>
      </c>
      <c r="F19" s="96">
        <v>486</v>
      </c>
      <c r="G19" s="97">
        <f>E19/D19</f>
        <v>195.43478260869566</v>
      </c>
      <c r="H19" s="98">
        <f>F19/D19</f>
        <v>10.565217391304348</v>
      </c>
      <c r="K19" s="151"/>
      <c r="L19" s="99" t="s">
        <v>69</v>
      </c>
      <c r="M19" s="115">
        <v>14.4</v>
      </c>
      <c r="N19" s="115">
        <v>699</v>
      </c>
      <c r="O19" s="115">
        <v>103</v>
      </c>
      <c r="P19" s="84">
        <f>N19/M19</f>
        <v>48.541666666666664</v>
      </c>
      <c r="Q19" s="85">
        <f>O19/M19</f>
        <v>7.1527777777777777</v>
      </c>
      <c r="T19" s="100"/>
      <c r="U19" s="99"/>
      <c r="V19" s="115"/>
      <c r="W19" s="115"/>
      <c r="X19" s="115"/>
      <c r="Y19" s="84"/>
      <c r="Z19" s="85"/>
      <c r="AC19" s="102">
        <v>120</v>
      </c>
      <c r="AD19" s="103">
        <v>60</v>
      </c>
      <c r="AE19" s="103">
        <v>5</v>
      </c>
      <c r="AF19" s="103">
        <f t="shared" si="0"/>
        <v>13.362</v>
      </c>
      <c r="AG19" s="104">
        <f t="shared" si="1"/>
        <v>309.41666666666663</v>
      </c>
      <c r="AH19" s="104">
        <f t="shared" si="2"/>
        <v>101.41666666666666</v>
      </c>
      <c r="AI19" s="105">
        <f t="shared" si="3"/>
        <v>23.156463603253002</v>
      </c>
      <c r="AJ19" s="106">
        <f t="shared" si="4"/>
        <v>7.5899316469590374</v>
      </c>
    </row>
    <row r="20" spans="2:36" ht="15" thickBot="1" x14ac:dyDescent="0.35">
      <c r="B20" s="107"/>
      <c r="C20" s="83"/>
      <c r="D20" s="83"/>
      <c r="E20" s="83"/>
      <c r="F20" s="83"/>
      <c r="G20" s="84"/>
      <c r="H20" s="85"/>
      <c r="K20" s="153"/>
      <c r="L20" s="122" t="s">
        <v>70</v>
      </c>
      <c r="M20" s="123">
        <v>20.6</v>
      </c>
      <c r="N20" s="123">
        <v>1730</v>
      </c>
      <c r="O20" s="123">
        <v>147</v>
      </c>
      <c r="P20" s="124">
        <f>N20/M20</f>
        <v>83.980582524271838</v>
      </c>
      <c r="Q20" s="125">
        <f>O20/M20</f>
        <v>7.1359223300970873</v>
      </c>
      <c r="T20" s="126"/>
      <c r="U20" s="122"/>
      <c r="V20" s="123"/>
      <c r="W20" s="123"/>
      <c r="X20" s="123"/>
      <c r="Y20" s="124"/>
      <c r="Z20" s="125"/>
      <c r="AC20" s="110">
        <v>140</v>
      </c>
      <c r="AD20" s="111">
        <v>60</v>
      </c>
      <c r="AE20" s="111">
        <v>5</v>
      </c>
      <c r="AF20" s="111">
        <f t="shared" si="0"/>
        <v>14.933999999999999</v>
      </c>
      <c r="AG20" s="112">
        <f t="shared" si="1"/>
        <v>456.58333333333331</v>
      </c>
      <c r="AH20" s="112">
        <f t="shared" si="2"/>
        <v>116.58333333333333</v>
      </c>
      <c r="AI20" s="113">
        <f t="shared" si="3"/>
        <v>30.57341190125441</v>
      </c>
      <c r="AJ20" s="114">
        <f t="shared" si="4"/>
        <v>7.8065711352171778</v>
      </c>
    </row>
    <row r="21" spans="2:36" x14ac:dyDescent="0.3">
      <c r="B21" s="146" t="s">
        <v>20</v>
      </c>
      <c r="C21" s="87" t="s">
        <v>31</v>
      </c>
      <c r="D21" s="87">
        <v>27.1</v>
      </c>
      <c r="E21" s="87">
        <v>1460</v>
      </c>
      <c r="F21" s="87">
        <v>432</v>
      </c>
      <c r="G21" s="88">
        <f>E21/D21</f>
        <v>53.874538745387454</v>
      </c>
      <c r="H21" s="89">
        <f>F21/D21</f>
        <v>15.940959409594095</v>
      </c>
      <c r="AC21" s="91">
        <v>100</v>
      </c>
      <c r="AD21" s="92">
        <v>80</v>
      </c>
      <c r="AE21" s="92">
        <v>5</v>
      </c>
      <c r="AF21" s="92">
        <f t="shared" si="0"/>
        <v>13.362</v>
      </c>
      <c r="AG21" s="93">
        <f t="shared" si="1"/>
        <v>241.41666666666666</v>
      </c>
      <c r="AH21" s="93">
        <f t="shared" si="2"/>
        <v>169.41666666666666</v>
      </c>
      <c r="AI21" s="94">
        <f t="shared" si="3"/>
        <v>18.067405079079979</v>
      </c>
      <c r="AJ21" s="95">
        <f t="shared" si="4"/>
        <v>12.678990171132066</v>
      </c>
    </row>
    <row r="22" spans="2:36" x14ac:dyDescent="0.3">
      <c r="B22" s="147"/>
      <c r="C22" s="83" t="s">
        <v>32</v>
      </c>
      <c r="D22" s="83">
        <v>37.299999999999997</v>
      </c>
      <c r="E22" s="83">
        <v>3660</v>
      </c>
      <c r="F22" s="83">
        <v>967</v>
      </c>
      <c r="G22" s="84">
        <f>E22/D22</f>
        <v>98.123324396782849</v>
      </c>
      <c r="H22" s="85">
        <f>F22/D22</f>
        <v>25.924932975871315</v>
      </c>
      <c r="AC22" s="102">
        <v>120</v>
      </c>
      <c r="AD22" s="103">
        <v>80</v>
      </c>
      <c r="AE22" s="103">
        <v>5</v>
      </c>
      <c r="AF22" s="103">
        <f t="shared" si="0"/>
        <v>14.933999999999999</v>
      </c>
      <c r="AG22" s="104">
        <f t="shared" si="1"/>
        <v>375.58333333333331</v>
      </c>
      <c r="AH22" s="104">
        <f t="shared" si="2"/>
        <v>197.58333333333331</v>
      </c>
      <c r="AI22" s="105">
        <f t="shared" si="3"/>
        <v>25.149546895227893</v>
      </c>
      <c r="AJ22" s="106">
        <f t="shared" si="4"/>
        <v>13.230436141243693</v>
      </c>
    </row>
    <row r="23" spans="2:36" ht="15" thickBot="1" x14ac:dyDescent="0.35">
      <c r="B23" s="147"/>
      <c r="C23" s="83" t="s">
        <v>33</v>
      </c>
      <c r="D23" s="83">
        <v>51</v>
      </c>
      <c r="E23" s="83">
        <v>7740</v>
      </c>
      <c r="F23" s="83">
        <v>1960</v>
      </c>
      <c r="G23" s="84">
        <f>E23/D23</f>
        <v>151.76470588235293</v>
      </c>
      <c r="H23" s="85">
        <f>F23/D23</f>
        <v>38.431372549019606</v>
      </c>
      <c r="AC23" s="110">
        <v>140</v>
      </c>
      <c r="AD23" s="111">
        <v>80</v>
      </c>
      <c r="AE23" s="111">
        <v>5</v>
      </c>
      <c r="AF23" s="111">
        <f t="shared" si="0"/>
        <v>16.506</v>
      </c>
      <c r="AG23" s="112">
        <f t="shared" si="1"/>
        <v>547.75</v>
      </c>
      <c r="AH23" s="112">
        <f t="shared" si="2"/>
        <v>225.75</v>
      </c>
      <c r="AI23" s="113">
        <f t="shared" si="3"/>
        <v>33.184902459711623</v>
      </c>
      <c r="AJ23" s="114">
        <f t="shared" si="4"/>
        <v>13.676844783715012</v>
      </c>
    </row>
    <row r="24" spans="2:36" x14ac:dyDescent="0.3">
      <c r="B24" s="145"/>
      <c r="C24" s="96" t="s">
        <v>34</v>
      </c>
      <c r="D24" s="96">
        <v>58.8</v>
      </c>
      <c r="E24" s="96">
        <v>12600</v>
      </c>
      <c r="F24" s="96">
        <v>2200</v>
      </c>
      <c r="G24" s="97">
        <f>E24/D24</f>
        <v>214.28571428571431</v>
      </c>
      <c r="H24" s="98">
        <f>F24/D24</f>
        <v>37.414965986394563</v>
      </c>
      <c r="AC24" s="127">
        <v>100</v>
      </c>
      <c r="AD24" s="128">
        <v>50</v>
      </c>
      <c r="AE24" s="128">
        <v>6</v>
      </c>
      <c r="AF24" s="128">
        <f t="shared" si="0"/>
        <v>13.016159999999999</v>
      </c>
      <c r="AG24" s="129">
        <f t="shared" si="1"/>
        <v>200.8672</v>
      </c>
      <c r="AH24" s="129">
        <f t="shared" si="2"/>
        <v>63.927199999999999</v>
      </c>
      <c r="AI24" s="130">
        <f t="shared" si="3"/>
        <v>15.432139740138414</v>
      </c>
      <c r="AJ24" s="131">
        <f t="shared" si="4"/>
        <v>4.9113717102432668</v>
      </c>
    </row>
    <row r="25" spans="2:36" x14ac:dyDescent="0.3">
      <c r="B25" s="107"/>
      <c r="C25" s="83"/>
      <c r="D25" s="83"/>
      <c r="E25" s="83"/>
      <c r="F25" s="83"/>
      <c r="G25" s="84"/>
      <c r="H25" s="85"/>
      <c r="AC25" s="102">
        <v>120</v>
      </c>
      <c r="AD25" s="103">
        <v>50</v>
      </c>
      <c r="AE25" s="103">
        <v>6</v>
      </c>
      <c r="AF25" s="103">
        <f t="shared" si="0"/>
        <v>14.902560000000001</v>
      </c>
      <c r="AG25" s="104">
        <f t="shared" si="1"/>
        <v>321.09120000000001</v>
      </c>
      <c r="AH25" s="104">
        <f t="shared" si="2"/>
        <v>75.615200000000002</v>
      </c>
      <c r="AI25" s="105">
        <f t="shared" si="3"/>
        <v>21.546043095951298</v>
      </c>
      <c r="AJ25" s="106">
        <f t="shared" si="4"/>
        <v>5.0739738675771138</v>
      </c>
    </row>
    <row r="26" spans="2:36" x14ac:dyDescent="0.3">
      <c r="B26" s="146" t="s">
        <v>22</v>
      </c>
      <c r="C26" s="87" t="s">
        <v>35</v>
      </c>
      <c r="D26" s="87">
        <v>17</v>
      </c>
      <c r="E26" s="87">
        <v>839</v>
      </c>
      <c r="F26" s="87">
        <v>94.88</v>
      </c>
      <c r="G26" s="88">
        <f>E26/D26</f>
        <v>49.352941176470587</v>
      </c>
      <c r="H26" s="89">
        <f>F26/D26</f>
        <v>5.5811764705882352</v>
      </c>
      <c r="AC26" s="102">
        <v>140</v>
      </c>
      <c r="AD26" s="103">
        <v>50</v>
      </c>
      <c r="AE26" s="103">
        <v>6</v>
      </c>
      <c r="AF26" s="103">
        <f t="shared" si="0"/>
        <v>16.788959999999999</v>
      </c>
      <c r="AG26" s="104">
        <f t="shared" si="1"/>
        <v>479.23520000000002</v>
      </c>
      <c r="AH26" s="104">
        <f t="shared" si="2"/>
        <v>87.303200000000004</v>
      </c>
      <c r="AI26" s="105">
        <f t="shared" si="3"/>
        <v>28.544662683096512</v>
      </c>
      <c r="AJ26" s="106">
        <f t="shared" si="4"/>
        <v>5.2000362142741423</v>
      </c>
    </row>
    <row r="27" spans="2:36" x14ac:dyDescent="0.3">
      <c r="B27" s="147"/>
      <c r="C27" s="83" t="s">
        <v>36</v>
      </c>
      <c r="D27" s="83">
        <v>28.8</v>
      </c>
      <c r="E27" s="83">
        <v>2620</v>
      </c>
      <c r="F27" s="83">
        <v>329</v>
      </c>
      <c r="G27" s="84">
        <f>E27/D27</f>
        <v>90.972222222222214</v>
      </c>
      <c r="H27" s="85">
        <f>F27/D27</f>
        <v>11.423611111111111</v>
      </c>
      <c r="AC27" s="102">
        <v>100</v>
      </c>
      <c r="AD27" s="103">
        <v>60</v>
      </c>
      <c r="AE27" s="103">
        <v>6</v>
      </c>
      <c r="AF27" s="103">
        <f t="shared" si="0"/>
        <v>13.95936</v>
      </c>
      <c r="AG27" s="104">
        <f t="shared" si="1"/>
        <v>227.41120000000001</v>
      </c>
      <c r="AH27" s="104">
        <f t="shared" si="2"/>
        <v>98.899199999999993</v>
      </c>
      <c r="AI27" s="105">
        <f t="shared" si="3"/>
        <v>16.290947435985604</v>
      </c>
      <c r="AJ27" s="106">
        <f t="shared" si="4"/>
        <v>7.0847947183825042</v>
      </c>
    </row>
    <row r="28" spans="2:36" x14ac:dyDescent="0.3">
      <c r="B28" s="147"/>
      <c r="C28" s="83" t="s">
        <v>37</v>
      </c>
      <c r="D28" s="83">
        <v>40.9</v>
      </c>
      <c r="E28" s="83">
        <v>5940</v>
      </c>
      <c r="F28" s="83">
        <v>858</v>
      </c>
      <c r="G28" s="84">
        <f>E28/D28</f>
        <v>145.23227383863082</v>
      </c>
      <c r="H28" s="85">
        <f>F28/D28</f>
        <v>20.977995110024452</v>
      </c>
      <c r="AC28" s="102">
        <v>120</v>
      </c>
      <c r="AD28" s="103">
        <v>60</v>
      </c>
      <c r="AE28" s="103">
        <v>6</v>
      </c>
      <c r="AF28" s="103">
        <f t="shared" si="0"/>
        <v>15.84576</v>
      </c>
      <c r="AG28" s="104">
        <f t="shared" si="1"/>
        <v>360.11520000000002</v>
      </c>
      <c r="AH28" s="104">
        <f t="shared" si="2"/>
        <v>116.46720000000001</v>
      </c>
      <c r="AI28" s="105">
        <f t="shared" si="3"/>
        <v>22.726281352235553</v>
      </c>
      <c r="AJ28" s="106">
        <f t="shared" si="4"/>
        <v>7.3500545256270451</v>
      </c>
    </row>
    <row r="29" spans="2:36" x14ac:dyDescent="0.3">
      <c r="B29" s="145"/>
      <c r="C29" s="96" t="s">
        <v>38</v>
      </c>
      <c r="D29" s="96">
        <v>48.1</v>
      </c>
      <c r="E29" s="96">
        <v>9820</v>
      </c>
      <c r="F29" s="96">
        <v>990</v>
      </c>
      <c r="G29" s="97">
        <f>E29/D29</f>
        <v>204.15800415800416</v>
      </c>
      <c r="H29" s="98">
        <f>F29/D29</f>
        <v>20.582120582120581</v>
      </c>
      <c r="AC29" s="102">
        <v>140</v>
      </c>
      <c r="AD29" s="103">
        <v>60</v>
      </c>
      <c r="AE29" s="103">
        <v>6</v>
      </c>
      <c r="AF29" s="103">
        <f t="shared" si="0"/>
        <v>17.73216</v>
      </c>
      <c r="AG29" s="104">
        <f t="shared" si="1"/>
        <v>533.13919999999996</v>
      </c>
      <c r="AH29" s="104">
        <f t="shared" si="2"/>
        <v>134.0352</v>
      </c>
      <c r="AI29" s="105">
        <f t="shared" si="3"/>
        <v>30.066229946041538</v>
      </c>
      <c r="AJ29" s="106">
        <f t="shared" si="4"/>
        <v>7.5588760760110443</v>
      </c>
    </row>
    <row r="30" spans="2:36" x14ac:dyDescent="0.3">
      <c r="B30" s="132"/>
      <c r="C30" s="83"/>
      <c r="D30" s="83"/>
      <c r="E30" s="83"/>
      <c r="F30" s="83"/>
      <c r="G30" s="84"/>
      <c r="H30" s="85"/>
      <c r="AC30" s="102">
        <v>100</v>
      </c>
      <c r="AD30" s="103">
        <v>80</v>
      </c>
      <c r="AE30" s="103">
        <v>6</v>
      </c>
      <c r="AF30" s="103">
        <f t="shared" si="0"/>
        <v>15.84576</v>
      </c>
      <c r="AG30" s="104">
        <f t="shared" si="1"/>
        <v>280.49919999999997</v>
      </c>
      <c r="AH30" s="104">
        <f t="shared" si="2"/>
        <v>196.08320000000001</v>
      </c>
      <c r="AI30" s="105">
        <f t="shared" si="3"/>
        <v>17.701845793448843</v>
      </c>
      <c r="AJ30" s="106">
        <f t="shared" si="4"/>
        <v>12.374490084413749</v>
      </c>
    </row>
    <row r="31" spans="2:36" x14ac:dyDescent="0.3">
      <c r="B31" s="146" t="s">
        <v>53</v>
      </c>
      <c r="C31" s="86" t="s">
        <v>54</v>
      </c>
      <c r="D31" s="87">
        <v>20</v>
      </c>
      <c r="E31" s="87">
        <v>436</v>
      </c>
      <c r="F31" s="87">
        <v>236</v>
      </c>
      <c r="G31" s="88">
        <f>E31/D31</f>
        <v>21.8</v>
      </c>
      <c r="H31" s="89">
        <f>F31/D31</f>
        <v>11.8</v>
      </c>
      <c r="AC31" s="102">
        <v>120</v>
      </c>
      <c r="AD31" s="103">
        <v>80</v>
      </c>
      <c r="AE31" s="103">
        <v>6</v>
      </c>
      <c r="AF31" s="103">
        <f t="shared" si="0"/>
        <v>17.73216</v>
      </c>
      <c r="AG31" s="104">
        <f t="shared" si="1"/>
        <v>438.16320000000002</v>
      </c>
      <c r="AH31" s="104">
        <f t="shared" si="2"/>
        <v>229.0112</v>
      </c>
      <c r="AI31" s="105">
        <f t="shared" si="3"/>
        <v>24.710086080883549</v>
      </c>
      <c r="AJ31" s="106">
        <f t="shared" si="4"/>
        <v>12.915019941169041</v>
      </c>
    </row>
    <row r="32" spans="2:36" ht="15" thickBot="1" x14ac:dyDescent="0.35">
      <c r="B32" s="147"/>
      <c r="C32" s="99" t="s">
        <v>55</v>
      </c>
      <c r="D32" s="83">
        <v>37.1</v>
      </c>
      <c r="E32" s="83">
        <v>1970</v>
      </c>
      <c r="F32" s="83">
        <v>700</v>
      </c>
      <c r="G32" s="84">
        <f>E32/D32</f>
        <v>53.099730458221025</v>
      </c>
      <c r="H32" s="85">
        <f>F32/D32</f>
        <v>18.867924528301884</v>
      </c>
      <c r="AC32" s="110">
        <v>140</v>
      </c>
      <c r="AD32" s="111">
        <v>80</v>
      </c>
      <c r="AE32" s="111">
        <v>6</v>
      </c>
      <c r="AF32" s="111">
        <f t="shared" si="0"/>
        <v>19.618560000000002</v>
      </c>
      <c r="AG32" s="112">
        <f t="shared" si="1"/>
        <v>640.94719999999995</v>
      </c>
      <c r="AH32" s="112">
        <f t="shared" si="2"/>
        <v>261.93920000000003</v>
      </c>
      <c r="AI32" s="113">
        <f t="shared" si="3"/>
        <v>32.670450838389762</v>
      </c>
      <c r="AJ32" s="114">
        <f t="shared" si="4"/>
        <v>13.351601748548314</v>
      </c>
    </row>
    <row r="33" spans="2:8" x14ac:dyDescent="0.3">
      <c r="B33" s="147"/>
      <c r="C33" s="99" t="s">
        <v>56</v>
      </c>
      <c r="D33" s="83">
        <v>60.3</v>
      </c>
      <c r="E33" s="83">
        <v>5530</v>
      </c>
      <c r="F33" s="83">
        <v>1530</v>
      </c>
      <c r="G33" s="84">
        <f>E33/D33</f>
        <v>91.708126036484245</v>
      </c>
      <c r="H33" s="85">
        <f>F33/D33</f>
        <v>25.373134328358208</v>
      </c>
    </row>
    <row r="34" spans="2:8" ht="15" thickBot="1" x14ac:dyDescent="0.35">
      <c r="B34" s="149"/>
      <c r="C34" s="122" t="s">
        <v>57</v>
      </c>
      <c r="D34" s="123">
        <v>85.6</v>
      </c>
      <c r="E34" s="123">
        <v>12500</v>
      </c>
      <c r="F34" s="123">
        <v>3260</v>
      </c>
      <c r="G34" s="124">
        <f>E34/D34</f>
        <v>146.02803738317758</v>
      </c>
      <c r="H34" s="125">
        <f>F34/D34</f>
        <v>38.084112149532714</v>
      </c>
    </row>
  </sheetData>
  <mergeCells count="11">
    <mergeCell ref="B26:B29"/>
    <mergeCell ref="B31:B34"/>
    <mergeCell ref="K6:K8"/>
    <mergeCell ref="K10:K12"/>
    <mergeCell ref="K14:K16"/>
    <mergeCell ref="K18:K20"/>
    <mergeCell ref="B6:B7"/>
    <mergeCell ref="B9:B13"/>
    <mergeCell ref="B15:B19"/>
    <mergeCell ref="B21:B24"/>
    <mergeCell ref="B1:A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569D-7C36-4EF7-B4B3-90608BBFB973}">
  <dimension ref="A1:AB25"/>
  <sheetViews>
    <sheetView tabSelected="1" workbookViewId="0"/>
  </sheetViews>
  <sheetFormatPr defaultRowHeight="14.4" x14ac:dyDescent="0.3"/>
  <cols>
    <col min="1" max="1" width="3.44140625" customWidth="1"/>
    <col min="2" max="2" width="9.44140625" bestFit="1" customWidth="1"/>
    <col min="3" max="3" width="9.5546875" bestFit="1" customWidth="1"/>
    <col min="4" max="4" width="17.5546875" hidden="1" customWidth="1"/>
    <col min="5" max="5" width="5.5546875" bestFit="1" customWidth="1"/>
    <col min="6" max="6" width="13.88671875" bestFit="1" customWidth="1"/>
    <col min="7" max="7" width="5.44140625" bestFit="1" customWidth="1"/>
    <col min="8" max="8" width="3.44140625" customWidth="1"/>
    <col min="9" max="9" width="9.44140625" bestFit="1" customWidth="1"/>
    <col min="10" max="10" width="9.5546875" bestFit="1" customWidth="1"/>
    <col min="11" max="11" width="17.5546875" hidden="1" customWidth="1"/>
    <col min="12" max="12" width="5.5546875" bestFit="1" customWidth="1"/>
    <col min="13" max="13" width="13.88671875" bestFit="1" customWidth="1"/>
    <col min="14" max="14" width="5.44140625" bestFit="1" customWidth="1"/>
    <col min="15" max="15" width="3.44140625" customWidth="1"/>
    <col min="16" max="16" width="9.44140625" bestFit="1" customWidth="1"/>
    <col min="17" max="17" width="9.5546875" bestFit="1" customWidth="1"/>
    <col min="18" max="18" width="17.5546875" hidden="1" customWidth="1"/>
    <col min="19" max="19" width="5.5546875" bestFit="1" customWidth="1"/>
    <col min="20" max="20" width="13.88671875" bestFit="1" customWidth="1"/>
    <col min="21" max="21" width="5.44140625" bestFit="1" customWidth="1"/>
    <col min="22" max="22" width="3.44140625" customWidth="1"/>
    <col min="23" max="23" width="9.44140625" bestFit="1" customWidth="1"/>
    <col min="24" max="24" width="9.5546875" bestFit="1" customWidth="1"/>
    <col min="25" max="25" width="17.5546875" hidden="1" customWidth="1"/>
    <col min="26" max="26" width="5.5546875" bestFit="1" customWidth="1"/>
    <col min="27" max="27" width="13.88671875" bestFit="1" customWidth="1"/>
    <col min="28" max="28" width="5.44140625" bestFit="1" customWidth="1"/>
  </cols>
  <sheetData>
    <row r="1" spans="1:28" x14ac:dyDescent="0.3">
      <c r="A1" t="s">
        <v>99</v>
      </c>
    </row>
    <row r="2" spans="1:28" ht="15" thickBot="1" x14ac:dyDescent="0.35"/>
    <row r="3" spans="1:28" x14ac:dyDescent="0.3">
      <c r="B3" s="159" t="s">
        <v>100</v>
      </c>
      <c r="C3" s="13">
        <v>400</v>
      </c>
      <c r="D3" s="13" t="s">
        <v>8</v>
      </c>
      <c r="E3" s="13"/>
      <c r="F3" s="13"/>
      <c r="G3" s="2"/>
      <c r="I3" s="159" t="s">
        <v>100</v>
      </c>
      <c r="J3" s="13">
        <v>400</v>
      </c>
      <c r="K3" s="13" t="s">
        <v>8</v>
      </c>
      <c r="L3" s="13"/>
      <c r="M3" s="13"/>
      <c r="N3" s="2"/>
      <c r="P3" s="159" t="s">
        <v>100</v>
      </c>
      <c r="Q3" s="13">
        <v>400</v>
      </c>
      <c r="R3" s="13" t="s">
        <v>8</v>
      </c>
      <c r="S3" s="13"/>
      <c r="T3" s="13"/>
      <c r="U3" s="2"/>
      <c r="W3" s="159" t="s">
        <v>100</v>
      </c>
      <c r="X3" s="13">
        <v>400</v>
      </c>
      <c r="Y3" s="13" t="s">
        <v>8</v>
      </c>
      <c r="Z3" s="13"/>
      <c r="AA3" s="13"/>
      <c r="AB3" s="2"/>
    </row>
    <row r="4" spans="1:28" x14ac:dyDescent="0.3">
      <c r="B4" s="14" t="s">
        <v>2</v>
      </c>
      <c r="C4" s="15">
        <v>1.5</v>
      </c>
      <c r="D4" s="15" t="s">
        <v>8</v>
      </c>
      <c r="E4" s="15"/>
      <c r="F4" s="15"/>
      <c r="G4" s="3"/>
      <c r="I4" s="14" t="s">
        <v>2</v>
      </c>
      <c r="J4" s="15">
        <v>2.5</v>
      </c>
      <c r="K4" s="15" t="s">
        <v>8</v>
      </c>
      <c r="L4" s="15"/>
      <c r="M4" s="15"/>
      <c r="N4" s="3"/>
      <c r="P4" s="14" t="s">
        <v>2</v>
      </c>
      <c r="Q4" s="15">
        <v>3</v>
      </c>
      <c r="R4" s="15" t="s">
        <v>8</v>
      </c>
      <c r="S4" s="15"/>
      <c r="T4" s="15"/>
      <c r="U4" s="3"/>
      <c r="W4" s="14" t="s">
        <v>2</v>
      </c>
      <c r="X4" s="15">
        <v>4</v>
      </c>
      <c r="Y4" s="15" t="s">
        <v>8</v>
      </c>
      <c r="Z4" s="15"/>
      <c r="AA4" s="15"/>
      <c r="AB4" s="3"/>
    </row>
    <row r="5" spans="1:28" x14ac:dyDescent="0.3">
      <c r="B5" s="14"/>
      <c r="C5" s="16" t="s">
        <v>105</v>
      </c>
      <c r="D5" s="16" t="s">
        <v>109</v>
      </c>
      <c r="E5" s="154" t="s">
        <v>107</v>
      </c>
      <c r="F5" s="154" t="s">
        <v>106</v>
      </c>
      <c r="G5" s="160" t="s">
        <v>108</v>
      </c>
      <c r="I5" s="14"/>
      <c r="J5" s="16" t="s">
        <v>105</v>
      </c>
      <c r="K5" s="16" t="s">
        <v>109</v>
      </c>
      <c r="L5" s="154" t="s">
        <v>107</v>
      </c>
      <c r="M5" s="154" t="s">
        <v>106</v>
      </c>
      <c r="N5" s="160" t="s">
        <v>108</v>
      </c>
      <c r="P5" s="14"/>
      <c r="Q5" s="16" t="s">
        <v>105</v>
      </c>
      <c r="R5" s="16" t="s">
        <v>109</v>
      </c>
      <c r="S5" s="154" t="s">
        <v>107</v>
      </c>
      <c r="T5" s="154" t="s">
        <v>106</v>
      </c>
      <c r="U5" s="160" t="s">
        <v>108</v>
      </c>
      <c r="W5" s="14"/>
      <c r="X5" s="16" t="s">
        <v>105</v>
      </c>
      <c r="Y5" s="16" t="s">
        <v>109</v>
      </c>
      <c r="Z5" s="154" t="s">
        <v>107</v>
      </c>
      <c r="AA5" s="154" t="s">
        <v>106</v>
      </c>
      <c r="AB5" s="160" t="s">
        <v>108</v>
      </c>
    </row>
    <row r="6" spans="1:28" x14ac:dyDescent="0.3">
      <c r="B6" s="14" t="s">
        <v>101</v>
      </c>
      <c r="C6" s="155">
        <f>C3/4</f>
        <v>100</v>
      </c>
      <c r="D6" s="1">
        <f>C6</f>
        <v>100</v>
      </c>
      <c r="E6" s="1">
        <f>C6*C4*4*7.851/1000</f>
        <v>4.7106000000000003</v>
      </c>
      <c r="F6" s="157">
        <f>1/6*(C6^4 - (C6-2*C4)^4)</f>
        <v>1911786.5</v>
      </c>
      <c r="G6" s="161">
        <f>F6/E6/1000000</f>
        <v>0.40584776886171609</v>
      </c>
      <c r="I6" s="14" t="s">
        <v>101</v>
      </c>
      <c r="J6" s="155">
        <f>J3/4</f>
        <v>100</v>
      </c>
      <c r="K6" s="1">
        <f>J6</f>
        <v>100</v>
      </c>
      <c r="L6" s="1">
        <f>J6*J4*4*7.851/1000</f>
        <v>7.851</v>
      </c>
      <c r="M6" s="157">
        <f>1/6*(J6^4 - (J6-2*J4)^4)</f>
        <v>3091562.5</v>
      </c>
      <c r="N6" s="161">
        <f>M6/L6/1000000</f>
        <v>0.39377945484651639</v>
      </c>
      <c r="P6" s="14" t="s">
        <v>101</v>
      </c>
      <c r="Q6" s="155">
        <f>Q3/4</f>
        <v>100</v>
      </c>
      <c r="R6" s="1">
        <f>Q6</f>
        <v>100</v>
      </c>
      <c r="S6" s="1">
        <f>Q6*Q4*4*7.851/1000</f>
        <v>9.4212000000000007</v>
      </c>
      <c r="T6" s="157">
        <f>1/6*(Q6^4 - (Q6-2*Q4)^4)</f>
        <v>3654184</v>
      </c>
      <c r="U6" s="161">
        <f>T6/S6/1000000</f>
        <v>0.38786821211735234</v>
      </c>
      <c r="W6" s="14" t="s">
        <v>101</v>
      </c>
      <c r="X6" s="155">
        <f>X3/4</f>
        <v>100</v>
      </c>
      <c r="Y6" s="1">
        <f>X6</f>
        <v>100</v>
      </c>
      <c r="Z6" s="1">
        <f>X6*X4*4*7.851/1000</f>
        <v>12.5616</v>
      </c>
      <c r="AA6" s="157">
        <f>1/6*(X6^4 - (X6-2*X4)^4)</f>
        <v>4726784</v>
      </c>
      <c r="AB6" s="161">
        <f>AA6/Z6/1000000</f>
        <v>0.37628837090816453</v>
      </c>
    </row>
    <row r="7" spans="1:28" x14ac:dyDescent="0.3">
      <c r="B7" s="14" t="s">
        <v>102</v>
      </c>
      <c r="C7" s="155">
        <f>C3/6</f>
        <v>66.666666666666671</v>
      </c>
      <c r="D7" s="1">
        <f>C7*SQRT(3)</f>
        <v>115.47005383792515</v>
      </c>
      <c r="E7" s="156">
        <f>0.866*(D7^2 - (D7-2*C4)^2)*1000*7.86/1000000</f>
        <v>4.6546008219710089</v>
      </c>
      <c r="F7" s="156">
        <f>0.1203*(D7^4 - (D7-2*C4)^4)</f>
        <v>2137442.0850998629</v>
      </c>
      <c r="G7" s="161">
        <f t="shared" ref="G7:G9" si="0">F7/E7/1000000</f>
        <v>0.45921061050188078</v>
      </c>
      <c r="I7" s="14" t="s">
        <v>102</v>
      </c>
      <c r="J7" s="155">
        <f>J3/6</f>
        <v>66.666666666666671</v>
      </c>
      <c r="K7" s="1">
        <f>J7*SQRT(3)</f>
        <v>115.47005383792515</v>
      </c>
      <c r="L7" s="156">
        <f>0.866*(K7^2 - (K7-2*J4)^2)*1000*7.86/1000000</f>
        <v>7.6896004366183526</v>
      </c>
      <c r="M7" s="156">
        <f>0.1203*(K7^4 - (K7-2*J4)^4)</f>
        <v>3470549.6633589864</v>
      </c>
      <c r="N7" s="161">
        <f t="shared" ref="N7:N9" si="1">M7/L7/1000000</f>
        <v>0.45133029888419357</v>
      </c>
      <c r="P7" s="14" t="s">
        <v>102</v>
      </c>
      <c r="Q7" s="155">
        <f>Q3/6</f>
        <v>66.666666666666671</v>
      </c>
      <c r="R7" s="1">
        <f>Q7*SQRT(3)</f>
        <v>115.47005383792515</v>
      </c>
      <c r="S7" s="156">
        <f>0.866*(R7^2 - (R7-2*Q4)^2)*1000*7.86/1000000</f>
        <v>9.1866799639420176</v>
      </c>
      <c r="T7" s="156">
        <f>0.1203*(R7^4 - (R7-2*Q4)^4)</f>
        <v>4110517.1487646308</v>
      </c>
      <c r="U7" s="161">
        <f t="shared" ref="U7:U9" si="2">T7/S7/1000000</f>
        <v>0.44744316389582833</v>
      </c>
      <c r="W7" s="14" t="s">
        <v>102</v>
      </c>
      <c r="X7" s="155">
        <f>X3/6</f>
        <v>66.666666666666671</v>
      </c>
      <c r="Y7" s="1">
        <f>X7*SQRT(3)</f>
        <v>115.47005383792515</v>
      </c>
      <c r="Z7" s="156">
        <f>0.866*(Y7^2 - (Y7-2*X4)^2)*1000*7.86/1000000</f>
        <v>12.139998458589361</v>
      </c>
      <c r="AA7" s="156">
        <f>0.1203*(Y7^4 - (Y7-2*X4)^4)</f>
        <v>5338867.0398253044</v>
      </c>
      <c r="AB7" s="161">
        <f t="shared" ref="AB7:AB9" si="3">AA7/Z7/1000000</f>
        <v>0.43977493556005515</v>
      </c>
    </row>
    <row r="8" spans="1:28" x14ac:dyDescent="0.3">
      <c r="B8" s="14" t="s">
        <v>103</v>
      </c>
      <c r="C8" s="155">
        <f>C3/8</f>
        <v>50</v>
      </c>
      <c r="D8" s="1">
        <f>C8/TAN(PI()/180 * 22.5)</f>
        <v>120.71067811865476</v>
      </c>
      <c r="E8" s="156">
        <f>D8/TAN(67.5*PI()/180)*8*C4*1000*7.8/1000000</f>
        <v>4.6800000000000006</v>
      </c>
      <c r="F8" s="158">
        <f>1.7515*((D8/2)^4 - (D8/2 - C4)^4)</f>
        <v>2225797.4216127414</v>
      </c>
      <c r="G8" s="161">
        <f t="shared" si="0"/>
        <v>0.47559773966084212</v>
      </c>
      <c r="I8" s="14" t="s">
        <v>103</v>
      </c>
      <c r="J8" s="155">
        <f>J3/8</f>
        <v>50</v>
      </c>
      <c r="K8" s="1">
        <f>J8/TAN(PI()/180 * 22.5)</f>
        <v>120.71067811865476</v>
      </c>
      <c r="L8" s="156">
        <f>K8/TAN(67.5*PI()/180)*8*J4*1000*7.8/1000000</f>
        <v>7.8000000000000007</v>
      </c>
      <c r="M8" s="158">
        <f>1.7515*((K8/2)^4 - (K8/2 - J4)^4)</f>
        <v>3618132.6299497504</v>
      </c>
      <c r="N8" s="161">
        <f t="shared" si="1"/>
        <v>0.46386315768586539</v>
      </c>
      <c r="P8" s="14" t="s">
        <v>103</v>
      </c>
      <c r="Q8" s="155">
        <f>Q3/8</f>
        <v>50</v>
      </c>
      <c r="R8" s="1">
        <f>Q8/TAN(PI()/180 * 22.5)</f>
        <v>120.71067811865476</v>
      </c>
      <c r="S8" s="156">
        <f>R8/TAN(67.5*PI()/180)*8*Q4*1000*7.8/1000000</f>
        <v>9.3600000000000012</v>
      </c>
      <c r="T8" s="158">
        <f>1.7515*((R8/2)^4 - (R8/2 - Q4)^4)</f>
        <v>4287765.137559073</v>
      </c>
      <c r="U8" s="161">
        <f t="shared" si="2"/>
        <v>0.45809456597853343</v>
      </c>
      <c r="W8" s="14" t="s">
        <v>103</v>
      </c>
      <c r="X8" s="155">
        <f>X3/8</f>
        <v>50</v>
      </c>
      <c r="Y8" s="1">
        <f>X8/TAN(PI()/180 * 22.5)</f>
        <v>120.71067811865476</v>
      </c>
      <c r="Z8" s="156">
        <f>Y8/TAN(67.5*PI()/180)*8*X4*1000*7.8/1000000</f>
        <v>12.480000000000002</v>
      </c>
      <c r="AA8" s="158">
        <f>1.7515*((Y8/2)^4 - (Y8/2 - X4)^4)</f>
        <v>5575473.3959297966</v>
      </c>
      <c r="AB8" s="161">
        <f t="shared" si="3"/>
        <v>0.44675267595591311</v>
      </c>
    </row>
    <row r="9" spans="1:28" ht="15" thickBot="1" x14ac:dyDescent="0.35">
      <c r="B9" s="6" t="s">
        <v>104</v>
      </c>
      <c r="C9" s="162">
        <f>C3/PI()</f>
        <v>127.32395447351627</v>
      </c>
      <c r="D9" s="11">
        <f>C9</f>
        <v>127.32395447351627</v>
      </c>
      <c r="E9" s="163">
        <f>PI()*D9*C4*7.851/1000</f>
        <v>4.7106000000000003</v>
      </c>
      <c r="F9" s="164">
        <f>PI()/32 *(D9^4 - (D9- 2*C4)^4)</f>
        <v>2347106.7859900803</v>
      </c>
      <c r="G9" s="165">
        <f t="shared" si="0"/>
        <v>0.49826068568549237</v>
      </c>
      <c r="I9" s="6" t="s">
        <v>104</v>
      </c>
      <c r="J9" s="162">
        <f>J3/PI()</f>
        <v>127.32395447351627</v>
      </c>
      <c r="K9" s="11">
        <f>J9</f>
        <v>127.32395447351627</v>
      </c>
      <c r="L9" s="163">
        <f>PI()*K9*J4*7.851/1000</f>
        <v>7.851</v>
      </c>
      <c r="M9" s="164">
        <f>PI()/32 *(K9^4 - (K9- 2*J4)^4)</f>
        <v>3820303.5718241511</v>
      </c>
      <c r="N9" s="165">
        <f t="shared" si="1"/>
        <v>0.48660088801734191</v>
      </c>
      <c r="P9" s="6" t="s">
        <v>104</v>
      </c>
      <c r="Q9" s="162">
        <f>Q3/PI()</f>
        <v>127.32395447351627</v>
      </c>
      <c r="R9" s="11">
        <f>Q9</f>
        <v>127.32395447351627</v>
      </c>
      <c r="S9" s="163">
        <f>PI()*R9*Q4*7.851/1000</f>
        <v>9.4212000000000007</v>
      </c>
      <c r="T9" s="164">
        <f>PI()/32 *(R9^4 - (R9- 2*Q4)^4)</f>
        <v>4530314.9032512475</v>
      </c>
      <c r="U9" s="165">
        <f t="shared" si="2"/>
        <v>0.48086389241829569</v>
      </c>
      <c r="W9" s="6" t="s">
        <v>104</v>
      </c>
      <c r="X9" s="162">
        <f>X3/PI()</f>
        <v>127.32395447351627</v>
      </c>
      <c r="Y9" s="11">
        <f>X9</f>
        <v>127.32395447351627</v>
      </c>
      <c r="Z9" s="163">
        <f>PI()*Y9*X4*7.851/1000</f>
        <v>12.5616</v>
      </c>
      <c r="AA9" s="164">
        <f>PI()/32 *(Y9^4 - (Y9- 2*X4)^4)</f>
        <v>5898598.6477770824</v>
      </c>
      <c r="AB9" s="165">
        <f t="shared" si="3"/>
        <v>0.46957383197817809</v>
      </c>
    </row>
    <row r="10" spans="1:28" ht="15" thickBot="1" x14ac:dyDescent="0.35"/>
    <row r="11" spans="1:28" x14ac:dyDescent="0.3">
      <c r="B11" s="159" t="s">
        <v>100</v>
      </c>
      <c r="C11" s="13">
        <v>500</v>
      </c>
      <c r="D11" s="13" t="s">
        <v>8</v>
      </c>
      <c r="E11" s="13"/>
      <c r="F11" s="13"/>
      <c r="G11" s="2"/>
      <c r="I11" s="159" t="s">
        <v>100</v>
      </c>
      <c r="J11" s="13">
        <v>500</v>
      </c>
      <c r="K11" s="13" t="s">
        <v>8</v>
      </c>
      <c r="L11" s="13"/>
      <c r="M11" s="13"/>
      <c r="N11" s="2"/>
      <c r="P11" s="159" t="s">
        <v>100</v>
      </c>
      <c r="Q11" s="13">
        <v>500</v>
      </c>
      <c r="R11" s="13" t="s">
        <v>8</v>
      </c>
      <c r="S11" s="13"/>
      <c r="T11" s="13"/>
      <c r="U11" s="2"/>
      <c r="W11" s="159" t="s">
        <v>100</v>
      </c>
      <c r="X11" s="13">
        <v>500</v>
      </c>
      <c r="Y11" s="13" t="s">
        <v>8</v>
      </c>
      <c r="Z11" s="13"/>
      <c r="AA11" s="13"/>
      <c r="AB11" s="2"/>
    </row>
    <row r="12" spans="1:28" x14ac:dyDescent="0.3">
      <c r="B12" s="14" t="s">
        <v>2</v>
      </c>
      <c r="C12" s="15">
        <v>1.5</v>
      </c>
      <c r="D12" s="15" t="s">
        <v>8</v>
      </c>
      <c r="E12" s="15"/>
      <c r="F12" s="15"/>
      <c r="G12" s="3"/>
      <c r="I12" s="14" t="s">
        <v>2</v>
      </c>
      <c r="J12" s="15">
        <v>2.5</v>
      </c>
      <c r="K12" s="15" t="s">
        <v>8</v>
      </c>
      <c r="L12" s="15"/>
      <c r="M12" s="15"/>
      <c r="N12" s="3"/>
      <c r="P12" s="14" t="s">
        <v>2</v>
      </c>
      <c r="Q12" s="15">
        <v>3</v>
      </c>
      <c r="R12" s="15" t="s">
        <v>8</v>
      </c>
      <c r="S12" s="15"/>
      <c r="T12" s="15"/>
      <c r="U12" s="3"/>
      <c r="W12" s="14" t="s">
        <v>2</v>
      </c>
      <c r="X12" s="15">
        <v>4</v>
      </c>
      <c r="Y12" s="15" t="s">
        <v>8</v>
      </c>
      <c r="Z12" s="15"/>
      <c r="AA12" s="15"/>
      <c r="AB12" s="3"/>
    </row>
    <row r="13" spans="1:28" x14ac:dyDescent="0.3">
      <c r="B13" s="14"/>
      <c r="C13" s="16" t="s">
        <v>105</v>
      </c>
      <c r="D13" s="16" t="s">
        <v>109</v>
      </c>
      <c r="E13" s="154" t="s">
        <v>107</v>
      </c>
      <c r="F13" s="154" t="s">
        <v>106</v>
      </c>
      <c r="G13" s="160" t="s">
        <v>108</v>
      </c>
      <c r="I13" s="14"/>
      <c r="J13" s="16" t="s">
        <v>105</v>
      </c>
      <c r="K13" s="16" t="s">
        <v>109</v>
      </c>
      <c r="L13" s="154" t="s">
        <v>107</v>
      </c>
      <c r="M13" s="154" t="s">
        <v>106</v>
      </c>
      <c r="N13" s="160" t="s">
        <v>108</v>
      </c>
      <c r="P13" s="14"/>
      <c r="Q13" s="16" t="s">
        <v>105</v>
      </c>
      <c r="R13" s="16" t="s">
        <v>109</v>
      </c>
      <c r="S13" s="154" t="s">
        <v>107</v>
      </c>
      <c r="T13" s="154" t="s">
        <v>106</v>
      </c>
      <c r="U13" s="160" t="s">
        <v>108</v>
      </c>
      <c r="W13" s="14"/>
      <c r="X13" s="16" t="s">
        <v>105</v>
      </c>
      <c r="Y13" s="16" t="s">
        <v>109</v>
      </c>
      <c r="Z13" s="154" t="s">
        <v>107</v>
      </c>
      <c r="AA13" s="154" t="s">
        <v>106</v>
      </c>
      <c r="AB13" s="160" t="s">
        <v>108</v>
      </c>
    </row>
    <row r="14" spans="1:28" x14ac:dyDescent="0.3">
      <c r="B14" s="14" t="s">
        <v>101</v>
      </c>
      <c r="C14" s="155">
        <f>C11/4</f>
        <v>125</v>
      </c>
      <c r="D14" s="1">
        <f>C14</f>
        <v>125</v>
      </c>
      <c r="E14" s="1">
        <f>C14*C12*4*7.851/1000</f>
        <v>5.8882500000000002</v>
      </c>
      <c r="F14" s="157">
        <f>1/6*(C14^4 - (C14-2*C12)^4)</f>
        <v>3767861.5</v>
      </c>
      <c r="G14" s="161">
        <f>F14/E14/1000000</f>
        <v>0.63989496030229687</v>
      </c>
      <c r="I14" s="14" t="s">
        <v>101</v>
      </c>
      <c r="J14" s="155">
        <f>J11/4</f>
        <v>125</v>
      </c>
      <c r="K14" s="1">
        <f>J14</f>
        <v>125</v>
      </c>
      <c r="L14" s="1">
        <f>J14*J12*4*7.851/1000</f>
        <v>9.8137500000000006</v>
      </c>
      <c r="M14" s="157">
        <f>1/6*(J14^4 - (J14-2*J12)^4)</f>
        <v>6130104.166666666</v>
      </c>
      <c r="N14" s="161">
        <f>M14/L14/1000000</f>
        <v>0.62464441896998257</v>
      </c>
      <c r="P14" s="14" t="s">
        <v>101</v>
      </c>
      <c r="Q14" s="155">
        <f>Q11/4</f>
        <v>125</v>
      </c>
      <c r="R14" s="1">
        <f>Q14</f>
        <v>125</v>
      </c>
      <c r="S14" s="1">
        <f>Q14*Q12*4*7.851/1000</f>
        <v>11.7765</v>
      </c>
      <c r="T14" s="157">
        <f>1/6*(Q14^4 - (Q14-2*Q12)^4)</f>
        <v>7267784</v>
      </c>
      <c r="U14" s="161">
        <f>T14/S14/1000000</f>
        <v>0.61714295418842602</v>
      </c>
      <c r="W14" s="14" t="s">
        <v>101</v>
      </c>
      <c r="X14" s="155">
        <f>X11/4</f>
        <v>125</v>
      </c>
      <c r="Y14" s="1">
        <f>X14</f>
        <v>125</v>
      </c>
      <c r="Z14" s="1">
        <f>X14*X12*4*7.851/1000</f>
        <v>15.702</v>
      </c>
      <c r="AA14" s="157">
        <f>1/6*(X14^4 - (X14-2*X12)^4)</f>
        <v>9458650.666666666</v>
      </c>
      <c r="AB14" s="161">
        <f>AA14/Z14/1000000</f>
        <v>0.60238508894832921</v>
      </c>
    </row>
    <row r="15" spans="1:28" x14ac:dyDescent="0.3">
      <c r="B15" s="14" t="s">
        <v>102</v>
      </c>
      <c r="C15" s="155">
        <f>C11/6</f>
        <v>83.333333333333329</v>
      </c>
      <c r="D15" s="1">
        <f>C15*SQRT(3)</f>
        <v>144.33756729740642</v>
      </c>
      <c r="E15" s="156">
        <f>0.866*(D15^2 - (D15-2*C12)^2)*1000*7.86/1000000</f>
        <v>5.8335662374637671</v>
      </c>
      <c r="F15" s="156">
        <f>0.1203*(D15^4 - (D15-2*C12)^4)</f>
        <v>4207480.3835788537</v>
      </c>
      <c r="G15" s="161">
        <f t="shared" ref="G15:G17" si="4">F15/E15/1000000</f>
        <v>0.72125355439661909</v>
      </c>
      <c r="I15" s="14" t="s">
        <v>102</v>
      </c>
      <c r="J15" s="155">
        <f>J11/6</f>
        <v>83.333333333333329</v>
      </c>
      <c r="K15" s="1">
        <f>J15*SQRT(3)</f>
        <v>144.33756729740642</v>
      </c>
      <c r="L15" s="156">
        <f>0.866*(K15^2 - (K15-2*J12)^2)*1000*7.86/1000000</f>
        <v>9.6545427957729366</v>
      </c>
      <c r="M15" s="156">
        <f>0.1203*(K15^4 - (K15-2*J12)^4)</f>
        <v>6867589.7779554306</v>
      </c>
      <c r="N15" s="161">
        <f t="shared" ref="N15:N17" si="5">M15/L15/1000000</f>
        <v>0.71133247044720527</v>
      </c>
      <c r="P15" s="14" t="s">
        <v>102</v>
      </c>
      <c r="Q15" s="155">
        <f>Q11/6</f>
        <v>83.333333333333329</v>
      </c>
      <c r="R15" s="1">
        <f>Q15*SQRT(3)</f>
        <v>144.33756729740642</v>
      </c>
      <c r="S15" s="156">
        <f>0.866*(R15^2 - (R15-2*Q12)^2)*1000*7.86/1000000</f>
        <v>11.544610794927534</v>
      </c>
      <c r="T15" s="156">
        <f>0.1203*(R15^4 - (R15-2*Q12)^4)</f>
        <v>8155401.0954138348</v>
      </c>
      <c r="U15" s="161">
        <f t="shared" ref="U15:U17" si="6">T15/S15/1000000</f>
        <v>0.70642494929297672</v>
      </c>
      <c r="W15" s="14" t="s">
        <v>102</v>
      </c>
      <c r="X15" s="155">
        <f>X11/6</f>
        <v>83.333333333333329</v>
      </c>
      <c r="Y15" s="1">
        <f>X15*SQRT(3)</f>
        <v>144.33756729740642</v>
      </c>
      <c r="Z15" s="156">
        <f>0.866*(Y15^2 - (Y15-2*X12)^2)*1000*7.86/1000000</f>
        <v>15.283906233236703</v>
      </c>
      <c r="AA15" s="156">
        <f>0.1203*(Y15^4 - (Y15-2*X12)^4)</f>
        <v>10648541.229992349</v>
      </c>
      <c r="AB15" s="161">
        <f t="shared" ref="AB15:AB17" si="7">AA15/Z15/1000000</f>
        <v>0.69671594862547692</v>
      </c>
    </row>
    <row r="16" spans="1:28" x14ac:dyDescent="0.3">
      <c r="B16" s="14" t="s">
        <v>103</v>
      </c>
      <c r="C16" s="155">
        <f>C11/8</f>
        <v>62.5</v>
      </c>
      <c r="D16" s="1">
        <f>C16/TAN(PI()/180 * 22.5)</f>
        <v>150.88834764831844</v>
      </c>
      <c r="E16" s="156">
        <f>D16/TAN(67.5*PI()/180)*8*C12*1000*7.8/1000000</f>
        <v>5.8500000000000005</v>
      </c>
      <c r="F16" s="158">
        <f>1.7515*((D16/2)^4 - (D16/2 - C12)^4)</f>
        <v>4379911.7453189231</v>
      </c>
      <c r="G16" s="161">
        <f t="shared" si="4"/>
        <v>0.74870286244767914</v>
      </c>
      <c r="I16" s="14" t="s">
        <v>103</v>
      </c>
      <c r="J16" s="155">
        <f>J11/8</f>
        <v>62.5</v>
      </c>
      <c r="K16" s="1">
        <f>J16/TAN(PI()/180 * 22.5)</f>
        <v>150.88834764831844</v>
      </c>
      <c r="L16" s="156">
        <f>K16/TAN(67.5*PI()/180)*8*J12*1000*7.8/1000000</f>
        <v>9.7500000000000018</v>
      </c>
      <c r="M16" s="158">
        <f>1.7515*((K16/2)^4 - (K16/2 - J12)^4)</f>
        <v>7155546.458664557</v>
      </c>
      <c r="N16" s="161">
        <f t="shared" si="5"/>
        <v>0.73390220088867242</v>
      </c>
      <c r="P16" s="14" t="s">
        <v>103</v>
      </c>
      <c r="Q16" s="155">
        <f>Q11/8</f>
        <v>62.5</v>
      </c>
      <c r="R16" s="1">
        <f>Q16/TAN(PI()/180 * 22.5)</f>
        <v>150.88834764831844</v>
      </c>
      <c r="S16" s="156">
        <f>R16/TAN(67.5*PI()/180)*8*Q12*1000*7.8/1000000</f>
        <v>11.700000000000001</v>
      </c>
      <c r="T16" s="158">
        <f>1.7515*((R16/2)^4 - (R16/2 - Q12)^4)</f>
        <v>8501233.5583863482</v>
      </c>
      <c r="U16" s="161">
        <f t="shared" si="6"/>
        <v>0.72660115883643994</v>
      </c>
      <c r="W16" s="14" t="s">
        <v>103</v>
      </c>
      <c r="X16" s="155">
        <f>X11/8</f>
        <v>62.5</v>
      </c>
      <c r="Y16" s="1">
        <f>X16/TAN(PI()/180 * 22.5)</f>
        <v>150.88834764831844</v>
      </c>
      <c r="Z16" s="156">
        <f>Y16/TAN(67.5*PI()/180)*8*X12*1000*7.8/1000000</f>
        <v>15.600000000000001</v>
      </c>
      <c r="AA16" s="158">
        <f>1.7515*((Y16/2)^4 - (Y16/2 - X12)^4)</f>
        <v>11110257.101609664</v>
      </c>
      <c r="AB16" s="161">
        <f t="shared" si="7"/>
        <v>0.71219596805190144</v>
      </c>
    </row>
    <row r="17" spans="2:28" ht="15" thickBot="1" x14ac:dyDescent="0.35">
      <c r="B17" s="6" t="s">
        <v>104</v>
      </c>
      <c r="C17" s="162">
        <f>C11/PI()</f>
        <v>159.15494309189535</v>
      </c>
      <c r="D17" s="11">
        <f>C17</f>
        <v>159.15494309189535</v>
      </c>
      <c r="E17" s="163">
        <f>PI()*D17*C12*7.851/1000</f>
        <v>5.8882500000000002</v>
      </c>
      <c r="F17" s="164">
        <f>PI()/32 *(D17^4 - (D17- 2*C12)^4)</f>
        <v>4616823.0478443848</v>
      </c>
      <c r="G17" s="165">
        <f t="shared" si="4"/>
        <v>0.78407388406477041</v>
      </c>
      <c r="I17" s="6" t="s">
        <v>104</v>
      </c>
      <c r="J17" s="162">
        <f>J11/PI()</f>
        <v>159.15494309189535</v>
      </c>
      <c r="K17" s="11">
        <f>J17</f>
        <v>159.15494309189535</v>
      </c>
      <c r="L17" s="163">
        <f>PI()*K17*J12*7.851/1000</f>
        <v>9.8137500000000006</v>
      </c>
      <c r="M17" s="164">
        <f>PI()/32 *(K17^4 - (K17- 2*J12)^4)</f>
        <v>7550449.214954487</v>
      </c>
      <c r="N17" s="165">
        <f t="shared" si="5"/>
        <v>0.76937452196708567</v>
      </c>
      <c r="P17" s="6" t="s">
        <v>104</v>
      </c>
      <c r="Q17" s="162">
        <f>Q11/PI()</f>
        <v>159.15494309189535</v>
      </c>
      <c r="R17" s="11">
        <f>Q17</f>
        <v>159.15494309189535</v>
      </c>
      <c r="S17" s="163">
        <f>PI()*R17*Q12*7.851/1000</f>
        <v>11.7765</v>
      </c>
      <c r="T17" s="164">
        <f>PI()/32 *(R17^4 - (R17- 2*Q12)^4)</f>
        <v>8975085.7990315389</v>
      </c>
      <c r="U17" s="165">
        <f t="shared" si="6"/>
        <v>0.7621182693526547</v>
      </c>
      <c r="W17" s="6" t="s">
        <v>104</v>
      </c>
      <c r="X17" s="162">
        <f>X11/PI()</f>
        <v>159.15494309189535</v>
      </c>
      <c r="Y17" s="11">
        <f>X17</f>
        <v>159.15494309189535</v>
      </c>
      <c r="Z17" s="163">
        <f>PI()*Y17*X12*7.851/1000</f>
        <v>15.702</v>
      </c>
      <c r="AA17" s="164">
        <f>PI()/32 *(Y17^4 - (Y17- 2*X12)^4)</f>
        <v>11741816.172881195</v>
      </c>
      <c r="AB17" s="165">
        <f t="shared" si="7"/>
        <v>0.74779112042295226</v>
      </c>
    </row>
    <row r="18" spans="2:28" ht="15" thickBot="1" x14ac:dyDescent="0.35"/>
    <row r="19" spans="2:28" x14ac:dyDescent="0.3">
      <c r="B19" s="159" t="s">
        <v>100</v>
      </c>
      <c r="C19" s="13">
        <v>600</v>
      </c>
      <c r="D19" s="13" t="s">
        <v>8</v>
      </c>
      <c r="E19" s="13"/>
      <c r="F19" s="13"/>
      <c r="G19" s="2"/>
      <c r="I19" s="159" t="s">
        <v>100</v>
      </c>
      <c r="J19" s="13">
        <v>600</v>
      </c>
      <c r="K19" s="13" t="s">
        <v>8</v>
      </c>
      <c r="L19" s="13"/>
      <c r="M19" s="13"/>
      <c r="N19" s="2"/>
      <c r="P19" s="159" t="s">
        <v>100</v>
      </c>
      <c r="Q19" s="13">
        <v>600</v>
      </c>
      <c r="R19" s="13" t="s">
        <v>8</v>
      </c>
      <c r="S19" s="13"/>
      <c r="T19" s="13"/>
      <c r="U19" s="2"/>
      <c r="W19" s="159" t="s">
        <v>100</v>
      </c>
      <c r="X19" s="13">
        <v>600</v>
      </c>
      <c r="Y19" s="13" t="s">
        <v>8</v>
      </c>
      <c r="Z19" s="13"/>
      <c r="AA19" s="13"/>
      <c r="AB19" s="2"/>
    </row>
    <row r="20" spans="2:28" x14ac:dyDescent="0.3">
      <c r="B20" s="14" t="s">
        <v>2</v>
      </c>
      <c r="C20" s="15">
        <v>1.5</v>
      </c>
      <c r="D20" s="15" t="s">
        <v>8</v>
      </c>
      <c r="E20" s="15"/>
      <c r="F20" s="15"/>
      <c r="G20" s="3"/>
      <c r="I20" s="14" t="s">
        <v>2</v>
      </c>
      <c r="J20" s="15">
        <v>2.5</v>
      </c>
      <c r="K20" s="15" t="s">
        <v>8</v>
      </c>
      <c r="L20" s="15"/>
      <c r="M20" s="15"/>
      <c r="N20" s="3"/>
      <c r="P20" s="14" t="s">
        <v>2</v>
      </c>
      <c r="Q20" s="15">
        <v>3</v>
      </c>
      <c r="R20" s="15" t="s">
        <v>8</v>
      </c>
      <c r="S20" s="15"/>
      <c r="T20" s="15"/>
      <c r="U20" s="3"/>
      <c r="W20" s="14" t="s">
        <v>2</v>
      </c>
      <c r="X20" s="15">
        <v>4</v>
      </c>
      <c r="Y20" s="15" t="s">
        <v>8</v>
      </c>
      <c r="Z20" s="15"/>
      <c r="AA20" s="15"/>
      <c r="AB20" s="3"/>
    </row>
    <row r="21" spans="2:28" x14ac:dyDescent="0.3">
      <c r="B21" s="14"/>
      <c r="C21" s="16" t="s">
        <v>105</v>
      </c>
      <c r="D21" s="16" t="s">
        <v>109</v>
      </c>
      <c r="E21" s="154" t="s">
        <v>107</v>
      </c>
      <c r="F21" s="154" t="s">
        <v>106</v>
      </c>
      <c r="G21" s="160" t="s">
        <v>108</v>
      </c>
      <c r="I21" s="14"/>
      <c r="J21" s="16" t="s">
        <v>105</v>
      </c>
      <c r="K21" s="16" t="s">
        <v>109</v>
      </c>
      <c r="L21" s="154" t="s">
        <v>107</v>
      </c>
      <c r="M21" s="154" t="s">
        <v>106</v>
      </c>
      <c r="N21" s="160" t="s">
        <v>108</v>
      </c>
      <c r="P21" s="14"/>
      <c r="Q21" s="16" t="s">
        <v>105</v>
      </c>
      <c r="R21" s="16" t="s">
        <v>109</v>
      </c>
      <c r="S21" s="154" t="s">
        <v>107</v>
      </c>
      <c r="T21" s="154" t="s">
        <v>106</v>
      </c>
      <c r="U21" s="160" t="s">
        <v>108</v>
      </c>
      <c r="W21" s="14"/>
      <c r="X21" s="16" t="s">
        <v>105</v>
      </c>
      <c r="Y21" s="16" t="s">
        <v>109</v>
      </c>
      <c r="Z21" s="154" t="s">
        <v>107</v>
      </c>
      <c r="AA21" s="154" t="s">
        <v>106</v>
      </c>
      <c r="AB21" s="160" t="s">
        <v>108</v>
      </c>
    </row>
    <row r="22" spans="2:28" x14ac:dyDescent="0.3">
      <c r="B22" s="14" t="s">
        <v>101</v>
      </c>
      <c r="C22" s="155">
        <f>C19/4</f>
        <v>150</v>
      </c>
      <c r="D22" s="1">
        <f>C22</f>
        <v>150</v>
      </c>
      <c r="E22" s="1">
        <f>C22*C20*4*7.851/1000</f>
        <v>7.0659000000000001</v>
      </c>
      <c r="F22" s="157">
        <f>1/6*(C22^4 - (C22-2*C20)^4)</f>
        <v>6550186.5</v>
      </c>
      <c r="G22" s="161">
        <f>F22/E22/1000000</f>
        <v>0.92701375620939996</v>
      </c>
      <c r="I22" s="14" t="s">
        <v>101</v>
      </c>
      <c r="J22" s="155">
        <f>J19/4</f>
        <v>150</v>
      </c>
      <c r="K22" s="1">
        <f>J22</f>
        <v>150</v>
      </c>
      <c r="L22" s="1">
        <f>J22*J20*4*7.851/1000</f>
        <v>11.7765</v>
      </c>
      <c r="M22" s="157">
        <f>1/6*(J22^4 - (J22-2*J20)^4)</f>
        <v>10699895.833333332</v>
      </c>
      <c r="N22" s="161">
        <f>M22/L22/1000000</f>
        <v>0.90858029408850949</v>
      </c>
      <c r="P22" s="14" t="s">
        <v>101</v>
      </c>
      <c r="Q22" s="155">
        <f>Q19/4</f>
        <v>150</v>
      </c>
      <c r="R22" s="1">
        <f>Q22</f>
        <v>150</v>
      </c>
      <c r="S22" s="1">
        <f>Q22*Q20*4*7.851/1000</f>
        <v>14.1318</v>
      </c>
      <c r="T22" s="157">
        <f>1/6*(Q22^4 - (Q22-2*Q20)^4)</f>
        <v>12711384</v>
      </c>
      <c r="U22" s="161">
        <f>T22/S22/1000000</f>
        <v>0.89948796331677494</v>
      </c>
      <c r="W22" s="14" t="s">
        <v>101</v>
      </c>
      <c r="X22" s="155">
        <f>X19/4</f>
        <v>150</v>
      </c>
      <c r="Y22" s="1">
        <f>X22</f>
        <v>150</v>
      </c>
      <c r="Z22" s="1">
        <f>X22*X20*4*7.851/1000</f>
        <v>18.842400000000001</v>
      </c>
      <c r="AA22" s="157">
        <f>1/6*(X22^4 - (X22-2*X20)^4)</f>
        <v>16610517.333333332</v>
      </c>
      <c r="AB22" s="161">
        <f>AA22/Z22/1000000</f>
        <v>0.88154997947890557</v>
      </c>
    </row>
    <row r="23" spans="2:28" x14ac:dyDescent="0.3">
      <c r="B23" s="14" t="s">
        <v>102</v>
      </c>
      <c r="C23" s="155">
        <f>C19/6</f>
        <v>100</v>
      </c>
      <c r="D23" s="1">
        <f>C23*SQRT(3)</f>
        <v>173.20508075688772</v>
      </c>
      <c r="E23" s="156">
        <f>0.866*(D23^2 - (D23-2*C20)^2)*1000*7.86/1000000</f>
        <v>7.0125316529565254</v>
      </c>
      <c r="F23" s="156">
        <f>0.1203*(D23^4 - (D23-2*C20)^4)</f>
        <v>7308520.2428105315</v>
      </c>
      <c r="G23" s="161">
        <f t="shared" ref="G23:G25" si="8">F23/E23/1000000</f>
        <v>1.0422085210452083</v>
      </c>
      <c r="I23" s="14" t="s">
        <v>102</v>
      </c>
      <c r="J23" s="155">
        <f>J19/6</f>
        <v>100</v>
      </c>
      <c r="K23" s="1">
        <f>J23*SQRT(3)</f>
        <v>173.20508075688772</v>
      </c>
      <c r="L23" s="156">
        <f>0.866*(K23^2 - (K23-2*J20)^2)*1000*7.86/1000000</f>
        <v>11.619485154927535</v>
      </c>
      <c r="M23" s="156">
        <f>0.1203*(K23^4 - (K23-2*J20)^4)</f>
        <v>11970935.827139689</v>
      </c>
      <c r="N23" s="161">
        <f t="shared" ref="N23:N25" si="9">M23/L23/1000000</f>
        <v>1.0302466647640676</v>
      </c>
      <c r="P23" s="14" t="s">
        <v>102</v>
      </c>
      <c r="Q23" s="155">
        <f>Q19/6</f>
        <v>100</v>
      </c>
      <c r="R23" s="1">
        <f>Q23*SQRT(3)</f>
        <v>173.20508075688772</v>
      </c>
      <c r="S23" s="156">
        <f>0.866*(R23^2 - (R23-2*Q20)^2)*1000*7.86/1000000</f>
        <v>13.902541625913051</v>
      </c>
      <c r="T23" s="156">
        <f>0.1203*(R23^4 - (R23-2*Q20)^4)</f>
        <v>14240634.163568411</v>
      </c>
      <c r="U23" s="161">
        <f t="shared" ref="U23:U25" si="10">T23/S23/1000000</f>
        <v>1.024318757443976</v>
      </c>
      <c r="W23" s="14" t="s">
        <v>102</v>
      </c>
      <c r="X23" s="155">
        <f>X19/6</f>
        <v>100</v>
      </c>
      <c r="Y23" s="1">
        <f>X23*SQRT(3)</f>
        <v>173.20508075688772</v>
      </c>
      <c r="Z23" s="156">
        <f>0.866*(Y23^2 - (Y23-2*X20)^2)*1000*7.86/1000000</f>
        <v>18.427814007884059</v>
      </c>
      <c r="AA23" s="156">
        <f>0.1203*(Y23^4 - (Y23-2*X20)^4)</f>
        <v>18659432.915499896</v>
      </c>
      <c r="AB23" s="161">
        <f t="shared" ref="AB23:AB25" si="11">AA23/Z23/1000000</f>
        <v>1.0125689844447499</v>
      </c>
    </row>
    <row r="24" spans="2:28" x14ac:dyDescent="0.3">
      <c r="B24" s="14" t="s">
        <v>103</v>
      </c>
      <c r="C24" s="155">
        <f>C19/8</f>
        <v>75</v>
      </c>
      <c r="D24" s="1">
        <f>C24/TAN(PI()/180 * 22.5)</f>
        <v>181.06601717798213</v>
      </c>
      <c r="E24" s="156">
        <f>D24/TAN(67.5*PI()/180)*8*C20*1000*7.8/1000000</f>
        <v>7.02</v>
      </c>
      <c r="F24" s="158">
        <f>1.7515*((D24/2)^4 - (D24/2 - C20)^4)</f>
        <v>7606312.4146735622</v>
      </c>
      <c r="G24" s="161">
        <f t="shared" si="8"/>
        <v>1.0835202869905358</v>
      </c>
      <c r="I24" s="14" t="s">
        <v>103</v>
      </c>
      <c r="J24" s="155">
        <f>J19/8</f>
        <v>75</v>
      </c>
      <c r="K24" s="1">
        <f>J24/TAN(PI()/180 * 22.5)</f>
        <v>181.06601717798213</v>
      </c>
      <c r="L24" s="156">
        <f>K24/TAN(67.5*PI()/180)*8*J20*1000*7.8/1000000</f>
        <v>11.7</v>
      </c>
      <c r="M24" s="158">
        <f>1.7515*((K24/2)^4 - (K24/2 - J20)^4)</f>
        <v>12468141.12244693</v>
      </c>
      <c r="N24" s="161">
        <f t="shared" si="9"/>
        <v>1.0656530873886265</v>
      </c>
      <c r="P24" s="14" t="s">
        <v>103</v>
      </c>
      <c r="Q24" s="155">
        <f>Q19/8</f>
        <v>75</v>
      </c>
      <c r="R24" s="1">
        <f>Q24/TAN(PI()/180 * 22.5)</f>
        <v>181.06601717798213</v>
      </c>
      <c r="S24" s="156">
        <f>R24/TAN(67.5*PI()/180)*8*Q20*1000*7.8/1000000</f>
        <v>14.04</v>
      </c>
      <c r="T24" s="158">
        <f>1.7515*((R24/2)^4 - (R24/2 - Q20)^4)</f>
        <v>14837741.136686817</v>
      </c>
      <c r="U24" s="161">
        <f t="shared" si="10"/>
        <v>1.0568191692796878</v>
      </c>
      <c r="W24" s="14" t="s">
        <v>103</v>
      </c>
      <c r="X24" s="155">
        <f>X19/8</f>
        <v>75</v>
      </c>
      <c r="Y24" s="1">
        <f>X24/TAN(PI()/180 * 22.5)</f>
        <v>181.06601717798213</v>
      </c>
      <c r="Z24" s="156">
        <f>Y24/TAN(67.5*PI()/180)*8*X20*1000*7.8/1000000</f>
        <v>18.72</v>
      </c>
      <c r="AA24" s="158">
        <f>1.7515*((Y24/2)^4 - (Y24/2 - X20)^4)</f>
        <v>19456618.764966123</v>
      </c>
      <c r="AB24" s="161">
        <f t="shared" si="11"/>
        <v>1.0393492930003272</v>
      </c>
    </row>
    <row r="25" spans="2:28" ht="15" thickBot="1" x14ac:dyDescent="0.35">
      <c r="B25" s="6" t="s">
        <v>104</v>
      </c>
      <c r="C25" s="162">
        <f>C19/PI()</f>
        <v>190.9859317102744</v>
      </c>
      <c r="D25" s="11">
        <f>C25</f>
        <v>190.9859317102744</v>
      </c>
      <c r="E25" s="163">
        <f>PI()*D25*C20*7.851/1000</f>
        <v>7.0659000000000001</v>
      </c>
      <c r="F25" s="164">
        <f>PI()/32 *(D25^4 - (D25- 2*C20)^4)</f>
        <v>8015659.6670163162</v>
      </c>
      <c r="G25" s="165">
        <f t="shared" si="8"/>
        <v>1.1344145355887172</v>
      </c>
      <c r="I25" s="6" t="s">
        <v>104</v>
      </c>
      <c r="J25" s="162">
        <f>J19/PI()</f>
        <v>190.9859317102744</v>
      </c>
      <c r="K25" s="11">
        <f>J25</f>
        <v>190.9859317102744</v>
      </c>
      <c r="L25" s="163">
        <f>PI()*K25*J20*7.851/1000</f>
        <v>11.7765</v>
      </c>
      <c r="M25" s="164">
        <f>PI()/32 *(K25^4 - (K25- 2*J20)^4)</f>
        <v>13150525.499548942</v>
      </c>
      <c r="N25" s="165">
        <f t="shared" si="9"/>
        <v>1.1166752005730856</v>
      </c>
      <c r="P25" s="6" t="s">
        <v>104</v>
      </c>
      <c r="Q25" s="162">
        <f>Q19/PI()</f>
        <v>190.9859317102744</v>
      </c>
      <c r="R25" s="11">
        <f>Q25</f>
        <v>190.9859317102744</v>
      </c>
      <c r="S25" s="163">
        <f>PI()*R25*Q20*7.851/1000</f>
        <v>14.1318</v>
      </c>
      <c r="T25" s="164">
        <f>PI()/32 *(R25^4 - (R25- 2*Q20)^4)</f>
        <v>15656611.492129657</v>
      </c>
      <c r="U25" s="165">
        <f t="shared" si="10"/>
        <v>1.1078993116326057</v>
      </c>
      <c r="W25" s="6" t="s">
        <v>104</v>
      </c>
      <c r="X25" s="162">
        <f>X19/PI()</f>
        <v>190.9859317102744</v>
      </c>
      <c r="Y25" s="11">
        <f>X25</f>
        <v>190.9859317102744</v>
      </c>
      <c r="Z25" s="163">
        <f>PI()*Y25*X20*7.851/1000</f>
        <v>18.842400000000001</v>
      </c>
      <c r="AA25" s="164">
        <f>PI()/32 *(Y25^4 - (Y25- 2*X20)^4)</f>
        <v>20548274.834571298</v>
      </c>
      <c r="AB25" s="165">
        <f t="shared" si="11"/>
        <v>1.0905338404115876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Torsion and Bending Bending Mem</vt:lpstr>
      <vt:lpstr>Bending Beam Members</vt:lpstr>
      <vt:lpstr>For Same Coil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WATWE NINAD</dc:creator>
  <cp:lastModifiedBy>WATWE NINAD</cp:lastModifiedBy>
  <dcterms:created xsi:type="dcterms:W3CDTF">2019-01-23T06:12:04Z</dcterms:created>
  <dcterms:modified xsi:type="dcterms:W3CDTF">2019-03-05T12:56:45Z</dcterms:modified>
</cp:coreProperties>
</file>