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Music\NISM &amp; Future\Project\Fundamental Analysis\"/>
    </mc:Choice>
  </mc:AlternateContent>
  <xr:revisionPtr revIDLastSave="0" documentId="13_ncr:1_{1BB125D7-0393-4A57-9687-5DCE571A68D3}" xr6:coauthVersionLast="47" xr6:coauthVersionMax="47" xr10:uidLastSave="{00000000-0000-0000-0000-000000000000}"/>
  <bookViews>
    <workbookView xWindow="13728" yWindow="0" windowWidth="9408" windowHeight="12336" firstSheet="6" activeTab="6" xr2:uid="{00000000-000D-0000-FFFF-FFFF00000000}"/>
  </bookViews>
  <sheets>
    <sheet name="Company Basic info" sheetId="1" r:id="rId1"/>
    <sheet name="Balance Sheet 2019-2024" sheetId="13" r:id="rId2"/>
    <sheet name="Profit &amp; Loss from 2019-24" sheetId="14" r:id="rId3"/>
    <sheet name="Cash Flow Statement from 2019-2" sheetId="15" r:id="rId4"/>
    <sheet name="Ratio Analysis" sheetId="12" r:id="rId5"/>
    <sheet name="Key Assumptions" sheetId="16" r:id="rId6"/>
    <sheet name="FCFF Projections (5Y forecast)" sheetId="17" r:id="rId7"/>
    <sheet name="WACC" sheetId="18" r:id="rId8"/>
    <sheet name="Intrinsic Value Calculation" sheetId="1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 i="17" l="1"/>
  <c r="E7" i="17"/>
  <c r="F7" i="17"/>
  <c r="G7" i="17"/>
  <c r="H7" i="17"/>
  <c r="D7" i="17"/>
  <c r="E5" i="17"/>
  <c r="F5" i="17"/>
  <c r="G5" i="17"/>
  <c r="H5" i="17"/>
  <c r="D5" i="17"/>
  <c r="E4" i="17"/>
  <c r="F4" i="17"/>
  <c r="G4" i="17"/>
  <c r="H4" i="17"/>
  <c r="D4" i="17"/>
  <c r="F3" i="17"/>
  <c r="G3" i="17" s="1"/>
  <c r="H3" i="17" s="1"/>
  <c r="E3" i="17"/>
  <c r="D3" i="17"/>
  <c r="D8" i="17" s="1"/>
  <c r="B4" i="12"/>
  <c r="H20" i="17"/>
  <c r="G20" i="17"/>
  <c r="F20" i="17"/>
  <c r="D20" i="17"/>
  <c r="E20" i="17"/>
  <c r="D19" i="1" a="1"/>
  <c r="D19" i="1" s="1"/>
  <c r="C19" i="1" a="1"/>
  <c r="C19" i="1" s="1"/>
  <c r="C10" i="19"/>
  <c r="B10" i="19"/>
  <c r="C8" i="19"/>
  <c r="B8" i="19"/>
  <c r="L11" i="16"/>
  <c r="M11" i="16" s="1"/>
  <c r="C9" i="17" s="1"/>
  <c r="K11" i="16"/>
  <c r="J11" i="16"/>
  <c r="I11" i="16"/>
  <c r="C21" i="17"/>
  <c r="F11" i="16"/>
  <c r="E11" i="16"/>
  <c r="D11" i="16"/>
  <c r="C11" i="16"/>
  <c r="B20" i="17"/>
  <c r="B19" i="17"/>
  <c r="B17" i="17"/>
  <c r="B16" i="17"/>
  <c r="B15" i="17"/>
  <c r="B8" i="17"/>
  <c r="B7" i="17"/>
  <c r="B5" i="17"/>
  <c r="B4" i="17"/>
  <c r="B3" i="17"/>
  <c r="H19" i="16"/>
  <c r="B19" i="16"/>
  <c r="C5" i="17" s="1"/>
  <c r="H21" i="16"/>
  <c r="B21" i="16"/>
  <c r="H22" i="16" a="1"/>
  <c r="H22" i="16" s="1"/>
  <c r="B22" i="16" a="1"/>
  <c r="B22" i="16" s="1"/>
  <c r="H24" i="16" a="1"/>
  <c r="H24" i="16" s="1"/>
  <c r="B24" i="16" a="1"/>
  <c r="B24" i="16" s="1"/>
  <c r="H26" i="16" a="1"/>
  <c r="H26" i="16" s="1"/>
  <c r="C6" i="18" s="1"/>
  <c r="B26" i="16" a="1"/>
  <c r="B26" i="16" s="1"/>
  <c r="B6" i="18" s="1"/>
  <c r="H3" i="16"/>
  <c r="B3" i="16"/>
  <c r="J2" i="16" a="1"/>
  <c r="J2" i="16" s="1"/>
  <c r="C12" i="19" s="1"/>
  <c r="D2" i="16" a="1"/>
  <c r="D2" i="16" s="1"/>
  <c r="B12" i="19" s="1"/>
  <c r="I10" i="16"/>
  <c r="J10" i="16"/>
  <c r="K10" i="16"/>
  <c r="L10" i="16"/>
  <c r="B9" i="17" s="1"/>
  <c r="H10" i="16"/>
  <c r="C10" i="16"/>
  <c r="D10" i="16"/>
  <c r="E10" i="16"/>
  <c r="F10" i="16"/>
  <c r="B10" i="16"/>
  <c r="F9" i="16"/>
  <c r="E9" i="16"/>
  <c r="D9" i="16"/>
  <c r="C9" i="16"/>
  <c r="B9" i="16"/>
  <c r="L9" i="16"/>
  <c r="K9" i="16"/>
  <c r="J9" i="16"/>
  <c r="I9" i="16"/>
  <c r="H9" i="16"/>
  <c r="L8" i="16"/>
  <c r="K8" i="16"/>
  <c r="J8" i="16"/>
  <c r="I8" i="16"/>
  <c r="H8" i="16"/>
  <c r="F8" i="16"/>
  <c r="E8" i="16"/>
  <c r="D8" i="16"/>
  <c r="C8" i="16"/>
  <c r="B8" i="16"/>
  <c r="L6" i="16"/>
  <c r="K6" i="16"/>
  <c r="J6" i="16"/>
  <c r="I6" i="16"/>
  <c r="F6" i="16"/>
  <c r="E6" i="16"/>
  <c r="D6" i="16"/>
  <c r="C6" i="16"/>
  <c r="K23" i="12"/>
  <c r="J23" i="12"/>
  <c r="I23" i="12"/>
  <c r="H23" i="12"/>
  <c r="G23" i="12"/>
  <c r="F23" i="12"/>
  <c r="E23" i="12"/>
  <c r="D23" i="12"/>
  <c r="C23" i="12"/>
  <c r="B23" i="12"/>
  <c r="H22" i="12"/>
  <c r="I22" i="12"/>
  <c r="J22" i="12"/>
  <c r="K22" i="12"/>
  <c r="G22" i="12"/>
  <c r="D22" i="12"/>
  <c r="F22" i="12"/>
  <c r="E22" i="12"/>
  <c r="C22" i="12"/>
  <c r="B22" i="12"/>
  <c r="H26" i="12"/>
  <c r="H21" i="12" s="1"/>
  <c r="I26" i="12"/>
  <c r="I21" i="12" s="1"/>
  <c r="J26" i="12"/>
  <c r="J21" i="12" s="1"/>
  <c r="K26" i="12"/>
  <c r="K21" i="12" s="1"/>
  <c r="G26" i="12"/>
  <c r="G21" i="12" s="1"/>
  <c r="C26" i="12"/>
  <c r="C21" i="12" s="1"/>
  <c r="D26" i="12"/>
  <c r="D21" i="12" s="1"/>
  <c r="E26" i="12"/>
  <c r="E21" i="12" s="1"/>
  <c r="F26" i="12"/>
  <c r="F21" i="12" s="1"/>
  <c r="B26" i="12"/>
  <c r="B21" i="12" s="1"/>
  <c r="D18" i="1" a="1"/>
  <c r="D18" i="1" s="1"/>
  <c r="C18" i="1" a="1"/>
  <c r="C18" i="1" s="1"/>
  <c r="K20" i="12"/>
  <c r="J20" i="12"/>
  <c r="I20" i="12"/>
  <c r="H20" i="12"/>
  <c r="G20" i="12"/>
  <c r="F20" i="12"/>
  <c r="E20" i="12"/>
  <c r="D20" i="12"/>
  <c r="C20" i="12"/>
  <c r="B20" i="12"/>
  <c r="K18" i="12"/>
  <c r="J18" i="12"/>
  <c r="I18" i="12"/>
  <c r="H18" i="12"/>
  <c r="G18" i="12"/>
  <c r="F18" i="12"/>
  <c r="E18" i="12"/>
  <c r="D18" i="12"/>
  <c r="C18" i="12"/>
  <c r="B18" i="12"/>
  <c r="K17" i="12"/>
  <c r="J17" i="12"/>
  <c r="I17" i="12"/>
  <c r="H17" i="12"/>
  <c r="G17" i="12"/>
  <c r="F17" i="12"/>
  <c r="E17" i="12"/>
  <c r="D17" i="12"/>
  <c r="C17" i="12"/>
  <c r="B17" i="12"/>
  <c r="K16" i="12"/>
  <c r="J16" i="12"/>
  <c r="I16" i="12"/>
  <c r="H16" i="12"/>
  <c r="G16" i="12"/>
  <c r="F16" i="12"/>
  <c r="E16" i="12"/>
  <c r="D16" i="12"/>
  <c r="C16" i="12"/>
  <c r="B16" i="12"/>
  <c r="K14" i="12"/>
  <c r="J14" i="12"/>
  <c r="I14" i="12"/>
  <c r="H14" i="12"/>
  <c r="G14" i="12"/>
  <c r="F14" i="12"/>
  <c r="E14" i="12"/>
  <c r="D14" i="12"/>
  <c r="C14" i="12"/>
  <c r="B14" i="12"/>
  <c r="C13" i="12"/>
  <c r="D13" i="12"/>
  <c r="E13" i="12"/>
  <c r="F13" i="12"/>
  <c r="B13" i="12"/>
  <c r="H11" i="12"/>
  <c r="I11" i="12"/>
  <c r="J11" i="12"/>
  <c r="K11" i="12"/>
  <c r="G11" i="12"/>
  <c r="C11" i="12"/>
  <c r="D11" i="12"/>
  <c r="E11" i="12"/>
  <c r="F11" i="12"/>
  <c r="B11" i="12"/>
  <c r="H10" i="12"/>
  <c r="I10" i="12"/>
  <c r="J10" i="12"/>
  <c r="K10" i="12"/>
  <c r="G10" i="12"/>
  <c r="C10" i="12"/>
  <c r="D10" i="12"/>
  <c r="E10" i="12"/>
  <c r="F10" i="12"/>
  <c r="B10" i="12"/>
  <c r="C30" i="13"/>
  <c r="D30" i="13"/>
  <c r="E30" i="13"/>
  <c r="F30" i="13"/>
  <c r="B30" i="13"/>
  <c r="K8" i="12"/>
  <c r="J8" i="12"/>
  <c r="I8" i="12"/>
  <c r="H8" i="12"/>
  <c r="G8" i="12"/>
  <c r="K7" i="12"/>
  <c r="J7" i="12"/>
  <c r="I7" i="12"/>
  <c r="H7" i="12"/>
  <c r="G7" i="12"/>
  <c r="C58" i="13"/>
  <c r="E7" i="12" s="1"/>
  <c r="D58" i="13"/>
  <c r="D7" i="12" s="1"/>
  <c r="E58" i="13"/>
  <c r="C7" i="12" s="1"/>
  <c r="F58" i="13"/>
  <c r="B7" i="12" s="1"/>
  <c r="B58" i="13"/>
  <c r="F7" i="12" s="1"/>
  <c r="K6" i="12"/>
  <c r="J6" i="12"/>
  <c r="I6" i="12"/>
  <c r="H6" i="12"/>
  <c r="G6" i="12"/>
  <c r="F6" i="12"/>
  <c r="E6" i="12"/>
  <c r="D6" i="12"/>
  <c r="C6" i="12"/>
  <c r="B6" i="12"/>
  <c r="K5" i="12"/>
  <c r="L7" i="16" s="1"/>
  <c r="J5" i="12"/>
  <c r="K7" i="16" s="1"/>
  <c r="I5" i="12"/>
  <c r="J7" i="16" s="1"/>
  <c r="H5" i="12"/>
  <c r="I7" i="16" s="1"/>
  <c r="G5" i="12"/>
  <c r="H7" i="16" s="1"/>
  <c r="F5" i="12"/>
  <c r="F7" i="16" s="1"/>
  <c r="E5" i="12"/>
  <c r="E7" i="16" s="1"/>
  <c r="D5" i="12"/>
  <c r="D7" i="16" s="1"/>
  <c r="C5" i="12"/>
  <c r="C7" i="16" s="1"/>
  <c r="B5" i="12"/>
  <c r="B7" i="16" s="1"/>
  <c r="K4" i="12"/>
  <c r="J4" i="12"/>
  <c r="I4" i="12"/>
  <c r="H4" i="12"/>
  <c r="G4" i="12"/>
  <c r="F4" i="12"/>
  <c r="E4" i="12"/>
  <c r="D4" i="12"/>
  <c r="C4" i="12"/>
  <c r="J44" i="15"/>
  <c r="K44" i="15"/>
  <c r="L44" i="15"/>
  <c r="M44" i="15"/>
  <c r="I44" i="15"/>
  <c r="J37" i="15"/>
  <c r="K37" i="15"/>
  <c r="L37" i="15"/>
  <c r="M37" i="15"/>
  <c r="I37" i="15"/>
  <c r="J18" i="15"/>
  <c r="J25" i="15" s="1"/>
  <c r="J27" i="15" s="1"/>
  <c r="K18" i="15"/>
  <c r="K25" i="15" s="1"/>
  <c r="K27" i="15" s="1"/>
  <c r="L18" i="15"/>
  <c r="L25" i="15" s="1"/>
  <c r="L27" i="15" s="1"/>
  <c r="M18" i="15"/>
  <c r="M25" i="15" s="1"/>
  <c r="M27" i="15" s="1"/>
  <c r="I18" i="15"/>
  <c r="I25" i="15" s="1"/>
  <c r="I27" i="15" s="1"/>
  <c r="F57" i="15"/>
  <c r="E57" i="15"/>
  <c r="D57" i="15"/>
  <c r="C57" i="15"/>
  <c r="B57" i="15"/>
  <c r="F44" i="15"/>
  <c r="F49" i="15" s="1"/>
  <c r="E44" i="15"/>
  <c r="E49" i="15" s="1"/>
  <c r="D44" i="15"/>
  <c r="D49" i="15" s="1"/>
  <c r="C44" i="15"/>
  <c r="C49" i="15" s="1"/>
  <c r="B44" i="15"/>
  <c r="B49" i="15" s="1"/>
  <c r="F23" i="15"/>
  <c r="F36" i="15" s="1"/>
  <c r="F38" i="15" s="1"/>
  <c r="F40" i="15" s="1"/>
  <c r="E23" i="15"/>
  <c r="E36" i="15" s="1"/>
  <c r="E38" i="15" s="1"/>
  <c r="E40" i="15" s="1"/>
  <c r="E58" i="15" s="1"/>
  <c r="E60" i="15" s="1"/>
  <c r="D23" i="15"/>
  <c r="D36" i="15" s="1"/>
  <c r="D38" i="15" s="1"/>
  <c r="D40" i="15" s="1"/>
  <c r="D58" i="15" s="1"/>
  <c r="D60" i="15" s="1"/>
  <c r="C23" i="15"/>
  <c r="C36" i="15" s="1"/>
  <c r="C38" i="15" s="1"/>
  <c r="C40" i="15" s="1"/>
  <c r="C58" i="15" s="1"/>
  <c r="C60" i="15" s="1"/>
  <c r="B23" i="15"/>
  <c r="B36" i="15" s="1"/>
  <c r="B38" i="15" s="1"/>
  <c r="B40" i="15" s="1"/>
  <c r="B58" i="15" s="1"/>
  <c r="B60" i="15" s="1"/>
  <c r="M27" i="14"/>
  <c r="M12" i="14"/>
  <c r="M19" i="14" s="1"/>
  <c r="M6" i="14"/>
  <c r="M10" i="14" s="1"/>
  <c r="M21" i="14" s="1"/>
  <c r="M22" i="14" s="1"/>
  <c r="M28" i="14" s="1"/>
  <c r="M29" i="14" s="1"/>
  <c r="M30" i="14" s="1"/>
  <c r="F28" i="14"/>
  <c r="E28" i="14"/>
  <c r="F13" i="14"/>
  <c r="F19" i="14" s="1"/>
  <c r="E10" i="14"/>
  <c r="E21" i="14" s="1"/>
  <c r="E23" i="14" s="1"/>
  <c r="E29" i="14" s="1"/>
  <c r="E30" i="14" s="1"/>
  <c r="E31" i="14" s="1"/>
  <c r="F8" i="14"/>
  <c r="F10" i="14" s="1"/>
  <c r="M41" i="13"/>
  <c r="M47" i="13" s="1"/>
  <c r="M37" i="13"/>
  <c r="M48" i="13" s="1"/>
  <c r="M19" i="13"/>
  <c r="M12" i="13"/>
  <c r="M15" i="13" s="1"/>
  <c r="M8" i="13"/>
  <c r="M9" i="13" s="1"/>
  <c r="L47" i="13"/>
  <c r="L26" i="13"/>
  <c r="L37" i="13" s="1"/>
  <c r="L48" i="13" s="1"/>
  <c r="L20" i="13"/>
  <c r="L19" i="13"/>
  <c r="L22" i="13" s="1"/>
  <c r="L12" i="13"/>
  <c r="L11" i="13"/>
  <c r="L9" i="13"/>
  <c r="K47" i="13"/>
  <c r="K37" i="13"/>
  <c r="K20" i="13"/>
  <c r="K19" i="13"/>
  <c r="K12" i="13"/>
  <c r="K15" i="13" s="1"/>
  <c r="K8" i="13"/>
  <c r="K6" i="13"/>
  <c r="K9" i="13" s="1"/>
  <c r="J41" i="13"/>
  <c r="J37" i="13"/>
  <c r="J48" i="13" s="1"/>
  <c r="J20" i="13"/>
  <c r="J17" i="13"/>
  <c r="J22" i="13" s="1"/>
  <c r="J15" i="13"/>
  <c r="J8" i="13"/>
  <c r="J9" i="13" s="1"/>
  <c r="I41" i="13"/>
  <c r="I47" i="13" s="1"/>
  <c r="I37" i="13"/>
  <c r="I17" i="13"/>
  <c r="I22" i="13" s="1"/>
  <c r="I15" i="13"/>
  <c r="I8" i="13"/>
  <c r="I6" i="13"/>
  <c r="F53" i="13"/>
  <c r="E53" i="13"/>
  <c r="C36" i="13"/>
  <c r="C8" i="12" s="1"/>
  <c r="D36" i="13"/>
  <c r="D8" i="12" s="1"/>
  <c r="E36" i="13"/>
  <c r="E8" i="12" s="1"/>
  <c r="F36" i="13"/>
  <c r="F8" i="12" s="1"/>
  <c r="B36" i="13"/>
  <c r="B8" i="12" s="1"/>
  <c r="C48" i="13"/>
  <c r="D48" i="13"/>
  <c r="E48" i="13"/>
  <c r="F48" i="13"/>
  <c r="B48" i="13"/>
  <c r="C19" i="13"/>
  <c r="C31" i="13" s="1"/>
  <c r="D19" i="13"/>
  <c r="D31" i="13" s="1"/>
  <c r="E19" i="13"/>
  <c r="E31" i="13" s="1"/>
  <c r="F19" i="13"/>
  <c r="F31" i="13" s="1"/>
  <c r="B19" i="13"/>
  <c r="B31" i="13" s="1"/>
  <c r="D53" i="13"/>
  <c r="C53" i="13"/>
  <c r="B53" i="13"/>
  <c r="D15" i="1" a="1"/>
  <c r="D15" i="1" s="1"/>
  <c r="C15" i="1" a="1"/>
  <c r="C15" i="1" s="1"/>
  <c r="D14" i="1" a="1"/>
  <c r="D14" i="1" s="1"/>
  <c r="C14" i="1" a="1"/>
  <c r="C14" i="1" s="1"/>
  <c r="D16" i="1" a="1"/>
  <c r="D16" i="1" s="1"/>
  <c r="D17" i="1" a="1"/>
  <c r="D17" i="1" s="1"/>
  <c r="C17" i="1" a="1"/>
  <c r="C17" i="1" s="1"/>
  <c r="C16" i="1" a="1"/>
  <c r="C16" i="1" s="1"/>
  <c r="D11" i="1" a="1"/>
  <c r="D11" i="1" s="1"/>
  <c r="C11" i="1" a="1"/>
  <c r="C11" i="1" s="1"/>
  <c r="D9" i="1" a="1"/>
  <c r="D9" i="1" s="1"/>
  <c r="C9" i="1" a="1"/>
  <c r="C9" i="1" s="1"/>
  <c r="D8" i="1" a="1"/>
  <c r="D8" i="1" s="1"/>
  <c r="C8" i="1" a="1"/>
  <c r="C8" i="1" s="1"/>
  <c r="D7" i="1" a="1"/>
  <c r="D7" i="1" s="1"/>
  <c r="C7" i="1" a="1"/>
  <c r="C7" i="1" s="1"/>
  <c r="D6" i="1" a="1"/>
  <c r="D6" i="1" s="1"/>
  <c r="C6" i="1" a="1"/>
  <c r="C6" i="1" s="1"/>
  <c r="D5" i="1" a="1"/>
  <c r="D5" i="1" s="1"/>
  <c r="C5" i="1" a="1"/>
  <c r="C5" i="1" s="1"/>
  <c r="B18" i="17" l="1"/>
  <c r="G11" i="16"/>
  <c r="C4" i="18"/>
  <c r="C8" i="18" s="1"/>
  <c r="B21" i="17"/>
  <c r="B22" i="17" s="1"/>
  <c r="B4" i="18"/>
  <c r="B8" i="18" s="1"/>
  <c r="B6" i="17"/>
  <c r="B10" i="17" s="1"/>
  <c r="C17" i="17"/>
  <c r="H4" i="16"/>
  <c r="B4" i="16"/>
  <c r="G6" i="16"/>
  <c r="G7" i="16"/>
  <c r="M6" i="16"/>
  <c r="M7" i="16"/>
  <c r="M9" i="16"/>
  <c r="M8" i="16"/>
  <c r="G9" i="16"/>
  <c r="G8" i="16"/>
  <c r="L15" i="13"/>
  <c r="L23" i="13" s="1"/>
  <c r="J23" i="13"/>
  <c r="K22" i="13"/>
  <c r="K48" i="13"/>
  <c r="K23" i="13"/>
  <c r="C59" i="13"/>
  <c r="I9" i="13"/>
  <c r="I23" i="13" s="1"/>
  <c r="M23" i="13"/>
  <c r="M45" i="15"/>
  <c r="M47" i="15" s="1"/>
  <c r="L45" i="15"/>
  <c r="L47" i="15" s="1"/>
  <c r="F58" i="15"/>
  <c r="F60" i="15" s="1"/>
  <c r="K45" i="15"/>
  <c r="K47" i="15" s="1"/>
  <c r="J45" i="15"/>
  <c r="J47" i="15" s="1"/>
  <c r="I45" i="15"/>
  <c r="I47" i="15" s="1"/>
  <c r="F21" i="14"/>
  <c r="F23" i="14" s="1"/>
  <c r="F29" i="14" s="1"/>
  <c r="F30" i="14" s="1"/>
  <c r="F31" i="14" s="1"/>
  <c r="I48" i="13"/>
  <c r="D59" i="13"/>
  <c r="F59" i="13"/>
  <c r="E59" i="13"/>
  <c r="B59" i="13"/>
  <c r="D12" i="1"/>
  <c r="C12" i="1"/>
  <c r="H18" i="16" l="1"/>
  <c r="C4" i="17"/>
  <c r="H15" i="16"/>
  <c r="C16" i="17"/>
  <c r="B15" i="16"/>
  <c r="B16" i="16"/>
  <c r="C19" i="17"/>
  <c r="H14" i="16"/>
  <c r="C3" i="17"/>
  <c r="B17" i="16"/>
  <c r="B14" i="16"/>
  <c r="C15" i="17"/>
  <c r="D15" i="17" s="1"/>
  <c r="H17" i="16"/>
  <c r="C7" i="17"/>
  <c r="H16" i="16"/>
  <c r="D16" i="17" l="1"/>
  <c r="D19" i="17"/>
  <c r="E15" i="17"/>
  <c r="D21" i="17"/>
  <c r="E8" i="17"/>
  <c r="D9" i="17"/>
  <c r="B18" i="16"/>
  <c r="E21" i="17" l="1"/>
  <c r="F15" i="17"/>
  <c r="E16" i="17"/>
  <c r="E19" i="17"/>
  <c r="D17" i="17"/>
  <c r="D18" i="17" s="1"/>
  <c r="D22" i="17" s="1"/>
  <c r="D23" i="17" s="1"/>
  <c r="F8" i="17"/>
  <c r="E9" i="17"/>
  <c r="D6" i="17"/>
  <c r="D10" i="17" s="1"/>
  <c r="D11" i="17" s="1"/>
  <c r="G15" i="17" l="1"/>
  <c r="F21" i="17"/>
  <c r="F16" i="17"/>
  <c r="F19" i="17"/>
  <c r="E17" i="17"/>
  <c r="E18" i="17" s="1"/>
  <c r="E22" i="17" s="1"/>
  <c r="E23" i="17" s="1"/>
  <c r="G8" i="17"/>
  <c r="F9" i="17"/>
  <c r="E6" i="17"/>
  <c r="E10" i="17" s="1"/>
  <c r="E11" i="17" s="1"/>
  <c r="F17" i="17" l="1"/>
  <c r="F18" i="17"/>
  <c r="F22" i="17" s="1"/>
  <c r="F23" i="17" s="1"/>
  <c r="H15" i="17"/>
  <c r="G21" i="17"/>
  <c r="G16" i="17"/>
  <c r="G19" i="17"/>
  <c r="G9" i="17"/>
  <c r="F6" i="17"/>
  <c r="F10" i="17" s="1"/>
  <c r="F11" i="17" s="1"/>
  <c r="H19" i="17" l="1"/>
  <c r="H21" i="17"/>
  <c r="H16" i="17"/>
  <c r="G17" i="17"/>
  <c r="G18" i="17"/>
  <c r="G22" i="17" s="1"/>
  <c r="G23" i="17" s="1"/>
  <c r="G6" i="17"/>
  <c r="G10" i="17" s="1"/>
  <c r="G11" i="17" s="1"/>
  <c r="H9" i="17"/>
  <c r="H17" i="17" l="1"/>
  <c r="H18" i="17" s="1"/>
  <c r="H22" i="17" s="1"/>
  <c r="H6" i="17"/>
  <c r="H10" i="17" s="1"/>
  <c r="C3" i="19" l="1"/>
  <c r="C4" i="19" s="1"/>
  <c r="H11" i="17"/>
  <c r="C5" i="19" s="1"/>
  <c r="B3" i="19"/>
  <c r="B4" i="19" s="1"/>
  <c r="H23" i="17"/>
  <c r="B5" i="19" s="1"/>
  <c r="B6" i="19" l="1"/>
  <c r="B9" i="19" s="1"/>
  <c r="B11" i="19" s="1"/>
  <c r="B13" i="19" s="1"/>
  <c r="C6" i="19"/>
  <c r="C9" i="19" s="1"/>
  <c r="C11" i="19" s="1"/>
  <c r="C13" i="1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0"/>
        </ext>
      </extLst>
    </bk>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9"/>
        </ext>
      </extLst>
    </bk>
    <bk>
      <extLst>
        <ext uri="{3e2802c4-a4d2-4d8b-9148-e3be6c30e623}">
          <xlrd:rvb i="12"/>
        </ext>
      </extLst>
    </bk>
    <bk>
      <extLst>
        <ext uri="{3e2802c4-a4d2-4d8b-9148-e3be6c30e623}">
          <xlrd:rvb i="15"/>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<sst xmlns="http://schemas.openxmlformats.org/spreadsheetml/2006/main" count="438" uniqueCount="318">
  <si>
    <t>Company Basic Info</t>
  </si>
  <si>
    <t>Attribute</t>
  </si>
  <si>
    <t>Mazagon Dock Shipbuilders</t>
  </si>
  <si>
    <t>Bharat Electronics Limited</t>
  </si>
  <si>
    <t>Company Name</t>
  </si>
  <si>
    <t>Ticker Symbol</t>
  </si>
  <si>
    <t>Industry/Sector</t>
  </si>
  <si>
    <t>Listed Exchange</t>
  </si>
  <si>
    <t>Year of Corporation</t>
  </si>
  <si>
    <t>Face Value</t>
  </si>
  <si>
    <t>INR to USD</t>
  </si>
  <si>
    <t>Market Capitalization (in $)</t>
  </si>
  <si>
    <t>Market Capitalization (in ₹)</t>
  </si>
  <si>
    <t>52 week low</t>
  </si>
  <si>
    <t>52 week high</t>
  </si>
  <si>
    <t>Market Price</t>
  </si>
  <si>
    <t>Daily change (%)</t>
  </si>
  <si>
    <t>Particulars</t>
  </si>
  <si>
    <t>Profit/Loss Before Tax</t>
  </si>
  <si>
    <t>Profit/Loss For The Period</t>
  </si>
  <si>
    <t>Logo</t>
  </si>
  <si>
    <t>Total Assets</t>
  </si>
  <si>
    <t>Ratio</t>
  </si>
  <si>
    <t>Ratio Analysis</t>
  </si>
  <si>
    <t>Current Ratio</t>
  </si>
  <si>
    <t>EV/EBITDA</t>
  </si>
  <si>
    <t>Dividend Yield</t>
  </si>
  <si>
    <t>ASSETS</t>
  </si>
  <si>
    <t>NON-CURRENT ASSETS</t>
  </si>
  <si>
    <t>Property, plant and equipment</t>
  </si>
  <si>
    <t>Capital work-in-progress</t>
  </si>
  <si>
    <t>Investment property</t>
  </si>
  <si>
    <t>Other intangible assets</t>
  </si>
  <si>
    <t>Intangible assets under development</t>
  </si>
  <si>
    <t>Financial assets</t>
  </si>
  <si>
    <t>Investments</t>
  </si>
  <si>
    <t>Trade receivables</t>
  </si>
  <si>
    <t>Loans</t>
  </si>
  <si>
    <t>Other financial assets</t>
  </si>
  <si>
    <t>Deferred tax assets (net)</t>
  </si>
  <si>
    <t>Inventories</t>
  </si>
  <si>
    <t>Other non-current assets</t>
  </si>
  <si>
    <t>CURRENT ASSETS</t>
  </si>
  <si>
    <t>Cash &amp; Cash equivalents</t>
  </si>
  <si>
    <t>Bank Balances</t>
  </si>
  <si>
    <t>Other finance assets</t>
  </si>
  <si>
    <t>Current tax assets (net)</t>
  </si>
  <si>
    <t>Other current assets</t>
  </si>
  <si>
    <t>TOTAL ASSETS</t>
  </si>
  <si>
    <t>EQUITY AND LIABILITIES</t>
  </si>
  <si>
    <t>Equity share capital</t>
  </si>
  <si>
    <t>Other equity</t>
  </si>
  <si>
    <t>Total shareholder's funds</t>
  </si>
  <si>
    <t>LIABILITIES</t>
  </si>
  <si>
    <t>NON-CURRENT LIABILITIES</t>
  </si>
  <si>
    <t>Deferred income</t>
  </si>
  <si>
    <t>Financial liabilities</t>
  </si>
  <si>
    <t>Borrowings</t>
  </si>
  <si>
    <t>Trade payables</t>
  </si>
  <si>
    <t>Other financial liabilities</t>
  </si>
  <si>
    <t>Other non-current liabilities</t>
  </si>
  <si>
    <t>Total non-current liabilities</t>
  </si>
  <si>
    <t>CURRENT LIABILITIES</t>
  </si>
  <si>
    <t>Trade Payables</t>
  </si>
  <si>
    <t>Other current liabilities</t>
  </si>
  <si>
    <t>Short term provisions</t>
  </si>
  <si>
    <t>Long term provisions</t>
  </si>
  <si>
    <t>Current tax liabilities (net)</t>
  </si>
  <si>
    <t>TOTAL EQUITY AND LIABILITIES</t>
  </si>
  <si>
    <t>Lease liabilities</t>
  </si>
  <si>
    <t>Deferred tax liabilities (net)</t>
  </si>
  <si>
    <t>Total Non-current assets</t>
  </si>
  <si>
    <t>Investment in associate</t>
  </si>
  <si>
    <t>Non controlling interest</t>
  </si>
  <si>
    <t>BHARAT ELECTRONICS LIMITED BALANCE SHEET 2019-2024</t>
  </si>
  <si>
    <t>MAZAGON DOCK SHIPBUILDERS LIMITED</t>
  </si>
  <si>
    <t>EQUITIES AND LIABILITIES</t>
  </si>
  <si>
    <t>SHAREHOLDER'S FUNDS</t>
  </si>
  <si>
    <t>Equity Share Capital</t>
  </si>
  <si>
    <t>Total Share Capital</t>
  </si>
  <si>
    <t>Reserves and Surplus</t>
  </si>
  <si>
    <t>Total Reserves and Surplus</t>
  </si>
  <si>
    <t>Total Shareholders Funds</t>
  </si>
  <si>
    <t>Other Financial Liabilities</t>
  </si>
  <si>
    <t>Other long-term liabilities</t>
  </si>
  <si>
    <t>Long term Provisions</t>
  </si>
  <si>
    <t>Total Non-Current Liabilities</t>
  </si>
  <si>
    <t>Other Current Liabilities</t>
  </si>
  <si>
    <t>Contract Liability</t>
  </si>
  <si>
    <t>Short Term Provisions</t>
  </si>
  <si>
    <t>Total Current Liabilities</t>
  </si>
  <si>
    <t>Total Capital And Liabilities</t>
  </si>
  <si>
    <t>Property, Plant and equipment</t>
  </si>
  <si>
    <t>Other Intangible Assets</t>
  </si>
  <si>
    <t>Capital Work-In-Progress</t>
  </si>
  <si>
    <t>Intangible Assets Under Development</t>
  </si>
  <si>
    <t>Trade receivable</t>
  </si>
  <si>
    <t>Other Financial assets</t>
  </si>
  <si>
    <t>Deferred Tax Assets [Net]</t>
  </si>
  <si>
    <t>Non-current tax assets [Net]</t>
  </si>
  <si>
    <t>Other Non-Current Assets</t>
  </si>
  <si>
    <t>Total Non-Current Assets</t>
  </si>
  <si>
    <t>Trade Receivables</t>
  </si>
  <si>
    <t>Cash And Cash Equivalents</t>
  </si>
  <si>
    <t>Short Term Loans And Advances</t>
  </si>
  <si>
    <t>Contract assets</t>
  </si>
  <si>
    <t>Assets held for sale</t>
  </si>
  <si>
    <t>Other CurrentAssets</t>
  </si>
  <si>
    <t>Total Current Assets</t>
  </si>
  <si>
    <t>Mar 24</t>
  </si>
  <si>
    <t>Mar 23</t>
  </si>
  <si>
    <t>Mar 22</t>
  </si>
  <si>
    <t>Mar 21</t>
  </si>
  <si>
    <t>Mar 20</t>
  </si>
  <si>
    <t>12 mths</t>
  </si>
  <si>
    <t>INCOME</t>
  </si>
  <si>
    <t>Revenue From Operations [Gross]</t>
  </si>
  <si>
    <t>Revenue From Operations [Net]</t>
  </si>
  <si>
    <t>Other Operating Revenues</t>
  </si>
  <si>
    <t>Total Operating Revenues</t>
  </si>
  <si>
    <t>Other Income</t>
  </si>
  <si>
    <t>Total Revenue</t>
  </si>
  <si>
    <t>EXPENSES</t>
  </si>
  <si>
    <t>Cost Of Materials Consumed</t>
  </si>
  <si>
    <t>Operating And Direct Expenses</t>
  </si>
  <si>
    <t>Employee Benefit Expenses</t>
  </si>
  <si>
    <t>Finance Costs</t>
  </si>
  <si>
    <t>Provsions and Contingencies</t>
  </si>
  <si>
    <t>Depreciation And Amortisation Expenses</t>
  </si>
  <si>
    <t>Other Expenses</t>
  </si>
  <si>
    <t>Total Expenses</t>
  </si>
  <si>
    <t>Profit/Loss Before Exceptional, Extraordinary Items And Tax</t>
  </si>
  <si>
    <t>Exceptional Items</t>
  </si>
  <si>
    <t>Tax Expenses-Continued Operations</t>
  </si>
  <si>
    <t>Current Tax</t>
  </si>
  <si>
    <t>Deferred Tax</t>
  </si>
  <si>
    <t>Tax For Earlier Years</t>
  </si>
  <si>
    <t>Total Tax Expenses</t>
  </si>
  <si>
    <t>Profit/Loss After Tax And Before Extraordinary Items</t>
  </si>
  <si>
    <t>Profit/Loss From Continuing Operations</t>
  </si>
  <si>
    <t>OTHER ADDITIONAL INFORMATION</t>
  </si>
  <si>
    <t>EARNINGS PER SHARE</t>
  </si>
  <si>
    <t>Basic EPS (Rs.)</t>
  </si>
  <si>
    <t>Diluted EPS (Rs.)</t>
  </si>
  <si>
    <t>BHARAT ELECTRONICS LIMITED</t>
  </si>
  <si>
    <t>Purchase Of Stock-In Trade</t>
  </si>
  <si>
    <t>Changes In Inventories Of FG,WIP And Stock-In Trade</t>
  </si>
  <si>
    <t>Cash Flow Statement of BHARAT ELECTRONICS LIMITED</t>
  </si>
  <si>
    <t>CASH FLOW FROM OPERATING ACTIVITIES</t>
  </si>
  <si>
    <t>Profit after share of associate but before exceptional items and tax</t>
  </si>
  <si>
    <t>Adjustments for</t>
  </si>
  <si>
    <t>Depreciation and ammortization expense</t>
  </si>
  <si>
    <t>Provision for doubtful advances</t>
  </si>
  <si>
    <t>Provision for performance warranty</t>
  </si>
  <si>
    <t>Provision for onerous contract</t>
  </si>
  <si>
    <t>Provision for obselete / redundant materials</t>
  </si>
  <si>
    <t>Provision for doubtful debts, liquidated damages, customer's claims and disallowances</t>
  </si>
  <si>
    <t>Provision for intangible assets under development</t>
  </si>
  <si>
    <t>Intangible assets under development charged off</t>
  </si>
  <si>
    <t>Provision for impairement of capital work in progress</t>
  </si>
  <si>
    <t>Contract costs charged off</t>
  </si>
  <si>
    <t>Corporate Social responsibility</t>
  </si>
  <si>
    <t>Transfer from government grants</t>
  </si>
  <si>
    <t>Interest income</t>
  </si>
  <si>
    <t>Interest on lease liability</t>
  </si>
  <si>
    <t>Finance cost</t>
  </si>
  <si>
    <t>Profit on sale of property, plant and equipment</t>
  </si>
  <si>
    <t>Operating Profit before working capital changes</t>
  </si>
  <si>
    <t>Increase/ Decrease in</t>
  </si>
  <si>
    <t>Other assets</t>
  </si>
  <si>
    <t>Provisions</t>
  </si>
  <si>
    <t>Other liabilities</t>
  </si>
  <si>
    <t>Current tax asstes</t>
  </si>
  <si>
    <t>Cash generated from Operations</t>
  </si>
  <si>
    <t>Income taxes paid (net)</t>
  </si>
  <si>
    <t>Cash flow before Expectional items</t>
  </si>
  <si>
    <t>Exceptional items</t>
  </si>
  <si>
    <t>Net cash from/used in operating activities</t>
  </si>
  <si>
    <t>CASH FLOW FROM INVESTING ACTIVITIES</t>
  </si>
  <si>
    <t>Purchase of property, plant &amp; equipment and other tangible assets</t>
  </si>
  <si>
    <t>Less: Receipt of grant</t>
  </si>
  <si>
    <t>Purchase of property, plant &amp; equipment and other tangible assets (net)</t>
  </si>
  <si>
    <t>Proceeds from sale of property, plant &amp; equipment</t>
  </si>
  <si>
    <t>Increase/decrease in term deposits &amp; other bank balances</t>
  </si>
  <si>
    <t>Other investments</t>
  </si>
  <si>
    <t>Interest received</t>
  </si>
  <si>
    <t>Net cash from/used in Investing activities</t>
  </si>
  <si>
    <t>CASH FLOW FROM FINANCING ACTIVITIES</t>
  </si>
  <si>
    <t>Proceeds/Repayment from borrowings (net)</t>
  </si>
  <si>
    <t>Corporate Social responsibility expenditure</t>
  </si>
  <si>
    <t>Dividends paid</t>
  </si>
  <si>
    <t>Repayment of lease liabilities</t>
  </si>
  <si>
    <t>Net cash from / used in Financing activities</t>
  </si>
  <si>
    <t xml:space="preserve">Net Increase/Decrease in cash and cash equivalents </t>
  </si>
  <si>
    <t>Cash and Cash equivalents at the beginning of the year</t>
  </si>
  <si>
    <t>Cash and Cash equivalents at the end of the year</t>
  </si>
  <si>
    <t>Profit before tax but after exceptional items</t>
  </si>
  <si>
    <t>Ajustments for</t>
  </si>
  <si>
    <t>Plus: Non cash expenditure and non operating expenses</t>
  </si>
  <si>
    <t>Depreciation / Ammortization</t>
  </si>
  <si>
    <t>Ammortization of prepaid rentals</t>
  </si>
  <si>
    <t>(-) Non Operating income</t>
  </si>
  <si>
    <t>Profit/Loss on sale of fixed assets</t>
  </si>
  <si>
    <t>Ammortization gain on deferred depsoits of vendors</t>
  </si>
  <si>
    <t>Ammortization of deferred revenue</t>
  </si>
  <si>
    <t>Interest income on deferred payment liability to foreign supplier</t>
  </si>
  <si>
    <t>Interest income deferred deposit with MbPT</t>
  </si>
  <si>
    <t>Operating profit before working capital changes</t>
  </si>
  <si>
    <t>Movement in working capital</t>
  </si>
  <si>
    <t>Decrease / Increase in inventories</t>
  </si>
  <si>
    <t>Decrease / Increase in trade receivables and loans and advances</t>
  </si>
  <si>
    <t>Decrease / Increase Other current and non-current assets</t>
  </si>
  <si>
    <t>Decrease / Increase in trade payables and provisions</t>
  </si>
  <si>
    <t>Decrease / Increase in other current and non-current liabilities</t>
  </si>
  <si>
    <t>Cash flow from operations</t>
  </si>
  <si>
    <t xml:space="preserve">Direct tax paid </t>
  </si>
  <si>
    <t>Net cash from / used in Operating activities</t>
  </si>
  <si>
    <t>Purchase of property, plant and equipment</t>
  </si>
  <si>
    <t>Capital work in progress</t>
  </si>
  <si>
    <t>Proceeds from sale of property, plant and equipment</t>
  </si>
  <si>
    <t>Capital advance</t>
  </si>
  <si>
    <t xml:space="preserve">Interest received </t>
  </si>
  <si>
    <t>Dividend received</t>
  </si>
  <si>
    <t>Principal portion of lease payments</t>
  </si>
  <si>
    <t>Net cash from / used in Investing activities</t>
  </si>
  <si>
    <t>Buy back of equity share capital</t>
  </si>
  <si>
    <t>Payment of buy back tax</t>
  </si>
  <si>
    <t>Dividend paid</t>
  </si>
  <si>
    <t>Finance cost - Lease</t>
  </si>
  <si>
    <t>Finance cost - Othes</t>
  </si>
  <si>
    <t>Net increase / decrease in cash and cash equivalents</t>
  </si>
  <si>
    <t>Cash and cash equivalents at the beginning of the period</t>
  </si>
  <si>
    <t>Cash and cash equivalents at the end of the period</t>
  </si>
  <si>
    <t>Forex variation</t>
  </si>
  <si>
    <t>Fixed deposits / Term deposits</t>
  </si>
  <si>
    <t>Profitability ratios</t>
  </si>
  <si>
    <t>Gross Profit margin</t>
  </si>
  <si>
    <t>Operating profit margin</t>
  </si>
  <si>
    <t>Net profit margin</t>
  </si>
  <si>
    <t>Return on capital employed</t>
  </si>
  <si>
    <t>Return on Equity</t>
  </si>
  <si>
    <t>Liquidity ratios</t>
  </si>
  <si>
    <t>Quick ratio</t>
  </si>
  <si>
    <t>Solvency ratio</t>
  </si>
  <si>
    <t>Debt-to-Equity ratio</t>
  </si>
  <si>
    <t>Interest Coverage ratio</t>
  </si>
  <si>
    <t>Efficiency ratios</t>
  </si>
  <si>
    <t>Asset turnover ratio</t>
  </si>
  <si>
    <t>Inventory turnover ratio</t>
  </si>
  <si>
    <t>Days Sales outstanding</t>
  </si>
  <si>
    <t>Market Value ratios</t>
  </si>
  <si>
    <t>Price-to-Earnings ratio (P/E)</t>
  </si>
  <si>
    <t>Price-to-Book (P/B) Ratio</t>
  </si>
  <si>
    <t>Nil</t>
  </si>
  <si>
    <t>Market Price per share</t>
  </si>
  <si>
    <t>Book value per share</t>
  </si>
  <si>
    <t>No. of Shares Outstanding</t>
  </si>
  <si>
    <t>In crores</t>
  </si>
  <si>
    <t>Shares outstanding (Total)</t>
  </si>
  <si>
    <t>Assumptions</t>
  </si>
  <si>
    <t>Revenue Y-o-Y growth</t>
  </si>
  <si>
    <t>EBIT Margin</t>
  </si>
  <si>
    <t>CapEX as % of revenue</t>
  </si>
  <si>
    <t>Average Growth</t>
  </si>
  <si>
    <t>Depreciation as % of revenue</t>
  </si>
  <si>
    <t>Change in Net WC as % of revenue</t>
  </si>
  <si>
    <t>Working Capital</t>
  </si>
  <si>
    <t>Key Metrics &amp; Assumptions</t>
  </si>
  <si>
    <t>Revenue growth rate</t>
  </si>
  <si>
    <t>CapEx as % of revenue</t>
  </si>
  <si>
    <t>Change in NWC as % of revenue</t>
  </si>
  <si>
    <t>Tax Rate</t>
  </si>
  <si>
    <t>Risk Free rate (Rf)</t>
  </si>
  <si>
    <t>Market risk premium (Rm-Rf)</t>
  </si>
  <si>
    <t>Beta</t>
  </si>
  <si>
    <t>Perpetual growth rate (g)</t>
  </si>
  <si>
    <t>Shares Outstanding</t>
  </si>
  <si>
    <t>Market Value of equity</t>
  </si>
  <si>
    <t>Market value of debt</t>
  </si>
  <si>
    <t>Debt Free</t>
  </si>
  <si>
    <t>Yearly Market return</t>
  </si>
  <si>
    <t>Current Market price (Rs)</t>
  </si>
  <si>
    <t>Market Price as of Last year (Rs)</t>
  </si>
  <si>
    <t>Metric</t>
  </si>
  <si>
    <t>Year 0</t>
  </si>
  <si>
    <t>Revenue</t>
  </si>
  <si>
    <t>EBIT</t>
  </si>
  <si>
    <t>Taxes</t>
  </si>
  <si>
    <t>NOPAT</t>
  </si>
  <si>
    <t>Plus: Depreciation &amp; Ammortization</t>
  </si>
  <si>
    <t>Less: CapEx</t>
  </si>
  <si>
    <t>Less: Change in NWC</t>
  </si>
  <si>
    <t xml:space="preserve">FCFF </t>
  </si>
  <si>
    <t>FCFF Projections (5-Year Forecast)     MAZAGON DOCK SHIPBUILDERS</t>
  </si>
  <si>
    <t>Margin/Growth</t>
  </si>
  <si>
    <t>WACC (Weighted Average Cost of capital) Calculation</t>
  </si>
  <si>
    <t>Component</t>
  </si>
  <si>
    <t>Result</t>
  </si>
  <si>
    <t>Cost of Equity (Ke)</t>
  </si>
  <si>
    <t>Cost of Debt (Kd)</t>
  </si>
  <si>
    <t>Weight of Euity</t>
  </si>
  <si>
    <t>Weight of Debt</t>
  </si>
  <si>
    <t>WACC</t>
  </si>
  <si>
    <t>MAZAGON</t>
  </si>
  <si>
    <t>BEL</t>
  </si>
  <si>
    <t>Intrinsic Value Calculation</t>
  </si>
  <si>
    <t>Terminal Value</t>
  </si>
  <si>
    <t>PV of Terminal Value</t>
  </si>
  <si>
    <t>PV of Projected FCFF</t>
  </si>
  <si>
    <t>Enterprise Value</t>
  </si>
  <si>
    <t>Less: Total Debt</t>
  </si>
  <si>
    <t>Plus: Cash &amp; Cash equivalents</t>
  </si>
  <si>
    <t>Intrinsic Equity Value</t>
  </si>
  <si>
    <t xml:space="preserve">Shares Outstanding </t>
  </si>
  <si>
    <t>Intrinsic Value per share</t>
  </si>
  <si>
    <t>Current Market Price</t>
  </si>
  <si>
    <t>Upside / Downside</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</si>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</sst>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 &quot;₹&quot;\ * #,##0.00_ ;_ &quot;₹&quot;\ * \-#,##0.00_ ;_ &quot;₹&quot;\ * &quot;-&quot;??_ ;_ @_ "/>
    <numFmt numFmtId="43" formatCode="_ * #,##0.00_ ;_ * \-#,##0.00_ ;_ * &quot;-&quot;??_ ;_ @_ "/>
    <numFmt numFmtId="164" formatCode="_ [$₹-4009]\ * #,##0_ ;_ [$₹-4009]\ * \-#,##0_ ;_ [$₹-4009]\ * &quot;-&quot;_ ;_ @_ "/>
    <numFmt numFmtId="165" formatCode="_ [$₹-4009]\ * #,##0.00_ ;_ [$₹-4009]\ * \-#,##0.00_ ;_ [$₹-4009]\ * &quot;-&quot;??_ ;_ @_ "/>
    <numFmt numFmtId="166" formatCode="_ [$₹-4009]\ * #,##0.000_ ;_ [$₹-4009]\ * \-#,##0.000_ ;_ [$₹-4009]\ * &quot;-&quot;_ ;_ @_ "/>
    <numFmt numFmtId="167" formatCode="0.0%"/>
    <numFmt numFmtId="168" formatCode="_ * #,##0_ ;_ * \-#,##0_ ;_ * &quot;-&quot;??_ ;_ @_ "/>
    <numFmt numFmtId="169" formatCode="0.00000"/>
    <numFmt numFmtId="170" formatCode="0.000"/>
    <numFmt numFmtId="171" formatCode="0.000%"/>
    <numFmt numFmtId="172" formatCode="0.0000%"/>
    <numFmt numFmtId="173" formatCode="_ * #,##0.000_ ;_ * \-#,##0.000_ ;_ * &quot;-&quot;??_ ;_ @_ "/>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Agency FB"/>
      <family val="2"/>
    </font>
    <font>
      <b/>
      <sz val="1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32">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1" xfId="0" applyBorder="1"/>
    <xf numFmtId="0" fontId="0" fillId="0" borderId="1" xfId="0" applyBorder="1" applyAlignment="1">
      <alignment horizontal="right" vertical="center" wrapText="1"/>
    </xf>
    <xf numFmtId="1" fontId="0" fillId="0" borderId="1" xfId="0" applyNumberFormat="1" applyBorder="1" applyAlignment="1">
      <alignment horizontal="right" vertical="center" wrapText="1"/>
    </xf>
    <xf numFmtId="164" fontId="0" fillId="0" borderId="1" xfId="0" applyNumberFormat="1" applyBorder="1" applyAlignment="1">
      <alignment horizontal="right" vertical="center" wrapText="1"/>
    </xf>
    <xf numFmtId="166" fontId="0" fillId="0" borderId="1" xfId="0" applyNumberFormat="1" applyBorder="1" applyAlignment="1">
      <alignment horizontal="right" vertical="center" wrapText="1"/>
    </xf>
    <xf numFmtId="44" fontId="0" fillId="0" borderId="1" xfId="0" applyNumberFormat="1" applyBorder="1" applyAlignment="1">
      <alignment horizontal="right" vertical="center" wrapText="1"/>
    </xf>
    <xf numFmtId="165" fontId="0" fillId="0" borderId="1" xfId="0" applyNumberFormat="1" applyBorder="1" applyAlignment="1">
      <alignment horizontal="right" vertical="center" wrapText="1"/>
    </xf>
    <xf numFmtId="10" fontId="0" fillId="0" borderId="1" xfId="0" applyNumberFormat="1" applyBorder="1" applyAlignment="1">
      <alignment horizontal="right" vertical="center" wrapText="1"/>
    </xf>
    <xf numFmtId="0" fontId="3" fillId="0" borderId="1" xfId="0" applyFont="1" applyBorder="1" applyAlignment="1">
      <alignment horizontal="center" vertical="center"/>
    </xf>
    <xf numFmtId="44" fontId="0" fillId="0" borderId="0" xfId="0" applyNumberFormat="1"/>
    <xf numFmtId="0" fontId="2" fillId="0" borderId="1" xfId="0" applyFont="1" applyBorder="1"/>
    <xf numFmtId="44" fontId="0" fillId="0" borderId="1" xfId="0" applyNumberFormat="1" applyBorder="1"/>
    <xf numFmtId="44" fontId="2" fillId="0" borderId="1" xfId="0" applyNumberFormat="1" applyFont="1" applyBorder="1"/>
    <xf numFmtId="0" fontId="0" fillId="0" borderId="0" xfId="0" applyAlignment="1">
      <alignment horizontal="right" vertical="center"/>
    </xf>
    <xf numFmtId="0" fontId="2" fillId="0" borderId="2" xfId="0" applyFont="1" applyBorder="1" applyAlignment="1">
      <alignment horizontal="left" vertical="center"/>
    </xf>
    <xf numFmtId="0" fontId="2" fillId="0" borderId="8" xfId="0" applyFont="1" applyBorder="1" applyAlignment="1">
      <alignment horizontal="left" vertical="center"/>
    </xf>
    <xf numFmtId="0" fontId="2" fillId="0" borderId="3" xfId="0" applyFont="1" applyBorder="1" applyAlignment="1">
      <alignment horizontal="left" vertical="center"/>
    </xf>
    <xf numFmtId="0" fontId="2" fillId="0" borderId="0" xfId="0" applyFont="1"/>
    <xf numFmtId="0" fontId="2" fillId="0" borderId="0" xfId="0" applyFont="1" applyAlignment="1">
      <alignment horizontal="left" vertical="center"/>
    </xf>
    <xf numFmtId="44" fontId="2" fillId="0" borderId="0" xfId="0" applyNumberFormat="1" applyFont="1"/>
    <xf numFmtId="43" fontId="0" fillId="0" borderId="1" xfId="1" applyFont="1" applyBorder="1"/>
    <xf numFmtId="43" fontId="4" fillId="0" borderId="1" xfId="1" applyFont="1" applyBorder="1"/>
    <xf numFmtId="0" fontId="4" fillId="0" borderId="1" xfId="0" applyFont="1" applyBorder="1"/>
    <xf numFmtId="49" fontId="4" fillId="0" borderId="1" xfId="0" applyNumberFormat="1" applyFont="1" applyBorder="1"/>
    <xf numFmtId="43" fontId="0" fillId="0" borderId="1" xfId="1" applyFont="1" applyBorder="1" applyAlignment="1">
      <alignment vertical="center"/>
    </xf>
    <xf numFmtId="43" fontId="4" fillId="0" borderId="1" xfId="1" applyFont="1" applyBorder="1" applyAlignment="1">
      <alignment vertical="center"/>
    </xf>
    <xf numFmtId="0" fontId="0" fillId="0" borderId="0" xfId="0" applyAlignment="1">
      <alignment horizontal="center" vertical="center"/>
    </xf>
    <xf numFmtId="49" fontId="2" fillId="0" borderId="1" xfId="0" applyNumberFormat="1" applyFont="1" applyBorder="1" applyAlignment="1">
      <alignment horizontal="right" vertical="center"/>
    </xf>
    <xf numFmtId="0" fontId="0" fillId="0" borderId="1" xfId="0" applyBorder="1" applyAlignment="1">
      <alignment vertical="center"/>
    </xf>
    <xf numFmtId="0" fontId="0" fillId="0" borderId="1" xfId="0" applyBorder="1" applyAlignment="1">
      <alignment wrapText="1"/>
    </xf>
    <xf numFmtId="43" fontId="2" fillId="0" borderId="1" xfId="1" applyFont="1" applyBorder="1"/>
    <xf numFmtId="0" fontId="2" fillId="0" borderId="1" xfId="0" applyFont="1" applyBorder="1" applyAlignment="1">
      <alignment vertical="center"/>
    </xf>
    <xf numFmtId="49" fontId="2" fillId="0" borderId="1" xfId="0" applyNumberFormat="1" applyFont="1" applyBorder="1" applyAlignment="1">
      <alignment horizontal="left" vertical="center"/>
    </xf>
    <xf numFmtId="43" fontId="2" fillId="0" borderId="1" xfId="1" applyFont="1" applyBorder="1" applyAlignment="1">
      <alignment vertical="center"/>
    </xf>
    <xf numFmtId="0" fontId="6" fillId="0" borderId="0" xfId="0" applyFont="1" applyAlignment="1">
      <alignment vertical="center"/>
    </xf>
    <xf numFmtId="167" fontId="0" fillId="0" borderId="0" xfId="2" applyNumberFormat="1" applyFont="1"/>
    <xf numFmtId="10" fontId="0" fillId="0" borderId="0" xfId="2" applyNumberFormat="1" applyFont="1"/>
    <xf numFmtId="0" fontId="2" fillId="0" borderId="2" xfId="0" applyFont="1" applyBorder="1" applyAlignment="1">
      <alignment vertical="center"/>
    </xf>
    <xf numFmtId="0" fontId="2" fillId="0" borderId="8" xfId="0" applyFont="1" applyBorder="1" applyAlignment="1">
      <alignment vertical="center"/>
    </xf>
    <xf numFmtId="0" fontId="2" fillId="0" borderId="3" xfId="0" applyFont="1" applyBorder="1" applyAlignment="1">
      <alignment vertical="center"/>
    </xf>
    <xf numFmtId="43" fontId="0" fillId="0" borderId="0" xfId="0" applyNumberFormat="1" applyAlignment="1">
      <alignment vertical="center"/>
    </xf>
    <xf numFmtId="3" fontId="0" fillId="0" borderId="1" xfId="0" applyNumberFormat="1" applyBorder="1" applyAlignment="1">
      <alignment vertical="center" wrapText="1"/>
    </xf>
    <xf numFmtId="2" fontId="0" fillId="0" borderId="1" xfId="0" applyNumberFormat="1" applyBorder="1" applyAlignment="1">
      <alignment vertical="center"/>
    </xf>
    <xf numFmtId="2" fontId="0" fillId="0" borderId="1" xfId="1" applyNumberFormat="1" applyFont="1" applyBorder="1" applyAlignment="1">
      <alignment vertical="center"/>
    </xf>
    <xf numFmtId="2" fontId="0" fillId="0" borderId="1" xfId="0" applyNumberFormat="1" applyBorder="1"/>
    <xf numFmtId="0" fontId="0" fillId="0" borderId="1" xfId="0" applyBorder="1" applyAlignment="1">
      <alignment horizontal="center" vertical="center" wrapText="1"/>
    </xf>
    <xf numFmtId="10" fontId="0" fillId="0" borderId="1" xfId="2" applyNumberFormat="1" applyFont="1" applyBorder="1" applyAlignment="1">
      <alignment vertical="center"/>
    </xf>
    <xf numFmtId="10" fontId="0" fillId="0" borderId="1" xfId="2" applyNumberFormat="1" applyFont="1" applyBorder="1"/>
    <xf numFmtId="167" fontId="0" fillId="0" borderId="1" xfId="2" applyNumberFormat="1" applyFont="1" applyBorder="1" applyAlignment="1">
      <alignment vertical="center"/>
    </xf>
    <xf numFmtId="167" fontId="0" fillId="0" borderId="1" xfId="2" applyNumberFormat="1" applyFont="1" applyBorder="1"/>
    <xf numFmtId="2" fontId="0" fillId="0" borderId="1" xfId="0" applyNumberFormat="1" applyBorder="1" applyAlignment="1">
      <alignment horizontal="right" vertical="center"/>
    </xf>
    <xf numFmtId="2" fontId="0" fillId="0" borderId="1" xfId="0" applyNumberFormat="1" applyBorder="1" applyAlignment="1">
      <alignment horizontal="right"/>
    </xf>
    <xf numFmtId="43" fontId="0" fillId="0" borderId="1" xfId="0" applyNumberFormat="1" applyBorder="1" applyAlignment="1">
      <alignment vertical="center"/>
    </xf>
    <xf numFmtId="43" fontId="0" fillId="0" borderId="1" xfId="0" applyNumberFormat="1" applyBorder="1"/>
    <xf numFmtId="9" fontId="0" fillId="0" borderId="0" xfId="2" applyFont="1"/>
    <xf numFmtId="0" fontId="0" fillId="0" borderId="0" xfId="0" applyAlignment="1">
      <alignment horizontal="left" vertical="center" wrapText="1"/>
    </xf>
    <xf numFmtId="0" fontId="0" fillId="0" borderId="0" xfId="0" applyAlignment="1">
      <alignment horizontal="left" wrapText="1"/>
    </xf>
    <xf numFmtId="10" fontId="0" fillId="0" borderId="0" xfId="0" applyNumberFormat="1"/>
    <xf numFmtId="0" fontId="0" fillId="0" borderId="1" xfId="0" applyBorder="1" applyAlignment="1">
      <alignment horizontal="left" vertical="center" wrapText="1"/>
    </xf>
    <xf numFmtId="44" fontId="0" fillId="0" borderId="1" xfId="2" applyNumberFormat="1" applyFont="1" applyBorder="1" applyAlignment="1">
      <alignment vertical="center"/>
    </xf>
    <xf numFmtId="43" fontId="0" fillId="0" borderId="1" xfId="2" applyNumberFormat="1" applyFont="1" applyBorder="1" applyAlignment="1">
      <alignment vertical="center"/>
    </xf>
    <xf numFmtId="172" fontId="0" fillId="0" borderId="1" xfId="2" applyNumberFormat="1" applyFont="1" applyBorder="1" applyAlignment="1">
      <alignment vertical="center"/>
    </xf>
    <xf numFmtId="167" fontId="0" fillId="0" borderId="0" xfId="0" applyNumberFormat="1" applyAlignment="1">
      <alignment vertical="center"/>
    </xf>
    <xf numFmtId="2" fontId="0" fillId="0" borderId="1" xfId="2" applyNumberFormat="1" applyFont="1" applyBorder="1" applyAlignment="1">
      <alignment vertical="center"/>
    </xf>
    <xf numFmtId="167" fontId="0" fillId="0" borderId="2" xfId="2" applyNumberFormat="1" applyFont="1" applyBorder="1" applyAlignment="1">
      <alignment vertical="center"/>
    </xf>
    <xf numFmtId="167" fontId="0" fillId="0" borderId="8" xfId="2" applyNumberFormat="1" applyFont="1" applyBorder="1" applyAlignment="1">
      <alignment vertical="center"/>
    </xf>
    <xf numFmtId="167" fontId="0" fillId="0" borderId="3" xfId="2" applyNumberFormat="1" applyFont="1" applyBorder="1" applyAlignment="1">
      <alignment vertical="center"/>
    </xf>
    <xf numFmtId="169" fontId="0" fillId="0" borderId="1" xfId="0" applyNumberFormat="1" applyBorder="1" applyAlignment="1">
      <alignment vertical="center"/>
    </xf>
    <xf numFmtId="167" fontId="0" fillId="0" borderId="2" xfId="0" applyNumberFormat="1" applyBorder="1" applyAlignment="1">
      <alignment vertical="center"/>
    </xf>
    <xf numFmtId="167" fontId="0" fillId="0" borderId="8" xfId="0" applyNumberFormat="1" applyBorder="1" applyAlignment="1">
      <alignment vertical="center"/>
    </xf>
    <xf numFmtId="167" fontId="0" fillId="0" borderId="3" xfId="0" applyNumberFormat="1" applyBorder="1" applyAlignment="1">
      <alignment vertical="center"/>
    </xf>
    <xf numFmtId="4" fontId="0" fillId="0" borderId="2" xfId="0" applyNumberFormat="1" applyBorder="1" applyAlignment="1">
      <alignment vertical="center"/>
    </xf>
    <xf numFmtId="0" fontId="0" fillId="0" borderId="8" xfId="0" applyBorder="1" applyAlignment="1">
      <alignment vertical="center"/>
    </xf>
    <xf numFmtId="0" fontId="0" fillId="0" borderId="3" xfId="0" applyBorder="1" applyAlignment="1">
      <alignment vertical="center"/>
    </xf>
    <xf numFmtId="168" fontId="0" fillId="0" borderId="1" xfId="1" applyNumberFormat="1" applyFont="1" applyBorder="1" applyAlignment="1">
      <alignment vertical="center"/>
    </xf>
    <xf numFmtId="0" fontId="0" fillId="0" borderId="1" xfId="0" applyBorder="1" applyAlignment="1">
      <alignment vertical="center" wrapText="1"/>
    </xf>
    <xf numFmtId="173" fontId="0" fillId="0" borderId="1" xfId="0" applyNumberFormat="1" applyBorder="1"/>
    <xf numFmtId="0" fontId="0" fillId="0" borderId="1" xfId="0" applyBorder="1" applyAlignment="1">
      <alignment horizontal="right" vertical="center"/>
    </xf>
    <xf numFmtId="170" fontId="0" fillId="0" borderId="1" xfId="0" applyNumberFormat="1" applyBorder="1"/>
    <xf numFmtId="170" fontId="0" fillId="0" borderId="1" xfId="2" applyNumberFormat="1" applyFont="1" applyBorder="1" applyAlignment="1">
      <alignment vertical="center"/>
    </xf>
    <xf numFmtId="2" fontId="0" fillId="0" borderId="2" xfId="0" applyNumberFormat="1" applyBorder="1" applyAlignment="1">
      <alignment vertical="center"/>
    </xf>
    <xf numFmtId="2" fontId="0" fillId="0" borderId="8" xfId="0" applyNumberFormat="1" applyBorder="1" applyAlignment="1">
      <alignment vertical="center"/>
    </xf>
    <xf numFmtId="2" fontId="0" fillId="0" borderId="3" xfId="0" applyNumberFormat="1" applyBorder="1" applyAlignment="1">
      <alignment vertical="center"/>
    </xf>
    <xf numFmtId="4" fontId="0" fillId="0" borderId="1" xfId="0" applyNumberFormat="1" applyBorder="1" applyAlignment="1">
      <alignment vertical="center" wrapText="1"/>
    </xf>
    <xf numFmtId="0" fontId="3" fillId="0" borderId="1" xfId="0" applyFont="1"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43" fontId="0" fillId="0" borderId="1" xfId="1" applyFont="1" applyBorder="1" applyAlignment="1">
      <alignment horizontal="center"/>
    </xf>
    <xf numFmtId="0" fontId="2" fillId="0" borderId="2" xfId="0" applyFont="1" applyBorder="1" applyAlignment="1">
      <alignment horizontal="left" vertical="center"/>
    </xf>
    <xf numFmtId="0" fontId="2" fillId="0" borderId="8" xfId="0" applyFont="1" applyBorder="1" applyAlignment="1">
      <alignment horizontal="left" vertical="center"/>
    </xf>
    <xf numFmtId="0" fontId="2" fillId="0" borderId="3" xfId="0" applyFont="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xf>
    <xf numFmtId="0" fontId="5" fillId="0" borderId="1" xfId="0" applyFont="1" applyBorder="1" applyAlignment="1">
      <alignment horizontal="center" vertical="center"/>
    </xf>
    <xf numFmtId="0" fontId="5" fillId="0" borderId="9"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left" vertical="center"/>
    </xf>
    <xf numFmtId="0" fontId="4" fillId="0" borderId="8" xfId="0" applyFont="1" applyBorder="1" applyAlignment="1">
      <alignment horizontal="left" vertical="center"/>
    </xf>
    <xf numFmtId="0" fontId="4" fillId="0" borderId="3" xfId="0" applyFont="1" applyBorder="1" applyAlignment="1">
      <alignment horizontal="left" vertical="center"/>
    </xf>
    <xf numFmtId="0" fontId="4" fillId="0" borderId="1" xfId="0" applyFont="1" applyBorder="1" applyAlignment="1">
      <alignment horizontal="left" vertical="center"/>
    </xf>
    <xf numFmtId="0" fontId="7" fillId="0" borderId="1" xfId="0" applyFont="1" applyBorder="1"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center" vertical="center" wrapText="1"/>
    </xf>
    <xf numFmtId="2" fontId="0" fillId="0" borderId="2" xfId="0" applyNumberFormat="1" applyBorder="1" applyAlignment="1">
      <alignment horizontal="center" vertical="center"/>
    </xf>
    <xf numFmtId="2" fontId="0" fillId="0" borderId="8" xfId="0" applyNumberFormat="1" applyBorder="1" applyAlignment="1">
      <alignment horizontal="center" vertical="center"/>
    </xf>
    <xf numFmtId="2" fontId="0" fillId="0" borderId="3" xfId="0" applyNumberFormat="1" applyBorder="1" applyAlignment="1">
      <alignment horizontal="center" vertical="center"/>
    </xf>
    <xf numFmtId="167" fontId="1" fillId="2" borderId="2" xfId="2" applyNumberFormat="1" applyFont="1" applyFill="1" applyBorder="1" applyAlignment="1">
      <alignment horizontal="center" vertical="center"/>
    </xf>
    <xf numFmtId="167" fontId="1" fillId="2" borderId="8" xfId="2" applyNumberFormat="1" applyFont="1" applyFill="1" applyBorder="1" applyAlignment="1">
      <alignment horizontal="center" vertical="center"/>
    </xf>
    <xf numFmtId="167" fontId="1" fillId="2" borderId="3" xfId="2" applyNumberFormat="1" applyFont="1" applyFill="1"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43" fontId="0" fillId="0" borderId="2" xfId="1" applyFont="1" applyBorder="1" applyAlignment="1">
      <alignment horizontal="center" vertical="center"/>
    </xf>
    <xf numFmtId="43" fontId="0" fillId="0" borderId="8" xfId="1" applyFont="1" applyBorder="1" applyAlignment="1">
      <alignment horizontal="center" vertical="center"/>
    </xf>
    <xf numFmtId="43" fontId="0" fillId="0" borderId="3" xfId="1" applyFont="1" applyBorder="1" applyAlignment="1">
      <alignment horizontal="center" vertical="center"/>
    </xf>
    <xf numFmtId="3" fontId="0" fillId="0" borderId="2" xfId="0" applyNumberFormat="1" applyBorder="1" applyAlignment="1">
      <alignment horizontal="center" vertical="center"/>
    </xf>
    <xf numFmtId="171" fontId="0" fillId="0" borderId="2" xfId="0" applyNumberFormat="1" applyBorder="1" applyAlignment="1">
      <alignment horizontal="center" vertical="center"/>
    </xf>
    <xf numFmtId="0" fontId="0" fillId="0" borderId="0" xfId="0" applyAlignment="1">
      <alignment horizontal="center"/>
    </xf>
    <xf numFmtId="43" fontId="2" fillId="0" borderId="1" xfId="0" applyNumberFormat="1" applyFont="1" applyBorder="1"/>
    <xf numFmtId="0" fontId="0" fillId="0" borderId="0" xfId="0" applyBorder="1"/>
    <xf numFmtId="43" fontId="0" fillId="0" borderId="0" xfId="1" applyFont="1" applyBorder="1"/>
    <xf numFmtId="43" fontId="0" fillId="0" borderId="0" xfId="0" applyNumberFormat="1" applyBorder="1"/>
  </cellXfs>
  <cellStyles count="3">
    <cellStyle name="Comma" xfId="1" builtinId="3"/>
    <cellStyle name="Normal" xfId="0" builtinId="0"/>
    <cellStyle name="Percent" xfId="2" builtinId="5"/>
  </cellStyles>
  <dxfs count="4">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22/10/relationships/richValueRel" Target="richData/richValueRel.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6">
  <rv s="0">
    <v>0</v>
    <v>5</v>
  </rv>
  <rv s="0">
    <v>1</v>
    <v>5</v>
  </rv>
  <rv s="1">
    <v>https://www.bing.com/financeapi/forcetrigger?t=ah7pa2&amp;q=XBOM%3a500049&amp;form=skydnc</v>
    <v>Learn more on Bing</v>
  </rv>
  <rv s="2">
    <v>en-IN</v>
    <v>ah7pa2</v>
    <v>268435456</v>
    <v>1</v>
    <v>Powered by Refinitiv</v>
    <v>0</v>
    <v>BHARAT ELECTRONICS LIMITED (XBOM:500049)</v>
    <v>2</v>
    <v>3</v>
    <v>Finance</v>
    <v>4</v>
    <v>435.95</v>
    <v>240.15</v>
    <v>1.2018</v>
    <v>-5.95</v>
    <v>-1.5535E-2</v>
    <v>INR</v>
    <v>Bharat Electronics Limited is an India-based company, which manufactures and supplies electronic equipment and systems for the defense sector as well as for non-defense markets. It manufactures electronic products and systems for the army, navy, and the air force. Its defense products include radar and fire control systems, weapon systems, communication, network centric systems (c4i), electronic warfare systems, avionics, anti-submarine warfare systems &amp; sonars, electro-optics, tank electronics, gun upgrades, strategic components, and others. Its non-defense products include electronic voting machines, software solutions / services, healthcare solutions, civil aviation and solar cells/power plants, railway / metro / airport solutions, space electronics and systems, alternate energy solutions, secure communication solutions. It also offers software, electronic manufacturing services and cybersecurity. Its subsidiaries include BEL Optronic Devices Ltd. and BEL-THALES Systems Ltd.</v>
    <v>8937</v>
    <v>Bombay Stock Exchange</v>
    <v>XBOM</v>
    <v>XBOM</v>
    <v>Outer Ring Road, Nagavara, BANGALORE, KARNATAKA, 560045 IN</v>
    <v>385</v>
    <v>Aerospace &amp; Defense</v>
    <v>Stock</v>
    <v>45870.521041666667</v>
    <v>2</v>
    <v>376.2</v>
    <v>2757249000000</v>
    <v>BHARAT ELECTRONICS LIMITED</v>
    <v>BHARAT ELECTRONICS LIMITED</v>
    <v>383</v>
    <v>50.86</v>
    <v>383</v>
    <v>377.05</v>
    <v>7309779000</v>
    <v>500049</v>
    <v>BHARAT ELECTRONICS LIMITED (XBOM:500049)</v>
    <v>503825</v>
    <v>13918560</v>
    <v>1954</v>
  </rv>
  <rv s="3">
    <v>3</v>
  </rv>
  <rv s="1">
    <v>https://www.bing.com/financeapi/forcetrigger?t=bwg4fr&amp;q=XBOM%3a543237&amp;form=skydnc</v>
    <v>Learn more on Bing</v>
  </rv>
  <rv s="2">
    <v>en-IN</v>
    <v>bwg4fr</v>
    <v>268435456</v>
    <v>1</v>
    <v>Powered by Refinitiv</v>
    <v>0</v>
    <v>Mazagon Dock Shipbuilders Ltd (XBOM:543237)</v>
    <v>2</v>
    <v>3</v>
    <v>Finance</v>
    <v>4</v>
    <v>3778</v>
    <v>1917.95</v>
    <v>1.6984999999999999</v>
    <v>-50.85</v>
    <v>-1.8342000000000001E-2</v>
    <v>INR</v>
    <v>Mazagon Dock Shipbuilders Limited is an India-based shipbuilding yard company, which is principally engaged in the building and repairing of ships, submarines, various types of vessels, and related engineering products for its customers. It is also engaged in the production of defense equipment. The Company's segments include Shipbuilding (New Construction and Ship Repairs) and Submarine. Its Shipbuilding segment includes the building and repair of Naval ships. Its Submarine segment includes the building, repair and refits of diesel and electric submarines for the Indian Navy. It provides cargo ships, passenger ships, supply vessels, multipurpose support vessels, water tankers, tugs, dredgers, fishing trawlers, barges, and border outposts. The Company caters to both national and international customers in the defense sector as well as civil operations. It offers supply chain management, tug support, and yard services and berth facilities for repairs and refits of commercial vessels.</v>
    <v>2814</v>
    <v>Bombay Stock Exchange</v>
    <v>XBOM</v>
    <v>XBOM</v>
    <v>Dockyard Road, MUMBAI, MAHARASHTRA, 400010 IN</v>
    <v>2786.25</v>
    <v>Aerospace &amp; Defense</v>
    <v>Stock</v>
    <v>45870.521041666667</v>
    <v>5</v>
    <v>2709</v>
    <v>1097920000000</v>
    <v>Mazagon Dock Shipbuilders Ltd</v>
    <v>Mazagon Dock Shipbuilders Ltd</v>
    <v>2786.25</v>
    <v>40.65</v>
    <v>2772.4</v>
    <v>2721.55</v>
    <v>403380000</v>
    <v>543237</v>
    <v>Mazagon Dock Shipbuilders Ltd (XBOM:543237)</v>
    <v>101500</v>
    <v>1806780</v>
    <v>1934</v>
  </rv>
  <rv s="3">
    <v>6</v>
  </rv>
  <rv s="4">
    <v>en-IN</v>
    <v>avcpf2</v>
    <v>268435456</v>
    <v>1</v>
    <v>Powered by Refinitiv</v>
    <v>5</v>
    <v>INR/USD</v>
    <v>6</v>
    <v>7</v>
    <v>Finance</v>
    <v>8</v>
    <v>1.1979999999999999E-2</v>
    <v>1.136E-2</v>
    <v>4.0000000000000003E-5</v>
    <v>3.503E-3</v>
    <v>USD</v>
    <v>INR</v>
    <v>Currency Pair</v>
    <v>45870.763715277775</v>
    <v>Indian Rupee/US Dollar FX Cross Rate</v>
    <v>1.142E-2</v>
    <v>1.146E-2</v>
    <v>INRUSD</v>
    <v>INR/USD</v>
  </rv>
  <rv s="3">
    <v>8</v>
  </rv>
  <rv s="1">
    <v>https://www.bing.com/financeapi/forcetrigger?t=ahh5pr&amp;q=XNSE%3aBEL&amp;form=skydnc</v>
    <v>Learn more on Bing</v>
  </rv>
  <rv s="2">
    <v>en-IN</v>
    <v>ahh5pr</v>
    <v>268435456</v>
    <v>1</v>
    <v>Powered by Refinitiv</v>
    <v>0</v>
    <v>BHARAT ELECTRONICS LIMITED (XNSE:BEL)</v>
    <v>2</v>
    <v>3</v>
    <v>Finance</v>
    <v>9</v>
    <v>436</v>
    <v>240.25</v>
    <v>1.2018</v>
    <v>-5.9</v>
    <v>-1.5401E-2</v>
    <v>INR</v>
    <v>Bharat Electronics Limited is an India-based company, which manufactures and supplies electronic equipment and systems for the defense sector as well as for non-defense markets. It manufactures electronic products and systems for the army, navy, and the air force. Its defense products include radar and fire control systems, weapon systems, communication, network centric systems (c4i), electronic warfare systems, avionics, anti-submarine warfare systems &amp; sonars, electro-optics, tank electronics, gun upgrades, strategic components, and others. Its non-defense products include electronic voting machines, software solutions / services, healthcare solutions, civil aviation and solar cells/power plants, railway / metro / airport solutions, space electronics and systems, alternate energy solutions, secure communication solutions. It also offers software, electronic manufacturing services and cybersecurity. Its subsidiaries include BEL Optronic Devices Ltd. and BEL-THALES Systems Ltd.</v>
    <v>8937</v>
    <v>National Stock Exchange of India</v>
    <v>XNSE</v>
    <v>XNSE</v>
    <v>Outer Ring Road, Nagavara, BANGALORE, KARNATAKA, 560045 IN</v>
    <v>383.5</v>
    <v>Aerospace &amp; Defense</v>
    <v>Stock</v>
    <v>45870.492824074077</v>
    <v>10</v>
    <v>376.2</v>
    <v>2800376000000</v>
    <v>BHARAT ELECTRONICS LIMITED</v>
    <v>BHARAT ELECTRONICS LIMITED</v>
    <v>383.1</v>
    <v>50.88</v>
    <v>383.1</v>
    <v>377.2</v>
    <v>7309779000</v>
    <v>BEL</v>
    <v>BHARAT ELECTRONICS LIMITED (XNSE:BEL)</v>
    <v>8702605</v>
    <v>13918560</v>
    <v>1954</v>
  </rv>
  <rv s="3">
    <v>11</v>
  </rv>
  <rv s="1">
    <v>https://www.bing.com/financeapi/forcetrigger?t=bwg4cw&amp;q=XNSE%3aMAZDOCK&amp;form=skydnc</v>
    <v>Learn more on Bing</v>
  </rv>
  <rv s="2">
    <v>en-IN</v>
    <v>bwg4cw</v>
    <v>268435456</v>
    <v>1</v>
    <v>Powered by Refinitiv</v>
    <v>0</v>
    <v>Mazagon Dock Shipbuilders Ltd (XNSE:MAZDOCK)</v>
    <v>2</v>
    <v>3</v>
    <v>Finance</v>
    <v>9</v>
    <v>3775</v>
    <v>1918.05</v>
    <v>1.6984999999999999</v>
    <v>-49.4</v>
    <v>-1.7825999999999998E-2</v>
    <v>INR</v>
    <v>Mazagon Dock Shipbuilders Limited is an India-based shipbuilding yard company, which is principally engaged in the building and repairing of ships, submarines, various types of vessels, and related engineering products for its customers. It is also engaged in the production of defense equipment. The Company's segments include Shipbuilding (New Construction and Ship Repairs) and Submarine. Its Shipbuilding segment includes the building and repair of Naval ships. Its Submarine segment includes the building, repair and refits of diesel and electric submarines for the Indian Navy. It provides cargo ships, passenger ships, supply vessels, multipurpose support vessels, water tankers, tugs, dredgers, fishing trawlers, barges, and border outposts. The Company caters to both national and international customers in the defense sector as well as civil operations. It offers supply chain management, tug support, and yard services and berth facilities for repairs and refits of commercial vessels.</v>
    <v>2814</v>
    <v>National Stock Exchange of India</v>
    <v>XNSE</v>
    <v>XNSE</v>
    <v>Dockyard Road, MUMBAI, MAHARASHTRA, 400010 IN</v>
    <v>2784</v>
    <v>Aerospace &amp; Defense</v>
    <v>Stock</v>
    <v>45870.492847222224</v>
    <v>13</v>
    <v>2710</v>
    <v>1117847000000</v>
    <v>Mazagon Dock Shipbuilders Ltd</v>
    <v>Mazagon Dock Shipbuilders Ltd</v>
    <v>2780.1</v>
    <v>40.630000000000003</v>
    <v>2771.2</v>
    <v>2721.8</v>
    <v>403380000</v>
    <v>MAZDOCK</v>
    <v>Mazagon Dock Shipbuilders Ltd (XNSE:MAZDOCK)</v>
    <v>1054142</v>
    <v>1806780</v>
    <v>1934</v>
  </rv>
  <rv s="3">
    <v>14</v>
  </rv>
</rvData>
</file>

<file path=xl/richData/rdrichvaluestructure.xml><?xml version="1.0" encoding="utf-8"?>
<rvStructures xmlns="http://schemas.microsoft.com/office/spreadsheetml/2017/richdata" count="5">
  <s t="_localImage">
    <k n="_rvRel:LocalImageIdentifier" t="i"/>
    <k n="CalcOrigin" t="i"/>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10">
    <spb s="0">
      <v>0</v>
      <v>Name</v>
      <v>LearnMoreOnLink</v>
    </spb>
    <spb s="1">
      <v>0</v>
      <v>0</v>
      <v>0</v>
    </spb>
    <spb s="2">
      <v>1</v>
      <v>1</v>
      <v>1</v>
      <v>1</v>
    </spb>
    <spb s="3">
      <v>1</v>
      <v>2</v>
      <v>2</v>
      <v>1</v>
      <v>3</v>
      <v>1</v>
      <v>1</v>
      <v>1</v>
      <v>4</v>
      <v>4</v>
      <v>5</v>
      <v>6</v>
      <v>1</v>
      <v>1</v>
      <v>1</v>
      <v>4</v>
      <v>7</v>
      <v>8</v>
      <v>9</v>
      <v>4</v>
    </spb>
    <spb s="4">
      <v>Delayed 15 minutes</v>
      <v>from previous close</v>
      <v>from previous close</v>
      <v>GMT</v>
    </spb>
    <spb s="5">
      <v>1</v>
      <v>Name</v>
    </spb>
    <spb s="6">
      <v>1</v>
      <v>1</v>
    </spb>
    <spb s="7">
      <v>3</v>
      <v>10</v>
      <v>10</v>
      <v>5</v>
      <v>10</v>
      <v>10</v>
      <v>10</v>
      <v>7</v>
      <v>9</v>
    </spb>
    <spb s="8">
      <v>GMT</v>
    </spb>
    <spb s="4">
      <v>Delayed 5 minutes</v>
      <v>from previous close</v>
      <v>from previous close</v>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[$₹-en-IN] * #,##0.00_ ;_ [$₹-en-IN] * -#,##0.00_ ;_ [$₹-en-IN] * "-"??_ ;_ @_ </rpv>
    </rSty>
    <rSty dxfid="5">
      <rpv i="0">#,##0.00</rpv>
    </rSty>
    <rSty>
      <rpv i="1">1</rpv>
    </rSty>
    <rSty dxfid="4">
      <rpv i="0">#,##0</rpv>
    </rSty>
    <rSty dxfid="3"/>
    <rSty dxfid="1">
      <rpv i="0" xml:space="preserve">_ [$₹-en-IN] * #,##0_ ;_ [$₹-en-IN] * -#,##0_ ;_ [$₹-en-IN] * "-"_ ;_ @_ </rpv>
    </rSty>
    <rSty dxfid="2"/>
    <rSty dxfid="6">
      <rpv i="0">0</rpv>
    </rSty>
    <rSty dxfid="0">
      <rpv i="0">0.00</rpv>
    </rSty>
    <rSty dxfid="1">
      <rpv i="0">_([$$-en-US]* #,##0.00_);_([$$-en-US]* (#,##0.00);_([$$-en-US]* "-"??_);_(@_)</rpv>
    </rSty>
  </richStyles>
</richStyleSheet>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workbookViewId="0">
      <selection activeCell="G14" sqref="G14"/>
    </sheetView>
  </sheetViews>
  <sheetFormatPr defaultRowHeight="14.4" x14ac:dyDescent="0.3"/>
  <cols>
    <col min="1" max="2" width="12.6640625" style="3" customWidth="1"/>
    <col min="3" max="4" width="22.77734375" style="1" customWidth="1"/>
  </cols>
  <sheetData>
    <row r="1" spans="1:4" ht="27" customHeight="1" x14ac:dyDescent="0.3">
      <c r="A1" s="89" t="s">
        <v>0</v>
      </c>
      <c r="B1" s="89"/>
      <c r="C1" s="89"/>
      <c r="D1" s="89"/>
    </row>
    <row r="2" spans="1:4" ht="55.2" customHeight="1" x14ac:dyDescent="0.3">
      <c r="A2" s="91" t="s">
        <v>20</v>
      </c>
      <c r="B2" s="92"/>
      <c r="C2" s="4" t="e" vm="1">
        <v>#VALUE!</v>
      </c>
      <c r="D2" s="13" t="e" vm="2">
        <v>#VALUE!</v>
      </c>
    </row>
    <row r="3" spans="1:4" s="3" customFormat="1" ht="28.8" customHeight="1" x14ac:dyDescent="0.3">
      <c r="A3" s="90" t="s">
        <v>1</v>
      </c>
      <c r="B3" s="90"/>
      <c r="C3" s="6" t="s">
        <v>3</v>
      </c>
      <c r="D3" s="6" t="s">
        <v>2</v>
      </c>
    </row>
    <row r="4" spans="1:4" ht="28.2" customHeight="1" x14ac:dyDescent="0.3">
      <c r="A4" s="90" t="s">
        <v>4</v>
      </c>
      <c r="B4" s="90"/>
      <c r="C4" s="6" t="e" vm="3">
        <v>#VALUE!</v>
      </c>
      <c r="D4" s="6" t="e" vm="4">
        <v>#VALUE!</v>
      </c>
    </row>
    <row r="5" spans="1:4" x14ac:dyDescent="0.3">
      <c r="A5" s="90" t="s">
        <v>5</v>
      </c>
      <c r="B5" s="90"/>
      <c r="C5" s="6" t="str" cm="1">
        <f t="array" aca="1" ref="C5" ca="1">_FV(C4,"Ticker symbol",TRUE)</f>
        <v>500049</v>
      </c>
      <c r="D5" s="6" t="str" cm="1">
        <f t="array" aca="1" ref="D5" ca="1">_FV(D4,"Ticker symbol",TRUE)</f>
        <v>543237</v>
      </c>
    </row>
    <row r="6" spans="1:4" x14ac:dyDescent="0.3">
      <c r="A6" s="90" t="s">
        <v>6</v>
      </c>
      <c r="B6" s="90"/>
      <c r="C6" s="6" t="str" cm="1">
        <f t="array" aca="1" ref="C6" ca="1">_FV(C4,"Industry")</f>
        <v>Aerospace &amp; Defense</v>
      </c>
      <c r="D6" s="6" t="str" cm="1">
        <f t="array" aca="1" ref="D6" ca="1">_FV(D4,"Industry")</f>
        <v>Aerospace &amp; Defense</v>
      </c>
    </row>
    <row r="7" spans="1:4" x14ac:dyDescent="0.3">
      <c r="A7" s="90" t="s">
        <v>7</v>
      </c>
      <c r="B7" s="90"/>
      <c r="C7" s="6" t="str" cm="1">
        <f t="array" aca="1" ref="C7" ca="1">_FV(C4,"Exchange")</f>
        <v>Bombay Stock Exchange</v>
      </c>
      <c r="D7" s="6" t="str" cm="1">
        <f t="array" aca="1" ref="D7" ca="1">_FV(D4,"Exchange")</f>
        <v>Bombay Stock Exchange</v>
      </c>
    </row>
    <row r="8" spans="1:4" x14ac:dyDescent="0.3">
      <c r="A8" s="90" t="s">
        <v>8</v>
      </c>
      <c r="B8" s="90"/>
      <c r="C8" s="7" cm="1">
        <f t="array" aca="1" ref="C8" ca="1">_FV(C4,"Year incorporated",TRUE)</f>
        <v>1954</v>
      </c>
      <c r="D8" s="7" cm="1">
        <f t="array" aca="1" ref="D8" ca="1">_FV(D4,"Year incorporated",TRUE)</f>
        <v>1934</v>
      </c>
    </row>
    <row r="9" spans="1:4" x14ac:dyDescent="0.3">
      <c r="A9" s="90" t="s">
        <v>12</v>
      </c>
      <c r="B9" s="90"/>
      <c r="C9" s="8" cm="1">
        <f t="array" aca="1" ref="C9" ca="1">_FV(C4,"Market cap",TRUE)</f>
        <v>2757249000000</v>
      </c>
      <c r="D9" s="8" cm="1">
        <f t="array" aca="1" ref="D9" ca="1">_FV(D4,"Market cap",TRUE)</f>
        <v>1097920000000</v>
      </c>
    </row>
    <row r="10" spans="1:4" x14ac:dyDescent="0.3">
      <c r="A10" s="93" t="s">
        <v>10</v>
      </c>
      <c r="B10" s="94"/>
      <c r="C10" s="8" t="e" vm="5">
        <v>#VALUE!</v>
      </c>
      <c r="D10" s="8" t="e" vm="5">
        <v>#VALUE!</v>
      </c>
    </row>
    <row r="11" spans="1:4" x14ac:dyDescent="0.3">
      <c r="A11" s="95"/>
      <c r="B11" s="96"/>
      <c r="C11" s="9" cm="1">
        <f t="array" aca="1" ref="C11" ca="1">_FV(C10,"Price")</f>
        <v>1.146E-2</v>
      </c>
      <c r="D11" s="9" cm="1">
        <f t="array" aca="1" ref="D11" ca="1">_FV(D10,"Price")</f>
        <v>1.146E-2</v>
      </c>
    </row>
    <row r="12" spans="1:4" x14ac:dyDescent="0.3">
      <c r="A12" s="91" t="s">
        <v>11</v>
      </c>
      <c r="B12" s="92"/>
      <c r="C12" s="8">
        <f ca="1">C9*C11</f>
        <v>31598073540</v>
      </c>
      <c r="D12" s="8">
        <f ca="1">D9*D11</f>
        <v>12582163200</v>
      </c>
    </row>
    <row r="13" spans="1:4" x14ac:dyDescent="0.3">
      <c r="A13" s="90" t="s">
        <v>9</v>
      </c>
      <c r="B13" s="90"/>
      <c r="C13" s="10">
        <v>1</v>
      </c>
      <c r="D13" s="11">
        <v>5</v>
      </c>
    </row>
    <row r="14" spans="1:4" x14ac:dyDescent="0.3">
      <c r="A14" s="91" t="s">
        <v>15</v>
      </c>
      <c r="B14" s="92"/>
      <c r="C14" s="10" cm="1">
        <f t="array" aca="1" ref="C14" ca="1">_FV(C4,"Price")</f>
        <v>377.05</v>
      </c>
      <c r="D14" s="10" cm="1">
        <f t="array" aca="1" ref="D14" ca="1">_FV(D4,"Price")</f>
        <v>2721.55</v>
      </c>
    </row>
    <row r="15" spans="1:4" x14ac:dyDescent="0.3">
      <c r="A15" s="91" t="s">
        <v>16</v>
      </c>
      <c r="B15" s="92"/>
      <c r="C15" s="12" cm="1">
        <f t="array" aca="1" ref="C15" ca="1">_FV(C4,"Change (%)",TRUE)</f>
        <v>-1.5535E-2</v>
      </c>
      <c r="D15" s="12" cm="1">
        <f t="array" aca="1" ref="D15" ca="1">_FV(D4,"Change (%)",TRUE)</f>
        <v>-1.8342000000000001E-2</v>
      </c>
    </row>
    <row r="16" spans="1:4" x14ac:dyDescent="0.3">
      <c r="A16" s="90" t="s">
        <v>13</v>
      </c>
      <c r="B16" s="90"/>
      <c r="C16" s="11" cm="1">
        <f t="array" aca="1" ref="C16" ca="1">_FV(C4,"52 week low",TRUE)</f>
        <v>240.15</v>
      </c>
      <c r="D16" s="11" cm="1">
        <f t="array" aca="1" ref="D16" ca="1">_FV(D4,"52 week low",TRUE)</f>
        <v>1917.95</v>
      </c>
    </row>
    <row r="17" spans="1:4" x14ac:dyDescent="0.3">
      <c r="A17" s="91" t="s">
        <v>14</v>
      </c>
      <c r="B17" s="92"/>
      <c r="C17" s="11" cm="1">
        <f t="array" aca="1" ref="C17" ca="1">_FV(C4,"52 week high",TRUE)</f>
        <v>435.95</v>
      </c>
      <c r="D17" s="11" cm="1">
        <f t="array" aca="1" ref="D17" ca="1">_FV(D4,"52 week high",TRUE)</f>
        <v>3778</v>
      </c>
    </row>
    <row r="18" spans="1:4" x14ac:dyDescent="0.3">
      <c r="A18" s="90" t="s">
        <v>256</v>
      </c>
      <c r="B18" s="90"/>
      <c r="C18" s="46" cm="1">
        <f t="array" aca="1" ref="C18" ca="1">_FV(C4,"Shares outstanding",TRUE)</f>
        <v>7309779000</v>
      </c>
      <c r="D18" s="46" cm="1">
        <f t="array" aca="1" ref="D18" ca="1">_FV(D4,"Shares outstanding",TRUE)</f>
        <v>403380000</v>
      </c>
    </row>
    <row r="19" spans="1:4" x14ac:dyDescent="0.3">
      <c r="A19" s="90" t="s">
        <v>317</v>
      </c>
      <c r="B19" s="90"/>
      <c r="C19" s="88" cm="1">
        <f t="array" aca="1" ref="C19" ca="1">_FV(C4,"P/E",TRUE)</f>
        <v>50.86</v>
      </c>
      <c r="D19" s="88" cm="1">
        <f t="array" aca="1" ref="D19" ca="1">_FV(D4,"P/E",TRUE)</f>
        <v>40.65</v>
      </c>
    </row>
  </sheetData>
  <mergeCells count="18">
    <mergeCell ref="A12:B12"/>
    <mergeCell ref="A10:B11"/>
    <mergeCell ref="A7:B7"/>
    <mergeCell ref="A19:B19"/>
    <mergeCell ref="A18:B18"/>
    <mergeCell ref="A17:B17"/>
    <mergeCell ref="A14:B14"/>
    <mergeCell ref="A15:B15"/>
    <mergeCell ref="A8:B8"/>
    <mergeCell ref="A9:B9"/>
    <mergeCell ref="A13:B13"/>
    <mergeCell ref="A16:B16"/>
    <mergeCell ref="A1:D1"/>
    <mergeCell ref="A3:B3"/>
    <mergeCell ref="A4:B4"/>
    <mergeCell ref="A5:B5"/>
    <mergeCell ref="A6:B6"/>
    <mergeCell ref="A2:B2"/>
  </mergeCells>
  <conditionalFormatting sqref="C15:D15">
    <cfRule type="cellIs" dxfId="3" priority="1" operator="lessThan">
      <formula>0</formula>
    </cfRule>
    <cfRule type="cellIs" dxfId="2" priority="2" operator="greater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31333-90FA-4CD1-95AE-7178916238F1}">
  <dimension ref="A1:M59"/>
  <sheetViews>
    <sheetView topLeftCell="E1" zoomScale="90" zoomScaleNormal="90" workbookViewId="0">
      <selection activeCell="E60" sqref="E60"/>
    </sheetView>
  </sheetViews>
  <sheetFormatPr defaultRowHeight="14.4" x14ac:dyDescent="0.3"/>
  <cols>
    <col min="1" max="1" width="31.21875" bestFit="1" customWidth="1"/>
    <col min="2" max="6" width="12.5546875" bestFit="1" customWidth="1"/>
    <col min="7" max="7" width="12.5546875" customWidth="1"/>
    <col min="8" max="8" width="37" customWidth="1"/>
    <col min="9" max="9" width="11" bestFit="1" customWidth="1"/>
    <col min="10" max="13" width="11.109375" bestFit="1" customWidth="1"/>
  </cols>
  <sheetData>
    <row r="1" spans="1:13" s="18" customFormat="1" ht="30.6" customHeight="1" x14ac:dyDescent="0.3">
      <c r="A1" s="101" t="s">
        <v>74</v>
      </c>
      <c r="B1" s="101"/>
      <c r="C1" s="101"/>
      <c r="D1" s="101"/>
      <c r="E1" s="101"/>
      <c r="F1" s="101"/>
      <c r="H1" s="101" t="s">
        <v>75</v>
      </c>
      <c r="I1" s="101"/>
      <c r="J1" s="101"/>
      <c r="K1" s="101"/>
      <c r="L1" s="101"/>
      <c r="M1" s="101"/>
    </row>
    <row r="2" spans="1:13" x14ac:dyDescent="0.3">
      <c r="A2" s="15" t="s">
        <v>17</v>
      </c>
      <c r="B2" s="15">
        <v>2020</v>
      </c>
      <c r="C2" s="15">
        <v>2021</v>
      </c>
      <c r="D2" s="15">
        <v>2022</v>
      </c>
      <c r="E2" s="15">
        <v>2023</v>
      </c>
      <c r="F2" s="15">
        <v>2024</v>
      </c>
      <c r="G2" s="22"/>
      <c r="H2" s="15" t="s">
        <v>17</v>
      </c>
      <c r="I2" s="15">
        <v>2020</v>
      </c>
      <c r="J2" s="15">
        <v>2021</v>
      </c>
      <c r="K2" s="15">
        <v>2022</v>
      </c>
      <c r="L2" s="15">
        <v>2023</v>
      </c>
      <c r="M2" s="15">
        <v>2024</v>
      </c>
    </row>
    <row r="3" spans="1:13" ht="15.6" x14ac:dyDescent="0.3">
      <c r="A3" s="98" t="s">
        <v>27</v>
      </c>
      <c r="B3" s="99"/>
      <c r="C3" s="99"/>
      <c r="D3" s="99"/>
      <c r="E3" s="99"/>
      <c r="F3" s="100"/>
      <c r="G3" s="23"/>
      <c r="H3" s="27" t="s">
        <v>76</v>
      </c>
      <c r="I3" s="102"/>
      <c r="J3" s="102"/>
      <c r="K3" s="102"/>
      <c r="L3" s="102"/>
      <c r="M3" s="102"/>
    </row>
    <row r="4" spans="1:13" ht="15.6" x14ac:dyDescent="0.3">
      <c r="A4" s="98" t="s">
        <v>28</v>
      </c>
      <c r="B4" s="99"/>
      <c r="C4" s="99"/>
      <c r="D4" s="99"/>
      <c r="E4" s="99"/>
      <c r="F4" s="100"/>
      <c r="G4" s="23"/>
      <c r="H4" s="27" t="s">
        <v>77</v>
      </c>
      <c r="I4" s="102"/>
      <c r="J4" s="102"/>
      <c r="K4" s="102"/>
      <c r="L4" s="102"/>
      <c r="M4" s="102"/>
    </row>
    <row r="5" spans="1:13" x14ac:dyDescent="0.3">
      <c r="A5" s="5" t="s">
        <v>29</v>
      </c>
      <c r="B5" s="16">
        <v>2496.63</v>
      </c>
      <c r="C5" s="16">
        <v>2485.5</v>
      </c>
      <c r="D5" s="16">
        <v>2509.37</v>
      </c>
      <c r="E5" s="16">
        <v>2694.31</v>
      </c>
      <c r="F5" s="16">
        <v>2788.47</v>
      </c>
      <c r="G5" s="14"/>
      <c r="H5" s="5" t="s">
        <v>78</v>
      </c>
      <c r="I5" s="25">
        <v>201.69</v>
      </c>
      <c r="J5" s="25">
        <v>201.69</v>
      </c>
      <c r="K5" s="25">
        <v>201.69</v>
      </c>
      <c r="L5" s="25">
        <v>201.69</v>
      </c>
      <c r="M5" s="25">
        <v>201.69</v>
      </c>
    </row>
    <row r="6" spans="1:13" ht="15.6" x14ac:dyDescent="0.3">
      <c r="A6" s="5" t="s">
        <v>30</v>
      </c>
      <c r="B6" s="16">
        <v>199.44</v>
      </c>
      <c r="C6" s="16">
        <v>397.47</v>
      </c>
      <c r="D6" s="16">
        <v>445.93</v>
      </c>
      <c r="E6" s="16">
        <v>361.23</v>
      </c>
      <c r="F6" s="16">
        <v>456.42</v>
      </c>
      <c r="G6" s="14"/>
      <c r="H6" s="27" t="s">
        <v>79</v>
      </c>
      <c r="I6" s="26">
        <f>I5</f>
        <v>201.69</v>
      </c>
      <c r="J6" s="26">
        <v>201.69</v>
      </c>
      <c r="K6" s="26">
        <f>K5</f>
        <v>201.69</v>
      </c>
      <c r="L6" s="26">
        <v>201.69</v>
      </c>
      <c r="M6" s="26">
        <v>201.69</v>
      </c>
    </row>
    <row r="7" spans="1:13" x14ac:dyDescent="0.3">
      <c r="A7" s="5" t="s">
        <v>31</v>
      </c>
      <c r="B7" s="16">
        <v>0.09</v>
      </c>
      <c r="C7" s="16">
        <v>0.08</v>
      </c>
      <c r="D7" s="16">
        <v>7.0000000000000007E-2</v>
      </c>
      <c r="E7" s="16">
        <v>0.06</v>
      </c>
      <c r="F7" s="16">
        <v>0.04</v>
      </c>
      <c r="G7" s="14"/>
      <c r="H7" s="5" t="s">
        <v>80</v>
      </c>
      <c r="I7" s="25">
        <v>2857.69</v>
      </c>
      <c r="J7" s="25">
        <v>3230.02</v>
      </c>
      <c r="K7" s="25">
        <v>3655.99</v>
      </c>
      <c r="L7" s="25">
        <v>3975.87</v>
      </c>
      <c r="M7" s="25">
        <v>6041.78</v>
      </c>
    </row>
    <row r="8" spans="1:13" ht="15.6" x14ac:dyDescent="0.3">
      <c r="A8" s="5" t="s">
        <v>72</v>
      </c>
      <c r="B8" s="16">
        <v>0</v>
      </c>
      <c r="C8" s="16">
        <v>189.89</v>
      </c>
      <c r="D8" s="16">
        <v>232.92</v>
      </c>
      <c r="E8" s="16">
        <v>200.73</v>
      </c>
      <c r="F8" s="16">
        <v>151.57</v>
      </c>
      <c r="G8" s="14"/>
      <c r="H8" s="27" t="s">
        <v>81</v>
      </c>
      <c r="I8" s="26">
        <f>I7</f>
        <v>2857.69</v>
      </c>
      <c r="J8" s="26">
        <f>J7</f>
        <v>3230.02</v>
      </c>
      <c r="K8" s="26">
        <f>K7</f>
        <v>3655.99</v>
      </c>
      <c r="L8" s="26">
        <v>3975.87</v>
      </c>
      <c r="M8" s="26">
        <f>M7</f>
        <v>6041.78</v>
      </c>
    </row>
    <row r="9" spans="1:13" ht="15.6" x14ac:dyDescent="0.3">
      <c r="A9" s="5" t="s">
        <v>32</v>
      </c>
      <c r="B9" s="16">
        <v>22.97</v>
      </c>
      <c r="C9" s="16">
        <v>166.56</v>
      </c>
      <c r="D9" s="16">
        <v>165.82</v>
      </c>
      <c r="E9" s="16">
        <v>268.49</v>
      </c>
      <c r="F9" s="16">
        <v>246.7</v>
      </c>
      <c r="G9" s="14"/>
      <c r="H9" s="27" t="s">
        <v>82</v>
      </c>
      <c r="I9" s="26">
        <f>I6+I8</f>
        <v>3059.38</v>
      </c>
      <c r="J9" s="26">
        <f>J6+J8</f>
        <v>3431.71</v>
      </c>
      <c r="K9" s="26">
        <f>K6+K8</f>
        <v>3857.68</v>
      </c>
      <c r="L9" s="26">
        <f>L6+L8</f>
        <v>4177.5599999999995</v>
      </c>
      <c r="M9" s="26">
        <f>M6+M8</f>
        <v>6243.4699999999993</v>
      </c>
    </row>
    <row r="10" spans="1:13" ht="15.6" x14ac:dyDescent="0.3">
      <c r="A10" s="5" t="s">
        <v>33</v>
      </c>
      <c r="B10" s="16">
        <v>483.43</v>
      </c>
      <c r="C10" s="16">
        <v>485.21</v>
      </c>
      <c r="D10" s="16">
        <v>560.11</v>
      </c>
      <c r="E10" s="16">
        <v>493.71</v>
      </c>
      <c r="F10" s="16">
        <v>437.3</v>
      </c>
      <c r="G10" s="14"/>
      <c r="H10" s="27" t="s">
        <v>54</v>
      </c>
      <c r="I10" s="97"/>
      <c r="J10" s="97"/>
      <c r="K10" s="97"/>
      <c r="L10" s="97"/>
      <c r="M10" s="97"/>
    </row>
    <row r="11" spans="1:13" x14ac:dyDescent="0.3">
      <c r="A11" s="98" t="s">
        <v>34</v>
      </c>
      <c r="B11" s="99"/>
      <c r="C11" s="99"/>
      <c r="D11" s="99"/>
      <c r="E11" s="99"/>
      <c r="F11" s="100"/>
      <c r="G11" s="23"/>
      <c r="H11" s="5" t="s">
        <v>63</v>
      </c>
      <c r="I11" s="25">
        <v>15.62</v>
      </c>
      <c r="J11" s="25">
        <v>15.44</v>
      </c>
      <c r="K11" s="25">
        <v>17.73</v>
      </c>
      <c r="L11" s="25">
        <f>18.02</f>
        <v>18.02</v>
      </c>
      <c r="M11" s="25">
        <v>17.649999999999999</v>
      </c>
    </row>
    <row r="12" spans="1:13" x14ac:dyDescent="0.3">
      <c r="A12" s="5" t="s">
        <v>35</v>
      </c>
      <c r="B12" s="16">
        <v>1161.67</v>
      </c>
      <c r="C12" s="16">
        <v>1116.05</v>
      </c>
      <c r="D12" s="16">
        <v>1339.1</v>
      </c>
      <c r="E12" s="16">
        <v>449.26</v>
      </c>
      <c r="F12" s="16">
        <v>530.66</v>
      </c>
      <c r="G12" s="14"/>
      <c r="H12" s="5" t="s">
        <v>83</v>
      </c>
      <c r="I12" s="25">
        <v>36</v>
      </c>
      <c r="J12" s="25">
        <v>30.41</v>
      </c>
      <c r="K12" s="25">
        <f>0.97+4.74</f>
        <v>5.71</v>
      </c>
      <c r="L12" s="25">
        <f>0.48+0.31</f>
        <v>0.79</v>
      </c>
      <c r="M12" s="25">
        <f>0.81+0.69</f>
        <v>1.5</v>
      </c>
    </row>
    <row r="13" spans="1:13" x14ac:dyDescent="0.3">
      <c r="A13" s="5" t="s">
        <v>36</v>
      </c>
      <c r="B13" s="16">
        <v>0</v>
      </c>
      <c r="C13" s="16">
        <v>0</v>
      </c>
      <c r="D13" s="16">
        <v>0</v>
      </c>
      <c r="E13" s="16">
        <v>0</v>
      </c>
      <c r="F13" s="16">
        <v>0</v>
      </c>
      <c r="G13" s="14"/>
      <c r="H13" s="5" t="s">
        <v>84</v>
      </c>
      <c r="I13" s="25">
        <v>154.84</v>
      </c>
      <c r="J13" s="25">
        <v>148.02000000000001</v>
      </c>
      <c r="K13" s="25">
        <v>140.37</v>
      </c>
      <c r="L13" s="25">
        <v>133.5</v>
      </c>
      <c r="M13" s="25">
        <v>126.63</v>
      </c>
    </row>
    <row r="14" spans="1:13" x14ac:dyDescent="0.3">
      <c r="A14" s="5" t="s">
        <v>37</v>
      </c>
      <c r="B14" s="16">
        <v>33.090000000000003</v>
      </c>
      <c r="C14" s="16">
        <v>7.36</v>
      </c>
      <c r="D14" s="16">
        <v>7.28</v>
      </c>
      <c r="E14" s="16">
        <v>6.56</v>
      </c>
      <c r="F14" s="16">
        <v>7.03</v>
      </c>
      <c r="G14" s="14"/>
      <c r="H14" s="5" t="s">
        <v>85</v>
      </c>
      <c r="I14" s="25">
        <v>1215.07</v>
      </c>
      <c r="J14" s="25">
        <v>730.16</v>
      </c>
      <c r="K14" s="25">
        <v>564.73</v>
      </c>
      <c r="L14" s="25">
        <v>410.85</v>
      </c>
      <c r="M14" s="25">
        <v>425.21</v>
      </c>
    </row>
    <row r="15" spans="1:13" ht="15.6" x14ac:dyDescent="0.3">
      <c r="A15" s="5" t="s">
        <v>38</v>
      </c>
      <c r="B15" s="16">
        <v>28.45</v>
      </c>
      <c r="C15" s="16">
        <v>28.71</v>
      </c>
      <c r="D15" s="16">
        <v>24.17</v>
      </c>
      <c r="E15" s="16">
        <v>20.45</v>
      </c>
      <c r="F15" s="16">
        <v>18.829999999999998</v>
      </c>
      <c r="G15" s="14"/>
      <c r="H15" s="27" t="s">
        <v>86</v>
      </c>
      <c r="I15" s="26">
        <f>SUM(I11:I14)</f>
        <v>1421.53</v>
      </c>
      <c r="J15" s="26">
        <f>SUM(J11:J14)</f>
        <v>924.03</v>
      </c>
      <c r="K15" s="26">
        <f>SUM(K11:K14)</f>
        <v>728.54</v>
      </c>
      <c r="L15" s="26">
        <f>L11+L12+L13+L14</f>
        <v>563.16000000000008</v>
      </c>
      <c r="M15" s="26">
        <f>SUM(M11:M14)</f>
        <v>570.99</v>
      </c>
    </row>
    <row r="16" spans="1:13" ht="15.6" x14ac:dyDescent="0.3">
      <c r="A16" s="5" t="s">
        <v>39</v>
      </c>
      <c r="B16" s="16">
        <v>497.4</v>
      </c>
      <c r="C16" s="16">
        <v>463.46</v>
      </c>
      <c r="D16" s="16">
        <v>620.94000000000005</v>
      </c>
      <c r="E16" s="16">
        <v>503.72</v>
      </c>
      <c r="F16" s="16">
        <v>574.67999999999995</v>
      </c>
      <c r="G16" s="14"/>
      <c r="H16" s="27" t="s">
        <v>62</v>
      </c>
      <c r="I16" s="97"/>
      <c r="J16" s="97"/>
      <c r="K16" s="97"/>
      <c r="L16" s="97"/>
      <c r="M16" s="97"/>
    </row>
    <row r="17" spans="1:13" x14ac:dyDescent="0.3">
      <c r="A17" s="5" t="s">
        <v>40</v>
      </c>
      <c r="B17" s="16">
        <v>52.55</v>
      </c>
      <c r="C17" s="16">
        <v>39.380000000000003</v>
      </c>
      <c r="D17" s="16">
        <v>27.34</v>
      </c>
      <c r="E17" s="16">
        <v>5.87</v>
      </c>
      <c r="F17" s="16">
        <v>0</v>
      </c>
      <c r="G17" s="14"/>
      <c r="H17" s="5" t="s">
        <v>63</v>
      </c>
      <c r="I17" s="25">
        <f>20.07+4708.17</f>
        <v>4728.24</v>
      </c>
      <c r="J17" s="25">
        <f>39.36+6232.46</f>
        <v>6271.82</v>
      </c>
      <c r="K17" s="25">
        <v>6165.65</v>
      </c>
      <c r="L17" s="25">
        <v>4462.79</v>
      </c>
      <c r="M17" s="25">
        <v>4466.42</v>
      </c>
    </row>
    <row r="18" spans="1:13" x14ac:dyDescent="0.3">
      <c r="A18" s="5" t="s">
        <v>41</v>
      </c>
      <c r="B18" s="16">
        <v>340.78</v>
      </c>
      <c r="C18" s="16">
        <v>396.69</v>
      </c>
      <c r="D18" s="16">
        <v>683.82</v>
      </c>
      <c r="E18" s="16">
        <v>439.04</v>
      </c>
      <c r="F18" s="16">
        <v>252</v>
      </c>
      <c r="G18" s="14"/>
      <c r="H18" s="5" t="s">
        <v>87</v>
      </c>
      <c r="I18" s="25">
        <v>43.63</v>
      </c>
      <c r="J18" s="25">
        <v>16.489999999999998</v>
      </c>
      <c r="K18" s="25">
        <v>19.23</v>
      </c>
      <c r="L18" s="25">
        <v>17.28</v>
      </c>
      <c r="M18" s="25">
        <v>56.26</v>
      </c>
    </row>
    <row r="19" spans="1:13" x14ac:dyDescent="0.3">
      <c r="A19" s="15" t="s">
        <v>71</v>
      </c>
      <c r="B19" s="17">
        <f>SUM(B5:B18)</f>
        <v>5316.4999999999991</v>
      </c>
      <c r="C19" s="17">
        <f t="shared" ref="C19:F19" si="0">SUM(C5:C18)</f>
        <v>5776.36</v>
      </c>
      <c r="D19" s="17">
        <f t="shared" si="0"/>
        <v>6616.869999999999</v>
      </c>
      <c r="E19" s="17">
        <f t="shared" si="0"/>
        <v>5443.43</v>
      </c>
      <c r="F19" s="17">
        <f t="shared" si="0"/>
        <v>5463.7</v>
      </c>
      <c r="G19" s="24"/>
      <c r="H19" s="5" t="s">
        <v>83</v>
      </c>
      <c r="I19" s="25">
        <v>124.08</v>
      </c>
      <c r="J19" s="25">
        <v>158.11000000000001</v>
      </c>
      <c r="K19" s="25">
        <f>169.73+6.9</f>
        <v>176.63</v>
      </c>
      <c r="L19" s="25">
        <f>146.58+5.73</f>
        <v>152.31</v>
      </c>
      <c r="M19" s="25">
        <f>196.74+0.12</f>
        <v>196.86</v>
      </c>
    </row>
    <row r="20" spans="1:13" x14ac:dyDescent="0.3">
      <c r="A20" s="98" t="s">
        <v>42</v>
      </c>
      <c r="B20" s="99"/>
      <c r="C20" s="99"/>
      <c r="D20" s="99"/>
      <c r="E20" s="99"/>
      <c r="F20" s="100"/>
      <c r="G20" s="23"/>
      <c r="H20" s="5" t="s">
        <v>88</v>
      </c>
      <c r="I20" s="25">
        <v>11437.25</v>
      </c>
      <c r="J20" s="25">
        <f>14176.08+90</f>
        <v>14266.08</v>
      </c>
      <c r="K20" s="25">
        <f>18707.76</f>
        <v>18707.759999999998</v>
      </c>
      <c r="L20" s="25">
        <f>19333.34</f>
        <v>19333.34</v>
      </c>
      <c r="M20" s="25">
        <v>17723.39</v>
      </c>
    </row>
    <row r="21" spans="1:13" x14ac:dyDescent="0.3">
      <c r="A21" s="5" t="s">
        <v>40</v>
      </c>
      <c r="B21" s="16">
        <v>3910.2</v>
      </c>
      <c r="C21" s="16">
        <v>4967.9799999999996</v>
      </c>
      <c r="D21" s="16">
        <v>5591.9</v>
      </c>
      <c r="E21" s="16">
        <v>6448.04</v>
      </c>
      <c r="F21" s="16">
        <v>7446.89</v>
      </c>
      <c r="G21" s="14"/>
      <c r="H21" s="5" t="s">
        <v>89</v>
      </c>
      <c r="I21" s="25">
        <v>126.75</v>
      </c>
      <c r="J21" s="25">
        <v>70.27</v>
      </c>
      <c r="K21" s="25">
        <v>114.67</v>
      </c>
      <c r="L21" s="25">
        <v>174.13</v>
      </c>
      <c r="M21" s="25">
        <v>191.42</v>
      </c>
    </row>
    <row r="22" spans="1:13" ht="15.6" x14ac:dyDescent="0.3">
      <c r="A22" s="98" t="s">
        <v>34</v>
      </c>
      <c r="B22" s="99"/>
      <c r="C22" s="99"/>
      <c r="D22" s="99"/>
      <c r="E22" s="99"/>
      <c r="F22" s="100"/>
      <c r="G22" s="23"/>
      <c r="H22" s="27" t="s">
        <v>90</v>
      </c>
      <c r="I22" s="26">
        <f>SUM(I17:I21)</f>
        <v>16459.95</v>
      </c>
      <c r="J22" s="26">
        <f>SUM(J17:J21)</f>
        <v>20782.77</v>
      </c>
      <c r="K22" s="26">
        <f>SUM(K17:K21)</f>
        <v>25183.939999999995</v>
      </c>
      <c r="L22" s="26">
        <f>SUM(L17:L21)</f>
        <v>24139.850000000002</v>
      </c>
      <c r="M22" s="26">
        <v>22634.35</v>
      </c>
    </row>
    <row r="23" spans="1:13" ht="15.6" x14ac:dyDescent="0.3">
      <c r="A23" s="5" t="s">
        <v>36</v>
      </c>
      <c r="B23" s="16">
        <v>6732.91</v>
      </c>
      <c r="C23" s="16">
        <v>6561.99</v>
      </c>
      <c r="D23" s="16">
        <v>6108.09</v>
      </c>
      <c r="E23" s="16">
        <v>7033.48</v>
      </c>
      <c r="F23" s="16">
        <v>7392.38</v>
      </c>
      <c r="G23" s="14"/>
      <c r="H23" s="27" t="s">
        <v>91</v>
      </c>
      <c r="I23" s="26">
        <f>I9+I15+I22</f>
        <v>20940.86</v>
      </c>
      <c r="J23" s="26">
        <f>J9+J15+J22</f>
        <v>25138.510000000002</v>
      </c>
      <c r="K23" s="26">
        <f>K9+K15+K22</f>
        <v>29770.159999999996</v>
      </c>
      <c r="L23" s="26">
        <f>L9+L15+L22</f>
        <v>28880.57</v>
      </c>
      <c r="M23" s="26">
        <f>M9+M15+M22</f>
        <v>29448.809999999998</v>
      </c>
    </row>
    <row r="24" spans="1:13" ht="15.6" x14ac:dyDescent="0.3">
      <c r="A24" s="5" t="s">
        <v>43</v>
      </c>
      <c r="B24" s="16">
        <v>1556.22</v>
      </c>
      <c r="C24" s="16">
        <v>3042.9</v>
      </c>
      <c r="D24" s="16">
        <v>1300.8599999999999</v>
      </c>
      <c r="E24" s="16">
        <v>3945.69</v>
      </c>
      <c r="F24" s="16">
        <v>1206.32</v>
      </c>
      <c r="G24" s="14"/>
      <c r="H24" s="27" t="s">
        <v>27</v>
      </c>
      <c r="I24" s="97"/>
      <c r="J24" s="97"/>
      <c r="K24" s="97"/>
      <c r="L24" s="97"/>
      <c r="M24" s="97"/>
    </row>
    <row r="25" spans="1:13" ht="15.6" x14ac:dyDescent="0.3">
      <c r="A25" s="5" t="s">
        <v>44</v>
      </c>
      <c r="B25" s="16">
        <v>1.48</v>
      </c>
      <c r="C25" s="16">
        <v>2030.86</v>
      </c>
      <c r="D25" s="16">
        <v>6262.88</v>
      </c>
      <c r="E25" s="16">
        <v>4165.8900000000003</v>
      </c>
      <c r="F25" s="16">
        <v>9850.27</v>
      </c>
      <c r="G25" s="14"/>
      <c r="H25" s="27" t="s">
        <v>28</v>
      </c>
      <c r="I25" s="97"/>
      <c r="J25" s="97"/>
      <c r="K25" s="97"/>
      <c r="L25" s="97"/>
      <c r="M25" s="97"/>
    </row>
    <row r="26" spans="1:13" x14ac:dyDescent="0.3">
      <c r="A26" s="5" t="s">
        <v>37</v>
      </c>
      <c r="B26" s="16">
        <v>32.619999999999997</v>
      </c>
      <c r="C26" s="16">
        <v>1.52</v>
      </c>
      <c r="D26" s="16">
        <v>1.48</v>
      </c>
      <c r="E26" s="16">
        <v>1.72</v>
      </c>
      <c r="F26" s="16">
        <v>1.41</v>
      </c>
      <c r="G26" s="14"/>
      <c r="H26" s="5" t="s">
        <v>92</v>
      </c>
      <c r="I26" s="25">
        <v>819.22</v>
      </c>
      <c r="J26" s="25">
        <v>794.93</v>
      </c>
      <c r="K26" s="25">
        <v>956.56</v>
      </c>
      <c r="L26" s="25">
        <f>777.63+229.34</f>
        <v>1006.97</v>
      </c>
      <c r="M26" s="25">
        <v>819.65</v>
      </c>
    </row>
    <row r="27" spans="1:13" x14ac:dyDescent="0.3">
      <c r="A27" s="5" t="s">
        <v>45</v>
      </c>
      <c r="B27" s="16">
        <v>29.03</v>
      </c>
      <c r="C27" s="16">
        <v>60.66</v>
      </c>
      <c r="D27" s="16">
        <v>102.54</v>
      </c>
      <c r="E27" s="16">
        <v>203.42</v>
      </c>
      <c r="F27" s="16">
        <v>294.39999999999998</v>
      </c>
      <c r="G27" s="14"/>
      <c r="H27" s="5" t="s">
        <v>93</v>
      </c>
      <c r="I27" s="25">
        <v>17.13</v>
      </c>
      <c r="J27" s="25">
        <v>11.92</v>
      </c>
      <c r="K27" s="25">
        <v>8.06</v>
      </c>
      <c r="L27" s="25">
        <v>17.36</v>
      </c>
      <c r="M27" s="25">
        <v>18.29</v>
      </c>
    </row>
    <row r="28" spans="1:13" x14ac:dyDescent="0.3">
      <c r="A28" s="5" t="s">
        <v>46</v>
      </c>
      <c r="B28" s="16">
        <v>279.89</v>
      </c>
      <c r="C28" s="16">
        <v>133.63999999999999</v>
      </c>
      <c r="D28" s="16">
        <v>144.74</v>
      </c>
      <c r="E28" s="16">
        <v>403.14</v>
      </c>
      <c r="F28" s="16">
        <v>449.61</v>
      </c>
      <c r="G28" s="14"/>
      <c r="H28" s="5" t="s">
        <v>94</v>
      </c>
      <c r="I28" s="25">
        <v>79.959999999999994</v>
      </c>
      <c r="J28" s="25">
        <v>80.150000000000006</v>
      </c>
      <c r="K28" s="25">
        <v>86.94</v>
      </c>
      <c r="L28" s="25">
        <v>61.62</v>
      </c>
      <c r="M28" s="25">
        <v>68.239999999999995</v>
      </c>
    </row>
    <row r="29" spans="1:13" x14ac:dyDescent="0.3">
      <c r="A29" s="5" t="s">
        <v>47</v>
      </c>
      <c r="B29" s="16">
        <v>6052.24</v>
      </c>
      <c r="C29" s="16">
        <v>6913.76</v>
      </c>
      <c r="D29" s="16">
        <v>7781.22</v>
      </c>
      <c r="E29" s="16">
        <v>7846.36</v>
      </c>
      <c r="F29" s="16">
        <v>7421.7</v>
      </c>
      <c r="G29" s="14"/>
      <c r="H29" s="5" t="s">
        <v>95</v>
      </c>
      <c r="I29" s="25">
        <v>0</v>
      </c>
      <c r="J29" s="25">
        <v>0</v>
      </c>
      <c r="K29" s="25">
        <v>0</v>
      </c>
      <c r="L29" s="25">
        <v>0</v>
      </c>
      <c r="M29" s="25">
        <v>3.39</v>
      </c>
    </row>
    <row r="30" spans="1:13" x14ac:dyDescent="0.3">
      <c r="A30" s="15" t="s">
        <v>108</v>
      </c>
      <c r="B30" s="17">
        <f>B21+SUM(B23:B29)</f>
        <v>18594.59</v>
      </c>
      <c r="C30" s="17">
        <f t="shared" ref="C30:F30" si="1">C21+SUM(C23:C29)</f>
        <v>23713.31</v>
      </c>
      <c r="D30" s="17">
        <f t="shared" si="1"/>
        <v>27293.71</v>
      </c>
      <c r="E30" s="17">
        <f t="shared" si="1"/>
        <v>30047.74</v>
      </c>
      <c r="F30" s="17">
        <f t="shared" si="1"/>
        <v>34062.980000000003</v>
      </c>
      <c r="G30" s="24"/>
      <c r="H30" s="5" t="s">
        <v>35</v>
      </c>
      <c r="I30" s="25">
        <v>484.18</v>
      </c>
      <c r="J30" s="25">
        <v>518.65</v>
      </c>
      <c r="K30" s="25">
        <v>542.32000000000005</v>
      </c>
      <c r="L30" s="25">
        <v>6</v>
      </c>
      <c r="M30" s="25">
        <v>678.79</v>
      </c>
    </row>
    <row r="31" spans="1:13" x14ac:dyDescent="0.3">
      <c r="A31" s="15" t="s">
        <v>48</v>
      </c>
      <c r="B31" s="17">
        <f>B19+B21+B23+B24+B25+B26+B27+B28+B29</f>
        <v>23911.089999999997</v>
      </c>
      <c r="C31" s="17">
        <f>C19+C21+C23+C24+C25+C26+C27+C28+C29</f>
        <v>29489.670000000006</v>
      </c>
      <c r="D31" s="17">
        <f>D19+D21+D23+D24+D25+D26+D27+D28+D29</f>
        <v>33910.58</v>
      </c>
      <c r="E31" s="17">
        <f>E19+E21+E23+E24+E25+E26+E27+E28+E29</f>
        <v>35491.17</v>
      </c>
      <c r="F31" s="17">
        <f>F19+F21+F23+F24+F25+F26+F27+F28+F29</f>
        <v>39526.68</v>
      </c>
      <c r="G31" s="23"/>
      <c r="H31" s="5" t="s">
        <v>96</v>
      </c>
      <c r="I31" s="25">
        <v>15.62</v>
      </c>
      <c r="J31" s="25">
        <v>15.44</v>
      </c>
      <c r="K31" s="25">
        <v>17.73</v>
      </c>
      <c r="L31" s="25">
        <v>18.02</v>
      </c>
      <c r="M31" s="25">
        <v>17.649999999999999</v>
      </c>
    </row>
    <row r="32" spans="1:13" x14ac:dyDescent="0.3">
      <c r="A32" s="19" t="s">
        <v>49</v>
      </c>
      <c r="B32" s="20"/>
      <c r="C32" s="20"/>
      <c r="D32" s="20"/>
      <c r="E32" s="20"/>
      <c r="F32" s="21"/>
      <c r="G32" s="14"/>
      <c r="H32" s="5" t="s">
        <v>37</v>
      </c>
      <c r="I32" s="25">
        <v>6.89</v>
      </c>
      <c r="J32" s="25">
        <v>7.1</v>
      </c>
      <c r="K32" s="25">
        <v>0</v>
      </c>
      <c r="L32" s="25">
        <v>0</v>
      </c>
      <c r="M32" s="25">
        <v>20</v>
      </c>
    </row>
    <row r="33" spans="1:13" x14ac:dyDescent="0.3">
      <c r="A33" s="5" t="s">
        <v>50</v>
      </c>
      <c r="B33" s="16">
        <v>243.66</v>
      </c>
      <c r="C33" s="16">
        <v>243.66</v>
      </c>
      <c r="D33" s="16">
        <v>243.66</v>
      </c>
      <c r="E33" s="16">
        <v>730.98</v>
      </c>
      <c r="F33" s="16">
        <v>730.98</v>
      </c>
      <c r="G33" s="14"/>
      <c r="H33" s="5" t="s">
        <v>97</v>
      </c>
      <c r="I33" s="25">
        <v>153.44999999999999</v>
      </c>
      <c r="J33" s="25">
        <v>141.59</v>
      </c>
      <c r="K33" s="25">
        <v>141.16</v>
      </c>
      <c r="L33" s="25">
        <v>131.66999999999999</v>
      </c>
      <c r="M33" s="25">
        <v>137.44999999999999</v>
      </c>
    </row>
    <row r="34" spans="1:13" x14ac:dyDescent="0.3">
      <c r="A34" s="5" t="s">
        <v>51</v>
      </c>
      <c r="B34" s="16">
        <v>9609.2800000000007</v>
      </c>
      <c r="C34" s="16">
        <v>10815.92</v>
      </c>
      <c r="D34" s="16">
        <v>12042.27</v>
      </c>
      <c r="E34" s="16">
        <v>13130.65</v>
      </c>
      <c r="F34" s="16">
        <v>15595.49</v>
      </c>
      <c r="G34" s="14"/>
      <c r="H34" s="5" t="s">
        <v>98</v>
      </c>
      <c r="I34" s="25">
        <v>414.72</v>
      </c>
      <c r="J34" s="25">
        <v>423.61</v>
      </c>
      <c r="K34" s="25">
        <v>446.83</v>
      </c>
      <c r="L34" s="25">
        <v>450.1</v>
      </c>
      <c r="M34" s="25">
        <v>599.79999999999995</v>
      </c>
    </row>
    <row r="35" spans="1:13" x14ac:dyDescent="0.3">
      <c r="A35" s="5" t="s">
        <v>73</v>
      </c>
      <c r="B35" s="16">
        <v>0</v>
      </c>
      <c r="C35" s="16">
        <v>14.99</v>
      </c>
      <c r="D35" s="16">
        <v>16.34</v>
      </c>
      <c r="E35" s="16">
        <v>17.75</v>
      </c>
      <c r="F35" s="16">
        <v>17.920000000000002</v>
      </c>
      <c r="G35" s="24"/>
      <c r="H35" s="5" t="s">
        <v>99</v>
      </c>
      <c r="I35" s="25">
        <v>225.94</v>
      </c>
      <c r="J35" s="25">
        <v>218.82</v>
      </c>
      <c r="K35" s="25">
        <v>313.2</v>
      </c>
      <c r="L35" s="25">
        <v>265.5</v>
      </c>
      <c r="M35" s="25">
        <v>178.56</v>
      </c>
    </row>
    <row r="36" spans="1:13" x14ac:dyDescent="0.3">
      <c r="A36" s="15" t="s">
        <v>52</v>
      </c>
      <c r="B36" s="17">
        <f>B33+B34+B35</f>
        <v>9852.94</v>
      </c>
      <c r="C36" s="17">
        <f t="shared" ref="C36:F36" si="2">C33+C34+C35</f>
        <v>11074.57</v>
      </c>
      <c r="D36" s="17">
        <f t="shared" si="2"/>
        <v>12302.27</v>
      </c>
      <c r="E36" s="17">
        <f t="shared" si="2"/>
        <v>13879.38</v>
      </c>
      <c r="F36" s="17">
        <f t="shared" si="2"/>
        <v>16344.39</v>
      </c>
      <c r="G36" s="23"/>
      <c r="H36" s="5" t="s">
        <v>100</v>
      </c>
      <c r="I36" s="25">
        <v>651.75</v>
      </c>
      <c r="J36" s="25">
        <v>842.06</v>
      </c>
      <c r="K36" s="25">
        <v>727.92</v>
      </c>
      <c r="L36" s="25">
        <v>838.14</v>
      </c>
      <c r="M36" s="25">
        <v>1118.8</v>
      </c>
    </row>
    <row r="37" spans="1:13" ht="15.6" x14ac:dyDescent="0.3">
      <c r="A37" s="19" t="s">
        <v>53</v>
      </c>
      <c r="B37" s="20"/>
      <c r="C37" s="20"/>
      <c r="D37" s="20"/>
      <c r="E37" s="20"/>
      <c r="F37" s="21"/>
      <c r="G37" s="23"/>
      <c r="H37" s="27" t="s">
        <v>101</v>
      </c>
      <c r="I37" s="26">
        <f>SUM(I26:I36)</f>
        <v>2868.86</v>
      </c>
      <c r="J37" s="26">
        <f>SUM(J26:J36)</f>
        <v>3054.27</v>
      </c>
      <c r="K37" s="26">
        <f>SUM(K26:K36)</f>
        <v>3240.7200000000003</v>
      </c>
      <c r="L37" s="26">
        <f>SUM(L26:L36)</f>
        <v>2795.3799999999997</v>
      </c>
      <c r="M37" s="26">
        <f>SUM(M26:M36)</f>
        <v>3660.62</v>
      </c>
    </row>
    <row r="38" spans="1:13" ht="15.6" x14ac:dyDescent="0.3">
      <c r="A38" s="19" t="s">
        <v>54</v>
      </c>
      <c r="B38" s="20"/>
      <c r="C38" s="20"/>
      <c r="D38" s="20"/>
      <c r="E38" s="20"/>
      <c r="F38" s="21"/>
      <c r="G38" s="14"/>
      <c r="H38" s="27" t="s">
        <v>42</v>
      </c>
      <c r="I38" s="97"/>
      <c r="J38" s="97"/>
      <c r="K38" s="97"/>
      <c r="L38" s="97"/>
      <c r="M38" s="97"/>
    </row>
    <row r="39" spans="1:13" x14ac:dyDescent="0.3">
      <c r="A39" s="5" t="s">
        <v>55</v>
      </c>
      <c r="B39" s="16">
        <v>68.89</v>
      </c>
      <c r="C39" s="16">
        <v>164.99</v>
      </c>
      <c r="D39" s="16">
        <v>148.43</v>
      </c>
      <c r="E39" s="16">
        <v>133.94999999999999</v>
      </c>
      <c r="F39" s="16">
        <v>117.76</v>
      </c>
      <c r="G39" s="23"/>
      <c r="H39" s="5" t="s">
        <v>40</v>
      </c>
      <c r="I39" s="25">
        <v>4622.6899999999996</v>
      </c>
      <c r="J39" s="25">
        <v>5888.61</v>
      </c>
      <c r="K39" s="25">
        <v>7700.1</v>
      </c>
      <c r="L39" s="25">
        <v>7356.86</v>
      </c>
      <c r="M39" s="25">
        <v>5713.37</v>
      </c>
    </row>
    <row r="40" spans="1:13" x14ac:dyDescent="0.3">
      <c r="A40" s="19" t="s">
        <v>56</v>
      </c>
      <c r="B40" s="20"/>
      <c r="C40" s="20"/>
      <c r="D40" s="20"/>
      <c r="E40" s="20"/>
      <c r="F40" s="21"/>
      <c r="G40" s="14"/>
      <c r="H40" s="5" t="s">
        <v>102</v>
      </c>
      <c r="I40" s="25">
        <v>1432.82</v>
      </c>
      <c r="J40" s="25">
        <v>965.94</v>
      </c>
      <c r="K40" s="25">
        <v>1005.41</v>
      </c>
      <c r="L40" s="25">
        <v>1002.33</v>
      </c>
      <c r="M40" s="25">
        <v>1846.93</v>
      </c>
    </row>
    <row r="41" spans="1:13" x14ac:dyDescent="0.3">
      <c r="A41" s="5" t="s">
        <v>57</v>
      </c>
      <c r="B41" s="16">
        <v>0</v>
      </c>
      <c r="C41" s="16">
        <v>0</v>
      </c>
      <c r="D41" s="16">
        <v>0</v>
      </c>
      <c r="E41" s="16"/>
      <c r="F41" s="16"/>
      <c r="G41" s="14"/>
      <c r="H41" s="5" t="s">
        <v>103</v>
      </c>
      <c r="I41" s="25">
        <f>483.28+5315</f>
        <v>5798.28</v>
      </c>
      <c r="J41" s="25">
        <f>739.91+7288</f>
        <v>8027.91</v>
      </c>
      <c r="K41" s="25">
        <v>11480.47</v>
      </c>
      <c r="L41" s="25">
        <v>13286.42</v>
      </c>
      <c r="M41" s="25">
        <f>3523.48+10686.15</f>
        <v>14209.63</v>
      </c>
    </row>
    <row r="42" spans="1:13" x14ac:dyDescent="0.3">
      <c r="A42" s="5" t="s">
        <v>58</v>
      </c>
      <c r="B42" s="16">
        <v>0.2</v>
      </c>
      <c r="C42" s="16">
        <v>0.28999999999999998</v>
      </c>
      <c r="D42" s="16">
        <v>0.34</v>
      </c>
      <c r="E42" s="16">
        <v>0.37</v>
      </c>
      <c r="F42" s="16">
        <v>0</v>
      </c>
      <c r="G42" s="14"/>
      <c r="H42" s="5" t="s">
        <v>104</v>
      </c>
      <c r="I42" s="25">
        <v>2.11</v>
      </c>
      <c r="J42" s="25">
        <v>2.12</v>
      </c>
      <c r="K42" s="25">
        <v>0</v>
      </c>
      <c r="L42" s="25">
        <v>0</v>
      </c>
      <c r="M42" s="25">
        <v>0</v>
      </c>
    </row>
    <row r="43" spans="1:13" x14ac:dyDescent="0.3">
      <c r="A43" s="5" t="s">
        <v>69</v>
      </c>
      <c r="B43" s="16">
        <v>0</v>
      </c>
      <c r="C43" s="16">
        <v>1.17</v>
      </c>
      <c r="D43" s="16">
        <v>51.51</v>
      </c>
      <c r="E43" s="16">
        <v>59.42</v>
      </c>
      <c r="F43" s="16">
        <v>60.25</v>
      </c>
      <c r="G43" s="14"/>
      <c r="H43" s="5" t="s">
        <v>38</v>
      </c>
      <c r="I43" s="25">
        <v>187.85</v>
      </c>
      <c r="J43" s="25">
        <v>139.59</v>
      </c>
      <c r="K43" s="25">
        <v>140.66</v>
      </c>
      <c r="L43" s="25">
        <v>221.4</v>
      </c>
      <c r="M43" s="25">
        <v>307.56</v>
      </c>
    </row>
    <row r="44" spans="1:13" x14ac:dyDescent="0.3">
      <c r="A44" s="5" t="s">
        <v>59</v>
      </c>
      <c r="B44" s="16">
        <v>49.34</v>
      </c>
      <c r="C44" s="16">
        <v>6.71</v>
      </c>
      <c r="D44" s="16">
        <v>20.22</v>
      </c>
      <c r="E44" s="16">
        <v>4.7300000000000004</v>
      </c>
      <c r="F44" s="16">
        <v>4.8</v>
      </c>
      <c r="G44" s="14"/>
      <c r="H44" s="5" t="s">
        <v>105</v>
      </c>
      <c r="I44" s="25">
        <v>55.47</v>
      </c>
      <c r="J44" s="25">
        <v>213.7</v>
      </c>
      <c r="K44" s="25">
        <v>407</v>
      </c>
      <c r="L44" s="25">
        <v>283.23</v>
      </c>
      <c r="M44" s="25">
        <v>57.3</v>
      </c>
    </row>
    <row r="45" spans="1:13" x14ac:dyDescent="0.3">
      <c r="A45" s="5" t="s">
        <v>66</v>
      </c>
      <c r="B45" s="16">
        <v>1160.57</v>
      </c>
      <c r="C45" s="16">
        <v>1412.03</v>
      </c>
      <c r="D45" s="16">
        <v>1805.32</v>
      </c>
      <c r="E45" s="16">
        <v>844.65</v>
      </c>
      <c r="F45" s="16">
        <v>967.28</v>
      </c>
      <c r="G45" s="14"/>
      <c r="H45" s="5" t="s">
        <v>106</v>
      </c>
      <c r="I45" s="25">
        <v>0.22</v>
      </c>
      <c r="J45" s="25">
        <v>0.35</v>
      </c>
      <c r="K45" s="25">
        <v>0.44</v>
      </c>
      <c r="L45" s="25">
        <v>0.32</v>
      </c>
      <c r="M45" s="25">
        <v>7.0000000000000007E-2</v>
      </c>
    </row>
    <row r="46" spans="1:13" x14ac:dyDescent="0.3">
      <c r="A46" s="5" t="s">
        <v>60</v>
      </c>
      <c r="B46" s="16">
        <v>1.1200000000000001</v>
      </c>
      <c r="C46" s="16">
        <v>0</v>
      </c>
      <c r="D46" s="16">
        <v>0</v>
      </c>
      <c r="E46" s="16">
        <v>0</v>
      </c>
      <c r="F46" s="16">
        <v>0</v>
      </c>
      <c r="G46" s="14"/>
      <c r="H46" s="5" t="s">
        <v>107</v>
      </c>
      <c r="I46" s="25">
        <v>5972.56</v>
      </c>
      <c r="J46" s="25">
        <v>6846.02</v>
      </c>
      <c r="K46" s="25">
        <v>5795.36</v>
      </c>
      <c r="L46" s="25">
        <v>3934.63</v>
      </c>
      <c r="M46" s="25">
        <v>3653.33</v>
      </c>
    </row>
    <row r="47" spans="1:13" ht="15.6" x14ac:dyDescent="0.3">
      <c r="A47" s="5" t="s">
        <v>70</v>
      </c>
      <c r="B47" s="16">
        <v>0</v>
      </c>
      <c r="C47" s="16">
        <v>0.36</v>
      </c>
      <c r="D47" s="16">
        <v>1.45</v>
      </c>
      <c r="E47" s="16">
        <v>2.89</v>
      </c>
      <c r="F47" s="16">
        <v>5.47</v>
      </c>
      <c r="G47" s="24"/>
      <c r="H47" s="27" t="s">
        <v>108</v>
      </c>
      <c r="I47" s="26">
        <f>SUM(I39:I46)</f>
        <v>18072</v>
      </c>
      <c r="J47" s="26">
        <v>22084.240000000002</v>
      </c>
      <c r="K47" s="26">
        <f>SUM(K39:K46)</f>
        <v>26529.439999999999</v>
      </c>
      <c r="L47" s="26">
        <f>SUM(L39:L46)</f>
        <v>26085.190000000002</v>
      </c>
      <c r="M47" s="26">
        <f>SUM(M39:M46)</f>
        <v>25788.190000000002</v>
      </c>
    </row>
    <row r="48" spans="1:13" ht="15.6" x14ac:dyDescent="0.3">
      <c r="A48" s="15" t="s">
        <v>61</v>
      </c>
      <c r="B48" s="17">
        <f>SUM(B39:B47)</f>
        <v>1280.1199999999999</v>
      </c>
      <c r="C48" s="17">
        <f t="shared" ref="C48:F48" si="3">SUM(C39:C47)</f>
        <v>1585.55</v>
      </c>
      <c r="D48" s="17">
        <f t="shared" si="3"/>
        <v>2027.27</v>
      </c>
      <c r="E48" s="17">
        <f t="shared" si="3"/>
        <v>1046.01</v>
      </c>
      <c r="F48" s="17">
        <f t="shared" si="3"/>
        <v>1155.56</v>
      </c>
      <c r="G48" s="23"/>
      <c r="H48" s="27" t="s">
        <v>21</v>
      </c>
      <c r="I48" s="26">
        <f>I37+I47</f>
        <v>20940.86</v>
      </c>
      <c r="J48" s="26">
        <f>J37+J47</f>
        <v>25138.510000000002</v>
      </c>
      <c r="K48" s="26">
        <f>K37+K47</f>
        <v>29770.16</v>
      </c>
      <c r="L48" s="26">
        <f>L37+L47</f>
        <v>28880.570000000003</v>
      </c>
      <c r="M48" s="26">
        <f>M37+M47</f>
        <v>29448.81</v>
      </c>
    </row>
    <row r="49" spans="1:7" x14ac:dyDescent="0.3">
      <c r="A49" s="19" t="s">
        <v>62</v>
      </c>
      <c r="B49" s="20"/>
      <c r="C49" s="20"/>
      <c r="D49" s="20"/>
      <c r="E49" s="20"/>
      <c r="F49" s="21"/>
      <c r="G49" s="14"/>
    </row>
    <row r="50" spans="1:7" x14ac:dyDescent="0.3">
      <c r="A50" s="5" t="s">
        <v>55</v>
      </c>
      <c r="B50" s="16">
        <v>4.22</v>
      </c>
      <c r="C50" s="16">
        <v>17.11</v>
      </c>
      <c r="D50" s="16">
        <v>16.54</v>
      </c>
      <c r="E50" s="16">
        <v>16.649999999999999</v>
      </c>
      <c r="F50" s="16">
        <v>16.37</v>
      </c>
      <c r="G50" s="23"/>
    </row>
    <row r="51" spans="1:7" x14ac:dyDescent="0.3">
      <c r="A51" s="42" t="s">
        <v>56</v>
      </c>
      <c r="B51" s="43"/>
      <c r="C51" s="43"/>
      <c r="D51" s="43"/>
      <c r="E51" s="43"/>
      <c r="F51" s="44"/>
      <c r="G51" s="14"/>
    </row>
    <row r="52" spans="1:7" x14ac:dyDescent="0.3">
      <c r="A52" s="5" t="s">
        <v>69</v>
      </c>
      <c r="B52" s="16">
        <v>0</v>
      </c>
      <c r="C52" s="16">
        <v>1.35</v>
      </c>
      <c r="D52" s="16">
        <v>1.19</v>
      </c>
      <c r="E52" s="16">
        <v>1.92</v>
      </c>
      <c r="F52" s="16">
        <v>2.2599999999999998</v>
      </c>
      <c r="G52" s="14"/>
    </row>
    <row r="53" spans="1:7" x14ac:dyDescent="0.3">
      <c r="A53" s="5" t="s">
        <v>63</v>
      </c>
      <c r="B53" s="16">
        <f>64.78+2359.97</f>
        <v>2424.75</v>
      </c>
      <c r="C53" s="16">
        <f>153.43+3145.47</f>
        <v>3298.8999999999996</v>
      </c>
      <c r="D53" s="16">
        <f>248.44+3120.86</f>
        <v>3369.3</v>
      </c>
      <c r="E53" s="16">
        <f>207.54+3122.84</f>
        <v>3330.38</v>
      </c>
      <c r="F53" s="16">
        <f>213.06+3493.25</f>
        <v>3706.31</v>
      </c>
      <c r="G53" s="14"/>
    </row>
    <row r="54" spans="1:7" x14ac:dyDescent="0.3">
      <c r="A54" s="5" t="s">
        <v>59</v>
      </c>
      <c r="B54" s="16">
        <v>831.95</v>
      </c>
      <c r="C54" s="16">
        <v>958.95</v>
      </c>
      <c r="D54" s="16">
        <v>960.43</v>
      </c>
      <c r="E54" s="16">
        <v>1290.23</v>
      </c>
      <c r="F54" s="16">
        <v>1317.14</v>
      </c>
      <c r="G54" s="14"/>
    </row>
    <row r="55" spans="1:7" x14ac:dyDescent="0.3">
      <c r="A55" s="5" t="s">
        <v>64</v>
      </c>
      <c r="B55" s="16">
        <v>9201.75</v>
      </c>
      <c r="C55" s="16">
        <v>12202.96</v>
      </c>
      <c r="D55" s="16">
        <v>14809.07</v>
      </c>
      <c r="E55" s="16">
        <v>15299.06</v>
      </c>
      <c r="F55" s="16">
        <v>16289.84</v>
      </c>
      <c r="G55" s="14"/>
    </row>
    <row r="56" spans="1:7" x14ac:dyDescent="0.3">
      <c r="A56" s="5" t="s">
        <v>65</v>
      </c>
      <c r="B56" s="16">
        <v>315.36</v>
      </c>
      <c r="C56" s="16">
        <v>350.28</v>
      </c>
      <c r="D56" s="16">
        <v>423.82</v>
      </c>
      <c r="E56" s="16">
        <v>627.54</v>
      </c>
      <c r="F56" s="16">
        <v>694.53</v>
      </c>
      <c r="G56" s="14"/>
    </row>
    <row r="57" spans="1:7" x14ac:dyDescent="0.3">
      <c r="A57" s="5" t="s">
        <v>67</v>
      </c>
      <c r="B57" s="16">
        <v>0</v>
      </c>
      <c r="C57" s="16">
        <v>0</v>
      </c>
      <c r="D57" s="16">
        <v>0.69</v>
      </c>
      <c r="E57" s="16">
        <v>0</v>
      </c>
      <c r="F57" s="16">
        <v>0.28000000000000003</v>
      </c>
      <c r="G57" s="14"/>
    </row>
    <row r="58" spans="1:7" x14ac:dyDescent="0.3">
      <c r="A58" s="15" t="s">
        <v>90</v>
      </c>
      <c r="B58" s="17">
        <f>SUM(B50:B57)</f>
        <v>12778.03</v>
      </c>
      <c r="C58" s="17">
        <f t="shared" ref="C58:F58" si="4">SUM(C50:C57)</f>
        <v>16829.549999999996</v>
      </c>
      <c r="D58" s="17">
        <f t="shared" si="4"/>
        <v>19581.039999999997</v>
      </c>
      <c r="E58" s="17">
        <f t="shared" si="4"/>
        <v>20565.78</v>
      </c>
      <c r="F58" s="17">
        <f t="shared" si="4"/>
        <v>22026.729999999996</v>
      </c>
      <c r="G58" s="24"/>
    </row>
    <row r="59" spans="1:7" x14ac:dyDescent="0.3">
      <c r="A59" s="15" t="s">
        <v>68</v>
      </c>
      <c r="B59" s="17">
        <f>B36+B48+B50+B53+B54+B55+B56+B57</f>
        <v>23911.090000000004</v>
      </c>
      <c r="C59" s="17">
        <f>C36+C48+C50+C53+C54+C55+C56+C57+C52</f>
        <v>29489.669999999995</v>
      </c>
      <c r="D59" s="17">
        <f>D36+D48+D50+D53+D54+D55+D56+D57+D52</f>
        <v>33910.580000000009</v>
      </c>
      <c r="E59" s="17">
        <f>E36+E48+E50+E53+E54+E55+E56+E57+E52</f>
        <v>35491.17</v>
      </c>
      <c r="F59" s="17">
        <f>F36+F48+F50+F53+F54+F55+F56+F57+F52</f>
        <v>39526.68</v>
      </c>
      <c r="G59" s="14"/>
    </row>
  </sheetData>
  <mergeCells count="14">
    <mergeCell ref="I38:M38"/>
    <mergeCell ref="A22:F22"/>
    <mergeCell ref="H1:M1"/>
    <mergeCell ref="I3:M3"/>
    <mergeCell ref="I4:M4"/>
    <mergeCell ref="I10:M10"/>
    <mergeCell ref="I16:M16"/>
    <mergeCell ref="I24:M24"/>
    <mergeCell ref="I25:M25"/>
    <mergeCell ref="A1:F1"/>
    <mergeCell ref="A4:F4"/>
    <mergeCell ref="A3:F3"/>
    <mergeCell ref="A11:F11"/>
    <mergeCell ref="A20: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E7A62-683B-43DF-89BA-70D79E3C7817}">
  <dimension ref="A1:M36"/>
  <sheetViews>
    <sheetView workbookViewId="0">
      <selection activeCell="H31" sqref="H31"/>
    </sheetView>
  </sheetViews>
  <sheetFormatPr defaultRowHeight="14.4" x14ac:dyDescent="0.3"/>
  <cols>
    <col min="1" max="1" width="57.5546875" bestFit="1" customWidth="1"/>
    <col min="2" max="2" width="11" bestFit="1" customWidth="1"/>
    <col min="3" max="6" width="9.88671875" bestFit="1" customWidth="1"/>
    <col min="8" max="8" width="57.5546875" bestFit="1" customWidth="1"/>
    <col min="9" max="13" width="11" bestFit="1" customWidth="1"/>
  </cols>
  <sheetData>
    <row r="1" spans="1:13" s="2" customFormat="1" ht="24.6" customHeight="1" x14ac:dyDescent="0.3">
      <c r="A1" s="103" t="s">
        <v>75</v>
      </c>
      <c r="B1" s="103"/>
      <c r="C1" s="103"/>
      <c r="D1" s="103"/>
      <c r="E1" s="103"/>
      <c r="F1" s="103"/>
      <c r="H1" s="104" t="s">
        <v>144</v>
      </c>
      <c r="I1" s="104"/>
      <c r="J1" s="104"/>
      <c r="K1" s="104"/>
      <c r="L1" s="104"/>
      <c r="M1" s="104"/>
    </row>
    <row r="2" spans="1:13" ht="15.6" x14ac:dyDescent="0.3">
      <c r="A2" s="109" t="s">
        <v>17</v>
      </c>
      <c r="B2" s="28" t="s">
        <v>109</v>
      </c>
      <c r="C2" s="28" t="s">
        <v>110</v>
      </c>
      <c r="D2" s="28" t="s">
        <v>111</v>
      </c>
      <c r="E2" s="28" t="s">
        <v>112</v>
      </c>
      <c r="F2" s="28" t="s">
        <v>113</v>
      </c>
      <c r="H2" s="105" t="s">
        <v>17</v>
      </c>
      <c r="I2" s="28" t="s">
        <v>109</v>
      </c>
      <c r="J2" s="28" t="s">
        <v>110</v>
      </c>
      <c r="K2" s="28" t="s">
        <v>111</v>
      </c>
      <c r="L2" s="28" t="s">
        <v>112</v>
      </c>
      <c r="M2" s="28" t="s">
        <v>113</v>
      </c>
    </row>
    <row r="3" spans="1:13" ht="15.6" x14ac:dyDescent="0.3">
      <c r="A3" s="109"/>
      <c r="B3" s="28" t="s">
        <v>114</v>
      </c>
      <c r="C3" s="28" t="s">
        <v>114</v>
      </c>
      <c r="D3" s="28" t="s">
        <v>114</v>
      </c>
      <c r="E3" s="28" t="s">
        <v>114</v>
      </c>
      <c r="F3" s="28" t="s">
        <v>114</v>
      </c>
      <c r="H3" s="105"/>
      <c r="I3" s="27" t="s">
        <v>114</v>
      </c>
      <c r="J3" s="27" t="s">
        <v>114</v>
      </c>
      <c r="K3" s="27" t="s">
        <v>114</v>
      </c>
      <c r="L3" s="27" t="s">
        <v>114</v>
      </c>
      <c r="M3" s="27" t="s">
        <v>114</v>
      </c>
    </row>
    <row r="4" spans="1:13" ht="15.6" x14ac:dyDescent="0.3">
      <c r="A4" s="109" t="s">
        <v>115</v>
      </c>
      <c r="B4" s="109"/>
      <c r="C4" s="109"/>
      <c r="D4" s="109"/>
      <c r="E4" s="109"/>
      <c r="F4" s="109"/>
      <c r="H4" s="106" t="s">
        <v>115</v>
      </c>
      <c r="I4" s="107"/>
      <c r="J4" s="107"/>
      <c r="K4" s="107"/>
      <c r="L4" s="107"/>
      <c r="M4" s="107"/>
    </row>
    <row r="5" spans="1:13" ht="15.6" x14ac:dyDescent="0.3">
      <c r="A5" s="27" t="s">
        <v>116</v>
      </c>
      <c r="B5" s="26">
        <v>9068.01</v>
      </c>
      <c r="C5" s="26">
        <v>7584.03</v>
      </c>
      <c r="D5" s="26">
        <v>5717.61</v>
      </c>
      <c r="E5" s="26">
        <v>4041.58</v>
      </c>
      <c r="F5" s="26">
        <v>4977.6499999999996</v>
      </c>
      <c r="H5" s="27" t="s">
        <v>116</v>
      </c>
      <c r="I5" s="26">
        <v>19819.93</v>
      </c>
      <c r="J5" s="26">
        <v>17333.37</v>
      </c>
      <c r="K5" s="26">
        <v>15043.67</v>
      </c>
      <c r="L5" s="26">
        <v>13818.16</v>
      </c>
      <c r="M5" s="26">
        <v>12967.67</v>
      </c>
    </row>
    <row r="6" spans="1:13" ht="15.6" x14ac:dyDescent="0.3">
      <c r="A6" s="27" t="s">
        <v>117</v>
      </c>
      <c r="B6" s="26">
        <v>9068.01</v>
      </c>
      <c r="C6" s="26">
        <v>7584.03</v>
      </c>
      <c r="D6" s="26">
        <v>5717.61</v>
      </c>
      <c r="E6" s="26">
        <v>4041.58</v>
      </c>
      <c r="F6" s="26">
        <v>4977.6499999999996</v>
      </c>
      <c r="H6" s="27" t="s">
        <v>117</v>
      </c>
      <c r="I6" s="26">
        <v>19819.93</v>
      </c>
      <c r="J6" s="26">
        <v>17333.37</v>
      </c>
      <c r="K6" s="26">
        <v>15043.67</v>
      </c>
      <c r="L6" s="26">
        <v>13818.16</v>
      </c>
      <c r="M6" s="26">
        <f>M5</f>
        <v>12967.67</v>
      </c>
    </row>
    <row r="7" spans="1:13" x14ac:dyDescent="0.3">
      <c r="A7" s="5" t="s">
        <v>118</v>
      </c>
      <c r="B7" s="25">
        <v>398.57</v>
      </c>
      <c r="C7" s="25">
        <v>243.15</v>
      </c>
      <c r="D7" s="25">
        <v>15.67</v>
      </c>
      <c r="E7" s="25">
        <v>6.24</v>
      </c>
      <c r="F7" s="25">
        <v>0</v>
      </c>
      <c r="H7" s="5" t="s">
        <v>118</v>
      </c>
      <c r="I7" s="25">
        <v>349.46</v>
      </c>
      <c r="J7" s="25">
        <v>312.83</v>
      </c>
      <c r="K7" s="25">
        <v>270.08999999999997</v>
      </c>
      <c r="L7" s="25">
        <v>245.67</v>
      </c>
      <c r="M7" s="25">
        <v>0</v>
      </c>
    </row>
    <row r="8" spans="1:13" ht="15.6" x14ac:dyDescent="0.3">
      <c r="A8" s="27" t="s">
        <v>119</v>
      </c>
      <c r="B8" s="26">
        <v>9466.58</v>
      </c>
      <c r="C8" s="26">
        <v>7827.18</v>
      </c>
      <c r="D8" s="26">
        <v>5733.28</v>
      </c>
      <c r="E8" s="26">
        <v>4047.82</v>
      </c>
      <c r="F8" s="26">
        <f>F6+F7</f>
        <v>4977.6499999999996</v>
      </c>
      <c r="H8" s="27" t="s">
        <v>119</v>
      </c>
      <c r="I8" s="26">
        <v>20169.39</v>
      </c>
      <c r="J8" s="26">
        <v>17646.2</v>
      </c>
      <c r="K8" s="26">
        <v>15313.76</v>
      </c>
      <c r="L8" s="26">
        <v>14063.83</v>
      </c>
      <c r="M8" s="26">
        <v>0</v>
      </c>
    </row>
    <row r="9" spans="1:13" x14ac:dyDescent="0.3">
      <c r="A9" s="5" t="s">
        <v>120</v>
      </c>
      <c r="B9" s="25">
        <v>1138.02</v>
      </c>
      <c r="C9" s="25">
        <v>713.48</v>
      </c>
      <c r="D9" s="25">
        <v>433.63</v>
      </c>
      <c r="E9" s="25">
        <v>574.1</v>
      </c>
      <c r="F9" s="25">
        <v>557.66999999999996</v>
      </c>
      <c r="H9" s="5" t="s">
        <v>120</v>
      </c>
      <c r="I9" s="25">
        <v>755.84</v>
      </c>
      <c r="J9" s="25">
        <v>360.02</v>
      </c>
      <c r="K9" s="25">
        <v>233.59</v>
      </c>
      <c r="L9" s="25">
        <v>126.1</v>
      </c>
      <c r="M9" s="25">
        <v>99.4</v>
      </c>
    </row>
    <row r="10" spans="1:13" ht="15.6" x14ac:dyDescent="0.3">
      <c r="A10" s="27" t="s">
        <v>121</v>
      </c>
      <c r="B10" s="26">
        <v>10604.6</v>
      </c>
      <c r="C10" s="26">
        <v>8540.66</v>
      </c>
      <c r="D10" s="26">
        <v>6166.91</v>
      </c>
      <c r="E10" s="26">
        <f>E8+E9</f>
        <v>4621.92</v>
      </c>
      <c r="F10" s="26">
        <f>F8+F9</f>
        <v>5535.32</v>
      </c>
      <c r="H10" s="27" t="s">
        <v>121</v>
      </c>
      <c r="I10" s="26">
        <v>20925.23</v>
      </c>
      <c r="J10" s="26">
        <v>18006.22</v>
      </c>
      <c r="K10" s="26">
        <v>15547.35</v>
      </c>
      <c r="L10" s="26">
        <v>14189.93</v>
      </c>
      <c r="M10" s="26">
        <f>M6+M9</f>
        <v>13067.07</v>
      </c>
    </row>
    <row r="11" spans="1:13" ht="15.6" x14ac:dyDescent="0.3">
      <c r="A11" s="109" t="s">
        <v>122</v>
      </c>
      <c r="B11" s="109"/>
      <c r="C11" s="109"/>
      <c r="D11" s="109"/>
      <c r="E11" s="109"/>
      <c r="F11" s="109"/>
      <c r="H11" s="106" t="s">
        <v>122</v>
      </c>
      <c r="I11" s="107"/>
      <c r="J11" s="107"/>
      <c r="K11" s="107"/>
      <c r="L11" s="107"/>
      <c r="M11" s="108"/>
    </row>
    <row r="12" spans="1:13" x14ac:dyDescent="0.3">
      <c r="A12" s="5" t="s">
        <v>123</v>
      </c>
      <c r="B12" s="29">
        <v>0</v>
      </c>
      <c r="C12" s="29">
        <v>0</v>
      </c>
      <c r="D12" s="29">
        <v>0</v>
      </c>
      <c r="E12" s="29">
        <v>1881.91</v>
      </c>
      <c r="F12" s="29">
        <v>2503.1799999999998</v>
      </c>
      <c r="H12" s="5" t="s">
        <v>123</v>
      </c>
      <c r="I12" s="25">
        <v>10497.62</v>
      </c>
      <c r="J12" s="25">
        <v>9378.44</v>
      </c>
      <c r="K12" s="25">
        <v>8125.98</v>
      </c>
      <c r="L12" s="25">
        <v>6723.94</v>
      </c>
      <c r="M12" s="25">
        <f>5869.26+27.74</f>
        <v>5897</v>
      </c>
    </row>
    <row r="13" spans="1:13" x14ac:dyDescent="0.3">
      <c r="A13" s="5" t="s">
        <v>124</v>
      </c>
      <c r="B13" s="29">
        <v>6627.6</v>
      </c>
      <c r="C13" s="29">
        <v>5155.53</v>
      </c>
      <c r="D13" s="29">
        <v>4215.1400000000003</v>
      </c>
      <c r="E13" s="29">
        <v>1155.21</v>
      </c>
      <c r="F13" s="29">
        <f>362.23+744.09+16.52+113.7</f>
        <v>1236.5400000000002</v>
      </c>
      <c r="H13" s="5" t="s">
        <v>145</v>
      </c>
      <c r="I13" s="25">
        <v>628.86</v>
      </c>
      <c r="J13" s="25">
        <v>827.85</v>
      </c>
      <c r="K13" s="25">
        <v>1053.49</v>
      </c>
      <c r="L13" s="25">
        <v>1233.21</v>
      </c>
      <c r="M13" s="25">
        <v>950.97</v>
      </c>
    </row>
    <row r="14" spans="1:13" x14ac:dyDescent="0.3">
      <c r="A14" s="5" t="s">
        <v>125</v>
      </c>
      <c r="B14" s="29">
        <v>896.55</v>
      </c>
      <c r="C14" s="29">
        <v>792.71</v>
      </c>
      <c r="D14" s="29">
        <v>798.73</v>
      </c>
      <c r="E14" s="29">
        <v>652.80999999999995</v>
      </c>
      <c r="F14" s="29">
        <v>792.92</v>
      </c>
      <c r="H14" s="5" t="s">
        <v>146</v>
      </c>
      <c r="I14" s="25">
        <v>-560.57000000000005</v>
      </c>
      <c r="J14" s="25">
        <v>-397.45</v>
      </c>
      <c r="K14" s="25">
        <v>-276.97000000000003</v>
      </c>
      <c r="L14" s="25">
        <v>-129.33000000000001</v>
      </c>
      <c r="M14" s="25">
        <v>249.31</v>
      </c>
    </row>
    <row r="15" spans="1:13" x14ac:dyDescent="0.3">
      <c r="A15" s="5" t="s">
        <v>126</v>
      </c>
      <c r="B15" s="29">
        <v>5.12</v>
      </c>
      <c r="C15" s="29">
        <v>6.37</v>
      </c>
      <c r="D15" s="29">
        <v>7.16</v>
      </c>
      <c r="E15" s="29">
        <v>8.36</v>
      </c>
      <c r="F15" s="29">
        <v>9.26</v>
      </c>
      <c r="H15" s="5" t="s">
        <v>125</v>
      </c>
      <c r="I15" s="25">
        <v>2466.6999999999998</v>
      </c>
      <c r="J15" s="25">
        <v>2297.73</v>
      </c>
      <c r="K15" s="25">
        <v>2109.39</v>
      </c>
      <c r="L15" s="25">
        <v>1940.68</v>
      </c>
      <c r="M15" s="25">
        <v>2074.7399999999998</v>
      </c>
    </row>
    <row r="16" spans="1:13" x14ac:dyDescent="0.3">
      <c r="A16" s="5" t="s">
        <v>127</v>
      </c>
      <c r="B16" s="29">
        <v>168.5</v>
      </c>
      <c r="C16" s="29">
        <v>117.39</v>
      </c>
      <c r="D16" s="29">
        <v>102.55</v>
      </c>
      <c r="E16" s="29">
        <v>19.82</v>
      </c>
      <c r="F16" s="29">
        <v>38.64</v>
      </c>
      <c r="H16" s="5" t="s">
        <v>126</v>
      </c>
      <c r="I16" s="25">
        <v>7.02</v>
      </c>
      <c r="J16" s="25">
        <v>14.79</v>
      </c>
      <c r="K16" s="25">
        <v>4.8499999999999996</v>
      </c>
      <c r="L16" s="25">
        <v>6.08</v>
      </c>
      <c r="M16" s="25">
        <v>3.6</v>
      </c>
    </row>
    <row r="17" spans="1:13" x14ac:dyDescent="0.3">
      <c r="A17" s="5" t="s">
        <v>128</v>
      </c>
      <c r="B17" s="29">
        <v>83.13</v>
      </c>
      <c r="C17" s="29">
        <v>75.58</v>
      </c>
      <c r="D17" s="29">
        <v>74.510000000000005</v>
      </c>
      <c r="E17" s="29">
        <v>59.65</v>
      </c>
      <c r="F17" s="29">
        <v>68.69</v>
      </c>
      <c r="H17" s="5" t="s">
        <v>128</v>
      </c>
      <c r="I17" s="25">
        <v>412.43</v>
      </c>
      <c r="J17" s="25">
        <v>407.87</v>
      </c>
      <c r="K17" s="25">
        <v>380.18</v>
      </c>
      <c r="L17" s="25">
        <v>366.33</v>
      </c>
      <c r="M17" s="25">
        <v>371.86</v>
      </c>
    </row>
    <row r="18" spans="1:13" x14ac:dyDescent="0.3">
      <c r="A18" s="5" t="s">
        <v>129</v>
      </c>
      <c r="B18" s="29">
        <v>362.32</v>
      </c>
      <c r="C18" s="29">
        <v>963.75</v>
      </c>
      <c r="D18" s="29">
        <v>182.16</v>
      </c>
      <c r="E18" s="29">
        <v>114.2</v>
      </c>
      <c r="F18" s="29">
        <v>138.4</v>
      </c>
      <c r="H18" s="5" t="s">
        <v>129</v>
      </c>
      <c r="I18" s="25">
        <v>2138.61</v>
      </c>
      <c r="J18" s="25">
        <v>1492.11</v>
      </c>
      <c r="K18" s="25">
        <v>992.63</v>
      </c>
      <c r="L18" s="25">
        <v>1114.21</v>
      </c>
      <c r="M18" s="25">
        <v>1041.19</v>
      </c>
    </row>
    <row r="19" spans="1:13" ht="15.6" x14ac:dyDescent="0.3">
      <c r="A19" s="27" t="s">
        <v>130</v>
      </c>
      <c r="B19" s="30">
        <v>8143.22</v>
      </c>
      <c r="C19" s="30">
        <v>7111.33</v>
      </c>
      <c r="D19" s="30">
        <v>5380.25</v>
      </c>
      <c r="E19" s="30">
        <v>3891.96</v>
      </c>
      <c r="F19" s="30">
        <f>SUM(F12:F18)</f>
        <v>4787.63</v>
      </c>
      <c r="H19" s="27" t="s">
        <v>130</v>
      </c>
      <c r="I19" s="26">
        <v>15590.67</v>
      </c>
      <c r="J19" s="26">
        <v>14021.34</v>
      </c>
      <c r="K19" s="26">
        <v>12389.55</v>
      </c>
      <c r="L19" s="26">
        <v>11255.12</v>
      </c>
      <c r="M19" s="26">
        <f>SUM(M12:M18)</f>
        <v>10588.670000000002</v>
      </c>
    </row>
    <row r="20" spans="1:13" x14ac:dyDescent="0.3">
      <c r="A20" s="5"/>
      <c r="B20" s="29"/>
      <c r="C20" s="29"/>
      <c r="D20" s="29"/>
      <c r="E20" s="29"/>
      <c r="F20" s="29"/>
      <c r="H20" s="5"/>
      <c r="I20" s="25"/>
      <c r="J20" s="25"/>
      <c r="K20" s="25"/>
      <c r="L20" s="25"/>
      <c r="M20" s="25"/>
    </row>
    <row r="21" spans="1:13" ht="15.6" x14ac:dyDescent="0.3">
      <c r="A21" s="27" t="s">
        <v>131</v>
      </c>
      <c r="B21" s="30">
        <v>2461.38</v>
      </c>
      <c r="C21" s="30">
        <v>1429.33</v>
      </c>
      <c r="D21" s="30">
        <v>786.66</v>
      </c>
      <c r="E21" s="30">
        <f>E10-E19</f>
        <v>729.96</v>
      </c>
      <c r="F21" s="30">
        <f>F10-F19</f>
        <v>747.6899999999996</v>
      </c>
      <c r="H21" s="27" t="s">
        <v>131</v>
      </c>
      <c r="I21" s="26">
        <v>5334.56</v>
      </c>
      <c r="J21" s="26">
        <v>3984.88</v>
      </c>
      <c r="K21" s="26">
        <v>3157.8</v>
      </c>
      <c r="L21" s="26">
        <v>2934.81</v>
      </c>
      <c r="M21" s="26">
        <f>M10-M19</f>
        <v>2478.3999999999978</v>
      </c>
    </row>
    <row r="22" spans="1:13" ht="15.6" x14ac:dyDescent="0.3">
      <c r="A22" s="5" t="s">
        <v>132</v>
      </c>
      <c r="B22" s="29">
        <v>0</v>
      </c>
      <c r="C22" s="29">
        <v>0</v>
      </c>
      <c r="D22" s="29">
        <v>-13.97</v>
      </c>
      <c r="E22" s="29">
        <v>126.14</v>
      </c>
      <c r="F22" s="29">
        <v>12.32</v>
      </c>
      <c r="H22" s="27" t="s">
        <v>18</v>
      </c>
      <c r="I22" s="26">
        <v>5334.56</v>
      </c>
      <c r="J22" s="26">
        <v>3984.88</v>
      </c>
      <c r="K22" s="26">
        <v>3157.8</v>
      </c>
      <c r="L22" s="26">
        <v>2934.81</v>
      </c>
      <c r="M22" s="26">
        <f>M21</f>
        <v>2478.3999999999978</v>
      </c>
    </row>
    <row r="23" spans="1:13" ht="15.6" x14ac:dyDescent="0.3">
      <c r="A23" s="27" t="s">
        <v>18</v>
      </c>
      <c r="B23" s="30">
        <v>2461.38</v>
      </c>
      <c r="C23" s="30">
        <v>1429.33</v>
      </c>
      <c r="D23" s="30">
        <v>772.69</v>
      </c>
      <c r="E23" s="30">
        <f>E21-E22</f>
        <v>603.82000000000005</v>
      </c>
      <c r="F23" s="30">
        <f>F21-F22</f>
        <v>735.36999999999955</v>
      </c>
      <c r="H23" s="5" t="s">
        <v>133</v>
      </c>
      <c r="I23" s="25"/>
      <c r="J23" s="25"/>
      <c r="K23" s="25"/>
      <c r="L23" s="25"/>
      <c r="M23" s="25"/>
    </row>
    <row r="24" spans="1:13" x14ac:dyDescent="0.3">
      <c r="A24" s="5" t="s">
        <v>133</v>
      </c>
      <c r="B24" s="29"/>
      <c r="C24" s="29"/>
      <c r="D24" s="29"/>
      <c r="E24" s="29"/>
      <c r="F24" s="29"/>
      <c r="H24" s="5" t="s">
        <v>134</v>
      </c>
      <c r="I24" s="25">
        <v>1449.59</v>
      </c>
      <c r="J24" s="25">
        <v>874.46</v>
      </c>
      <c r="K24" s="25">
        <v>910.52</v>
      </c>
      <c r="L24" s="25">
        <v>824.93</v>
      </c>
      <c r="M24" s="25">
        <v>757.67</v>
      </c>
    </row>
    <row r="25" spans="1:13" x14ac:dyDescent="0.3">
      <c r="A25" s="5" t="s">
        <v>134</v>
      </c>
      <c r="B25" s="29">
        <v>763.88</v>
      </c>
      <c r="C25" s="29">
        <v>358.87</v>
      </c>
      <c r="D25" s="29">
        <v>209.44</v>
      </c>
      <c r="E25" s="29">
        <v>148.63</v>
      </c>
      <c r="F25" s="29">
        <v>180.43</v>
      </c>
      <c r="H25" s="5" t="s">
        <v>135</v>
      </c>
      <c r="I25" s="25">
        <v>-66.13</v>
      </c>
      <c r="J25" s="25">
        <v>123.76</v>
      </c>
      <c r="K25" s="25">
        <v>-101.65</v>
      </c>
      <c r="L25" s="25">
        <v>69.38</v>
      </c>
      <c r="M25" s="25">
        <v>-31.43</v>
      </c>
    </row>
    <row r="26" spans="1:13" x14ac:dyDescent="0.3">
      <c r="A26" s="5" t="s">
        <v>135</v>
      </c>
      <c r="B26" s="29">
        <v>-149.69</v>
      </c>
      <c r="C26" s="29">
        <v>-3.27</v>
      </c>
      <c r="D26" s="29">
        <v>-23.22</v>
      </c>
      <c r="E26" s="29">
        <v>-8.8800000000000008</v>
      </c>
      <c r="F26" s="29">
        <v>170.32</v>
      </c>
      <c r="H26" s="5" t="s">
        <v>136</v>
      </c>
      <c r="I26" s="25">
        <v>-68.900000000000006</v>
      </c>
      <c r="J26" s="25">
        <v>-20.010000000000002</v>
      </c>
      <c r="K26" s="25">
        <v>0</v>
      </c>
      <c r="L26" s="25">
        <v>-24.92</v>
      </c>
      <c r="M26" s="25">
        <v>-40.47</v>
      </c>
    </row>
    <row r="27" spans="1:13" ht="15.6" x14ac:dyDescent="0.3">
      <c r="A27" s="5" t="s">
        <v>136</v>
      </c>
      <c r="B27" s="29">
        <v>1.76</v>
      </c>
      <c r="C27" s="29">
        <v>1.01</v>
      </c>
      <c r="D27" s="29">
        <v>0</v>
      </c>
      <c r="E27" s="29">
        <v>10.6</v>
      </c>
      <c r="F27" s="29">
        <v>0.92</v>
      </c>
      <c r="H27" s="27" t="s">
        <v>137</v>
      </c>
      <c r="I27" s="26">
        <v>1314.56</v>
      </c>
      <c r="J27" s="26">
        <v>978.21</v>
      </c>
      <c r="K27" s="26">
        <v>808.87</v>
      </c>
      <c r="L27" s="26">
        <v>869.39</v>
      </c>
      <c r="M27" s="26">
        <f>SUM(M24:M26)</f>
        <v>685.77</v>
      </c>
    </row>
    <row r="28" spans="1:13" ht="15.6" x14ac:dyDescent="0.3">
      <c r="A28" s="27" t="s">
        <v>137</v>
      </c>
      <c r="B28" s="30">
        <v>615.95000000000005</v>
      </c>
      <c r="C28" s="30">
        <v>356.61</v>
      </c>
      <c r="D28" s="30">
        <v>186.22</v>
      </c>
      <c r="E28" s="30">
        <f>SUM(E25:E27)</f>
        <v>150.35</v>
      </c>
      <c r="F28" s="30">
        <f>SUM(F25:F27)</f>
        <v>351.67</v>
      </c>
      <c r="H28" s="27" t="s">
        <v>138</v>
      </c>
      <c r="I28" s="26">
        <v>4020</v>
      </c>
      <c r="J28" s="26">
        <v>3006.67</v>
      </c>
      <c r="K28" s="26">
        <v>2348.9299999999998</v>
      </c>
      <c r="L28" s="26">
        <v>2065.42</v>
      </c>
      <c r="M28" s="26">
        <f>M22-M27</f>
        <v>1792.6299999999978</v>
      </c>
    </row>
    <row r="29" spans="1:13" ht="15.6" x14ac:dyDescent="0.3">
      <c r="A29" s="15" t="s">
        <v>138</v>
      </c>
      <c r="B29" s="38">
        <v>1845.43</v>
      </c>
      <c r="C29" s="38">
        <v>1072.72</v>
      </c>
      <c r="D29" s="38">
        <v>586.47</v>
      </c>
      <c r="E29" s="38">
        <f>E23-E28</f>
        <v>453.47</v>
      </c>
      <c r="F29" s="38">
        <f>F23-F28</f>
        <v>383.69999999999953</v>
      </c>
      <c r="H29" s="27" t="s">
        <v>139</v>
      </c>
      <c r="I29" s="26">
        <v>4020</v>
      </c>
      <c r="J29" s="26">
        <v>3006.67</v>
      </c>
      <c r="K29" s="26">
        <v>2348.9299999999998</v>
      </c>
      <c r="L29" s="26">
        <v>2065.42</v>
      </c>
      <c r="M29" s="26">
        <f>M28</f>
        <v>1792.6299999999978</v>
      </c>
    </row>
    <row r="30" spans="1:13" ht="15.6" x14ac:dyDescent="0.3">
      <c r="A30" s="5" t="s">
        <v>139</v>
      </c>
      <c r="B30" s="29">
        <v>1845.43</v>
      </c>
      <c r="C30" s="29">
        <v>1072.72</v>
      </c>
      <c r="D30" s="29">
        <v>586.47</v>
      </c>
      <c r="E30" s="29">
        <f>E29+60.39</f>
        <v>513.86</v>
      </c>
      <c r="F30" s="29">
        <f>F29+93.37</f>
        <v>477.06999999999954</v>
      </c>
      <c r="H30" s="27" t="s">
        <v>19</v>
      </c>
      <c r="I30" s="26">
        <v>4020</v>
      </c>
      <c r="J30" s="26">
        <v>3006.67</v>
      </c>
      <c r="K30" s="26">
        <v>2348.9299999999998</v>
      </c>
      <c r="L30" s="26">
        <v>2065.42</v>
      </c>
      <c r="M30" s="26">
        <f>M29+32.09</f>
        <v>1824.7199999999978</v>
      </c>
    </row>
    <row r="31" spans="1:13" ht="15.6" x14ac:dyDescent="0.3">
      <c r="A31" s="27" t="s">
        <v>19</v>
      </c>
      <c r="B31" s="30">
        <v>1845.43</v>
      </c>
      <c r="C31" s="30">
        <v>1072.72</v>
      </c>
      <c r="D31" s="30">
        <v>586.47</v>
      </c>
      <c r="E31" s="30">
        <f>E30</f>
        <v>513.86</v>
      </c>
      <c r="F31" s="30">
        <f>F30</f>
        <v>477.06999999999954</v>
      </c>
      <c r="H31" s="5"/>
      <c r="I31" s="25"/>
      <c r="J31" s="25"/>
      <c r="K31" s="25"/>
      <c r="L31" s="25"/>
      <c r="M31" s="25"/>
    </row>
    <row r="32" spans="1:13" ht="15.6" x14ac:dyDescent="0.3">
      <c r="A32" s="5"/>
      <c r="B32" s="5"/>
      <c r="C32" s="5"/>
      <c r="D32" s="5"/>
      <c r="E32" s="5"/>
      <c r="F32" s="5"/>
      <c r="H32" s="106" t="s">
        <v>140</v>
      </c>
      <c r="I32" s="107"/>
      <c r="J32" s="107"/>
      <c r="K32" s="107"/>
      <c r="L32" s="107"/>
      <c r="M32" s="108"/>
    </row>
    <row r="33" spans="1:13" ht="15.6" x14ac:dyDescent="0.3">
      <c r="A33" s="98" t="s">
        <v>140</v>
      </c>
      <c r="B33" s="99"/>
      <c r="C33" s="99"/>
      <c r="D33" s="99"/>
      <c r="E33" s="99"/>
      <c r="F33" s="100"/>
      <c r="H33" s="106" t="s">
        <v>141</v>
      </c>
      <c r="I33" s="107"/>
      <c r="J33" s="107"/>
      <c r="K33" s="107"/>
      <c r="L33" s="107"/>
      <c r="M33" s="108"/>
    </row>
    <row r="34" spans="1:13" x14ac:dyDescent="0.3">
      <c r="A34" s="98" t="s">
        <v>141</v>
      </c>
      <c r="B34" s="99"/>
      <c r="C34" s="99"/>
      <c r="D34" s="99"/>
      <c r="E34" s="99"/>
      <c r="F34" s="100"/>
      <c r="H34" s="5" t="s">
        <v>142</v>
      </c>
      <c r="I34" s="25">
        <v>5.5</v>
      </c>
      <c r="J34" s="25">
        <v>4.1100000000000003</v>
      </c>
      <c r="K34" s="25">
        <v>9.64</v>
      </c>
      <c r="L34" s="25">
        <v>8.48</v>
      </c>
      <c r="M34" s="25">
        <v>7.49</v>
      </c>
    </row>
    <row r="35" spans="1:13" x14ac:dyDescent="0.3">
      <c r="A35" s="5" t="s">
        <v>142</v>
      </c>
      <c r="B35" s="29">
        <v>91.5</v>
      </c>
      <c r="C35" s="29">
        <v>53.19</v>
      </c>
      <c r="D35" s="29">
        <v>29.08</v>
      </c>
      <c r="E35" s="29">
        <v>23.78</v>
      </c>
      <c r="F35" s="29">
        <v>21.36</v>
      </c>
      <c r="H35" s="5" t="s">
        <v>143</v>
      </c>
      <c r="I35" s="25">
        <v>5.5</v>
      </c>
      <c r="J35" s="25">
        <v>4.1100000000000003</v>
      </c>
      <c r="K35" s="25">
        <v>9.64</v>
      </c>
      <c r="L35" s="25">
        <v>8.48</v>
      </c>
      <c r="M35" s="25">
        <v>7.49</v>
      </c>
    </row>
    <row r="36" spans="1:13" x14ac:dyDescent="0.3">
      <c r="A36" s="5" t="s">
        <v>143</v>
      </c>
      <c r="B36" s="29">
        <v>91.5</v>
      </c>
      <c r="C36" s="29">
        <v>53.19</v>
      </c>
      <c r="D36" s="29">
        <v>29.08</v>
      </c>
      <c r="E36" s="29">
        <v>23.78</v>
      </c>
      <c r="F36" s="29">
        <v>21.36</v>
      </c>
    </row>
  </sheetData>
  <mergeCells count="12">
    <mergeCell ref="A33:F33"/>
    <mergeCell ref="A34:F34"/>
    <mergeCell ref="H32:M32"/>
    <mergeCell ref="H33:M33"/>
    <mergeCell ref="A2:A3"/>
    <mergeCell ref="A4:F4"/>
    <mergeCell ref="A11:F11"/>
    <mergeCell ref="A1:F1"/>
    <mergeCell ref="H1:M1"/>
    <mergeCell ref="H2:H3"/>
    <mergeCell ref="H4:M4"/>
    <mergeCell ref="H11:M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A337B-90DF-4D1D-A921-BF1B29C2EC37}">
  <dimension ref="A1:M60"/>
  <sheetViews>
    <sheetView topLeftCell="E10" workbookViewId="0">
      <selection activeCell="I29" sqref="I29"/>
    </sheetView>
  </sheetViews>
  <sheetFormatPr defaultRowHeight="14.4" x14ac:dyDescent="0.3"/>
  <cols>
    <col min="1" max="1" width="60.109375" bestFit="1" customWidth="1"/>
    <col min="2" max="6" width="9.5546875" bestFit="1" customWidth="1"/>
    <col min="8" max="8" width="53.88671875" style="2" bestFit="1" customWidth="1"/>
    <col min="9" max="13" width="9.5546875" style="2" bestFit="1" customWidth="1"/>
  </cols>
  <sheetData>
    <row r="1" spans="1:13" s="39" customFormat="1" ht="46.2" customHeight="1" x14ac:dyDescent="0.3">
      <c r="A1" s="103" t="s">
        <v>147</v>
      </c>
      <c r="B1" s="103"/>
      <c r="C1" s="103"/>
      <c r="D1" s="103"/>
      <c r="E1" s="103"/>
      <c r="F1" s="103"/>
      <c r="H1" s="103" t="s">
        <v>75</v>
      </c>
      <c r="I1" s="103"/>
      <c r="J1" s="103"/>
      <c r="K1" s="103"/>
      <c r="L1" s="103"/>
      <c r="M1" s="103"/>
    </row>
    <row r="2" spans="1:13" x14ac:dyDescent="0.3">
      <c r="A2" s="15" t="s">
        <v>17</v>
      </c>
      <c r="B2" s="32" t="s">
        <v>113</v>
      </c>
      <c r="C2" s="32" t="s">
        <v>112</v>
      </c>
      <c r="D2" s="32" t="s">
        <v>111</v>
      </c>
      <c r="E2" s="32" t="s">
        <v>110</v>
      </c>
      <c r="F2" s="32" t="s">
        <v>109</v>
      </c>
      <c r="H2" s="36" t="s">
        <v>17</v>
      </c>
      <c r="I2" s="32" t="s">
        <v>113</v>
      </c>
      <c r="J2" s="32" t="s">
        <v>112</v>
      </c>
      <c r="K2" s="32" t="s">
        <v>111</v>
      </c>
      <c r="L2" s="32" t="s">
        <v>110</v>
      </c>
      <c r="M2" s="32" t="s">
        <v>109</v>
      </c>
    </row>
    <row r="3" spans="1:13" x14ac:dyDescent="0.3">
      <c r="A3" s="15" t="s">
        <v>148</v>
      </c>
      <c r="B3" s="15"/>
      <c r="C3" s="15"/>
      <c r="D3" s="15"/>
      <c r="E3" s="15"/>
      <c r="F3" s="15"/>
      <c r="H3" s="37" t="s">
        <v>148</v>
      </c>
      <c r="I3" s="33"/>
      <c r="J3" s="33"/>
      <c r="K3" s="33"/>
      <c r="L3" s="33"/>
      <c r="M3" s="33"/>
    </row>
    <row r="4" spans="1:13" x14ac:dyDescent="0.3">
      <c r="A4" s="5" t="s">
        <v>149</v>
      </c>
      <c r="B4" s="25">
        <v>2510.4899999999998</v>
      </c>
      <c r="C4" s="25">
        <v>2972.2</v>
      </c>
      <c r="D4" s="25">
        <v>3212</v>
      </c>
      <c r="E4" s="25">
        <v>3968.8</v>
      </c>
      <c r="F4" s="25">
        <v>5308.34</v>
      </c>
      <c r="H4" s="36" t="s">
        <v>196</v>
      </c>
      <c r="I4" s="38">
        <v>726.78</v>
      </c>
      <c r="J4" s="38">
        <v>603.82000000000005</v>
      </c>
      <c r="K4" s="38">
        <v>749.33</v>
      </c>
      <c r="L4" s="38">
        <v>1402.68</v>
      </c>
      <c r="M4" s="38">
        <v>2424.83</v>
      </c>
    </row>
    <row r="5" spans="1:13" x14ac:dyDescent="0.3">
      <c r="A5" s="15" t="s">
        <v>150</v>
      </c>
      <c r="B5" s="25"/>
      <c r="C5" s="25"/>
      <c r="D5" s="25"/>
      <c r="E5" s="25"/>
      <c r="F5" s="25"/>
      <c r="H5" s="33" t="s">
        <v>197</v>
      </c>
      <c r="I5" s="29"/>
      <c r="J5" s="29"/>
      <c r="K5" s="29"/>
      <c r="L5" s="29"/>
      <c r="M5" s="29"/>
    </row>
    <row r="6" spans="1:13" x14ac:dyDescent="0.3">
      <c r="A6" s="33" t="s">
        <v>151</v>
      </c>
      <c r="B6" s="29">
        <v>371.86</v>
      </c>
      <c r="C6" s="29">
        <v>387.32</v>
      </c>
      <c r="D6" s="29">
        <v>401.13</v>
      </c>
      <c r="E6" s="29">
        <v>428.82</v>
      </c>
      <c r="F6" s="29">
        <v>443.2</v>
      </c>
      <c r="H6" s="36" t="s">
        <v>198</v>
      </c>
      <c r="I6" s="29"/>
      <c r="J6" s="29"/>
      <c r="K6" s="29"/>
      <c r="L6" s="29"/>
      <c r="M6" s="29"/>
    </row>
    <row r="7" spans="1:13" x14ac:dyDescent="0.3">
      <c r="A7" s="5" t="s">
        <v>152</v>
      </c>
      <c r="B7" s="25">
        <v>0</v>
      </c>
      <c r="C7" s="25">
        <v>0</v>
      </c>
      <c r="D7" s="25">
        <v>0</v>
      </c>
      <c r="E7" s="25">
        <v>-2.6</v>
      </c>
      <c r="F7" s="25">
        <v>19.13</v>
      </c>
      <c r="H7" s="33" t="s">
        <v>199</v>
      </c>
      <c r="I7" s="29">
        <v>71.14</v>
      </c>
      <c r="J7" s="29">
        <v>71.08</v>
      </c>
      <c r="K7" s="29">
        <v>74.510000000000005</v>
      </c>
      <c r="L7" s="29">
        <v>75.58</v>
      </c>
      <c r="M7" s="29">
        <v>83.13</v>
      </c>
    </row>
    <row r="8" spans="1:13" x14ac:dyDescent="0.3">
      <c r="A8" s="5" t="s">
        <v>153</v>
      </c>
      <c r="B8" s="25">
        <v>0</v>
      </c>
      <c r="C8" s="25">
        <v>0</v>
      </c>
      <c r="D8" s="25">
        <v>0</v>
      </c>
      <c r="E8" s="25">
        <v>32.15</v>
      </c>
      <c r="F8" s="25">
        <v>168.52</v>
      </c>
      <c r="H8" s="33" t="s">
        <v>165</v>
      </c>
      <c r="I8" s="29">
        <v>9.26</v>
      </c>
      <c r="J8" s="29">
        <v>8.36</v>
      </c>
      <c r="K8" s="29">
        <v>7.16</v>
      </c>
      <c r="L8" s="29">
        <v>6.37</v>
      </c>
      <c r="M8" s="29">
        <v>5.12</v>
      </c>
    </row>
    <row r="9" spans="1:13" x14ac:dyDescent="0.3">
      <c r="A9" s="5" t="s">
        <v>154</v>
      </c>
      <c r="B9" s="25">
        <v>0</v>
      </c>
      <c r="C9" s="25">
        <v>0</v>
      </c>
      <c r="D9" s="25">
        <v>0</v>
      </c>
      <c r="E9" s="25">
        <v>18.440000000000001</v>
      </c>
      <c r="F9" s="25">
        <v>31.32</v>
      </c>
      <c r="H9" s="33" t="s">
        <v>200</v>
      </c>
      <c r="I9" s="29">
        <v>0.15</v>
      </c>
      <c r="J9" s="29">
        <v>0.15</v>
      </c>
      <c r="K9" s="29">
        <v>0.15</v>
      </c>
      <c r="L9" s="29">
        <v>0.15</v>
      </c>
      <c r="M9" s="29">
        <v>0.15</v>
      </c>
    </row>
    <row r="10" spans="1:13" x14ac:dyDescent="0.3">
      <c r="A10" s="5"/>
      <c r="B10" s="25"/>
      <c r="C10" s="25"/>
      <c r="D10" s="25"/>
      <c r="E10" s="25"/>
      <c r="F10" s="25"/>
      <c r="H10" s="33" t="s">
        <v>233</v>
      </c>
      <c r="I10" s="29">
        <v>0</v>
      </c>
      <c r="J10" s="29">
        <v>0</v>
      </c>
      <c r="K10" s="29">
        <v>0</v>
      </c>
      <c r="L10" s="29">
        <v>-0.1</v>
      </c>
      <c r="M10" s="29">
        <v>0.02</v>
      </c>
    </row>
    <row r="11" spans="1:13" x14ac:dyDescent="0.3">
      <c r="A11" s="5" t="s">
        <v>155</v>
      </c>
      <c r="B11" s="25">
        <v>0</v>
      </c>
      <c r="C11" s="25">
        <v>0</v>
      </c>
      <c r="D11" s="25">
        <v>0</v>
      </c>
      <c r="E11" s="25">
        <v>177.21</v>
      </c>
      <c r="F11" s="25">
        <v>72.349999999999994</v>
      </c>
      <c r="H11" s="36" t="s">
        <v>201</v>
      </c>
      <c r="I11" s="29"/>
      <c r="J11" s="29"/>
      <c r="K11" s="29"/>
      <c r="L11" s="29"/>
      <c r="M11" s="29"/>
    </row>
    <row r="12" spans="1:13" ht="28.8" x14ac:dyDescent="0.3">
      <c r="A12" s="34" t="s">
        <v>156</v>
      </c>
      <c r="B12" s="25">
        <v>0</v>
      </c>
      <c r="C12" s="25">
        <v>0</v>
      </c>
      <c r="D12" s="25">
        <v>0</v>
      </c>
      <c r="E12" s="25">
        <v>375.36</v>
      </c>
      <c r="F12" s="25">
        <v>831.18</v>
      </c>
      <c r="H12" s="33" t="s">
        <v>202</v>
      </c>
      <c r="I12" s="29">
        <v>2.0299999999999998</v>
      </c>
      <c r="J12" s="29">
        <v>0</v>
      </c>
      <c r="K12" s="29">
        <v>2.56</v>
      </c>
      <c r="L12" s="29">
        <v>-0.9</v>
      </c>
      <c r="M12" s="29">
        <v>-1.48</v>
      </c>
    </row>
    <row r="13" spans="1:13" x14ac:dyDescent="0.3">
      <c r="A13" s="5" t="s">
        <v>157</v>
      </c>
      <c r="B13" s="25">
        <v>0</v>
      </c>
      <c r="C13" s="25">
        <v>72.13</v>
      </c>
      <c r="D13" s="25">
        <v>0</v>
      </c>
      <c r="E13" s="25">
        <v>5.44</v>
      </c>
      <c r="F13" s="25">
        <v>96.66</v>
      </c>
      <c r="H13" s="33" t="s">
        <v>163</v>
      </c>
      <c r="I13" s="29">
        <v>-527.78</v>
      </c>
      <c r="J13" s="29">
        <v>-368.24</v>
      </c>
      <c r="K13" s="29">
        <v>-347.48</v>
      </c>
      <c r="L13" s="29">
        <v>-601.77</v>
      </c>
      <c r="M13" s="29">
        <v>-994.41</v>
      </c>
    </row>
    <row r="14" spans="1:13" x14ac:dyDescent="0.3">
      <c r="A14" s="5" t="s">
        <v>158</v>
      </c>
      <c r="B14" s="25">
        <v>0</v>
      </c>
      <c r="C14" s="25">
        <v>0.75</v>
      </c>
      <c r="D14" s="25">
        <v>0</v>
      </c>
      <c r="E14" s="25">
        <v>19.5</v>
      </c>
      <c r="F14" s="25">
        <v>0</v>
      </c>
      <c r="H14" s="33" t="s">
        <v>203</v>
      </c>
      <c r="I14" s="29">
        <v>-0.14000000000000001</v>
      </c>
      <c r="J14" s="29">
        <v>-0.09</v>
      </c>
      <c r="K14" s="29">
        <v>-7.0000000000000007E-2</v>
      </c>
      <c r="L14" s="29">
        <v>-0.05</v>
      </c>
      <c r="M14" s="29">
        <v>-0.04</v>
      </c>
    </row>
    <row r="15" spans="1:13" x14ac:dyDescent="0.3">
      <c r="A15" s="5" t="s">
        <v>159</v>
      </c>
      <c r="B15" s="25">
        <v>0</v>
      </c>
      <c r="C15" s="25">
        <v>14.68</v>
      </c>
      <c r="D15" s="25">
        <v>0</v>
      </c>
      <c r="E15" s="25">
        <v>0</v>
      </c>
      <c r="F15" s="25">
        <v>0</v>
      </c>
      <c r="H15" s="33" t="s">
        <v>204</v>
      </c>
      <c r="I15" s="29">
        <v>-8.07</v>
      </c>
      <c r="J15" s="29">
        <v>-8.0399999999999991</v>
      </c>
      <c r="K15" s="29">
        <v>-7.63</v>
      </c>
      <c r="L15" s="29">
        <v>-6.87</v>
      </c>
      <c r="M15" s="29">
        <v>-6.87</v>
      </c>
    </row>
    <row r="16" spans="1:13" x14ac:dyDescent="0.3">
      <c r="A16" s="5" t="s">
        <v>160</v>
      </c>
      <c r="B16" s="25">
        <v>12.47</v>
      </c>
      <c r="C16" s="25">
        <v>0</v>
      </c>
      <c r="D16" s="25">
        <v>0</v>
      </c>
      <c r="E16" s="25">
        <v>41.8</v>
      </c>
      <c r="F16" s="25">
        <v>0.02</v>
      </c>
      <c r="H16" s="33" t="s">
        <v>205</v>
      </c>
      <c r="I16" s="29">
        <v>-3.74</v>
      </c>
      <c r="J16" s="29">
        <v>-3.71</v>
      </c>
      <c r="K16" s="29">
        <v>-3.98</v>
      </c>
      <c r="L16" s="29">
        <v>-4.74</v>
      </c>
      <c r="M16" s="29">
        <v>-4.33</v>
      </c>
    </row>
    <row r="17" spans="1:13" x14ac:dyDescent="0.3">
      <c r="A17" s="5" t="s">
        <v>161</v>
      </c>
      <c r="B17" s="25">
        <v>31.17</v>
      </c>
      <c r="C17" s="25">
        <v>47.11</v>
      </c>
      <c r="D17" s="25">
        <v>53.48</v>
      </c>
      <c r="E17" s="25">
        <v>0</v>
      </c>
      <c r="F17" s="25">
        <v>0</v>
      </c>
      <c r="H17" s="33" t="s">
        <v>206</v>
      </c>
      <c r="I17" s="29">
        <v>-0.19</v>
      </c>
      <c r="J17" s="29">
        <v>-0.2</v>
      </c>
      <c r="K17" s="29">
        <v>-0.22</v>
      </c>
      <c r="L17" s="29">
        <v>-0.23</v>
      </c>
      <c r="M17" s="29">
        <v>-0.25</v>
      </c>
    </row>
    <row r="18" spans="1:13" x14ac:dyDescent="0.3">
      <c r="A18" s="5" t="s">
        <v>162</v>
      </c>
      <c r="B18" s="25">
        <v>-19.98</v>
      </c>
      <c r="C18" s="25">
        <v>-17.36</v>
      </c>
      <c r="D18" s="25">
        <v>-17.13</v>
      </c>
      <c r="E18" s="25">
        <v>-16.55</v>
      </c>
      <c r="F18" s="25">
        <v>-16.57</v>
      </c>
      <c r="H18" s="36" t="s">
        <v>207</v>
      </c>
      <c r="I18" s="38">
        <f>SUM(I4:I17)</f>
        <v>269.43999999999994</v>
      </c>
      <c r="J18" s="38">
        <f t="shared" ref="J18:M18" si="0">SUM(J4:J17)</f>
        <v>303.13000000000011</v>
      </c>
      <c r="K18" s="38">
        <f t="shared" si="0"/>
        <v>474.32999999999987</v>
      </c>
      <c r="L18" s="38">
        <f t="shared" si="0"/>
        <v>870.12</v>
      </c>
      <c r="M18" s="38">
        <f t="shared" si="0"/>
        <v>1505.8700000000003</v>
      </c>
    </row>
    <row r="19" spans="1:13" x14ac:dyDescent="0.3">
      <c r="A19" s="5" t="s">
        <v>163</v>
      </c>
      <c r="B19" s="25">
        <v>-70.58</v>
      </c>
      <c r="C19" s="25">
        <v>-60.5</v>
      </c>
      <c r="D19" s="25">
        <v>-176.45</v>
      </c>
      <c r="E19" s="25">
        <v>-260.88</v>
      </c>
      <c r="F19" s="25">
        <v>-571.95000000000005</v>
      </c>
      <c r="H19" s="36" t="s">
        <v>208</v>
      </c>
      <c r="I19" s="29"/>
      <c r="J19" s="29"/>
      <c r="K19" s="29"/>
      <c r="L19" s="29"/>
      <c r="M19" s="29"/>
    </row>
    <row r="20" spans="1:13" x14ac:dyDescent="0.3">
      <c r="A20" s="5" t="s">
        <v>164</v>
      </c>
      <c r="B20" s="25">
        <v>0.28000000000000003</v>
      </c>
      <c r="C20" s="25">
        <v>0.24</v>
      </c>
      <c r="D20" s="25">
        <v>3.06</v>
      </c>
      <c r="E20" s="25">
        <v>3.7</v>
      </c>
      <c r="F20" s="25">
        <v>4.21</v>
      </c>
      <c r="H20" s="33" t="s">
        <v>209</v>
      </c>
      <c r="I20" s="29">
        <v>-832.4</v>
      </c>
      <c r="J20" s="29">
        <v>-1265.92</v>
      </c>
      <c r="K20" s="29">
        <v>-1811.49</v>
      </c>
      <c r="L20" s="29">
        <v>343.24</v>
      </c>
      <c r="M20" s="29">
        <v>1643.49</v>
      </c>
    </row>
    <row r="21" spans="1:13" x14ac:dyDescent="0.3">
      <c r="A21" s="5" t="s">
        <v>165</v>
      </c>
      <c r="B21" s="25">
        <v>3.32</v>
      </c>
      <c r="C21" s="25">
        <v>6.13</v>
      </c>
      <c r="D21" s="25">
        <v>1.99</v>
      </c>
      <c r="E21" s="25">
        <v>11.25</v>
      </c>
      <c r="F21" s="25">
        <v>2.93</v>
      </c>
      <c r="H21" s="33" t="s">
        <v>210</v>
      </c>
      <c r="I21" s="29">
        <v>46.11</v>
      </c>
      <c r="J21" s="29">
        <v>470.75</v>
      </c>
      <c r="K21" s="29">
        <v>-37.56</v>
      </c>
      <c r="L21" s="29">
        <v>7.76</v>
      </c>
      <c r="M21" s="29">
        <v>-859.65</v>
      </c>
    </row>
    <row r="22" spans="1:13" x14ac:dyDescent="0.3">
      <c r="A22" s="5" t="s">
        <v>166</v>
      </c>
      <c r="B22" s="25">
        <v>-0.21</v>
      </c>
      <c r="C22" s="25">
        <v>-1.21</v>
      </c>
      <c r="D22" s="25">
        <v>-0.45</v>
      </c>
      <c r="E22" s="25">
        <v>-1.52</v>
      </c>
      <c r="F22" s="25">
        <v>-7.02</v>
      </c>
      <c r="H22" s="33" t="s">
        <v>211</v>
      </c>
      <c r="I22" s="29">
        <v>387.03</v>
      </c>
      <c r="J22" s="29">
        <v>-3136.06</v>
      </c>
      <c r="K22" s="29">
        <v>-2489.61</v>
      </c>
      <c r="L22" s="29">
        <v>1808.26</v>
      </c>
      <c r="M22" s="29">
        <v>565.9</v>
      </c>
    </row>
    <row r="23" spans="1:13" x14ac:dyDescent="0.3">
      <c r="A23" s="15" t="s">
        <v>167</v>
      </c>
      <c r="B23" s="35">
        <f>SUM(B4:B22)</f>
        <v>2838.82</v>
      </c>
      <c r="C23" s="35">
        <f>SUM(C4:C22)</f>
        <v>3421.49</v>
      </c>
      <c r="D23" s="35">
        <f>SUM(D4:D22)</f>
        <v>3477.63</v>
      </c>
      <c r="E23" s="35">
        <f>SUM(E4:E22)</f>
        <v>4800.9199999999973</v>
      </c>
      <c r="F23" s="35">
        <f>SUM(F4:F22)</f>
        <v>6382.3200000000015</v>
      </c>
      <c r="H23" s="33" t="s">
        <v>212</v>
      </c>
      <c r="I23" s="29">
        <v>1829.63</v>
      </c>
      <c r="J23" s="29">
        <v>1106.3399999999999</v>
      </c>
      <c r="K23" s="29">
        <v>-528.66</v>
      </c>
      <c r="L23" s="29">
        <v>-1801.94</v>
      </c>
      <c r="M23" s="29">
        <v>24.44</v>
      </c>
    </row>
    <row r="24" spans="1:13" x14ac:dyDescent="0.3">
      <c r="A24" s="15" t="s">
        <v>168</v>
      </c>
      <c r="B24" s="25"/>
      <c r="C24" s="25"/>
      <c r="D24" s="25"/>
      <c r="E24" s="25"/>
      <c r="F24" s="25"/>
      <c r="H24" s="33" t="s">
        <v>213</v>
      </c>
      <c r="I24" s="29">
        <v>-1587.2</v>
      </c>
      <c r="J24" s="29">
        <v>2746.65</v>
      </c>
      <c r="K24" s="29">
        <v>4532.8100000000004</v>
      </c>
      <c r="L24" s="29">
        <v>600.30999999999995</v>
      </c>
      <c r="M24" s="29">
        <v>-1519.14</v>
      </c>
    </row>
    <row r="25" spans="1:13" x14ac:dyDescent="0.3">
      <c r="A25" s="5" t="s">
        <v>102</v>
      </c>
      <c r="B25" s="25">
        <v>-1350.35</v>
      </c>
      <c r="C25" s="25">
        <v>162.03</v>
      </c>
      <c r="D25" s="25">
        <v>453.9</v>
      </c>
      <c r="E25" s="25">
        <v>-1300.75</v>
      </c>
      <c r="F25" s="25">
        <v>-1190.08</v>
      </c>
      <c r="H25" s="36" t="s">
        <v>214</v>
      </c>
      <c r="I25" s="38">
        <f>I18+SUM(I20:I24)</f>
        <v>112.61000000000001</v>
      </c>
      <c r="J25" s="38">
        <f t="shared" ref="J25:M25" si="1">J18+SUM(J20:J24)</f>
        <v>224.88999999999987</v>
      </c>
      <c r="K25" s="38">
        <f t="shared" si="1"/>
        <v>139.82000000000056</v>
      </c>
      <c r="L25" s="38">
        <f t="shared" si="1"/>
        <v>1827.75</v>
      </c>
      <c r="M25" s="38">
        <f t="shared" si="1"/>
        <v>1360.9100000000003</v>
      </c>
    </row>
    <row r="26" spans="1:13" x14ac:dyDescent="0.3">
      <c r="A26" s="5" t="s">
        <v>37</v>
      </c>
      <c r="B26" s="25">
        <v>-5.97</v>
      </c>
      <c r="C26" s="25">
        <v>40.79</v>
      </c>
      <c r="D26" s="25">
        <v>0.12</v>
      </c>
      <c r="E26" s="25">
        <v>0.48</v>
      </c>
      <c r="F26" s="25">
        <v>-0.16</v>
      </c>
      <c r="H26" s="36" t="s">
        <v>215</v>
      </c>
      <c r="I26" s="38">
        <v>-208.15</v>
      </c>
      <c r="J26" s="38">
        <v>-156.68</v>
      </c>
      <c r="K26" s="38">
        <v>-302.45</v>
      </c>
      <c r="L26" s="38">
        <v>-312.14999999999998</v>
      </c>
      <c r="M26" s="38">
        <v>-677.16</v>
      </c>
    </row>
    <row r="27" spans="1:13" x14ac:dyDescent="0.3">
      <c r="A27" s="5" t="s">
        <v>38</v>
      </c>
      <c r="B27" s="25">
        <v>4.21</v>
      </c>
      <c r="C27" s="25">
        <v>-27.13</v>
      </c>
      <c r="D27" s="25">
        <v>-34.56</v>
      </c>
      <c r="E27" s="25">
        <v>-111.37</v>
      </c>
      <c r="F27" s="25">
        <v>45.65</v>
      </c>
      <c r="H27" s="36" t="s">
        <v>216</v>
      </c>
      <c r="I27" s="38">
        <f>I25+I26</f>
        <v>-95.539999999999992</v>
      </c>
      <c r="J27" s="38">
        <f t="shared" ref="J27:M27" si="2">J25+J26</f>
        <v>68.209999999999866</v>
      </c>
      <c r="K27" s="38">
        <f t="shared" si="2"/>
        <v>-162.62999999999943</v>
      </c>
      <c r="L27" s="38">
        <f t="shared" si="2"/>
        <v>1515.6</v>
      </c>
      <c r="M27" s="38">
        <f t="shared" si="2"/>
        <v>683.75000000000034</v>
      </c>
    </row>
    <row r="28" spans="1:13" x14ac:dyDescent="0.3">
      <c r="A28" s="5" t="s">
        <v>169</v>
      </c>
      <c r="B28" s="25">
        <v>-1365.28</v>
      </c>
      <c r="C28" s="25">
        <v>-902.72</v>
      </c>
      <c r="D28" s="25">
        <v>-1154.5899999999999</v>
      </c>
      <c r="E28" s="25">
        <v>140.44</v>
      </c>
      <c r="F28" s="25">
        <v>592.54999999999995</v>
      </c>
      <c r="H28" s="36" t="s">
        <v>178</v>
      </c>
      <c r="I28" s="29"/>
      <c r="J28" s="29"/>
      <c r="K28" s="29"/>
      <c r="L28" s="29"/>
      <c r="M28" s="29"/>
    </row>
    <row r="29" spans="1:13" x14ac:dyDescent="0.3">
      <c r="A29" s="5" t="s">
        <v>40</v>
      </c>
      <c r="B29" s="25">
        <v>473.64</v>
      </c>
      <c r="C29" s="25">
        <v>-996.51</v>
      </c>
      <c r="D29" s="25">
        <v>-611.88</v>
      </c>
      <c r="E29" s="25">
        <v>-1011.88</v>
      </c>
      <c r="F29" s="25">
        <v>-1065.33</v>
      </c>
      <c r="H29" s="33" t="s">
        <v>217</v>
      </c>
      <c r="I29" s="29">
        <v>-109.5</v>
      </c>
      <c r="J29" s="29">
        <v>-41.9</v>
      </c>
      <c r="K29" s="29">
        <v>-32.01</v>
      </c>
      <c r="L29" s="29">
        <v>-135.57</v>
      </c>
      <c r="M29" s="29">
        <v>103.03</v>
      </c>
    </row>
    <row r="30" spans="1:13" x14ac:dyDescent="0.3">
      <c r="A30" s="5" t="s">
        <v>58</v>
      </c>
      <c r="B30" s="25">
        <v>1016.02</v>
      </c>
      <c r="C30" s="25">
        <v>848.86</v>
      </c>
      <c r="D30" s="25">
        <v>70.45</v>
      </c>
      <c r="E30" s="25">
        <v>-38.89</v>
      </c>
      <c r="F30" s="25">
        <v>375.56</v>
      </c>
      <c r="H30" s="33" t="s">
        <v>218</v>
      </c>
      <c r="I30" s="29">
        <v>8.81</v>
      </c>
      <c r="J30" s="29">
        <v>-0.19</v>
      </c>
      <c r="K30" s="29">
        <v>-6.79</v>
      </c>
      <c r="L30" s="29">
        <v>25.32</v>
      </c>
      <c r="M30" s="29">
        <v>-10.01</v>
      </c>
    </row>
    <row r="31" spans="1:13" x14ac:dyDescent="0.3">
      <c r="A31" s="5" t="s">
        <v>59</v>
      </c>
      <c r="B31" s="25">
        <v>-99.25</v>
      </c>
      <c r="C31" s="25">
        <v>78.91</v>
      </c>
      <c r="D31" s="25">
        <v>60.93</v>
      </c>
      <c r="E31" s="25">
        <v>327.16000000000003</v>
      </c>
      <c r="F31" s="25">
        <v>33.51</v>
      </c>
      <c r="H31" s="33" t="s">
        <v>219</v>
      </c>
      <c r="I31" s="29">
        <v>0.17</v>
      </c>
      <c r="J31" s="29">
        <v>0.16</v>
      </c>
      <c r="K31" s="29">
        <v>1.27</v>
      </c>
      <c r="L31" s="29">
        <v>1.31</v>
      </c>
      <c r="M31" s="29">
        <v>1.66</v>
      </c>
    </row>
    <row r="32" spans="1:13" x14ac:dyDescent="0.3">
      <c r="A32" s="5" t="s">
        <v>170</v>
      </c>
      <c r="B32" s="25">
        <v>33.04</v>
      </c>
      <c r="C32" s="25">
        <v>146.5</v>
      </c>
      <c r="D32" s="25">
        <v>267.55</v>
      </c>
      <c r="E32" s="25">
        <v>-1029.4100000000001</v>
      </c>
      <c r="F32" s="25">
        <v>-86.94</v>
      </c>
      <c r="H32" s="33" t="s">
        <v>220</v>
      </c>
      <c r="I32" s="29">
        <v>-1.01</v>
      </c>
      <c r="J32" s="29">
        <v>1.03</v>
      </c>
      <c r="K32" s="29">
        <v>-2.39</v>
      </c>
      <c r="L32" s="29">
        <v>-5.26</v>
      </c>
      <c r="M32" s="29">
        <v>-431.17</v>
      </c>
    </row>
    <row r="33" spans="1:13" x14ac:dyDescent="0.3">
      <c r="A33" s="5" t="s">
        <v>171</v>
      </c>
      <c r="B33" s="25">
        <v>1758.8</v>
      </c>
      <c r="C33" s="25">
        <v>2977.06</v>
      </c>
      <c r="D33" s="25">
        <v>2606.11</v>
      </c>
      <c r="E33" s="25">
        <v>489.99</v>
      </c>
      <c r="F33" s="25">
        <v>990.78</v>
      </c>
      <c r="H33" s="33" t="s">
        <v>221</v>
      </c>
      <c r="I33" s="29">
        <v>527.78</v>
      </c>
      <c r="J33" s="29">
        <v>368.24</v>
      </c>
      <c r="K33" s="29">
        <v>347.48</v>
      </c>
      <c r="L33" s="29">
        <v>601.77</v>
      </c>
      <c r="M33" s="29">
        <v>994.41</v>
      </c>
    </row>
    <row r="34" spans="1:13" x14ac:dyDescent="0.3">
      <c r="A34" s="5" t="s">
        <v>172</v>
      </c>
      <c r="B34" s="25">
        <v>-159.03</v>
      </c>
      <c r="C34" s="25">
        <v>-122.99</v>
      </c>
      <c r="D34" s="25">
        <v>-124.15</v>
      </c>
      <c r="E34" s="25">
        <v>0</v>
      </c>
      <c r="F34" s="25">
        <v>0</v>
      </c>
      <c r="H34" s="33" t="s">
        <v>222</v>
      </c>
      <c r="I34" s="29">
        <v>31.33</v>
      </c>
      <c r="J34" s="29">
        <v>26.1</v>
      </c>
      <c r="K34" s="29">
        <v>23.36</v>
      </c>
      <c r="L34" s="29">
        <v>26.65</v>
      </c>
      <c r="M34" s="29">
        <v>36.549999999999997</v>
      </c>
    </row>
    <row r="35" spans="1:13" x14ac:dyDescent="0.3">
      <c r="A35" s="5"/>
      <c r="B35" s="25"/>
      <c r="C35" s="25"/>
      <c r="D35" s="25"/>
      <c r="E35" s="25"/>
      <c r="F35" s="25"/>
      <c r="H35" s="33" t="s">
        <v>234</v>
      </c>
      <c r="I35" s="29">
        <v>0</v>
      </c>
      <c r="J35" s="29">
        <v>0</v>
      </c>
      <c r="K35" s="29">
        <v>0</v>
      </c>
      <c r="L35" s="29">
        <v>-658</v>
      </c>
      <c r="M35" s="29">
        <v>731.85</v>
      </c>
    </row>
    <row r="36" spans="1:13" x14ac:dyDescent="0.3">
      <c r="A36" s="15" t="s">
        <v>173</v>
      </c>
      <c r="B36" s="35">
        <f>B23+SUM(B25:B34)</f>
        <v>3144.65</v>
      </c>
      <c r="C36" s="35">
        <f>C23+SUM(C25:C34)</f>
        <v>5626.29</v>
      </c>
      <c r="D36" s="35">
        <f>D23+SUM(D25:D34)</f>
        <v>5011.51</v>
      </c>
      <c r="E36" s="35">
        <f>E23+SUM(E25:E34)</f>
        <v>2266.6899999999978</v>
      </c>
      <c r="F36" s="35">
        <f>F23+SUM(F25:F34)</f>
        <v>6077.8600000000015</v>
      </c>
      <c r="H36" s="33" t="s">
        <v>223</v>
      </c>
      <c r="I36" s="29">
        <v>-3.86</v>
      </c>
      <c r="J36" s="29">
        <v>-5.19</v>
      </c>
      <c r="K36" s="29">
        <v>-4.5199999999999996</v>
      </c>
      <c r="L36" s="29">
        <v>-5.88</v>
      </c>
      <c r="M36" s="29">
        <v>-6.51</v>
      </c>
    </row>
    <row r="37" spans="1:13" x14ac:dyDescent="0.3">
      <c r="A37" s="5" t="s">
        <v>174</v>
      </c>
      <c r="B37" s="25">
        <v>-574.24</v>
      </c>
      <c r="C37" s="25">
        <v>-533.07000000000005</v>
      </c>
      <c r="D37" s="25">
        <v>-804.29</v>
      </c>
      <c r="E37" s="25">
        <v>-1067.33</v>
      </c>
      <c r="F37" s="25">
        <v>-1418.37</v>
      </c>
      <c r="H37" s="36" t="s">
        <v>224</v>
      </c>
      <c r="I37" s="38">
        <f>SUM(I29:I36)</f>
        <v>453.71999999999997</v>
      </c>
      <c r="J37" s="38">
        <f t="shared" ref="J37:M37" si="3">SUM(J29:J36)</f>
        <v>348.25000000000006</v>
      </c>
      <c r="K37" s="38">
        <f t="shared" si="3"/>
        <v>326.40000000000003</v>
      </c>
      <c r="L37" s="38">
        <f t="shared" si="3"/>
        <v>-149.65999999999997</v>
      </c>
      <c r="M37" s="38">
        <f t="shared" si="3"/>
        <v>1419.81</v>
      </c>
    </row>
    <row r="38" spans="1:13" x14ac:dyDescent="0.3">
      <c r="A38" s="15" t="s">
        <v>175</v>
      </c>
      <c r="B38" s="35">
        <f>B36+B37</f>
        <v>2570.41</v>
      </c>
      <c r="C38" s="35">
        <f>C36+C37</f>
        <v>5093.22</v>
      </c>
      <c r="D38" s="35">
        <f>D36+D37</f>
        <v>4207.22</v>
      </c>
      <c r="E38" s="35">
        <f>E36+E37</f>
        <v>1199.3599999999979</v>
      </c>
      <c r="F38" s="35">
        <f>F36+F37</f>
        <v>4659.4900000000016</v>
      </c>
      <c r="H38" s="36" t="s">
        <v>187</v>
      </c>
      <c r="I38" s="29"/>
      <c r="J38" s="29"/>
      <c r="K38" s="29"/>
      <c r="L38" s="29"/>
      <c r="M38" s="29"/>
    </row>
    <row r="39" spans="1:13" x14ac:dyDescent="0.3">
      <c r="A39" s="5" t="s">
        <v>176</v>
      </c>
      <c r="B39" s="25">
        <v>0</v>
      </c>
      <c r="C39" s="25">
        <v>0</v>
      </c>
      <c r="D39" s="25">
        <v>0</v>
      </c>
      <c r="E39" s="25">
        <v>0</v>
      </c>
      <c r="F39" s="25">
        <v>0</v>
      </c>
      <c r="H39" s="33" t="s">
        <v>225</v>
      </c>
      <c r="I39" s="29">
        <v>-277.88</v>
      </c>
      <c r="J39" s="29">
        <v>0</v>
      </c>
      <c r="K39" s="29">
        <v>0</v>
      </c>
      <c r="L39" s="29">
        <v>0</v>
      </c>
      <c r="M39" s="29">
        <v>0</v>
      </c>
    </row>
    <row r="40" spans="1:13" x14ac:dyDescent="0.3">
      <c r="A40" s="15" t="s">
        <v>177</v>
      </c>
      <c r="B40" s="35">
        <f>B38+B39</f>
        <v>2570.41</v>
      </c>
      <c r="C40" s="35">
        <f>C38+C39</f>
        <v>5093.22</v>
      </c>
      <c r="D40" s="35">
        <f>D38+D39</f>
        <v>4207.22</v>
      </c>
      <c r="E40" s="35">
        <f t="shared" ref="E40:F40" si="4">E38+E39</f>
        <v>1199.3599999999979</v>
      </c>
      <c r="F40" s="35">
        <f t="shared" si="4"/>
        <v>4659.4900000000016</v>
      </c>
      <c r="H40" s="33" t="s">
        <v>226</v>
      </c>
      <c r="I40" s="29">
        <v>-59.52</v>
      </c>
      <c r="J40" s="29">
        <v>0</v>
      </c>
      <c r="K40" s="29">
        <v>0</v>
      </c>
      <c r="L40" s="29">
        <v>0</v>
      </c>
      <c r="M40" s="29">
        <v>0</v>
      </c>
    </row>
    <row r="41" spans="1:13" x14ac:dyDescent="0.3">
      <c r="A41" s="15" t="s">
        <v>178</v>
      </c>
      <c r="B41" s="35"/>
      <c r="C41" s="35"/>
      <c r="D41" s="35"/>
      <c r="E41" s="35"/>
      <c r="F41" s="35"/>
      <c r="H41" s="33" t="s">
        <v>227</v>
      </c>
      <c r="I41" s="29">
        <v>-261.8</v>
      </c>
      <c r="J41" s="29">
        <v>-155.28</v>
      </c>
      <c r="K41" s="29">
        <v>-180.11</v>
      </c>
      <c r="L41" s="29">
        <v>-216.42</v>
      </c>
      <c r="M41" s="29">
        <v>-447.75</v>
      </c>
    </row>
    <row r="42" spans="1:13" x14ac:dyDescent="0.3">
      <c r="A42" s="5" t="s">
        <v>179</v>
      </c>
      <c r="B42" s="25">
        <v>-762.2</v>
      </c>
      <c r="C42" s="25">
        <v>-469.25</v>
      </c>
      <c r="D42" s="25">
        <v>-554.55999999999995</v>
      </c>
      <c r="E42" s="25">
        <v>-590.45000000000005</v>
      </c>
      <c r="F42" s="25">
        <v>-652.53</v>
      </c>
      <c r="H42" s="33" t="s">
        <v>228</v>
      </c>
      <c r="I42" s="29">
        <v>-5.04</v>
      </c>
      <c r="J42" s="29">
        <v>-4.55</v>
      </c>
      <c r="K42" s="29">
        <v>-3.1</v>
      </c>
      <c r="L42" s="29">
        <v>-1.55</v>
      </c>
      <c r="M42" s="29">
        <v>-0.75</v>
      </c>
    </row>
    <row r="43" spans="1:13" x14ac:dyDescent="0.3">
      <c r="A43" s="5" t="s">
        <v>180</v>
      </c>
      <c r="B43" s="25">
        <v>15.62</v>
      </c>
      <c r="C43" s="25">
        <v>0</v>
      </c>
      <c r="D43" s="25">
        <v>0</v>
      </c>
      <c r="E43" s="25">
        <v>2.2799999999999998</v>
      </c>
      <c r="F43" s="25">
        <v>0.1</v>
      </c>
      <c r="H43" s="33" t="s">
        <v>229</v>
      </c>
      <c r="I43" s="29">
        <v>-0.34</v>
      </c>
      <c r="J43" s="29">
        <v>0</v>
      </c>
      <c r="K43" s="29">
        <v>0</v>
      </c>
      <c r="L43" s="29">
        <v>-0.02</v>
      </c>
      <c r="M43" s="29">
        <v>0</v>
      </c>
    </row>
    <row r="44" spans="1:13" x14ac:dyDescent="0.3">
      <c r="A44" s="5" t="s">
        <v>181</v>
      </c>
      <c r="B44" s="25">
        <f>B42+B43</f>
        <v>-746.58</v>
      </c>
      <c r="C44" s="25">
        <f>C42+C43</f>
        <v>-469.25</v>
      </c>
      <c r="D44" s="25">
        <f>D42+D43</f>
        <v>-554.55999999999995</v>
      </c>
      <c r="E44" s="25">
        <f>E42+E43</f>
        <v>-588.17000000000007</v>
      </c>
      <c r="F44" s="25">
        <f>F42+F43</f>
        <v>-652.42999999999995</v>
      </c>
      <c r="H44" s="36" t="s">
        <v>192</v>
      </c>
      <c r="I44" s="38">
        <f>SUM(I39:I43)</f>
        <v>-604.58000000000004</v>
      </c>
      <c r="J44" s="38">
        <f t="shared" ref="J44:M44" si="5">SUM(J39:J43)</f>
        <v>-159.83000000000001</v>
      </c>
      <c r="K44" s="38">
        <f t="shared" si="5"/>
        <v>-183.21</v>
      </c>
      <c r="L44" s="38">
        <f t="shared" si="5"/>
        <v>-217.99</v>
      </c>
      <c r="M44" s="38">
        <f t="shared" si="5"/>
        <v>-448.5</v>
      </c>
    </row>
    <row r="45" spans="1:13" x14ac:dyDescent="0.3">
      <c r="A45" s="5" t="s">
        <v>182</v>
      </c>
      <c r="B45" s="25">
        <v>0.86</v>
      </c>
      <c r="C45" s="25">
        <v>1.33</v>
      </c>
      <c r="D45" s="25">
        <v>7.4</v>
      </c>
      <c r="E45" s="25">
        <v>1.7</v>
      </c>
      <c r="F45" s="25">
        <v>8.5299999999999994</v>
      </c>
      <c r="H45" s="36" t="s">
        <v>230</v>
      </c>
      <c r="I45" s="38">
        <f>I27+I37+I44</f>
        <v>-246.40000000000009</v>
      </c>
      <c r="J45" s="38">
        <f t="shared" ref="J45:M45" si="6">J27+J37+J44</f>
        <v>256.62999999999988</v>
      </c>
      <c r="K45" s="38">
        <f t="shared" si="6"/>
        <v>-19.439999999999401</v>
      </c>
      <c r="L45" s="38">
        <f t="shared" si="6"/>
        <v>1147.95</v>
      </c>
      <c r="M45" s="38">
        <f t="shared" si="6"/>
        <v>1655.0600000000004</v>
      </c>
    </row>
    <row r="46" spans="1:13" x14ac:dyDescent="0.3">
      <c r="A46" s="5" t="s">
        <v>183</v>
      </c>
      <c r="B46" s="25">
        <v>172.3</v>
      </c>
      <c r="C46" s="25">
        <v>-1992.23</v>
      </c>
      <c r="D46" s="25">
        <v>-4234.8</v>
      </c>
      <c r="E46" s="25">
        <v>2094.39</v>
      </c>
      <c r="F46" s="25">
        <v>-5690.04</v>
      </c>
      <c r="H46" s="36" t="s">
        <v>231</v>
      </c>
      <c r="I46" s="38">
        <v>729.68</v>
      </c>
      <c r="J46" s="38">
        <v>483.28</v>
      </c>
      <c r="K46" s="38">
        <v>739.91</v>
      </c>
      <c r="L46" s="38">
        <v>720.47</v>
      </c>
      <c r="M46" s="38">
        <v>1868.42</v>
      </c>
    </row>
    <row r="47" spans="1:13" x14ac:dyDescent="0.3">
      <c r="A47" s="5" t="s">
        <v>184</v>
      </c>
      <c r="B47" s="25">
        <v>-146.12</v>
      </c>
      <c r="C47" s="25">
        <v>-195.57</v>
      </c>
      <c r="D47" s="25">
        <v>-266.14999999999998</v>
      </c>
      <c r="E47" s="25">
        <v>922.04</v>
      </c>
      <c r="F47" s="25">
        <v>-32.51</v>
      </c>
      <c r="H47" s="36" t="s">
        <v>232</v>
      </c>
      <c r="I47" s="38">
        <f>I45+I46</f>
        <v>483.27999999999986</v>
      </c>
      <c r="J47" s="38">
        <f t="shared" ref="J47:M47" si="7">J45+J46</f>
        <v>739.90999999999985</v>
      </c>
      <c r="K47" s="38">
        <f t="shared" si="7"/>
        <v>720.4700000000006</v>
      </c>
      <c r="L47" s="38">
        <f t="shared" si="7"/>
        <v>1868.42</v>
      </c>
      <c r="M47" s="38">
        <f t="shared" si="7"/>
        <v>3523.4800000000005</v>
      </c>
    </row>
    <row r="48" spans="1:13" x14ac:dyDescent="0.3">
      <c r="A48" s="5" t="s">
        <v>185</v>
      </c>
      <c r="B48" s="25">
        <v>70.58</v>
      </c>
      <c r="C48" s="25">
        <v>60.5</v>
      </c>
      <c r="D48" s="25">
        <v>176.45</v>
      </c>
      <c r="E48" s="25">
        <v>277.69</v>
      </c>
      <c r="F48" s="25">
        <v>442.6</v>
      </c>
    </row>
    <row r="49" spans="1:9" x14ac:dyDescent="0.3">
      <c r="A49" s="15" t="s">
        <v>186</v>
      </c>
      <c r="B49" s="35">
        <f>SUM(B44:B48)</f>
        <v>-648.96</v>
      </c>
      <c r="C49" s="35">
        <f>SUM(C44:C48)</f>
        <v>-2595.2200000000003</v>
      </c>
      <c r="D49" s="35">
        <f>SUM(D44:D48)</f>
        <v>-4871.66</v>
      </c>
      <c r="E49" s="35">
        <f t="shared" ref="E49:F49" si="8">SUM(E44:E48)</f>
        <v>2707.65</v>
      </c>
      <c r="F49" s="35">
        <f t="shared" si="8"/>
        <v>-5923.8499999999995</v>
      </c>
    </row>
    <row r="50" spans="1:9" x14ac:dyDescent="0.3">
      <c r="A50" s="15" t="s">
        <v>187</v>
      </c>
      <c r="B50" s="35"/>
      <c r="C50" s="35"/>
      <c r="D50" s="35"/>
      <c r="E50" s="35"/>
      <c r="F50" s="35"/>
    </row>
    <row r="51" spans="1:9" x14ac:dyDescent="0.3">
      <c r="A51" s="5" t="s">
        <v>188</v>
      </c>
      <c r="B51" s="25">
        <v>-25.01</v>
      </c>
      <c r="C51" s="25">
        <v>-8.33</v>
      </c>
      <c r="D51" s="25">
        <v>0</v>
      </c>
      <c r="E51" s="25">
        <v>0</v>
      </c>
      <c r="F51" s="25">
        <v>0</v>
      </c>
    </row>
    <row r="52" spans="1:9" x14ac:dyDescent="0.3">
      <c r="A52" s="5" t="s">
        <v>189</v>
      </c>
      <c r="B52" s="25">
        <v>-50.42</v>
      </c>
      <c r="C52" s="25">
        <v>-36.700000000000003</v>
      </c>
      <c r="D52" s="25">
        <v>-47.57</v>
      </c>
      <c r="E52" s="25">
        <v>0</v>
      </c>
      <c r="F52" s="25">
        <v>0</v>
      </c>
    </row>
    <row r="53" spans="1:9" x14ac:dyDescent="0.3">
      <c r="A53" s="5" t="s">
        <v>190</v>
      </c>
      <c r="B53" s="25">
        <v>-980.17</v>
      </c>
      <c r="C53" s="25">
        <v>-1022.74</v>
      </c>
      <c r="D53" s="25">
        <v>-1023.31</v>
      </c>
      <c r="E53" s="25">
        <v>-1242.8</v>
      </c>
      <c r="F53" s="25">
        <v>-1462.09</v>
      </c>
      <c r="I53" s="45"/>
    </row>
    <row r="54" spans="1:9" x14ac:dyDescent="0.3">
      <c r="A54" s="5" t="s">
        <v>191</v>
      </c>
      <c r="B54" s="25">
        <v>-1.32</v>
      </c>
      <c r="C54" s="25">
        <v>-1.59</v>
      </c>
      <c r="D54" s="25">
        <v>-1.67</v>
      </c>
      <c r="E54" s="25">
        <v>-4.33</v>
      </c>
      <c r="F54" s="25">
        <v>-5.78</v>
      </c>
    </row>
    <row r="55" spans="1:9" x14ac:dyDescent="0.3">
      <c r="A55" s="5" t="s">
        <v>164</v>
      </c>
      <c r="B55" s="25">
        <v>-0.28000000000000003</v>
      </c>
      <c r="C55" s="25">
        <v>-0.24</v>
      </c>
      <c r="D55" s="25">
        <v>-3.06</v>
      </c>
      <c r="E55" s="25">
        <v>-3.7</v>
      </c>
      <c r="F55" s="25">
        <v>-4.21</v>
      </c>
    </row>
    <row r="56" spans="1:9" x14ac:dyDescent="0.3">
      <c r="A56" s="5" t="s">
        <v>165</v>
      </c>
      <c r="B56" s="25">
        <v>-3.32</v>
      </c>
      <c r="C56" s="25">
        <v>-6.13</v>
      </c>
      <c r="D56" s="25">
        <v>-1.99</v>
      </c>
      <c r="E56" s="25">
        <v>-11.25</v>
      </c>
      <c r="F56" s="25">
        <v>-2.93</v>
      </c>
    </row>
    <row r="57" spans="1:9" x14ac:dyDescent="0.3">
      <c r="A57" s="15" t="s">
        <v>192</v>
      </c>
      <c r="B57" s="35">
        <f>SUM(B51:B56)</f>
        <v>-1060.5199999999998</v>
      </c>
      <c r="C57" s="35">
        <f>SUM(C51:C56)</f>
        <v>-1075.73</v>
      </c>
      <c r="D57" s="35">
        <f>SUM(D51:D56)</f>
        <v>-1077.5999999999999</v>
      </c>
      <c r="E57" s="35">
        <f t="shared" ref="E57:F57" si="9">SUM(E51:E56)</f>
        <v>-1262.08</v>
      </c>
      <c r="F57" s="35">
        <f t="shared" si="9"/>
        <v>-1475.01</v>
      </c>
    </row>
    <row r="58" spans="1:9" x14ac:dyDescent="0.3">
      <c r="A58" s="15" t="s">
        <v>193</v>
      </c>
      <c r="B58" s="35">
        <f>B40+B49+B57</f>
        <v>860.93000000000006</v>
      </c>
      <c r="C58" s="35">
        <f>C40+C49+C57</f>
        <v>1422.27</v>
      </c>
      <c r="D58" s="35">
        <f>D40+D49+D57</f>
        <v>-1742.0399999999995</v>
      </c>
      <c r="E58" s="35">
        <f t="shared" ref="E58:F58" si="10">E40+E49+E57</f>
        <v>2644.929999999998</v>
      </c>
      <c r="F58" s="35">
        <f t="shared" si="10"/>
        <v>-2739.3699999999981</v>
      </c>
    </row>
    <row r="59" spans="1:9" x14ac:dyDescent="0.3">
      <c r="A59" s="15" t="s">
        <v>194</v>
      </c>
      <c r="B59" s="35">
        <v>759.7</v>
      </c>
      <c r="C59" s="35">
        <v>1620.63</v>
      </c>
      <c r="D59" s="35">
        <v>3042.9</v>
      </c>
      <c r="E59" s="35">
        <v>1300.8599999999999</v>
      </c>
      <c r="F59" s="35">
        <v>3945.69</v>
      </c>
    </row>
    <row r="60" spans="1:9" x14ac:dyDescent="0.3">
      <c r="A60" s="15" t="s">
        <v>195</v>
      </c>
      <c r="B60" s="35">
        <f>B58+B59</f>
        <v>1620.63</v>
      </c>
      <c r="C60" s="35">
        <f>C58+C59</f>
        <v>3042.9</v>
      </c>
      <c r="D60" s="35">
        <f>D58+D59</f>
        <v>1300.8600000000006</v>
      </c>
      <c r="E60" s="35">
        <f>E58+E59</f>
        <v>3945.7899999999981</v>
      </c>
      <c r="F60" s="35">
        <f>F58+F59</f>
        <v>1206.320000000002</v>
      </c>
    </row>
  </sheetData>
  <mergeCells count="2">
    <mergeCell ref="A1:F1"/>
    <mergeCell ref="H1:M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BE36E-352A-489C-BCC1-C27D6113AF03}">
  <dimension ref="A1:K29"/>
  <sheetViews>
    <sheetView topLeftCell="E2" zoomScale="90" zoomScaleNormal="90" workbookViewId="0">
      <selection activeCell="B4" sqref="B4"/>
    </sheetView>
  </sheetViews>
  <sheetFormatPr defaultRowHeight="14.4" x14ac:dyDescent="0.3"/>
  <cols>
    <col min="1" max="1" width="25.33203125" style="2" bestFit="1" customWidth="1"/>
    <col min="2" max="6" width="13.6640625" style="2" bestFit="1" customWidth="1"/>
    <col min="7" max="7" width="12.109375" style="2" bestFit="1" customWidth="1"/>
    <col min="8" max="11" width="12.109375" bestFit="1" customWidth="1"/>
  </cols>
  <sheetData>
    <row r="1" spans="1:11" ht="33" customHeight="1" x14ac:dyDescent="0.3">
      <c r="A1" s="110" t="s">
        <v>23</v>
      </c>
      <c r="B1" s="110"/>
      <c r="C1" s="110"/>
      <c r="D1" s="110"/>
      <c r="E1" s="110"/>
      <c r="F1" s="110"/>
      <c r="G1" s="110"/>
      <c r="H1" s="110"/>
      <c r="I1" s="110"/>
      <c r="J1" s="110"/>
      <c r="K1" s="110"/>
    </row>
    <row r="2" spans="1:11" ht="28.8" customHeight="1" x14ac:dyDescent="0.3">
      <c r="A2" s="33" t="s">
        <v>22</v>
      </c>
      <c r="B2" s="112" t="e" vm="6">
        <v>#VALUE!</v>
      </c>
      <c r="C2" s="112"/>
      <c r="D2" s="112"/>
      <c r="E2" s="112"/>
      <c r="F2" s="112"/>
      <c r="G2" s="112" t="e" vm="7">
        <v>#VALUE!</v>
      </c>
      <c r="H2" s="112"/>
      <c r="I2" s="112"/>
      <c r="J2" s="112"/>
      <c r="K2" s="112"/>
    </row>
    <row r="3" spans="1:11" x14ac:dyDescent="0.3">
      <c r="A3" s="36" t="s">
        <v>235</v>
      </c>
      <c r="B3" s="36">
        <v>2020</v>
      </c>
      <c r="C3" s="36">
        <v>2021</v>
      </c>
      <c r="D3" s="36">
        <v>2022</v>
      </c>
      <c r="E3" s="36">
        <v>2023</v>
      </c>
      <c r="F3" s="36">
        <v>2024</v>
      </c>
      <c r="G3" s="36">
        <v>2020</v>
      </c>
      <c r="H3" s="36">
        <v>2021</v>
      </c>
      <c r="I3" s="36">
        <v>2022</v>
      </c>
      <c r="J3" s="36">
        <v>2023</v>
      </c>
      <c r="K3" s="36">
        <v>2024</v>
      </c>
    </row>
    <row r="4" spans="1:11" s="41" customFormat="1" x14ac:dyDescent="0.3">
      <c r="A4" s="51" t="s">
        <v>236</v>
      </c>
      <c r="B4" s="51">
        <f>('Profit &amp; Loss from 2019-24'!M10-('Profit &amp; Loss from 2019-24'!M12+'Profit &amp; Loss from 2019-24'!M13+'Profit &amp; Loss from 2019-24'!M14))/'Profit &amp; Loss from 2019-24'!M10</f>
        <v>0.45685758169199364</v>
      </c>
      <c r="C4" s="51">
        <f>('Profit &amp; Loss from 2019-24'!L10-('Profit &amp; Loss from 2019-24'!L12+'Profit &amp; Loss from 2019-24'!L13+'Profit &amp; Loss from 2019-24'!L14))/'Profit &amp; Loss from 2019-24'!L10</f>
        <v>0.4483538678485377</v>
      </c>
      <c r="D4" s="51">
        <f>('Profit &amp; Loss from 2019-24'!K10-('Profit &amp; Loss from 2019-24'!K12+'Profit &amp; Loss from 2019-24'!K13+'Profit &amp; Loss from 2019-24'!K14))/'Profit &amp; Loss from 2019-24'!K10</f>
        <v>0.42739437910640721</v>
      </c>
      <c r="E4" s="51">
        <f>('Profit &amp; Loss from 2019-24'!J10-('Profit &amp; Loss from 2019-24'!J12+'Profit &amp; Loss from 2019-24'!J13+'Profit &amp; Loss from 2019-24'!J14))/'Profit &amp; Loss from 2019-24'!J10</f>
        <v>0.45525268490554932</v>
      </c>
      <c r="F4" s="51">
        <f>('Profit &amp; Loss from 2019-24'!I10-('Profit &amp; Loss from 2019-24'!I12+'Profit &amp; Loss from 2019-24'!I13+'Profit &amp; Loss from 2019-24'!I14))/'Profit &amp; Loss from 2019-24'!I10</f>
        <v>0.49506361459348347</v>
      </c>
      <c r="G4" s="51">
        <f>('Profit &amp; Loss from 2019-24'!F10-('Profit &amp; Loss from 2019-24'!F12+'Profit &amp; Loss from 2019-24'!F13))/'Profit &amp; Loss from 2019-24'!F10</f>
        <v>0.32438955652067081</v>
      </c>
      <c r="H4" s="52">
        <f>('Profit &amp; Loss from 2019-24'!E10-('Profit &amp; Loss from 2019-24'!E12+'Profit &amp; Loss from 2019-24'!E13))/'Profit &amp; Loss from 2019-24'!E10</f>
        <v>0.34288780420258252</v>
      </c>
      <c r="I4" s="52">
        <f>('Profit &amp; Loss from 2019-24'!D10-'Profit &amp; Loss from 2019-24'!D13)/'Profit &amp; Loss from 2019-24'!D10</f>
        <v>0.31649075468913923</v>
      </c>
      <c r="J4" s="52">
        <f>('Profit &amp; Loss from 2019-24'!C10-'Profit &amp; Loss from 2019-24'!C13)/'Profit &amp; Loss from 2019-24'!C10</f>
        <v>0.3963546142803952</v>
      </c>
      <c r="K4" s="52">
        <f>('Profit &amp; Loss from 2019-24'!B10-'Profit &amp; Loss from 2019-24'!B13)/'Profit &amp; Loss from 2019-24'!B10</f>
        <v>0.37502593214265506</v>
      </c>
    </row>
    <row r="5" spans="1:11" s="41" customFormat="1" x14ac:dyDescent="0.3">
      <c r="A5" s="51" t="s">
        <v>237</v>
      </c>
      <c r="B5" s="51">
        <f>'Profit &amp; Loss from 2019-24'!M22/'Profit &amp; Loss from 2019-24'!M10</f>
        <v>0.18966761485168426</v>
      </c>
      <c r="C5" s="51">
        <f>'Profit &amp; Loss from 2019-24'!L22/'Profit &amp; Loss from 2019-24'!L10</f>
        <v>0.20682343041861376</v>
      </c>
      <c r="D5" s="51">
        <f>'Profit &amp; Loss from 2019-24'!K22/'Profit &amp; Loss from 2019-24'!K10</f>
        <v>0.20310856834122859</v>
      </c>
      <c r="E5" s="51">
        <f>'Profit &amp; Loss from 2019-24'!J21/'Profit &amp; Loss from 2019-24'!J10</f>
        <v>0.22130574879125101</v>
      </c>
      <c r="F5" s="51">
        <f>'Profit &amp; Loss from 2019-24'!I21/'Profit &amp; Loss from 2019-24'!I10</f>
        <v>0.25493435436551953</v>
      </c>
      <c r="G5" s="51">
        <f>'Profit &amp; Loss from 2019-24'!F21/'Profit &amp; Loss from 2019-24'!F10</f>
        <v>0.13507620155654951</v>
      </c>
      <c r="H5" s="52">
        <f>'Profit &amp; Loss from 2019-24'!E21/'Profit &amp; Loss from 2019-24'!E10</f>
        <v>0.15793436493924604</v>
      </c>
      <c r="I5" s="52">
        <f>'Profit &amp; Loss from 2019-24'!D21/'Profit &amp; Loss from 2019-24'!D10</f>
        <v>0.127561452980504</v>
      </c>
      <c r="J5" s="52">
        <f>'Profit &amp; Loss from 2019-24'!C21/'Profit &amp; Loss from 2019-24'!C10</f>
        <v>0.16735591862923943</v>
      </c>
      <c r="K5" s="52">
        <f>'Profit &amp; Loss from 2019-24'!B21/'Profit &amp; Loss from 2019-24'!B10</f>
        <v>0.23210493559398751</v>
      </c>
    </row>
    <row r="6" spans="1:11" s="41" customFormat="1" x14ac:dyDescent="0.3">
      <c r="A6" s="51" t="s">
        <v>238</v>
      </c>
      <c r="B6" s="51">
        <f>'Profit &amp; Loss from 2019-24'!M30/'Profit &amp; Loss from 2019-24'!M10</f>
        <v>0.13964262837805244</v>
      </c>
      <c r="C6" s="51">
        <f>'Profit &amp; Loss from 2019-24'!L30/'Profit &amp; Loss from 2019-24'!L10</f>
        <v>0.14555533395865941</v>
      </c>
      <c r="D6" s="51">
        <f>'Profit &amp; Loss from 2019-24'!K30/'Profit &amp; Loss from 2019-24'!K10</f>
        <v>0.15108233879085503</v>
      </c>
      <c r="E6" s="51">
        <f>'Profit &amp; Loss from 2019-24'!J30/'Profit &amp; Loss from 2019-24'!J10</f>
        <v>0.16697952152089665</v>
      </c>
      <c r="F6" s="51">
        <f>'Profit &amp; Loss from 2019-24'!I30/'Profit &amp; Loss from 2019-24'!I10</f>
        <v>0.19211258370875733</v>
      </c>
      <c r="G6" s="51">
        <f>'Profit &amp; Loss from 2019-24'!F31/'Profit &amp; Loss from 2019-24'!F10</f>
        <v>8.6186525801579594E-2</v>
      </c>
      <c r="H6" s="52">
        <f>'Profit &amp; Loss from 2019-24'!E31/'Profit &amp; Loss from 2019-24'!E10</f>
        <v>0.11117890400526188</v>
      </c>
      <c r="I6" s="52">
        <f>'Profit &amp; Loss from 2019-24'!D31/'Profit &amp; Loss from 2019-24'!D10</f>
        <v>9.5099490668746595E-2</v>
      </c>
      <c r="J6" s="52">
        <f>'Profit &amp; Loss from 2019-24'!C31/'Profit &amp; Loss from 2019-24'!C10</f>
        <v>0.12560153430765306</v>
      </c>
      <c r="K6" s="52">
        <f>'Profit &amp; Loss from 2019-24'!B31/'Profit &amp; Loss from 2019-24'!B10</f>
        <v>0.17402165098164948</v>
      </c>
    </row>
    <row r="7" spans="1:11" x14ac:dyDescent="0.3">
      <c r="A7" s="33" t="s">
        <v>239</v>
      </c>
      <c r="B7" s="53">
        <f>'Profit &amp; Loss from 2019-24'!M22/('Balance Sheet 2019-2024'!F31-'Balance Sheet 2019-2024'!F58)</f>
        <v>0.14162326178074777</v>
      </c>
      <c r="C7" s="53">
        <f>'Profit &amp; Loss from 2019-24'!L22/('Balance Sheet 2019-2024'!E31-'Balance Sheet 2019-2024'!E58)</f>
        <v>0.19663204780578597</v>
      </c>
      <c r="D7" s="53">
        <f>'Profit &amp; Loss from 2019-24'!K22/('Balance Sheet 2019-2024'!D31-'Balance Sheet 2019-2024'!D58)</f>
        <v>0.22036994907024227</v>
      </c>
      <c r="E7" s="53">
        <f>'Profit &amp; Loss from 2019-24'!J22/('Balance Sheet 2019-2024'!C31-'Balance Sheet 2019-2024'!C58)</f>
        <v>0.31475846990391854</v>
      </c>
      <c r="F7" s="53">
        <f>'Profit &amp; Loss from 2019-24'!I22/('Balance Sheet 2019-2024'!B31-'Balance Sheet 2019-2024'!B58)</f>
        <v>0.47916385971152609</v>
      </c>
      <c r="G7" s="53">
        <f>'Profit &amp; Loss from 2019-24'!F23/('Balance Sheet 2019-2024'!M48-'Balance Sheet 2019-2024'!M22)</f>
        <v>0.10791317287063087</v>
      </c>
      <c r="H7" s="54">
        <f>'Profit &amp; Loss from 2019-24'!E23/('Balance Sheet 2019-2024'!L48-'Balance Sheet 2019-2024'!L22)</f>
        <v>0.12736883848866837</v>
      </c>
      <c r="I7" s="54">
        <f>'Profit &amp; Loss from 2019-24'!D23/('Balance Sheet 2019-2024'!K48-'Balance Sheet 2019-2024'!K22)</f>
        <v>0.16848079682178335</v>
      </c>
      <c r="J7" s="54">
        <f>'Profit &amp; Loss from 2019-24'!C23/('Balance Sheet 2019-2024'!J48-'Balance Sheet 2019-2024'!J22)</f>
        <v>0.32814860391116074</v>
      </c>
      <c r="K7" s="54">
        <f>'Profit &amp; Loss from 2019-24'!B23/('Balance Sheet 2019-2024'!I48-'Balance Sheet 2019-2024'!I22)</f>
        <v>0.54930360127741917</v>
      </c>
    </row>
    <row r="8" spans="1:11" x14ac:dyDescent="0.3">
      <c r="A8" s="33" t="s">
        <v>240</v>
      </c>
      <c r="B8" s="53">
        <f>'Profit &amp; Loss from 2019-24'!M30/'Balance Sheet 2019-2024'!B36</f>
        <v>0.18519548479946063</v>
      </c>
      <c r="C8" s="53">
        <f>'Profit &amp; Loss from 2019-24'!L30/'Balance Sheet 2019-2024'!C36</f>
        <v>0.18650114631990228</v>
      </c>
      <c r="D8" s="53">
        <f>'Profit &amp; Loss from 2019-24'!K30/'Balance Sheet 2019-2024'!D36</f>
        <v>0.19093468116046874</v>
      </c>
      <c r="E8" s="53">
        <f>'Profit &amp; Loss from 2019-24'!L30/'Balance Sheet 2019-2024'!E36</f>
        <v>0.14881212273170705</v>
      </c>
      <c r="F8" s="53">
        <f>'Profit &amp; Loss from 2019-24'!I30/'Balance Sheet 2019-2024'!F36</f>
        <v>0.24595595185871116</v>
      </c>
      <c r="G8" s="53">
        <f>'Profit &amp; Loss from 2019-24'!F31/'Balance Sheet 2019-2024'!I9</f>
        <v>0.15593682380090068</v>
      </c>
      <c r="H8" s="54">
        <f>'Profit &amp; Loss from 2019-24'!E31/'Balance Sheet 2019-2024'!J9</f>
        <v>0.14973875997680458</v>
      </c>
      <c r="I8" s="54">
        <f>'Profit &amp; Loss from 2019-24'!D31/'Balance Sheet 2019-2024'!K9</f>
        <v>0.15202660666514589</v>
      </c>
      <c r="J8" s="54">
        <f>'Profit &amp; Loss from 2019-24'!C31/'Balance Sheet 2019-2024'!L9</f>
        <v>0.25678147052346351</v>
      </c>
      <c r="K8" s="54">
        <f>'Profit &amp; Loss from 2019-24'!B31/'Balance Sheet 2019-2024'!M9</f>
        <v>0.29557761949685035</v>
      </c>
    </row>
    <row r="9" spans="1:11" x14ac:dyDescent="0.3">
      <c r="A9" s="111" t="s">
        <v>241</v>
      </c>
      <c r="B9" s="111"/>
      <c r="C9" s="111"/>
      <c r="D9" s="111"/>
      <c r="E9" s="111"/>
      <c r="F9" s="111"/>
      <c r="G9" s="111"/>
      <c r="H9" s="5"/>
      <c r="I9" s="5"/>
      <c r="J9" s="5"/>
      <c r="K9" s="5"/>
    </row>
    <row r="10" spans="1:11" x14ac:dyDescent="0.3">
      <c r="A10" s="33" t="s">
        <v>24</v>
      </c>
      <c r="B10" s="47">
        <f>'Balance Sheet 2019-2024'!B30/'Balance Sheet 2019-2024'!B58</f>
        <v>1.4552000582249376</v>
      </c>
      <c r="C10" s="47">
        <f>'Balance Sheet 2019-2024'!C30/'Balance Sheet 2019-2024'!C58</f>
        <v>1.4090281677169032</v>
      </c>
      <c r="D10" s="47">
        <f>'Balance Sheet 2019-2024'!D30/'Balance Sheet 2019-2024'!D58</f>
        <v>1.3938845944852778</v>
      </c>
      <c r="E10" s="47">
        <f>'Balance Sheet 2019-2024'!E30/'Balance Sheet 2019-2024'!E58</f>
        <v>1.4610552091873006</v>
      </c>
      <c r="F10" s="47">
        <f>'Balance Sheet 2019-2024'!F30/'Balance Sheet 2019-2024'!F58</f>
        <v>1.546438350131863</v>
      </c>
      <c r="G10" s="47">
        <f>'Balance Sheet 2019-2024'!I47/'Balance Sheet 2019-2024'!I22</f>
        <v>1.0979377215605151</v>
      </c>
      <c r="H10" s="47">
        <f>'Balance Sheet 2019-2024'!J47/'Balance Sheet 2019-2024'!J22</f>
        <v>1.0626225474275086</v>
      </c>
      <c r="I10" s="47">
        <f>'Balance Sheet 2019-2024'!K47/'Balance Sheet 2019-2024'!K22</f>
        <v>1.0534269061949799</v>
      </c>
      <c r="J10" s="47">
        <f>'Balance Sheet 2019-2024'!L47/'Balance Sheet 2019-2024'!L22</f>
        <v>1.0805862505359396</v>
      </c>
      <c r="K10" s="47">
        <f>'Balance Sheet 2019-2024'!M47/'Balance Sheet 2019-2024'!M22</f>
        <v>1.139338660045462</v>
      </c>
    </row>
    <row r="11" spans="1:11" x14ac:dyDescent="0.3">
      <c r="A11" s="33" t="s">
        <v>242</v>
      </c>
      <c r="B11" s="47">
        <f>('Balance Sheet 2019-2024'!B30-'Balance Sheet 2019-2024'!B21)/'Balance Sheet 2019-2024'!B58</f>
        <v>1.1491904464146663</v>
      </c>
      <c r="C11" s="47">
        <f>('Balance Sheet 2019-2024'!C30-'Balance Sheet 2019-2024'!C21)/'Balance Sheet 2019-2024'!C58</f>
        <v>1.1138342974113988</v>
      </c>
      <c r="D11" s="47">
        <f>('Balance Sheet 2019-2024'!D30-'Balance Sheet 2019-2024'!D21)/'Balance Sheet 2019-2024'!D58</f>
        <v>1.1083073217765758</v>
      </c>
      <c r="E11" s="47">
        <f>('Balance Sheet 2019-2024'!E30-'Balance Sheet 2019-2024'!E21)/'Balance Sheet 2019-2024'!E58</f>
        <v>1.1475227295050323</v>
      </c>
      <c r="F11" s="47">
        <f>('Balance Sheet 2019-2024'!F30-'Balance Sheet 2019-2024'!F21)/'Balance Sheet 2019-2024'!F58</f>
        <v>1.208354122468474</v>
      </c>
      <c r="G11" s="47">
        <f>('Balance Sheet 2019-2024'!I47-'Balance Sheet 2019-2024'!I39)/'Balance Sheet 2019-2024'!I22</f>
        <v>0.8170930045352508</v>
      </c>
      <c r="H11" s="47">
        <f>('Balance Sheet 2019-2024'!J47-'Balance Sheet 2019-2024'!J39)/'Balance Sheet 2019-2024'!J22</f>
        <v>0.77928158758433075</v>
      </c>
      <c r="I11" s="47">
        <f>('Balance Sheet 2019-2024'!K47-'Balance Sheet 2019-2024'!K39)/'Balance Sheet 2019-2024'!K22</f>
        <v>0.74767252463276201</v>
      </c>
      <c r="J11" s="47">
        <f>('Balance Sheet 2019-2024'!L47-'Balance Sheet 2019-2024'!L39)/'Balance Sheet 2019-2024'!L22</f>
        <v>0.77582627895368028</v>
      </c>
      <c r="K11" s="47">
        <f>('Balance Sheet 2019-2024'!M47-'Balance Sheet 2019-2024'!M39)/'Balance Sheet 2019-2024'!M22</f>
        <v>0.88691833430162581</v>
      </c>
    </row>
    <row r="12" spans="1:11" x14ac:dyDescent="0.3">
      <c r="A12" s="111" t="s">
        <v>243</v>
      </c>
      <c r="B12" s="90"/>
      <c r="C12" s="90"/>
      <c r="D12" s="90"/>
      <c r="E12" s="90"/>
      <c r="F12" s="90"/>
      <c r="G12" s="90"/>
      <c r="H12" s="5"/>
      <c r="I12" s="5"/>
      <c r="J12" s="5"/>
      <c r="K12" s="5"/>
    </row>
    <row r="13" spans="1:11" x14ac:dyDescent="0.3">
      <c r="A13" s="33" t="s">
        <v>244</v>
      </c>
      <c r="B13" s="47">
        <f>('Balance Sheet 2019-2024'!B43+'Balance Sheet 2019-2024'!B52)/'Balance Sheet 2019-2024'!B36</f>
        <v>0</v>
      </c>
      <c r="C13" s="47">
        <f>('Balance Sheet 2019-2024'!C43+'Balance Sheet 2019-2024'!C52)/'Balance Sheet 2019-2024'!C36</f>
        <v>2.275483382199038E-4</v>
      </c>
      <c r="D13" s="47">
        <f>('Balance Sheet 2019-2024'!D43+'Balance Sheet 2019-2024'!D52)/'Balance Sheet 2019-2024'!D36</f>
        <v>4.2837622650128788E-3</v>
      </c>
      <c r="E13" s="47">
        <f>('Balance Sheet 2019-2024'!E43+'Balance Sheet 2019-2024'!E52)/'Balance Sheet 2019-2024'!E36</f>
        <v>4.4195057704306678E-3</v>
      </c>
      <c r="F13" s="47">
        <f>('Balance Sheet 2019-2024'!F43+'Balance Sheet 2019-2024'!F52)/'Balance Sheet 2019-2024'!F36</f>
        <v>3.8245538683303569E-3</v>
      </c>
      <c r="G13" s="55" t="s">
        <v>253</v>
      </c>
      <c r="H13" s="56" t="s">
        <v>253</v>
      </c>
      <c r="I13" s="56" t="s">
        <v>253</v>
      </c>
      <c r="J13" s="56" t="s">
        <v>253</v>
      </c>
      <c r="K13" s="56" t="s">
        <v>253</v>
      </c>
    </row>
    <row r="14" spans="1:11" x14ac:dyDescent="0.3">
      <c r="A14" s="33" t="s">
        <v>245</v>
      </c>
      <c r="B14" s="47">
        <f>'Profit &amp; Loss from 2019-24'!M22/'Profit &amp; Loss from 2019-24'!M16</f>
        <v>688.44444444444377</v>
      </c>
      <c r="C14" s="47">
        <f>'Profit &amp; Loss from 2019-24'!L22/'Profit &amp; Loss from 2019-24'!L16</f>
        <v>482.69901315789474</v>
      </c>
      <c r="D14" s="47">
        <f>'Profit &amp; Loss from 2019-24'!K22/'Profit &amp; Loss from 2019-24'!K16</f>
        <v>651.09278350515467</v>
      </c>
      <c r="E14" s="47">
        <f>'Profit &amp; Loss from 2019-24'!J22/'Profit &amp; Loss from 2019-24'!J16</f>
        <v>269.43069641649765</v>
      </c>
      <c r="F14" s="47">
        <f>'Profit &amp; Loss from 2019-24'!I22/'Profit &amp; Loss from 2019-24'!I16</f>
        <v>759.90883190883198</v>
      </c>
      <c r="G14" s="47">
        <f>'Profit &amp; Loss from 2019-24'!F23/'Profit &amp; Loss from 2019-24'!F15</f>
        <v>79.413606911447033</v>
      </c>
      <c r="H14" s="49">
        <f>'Profit &amp; Loss from 2019-24'!E23/'Profit &amp; Loss from 2019-24'!E15</f>
        <v>72.227272727272734</v>
      </c>
      <c r="I14" s="49">
        <f>'Profit &amp; Loss from 2019-24'!D23/'Profit &amp; Loss from 2019-24'!D15</f>
        <v>107.91759776536314</v>
      </c>
      <c r="J14" s="49">
        <f>'Profit &amp; Loss from 2019-24'!C23/'Profit &amp; Loss from 2019-24'!C15</f>
        <v>224.38461538461536</v>
      </c>
      <c r="K14" s="49">
        <f>'Profit &amp; Loss from 2019-24'!B23/'Profit &amp; Loss from 2019-24'!B15</f>
        <v>480.73828125</v>
      </c>
    </row>
    <row r="15" spans="1:11" x14ac:dyDescent="0.3">
      <c r="A15" s="111" t="s">
        <v>246</v>
      </c>
      <c r="B15" s="90"/>
      <c r="C15" s="90"/>
      <c r="D15" s="90"/>
      <c r="E15" s="90"/>
      <c r="F15" s="90"/>
      <c r="G15" s="90"/>
      <c r="H15" s="5"/>
      <c r="I15" s="5"/>
      <c r="J15" s="5"/>
      <c r="K15" s="5"/>
    </row>
    <row r="16" spans="1:11" x14ac:dyDescent="0.3">
      <c r="A16" s="33" t="s">
        <v>247</v>
      </c>
      <c r="B16" s="47">
        <f>'Profit &amp; Loss from 2019-24'!M10/'Balance Sheet 2019-2024'!B31</f>
        <v>0.54648575200879601</v>
      </c>
      <c r="C16" s="47">
        <f>'Profit &amp; Loss from 2019-24'!L10/'Balance Sheet 2019-2024'!C31</f>
        <v>0.48118307190280518</v>
      </c>
      <c r="D16" s="47">
        <f>'Profit &amp; Loss from 2019-24'!K10/'Balance Sheet 2019-2024'!D31</f>
        <v>0.45848080451587675</v>
      </c>
      <c r="E16" s="47">
        <f>'Profit &amp; Loss from 2019-24'!J10/'Balance Sheet 2019-2024'!E31</f>
        <v>0.50734365759145172</v>
      </c>
      <c r="F16" s="47">
        <f>'Profit &amp; Loss from 2019-24'!I10/'Balance Sheet 2019-2024'!F31</f>
        <v>0.52939508200536955</v>
      </c>
      <c r="G16" s="47">
        <f>'Profit &amp; Loss from 2019-24'!F10/'Balance Sheet 2019-2024'!I48</f>
        <v>0.26433107331790573</v>
      </c>
      <c r="H16" s="49">
        <f>'Profit &amp; Loss from 2019-24'!E10/'Balance Sheet 2019-2024'!J48</f>
        <v>0.18385815229303565</v>
      </c>
      <c r="I16" s="49">
        <f>'Profit &amp; Loss from 2019-24'!D10/'Balance Sheet 2019-2024'!K48</f>
        <v>0.20715071736262083</v>
      </c>
      <c r="J16" s="49">
        <f>'Profit &amp; Loss from 2019-24'!C10/'Balance Sheet 2019-2024'!L48</f>
        <v>0.29572338773092077</v>
      </c>
      <c r="K16" s="49">
        <f>'Profit &amp; Loss from 2019-24'!B10/'Balance Sheet 2019-2024'!M48</f>
        <v>0.36010283607385152</v>
      </c>
    </row>
    <row r="17" spans="1:11" x14ac:dyDescent="0.3">
      <c r="A17" s="33" t="s">
        <v>248</v>
      </c>
      <c r="B17" s="47">
        <f>'Profit &amp; Loss from 2019-24'!M12/'Balance Sheet 2019-2024'!B21</f>
        <v>1.5081070021993761</v>
      </c>
      <c r="C17" s="47">
        <f>'Profit &amp; Loss from 2019-24'!L12/'Balance Sheet 2019-2024'!C21</f>
        <v>1.3534555292090549</v>
      </c>
      <c r="D17" s="47">
        <f>'Profit &amp; Loss from 2019-24'!K12/'Balance Sheet 2019-2024'!D21</f>
        <v>1.4531697634077863</v>
      </c>
      <c r="E17" s="47">
        <f>'Profit &amp; Loss from 2019-24'!J12/'Balance Sheet 2019-2024'!E21</f>
        <v>1.4544636819870846</v>
      </c>
      <c r="F17" s="47">
        <f>'Profit &amp; Loss from 2019-24'!I12/'Balance Sheet 2019-2024'!F21</f>
        <v>1.4096649742375678</v>
      </c>
      <c r="G17" s="47">
        <f>'Profit &amp; Loss from 2019-24'!F12/'Balance Sheet 2019-2024'!I39</f>
        <v>0.54149856468852553</v>
      </c>
      <c r="H17" s="49">
        <f>'Profit &amp; Loss from 2019-24'!E12/'Balance Sheet 2019-2024'!J39</f>
        <v>0.31958475769324174</v>
      </c>
      <c r="I17" s="49">
        <f>'Profit &amp; Loss from 2019-24'!D12/'Balance Sheet 2019-2024'!K39</f>
        <v>0</v>
      </c>
      <c r="J17" s="49">
        <f>'Profit &amp; Loss from 2019-24'!C12/'Balance Sheet 2019-2024'!L39</f>
        <v>0</v>
      </c>
      <c r="K17" s="49">
        <f>'Profit &amp; Loss from 2019-24'!B12/'Balance Sheet 2019-2024'!M39</f>
        <v>0</v>
      </c>
    </row>
    <row r="18" spans="1:11" x14ac:dyDescent="0.3">
      <c r="A18" s="33" t="s">
        <v>249</v>
      </c>
      <c r="B18" s="47">
        <f>('Balance Sheet 2019-2024'!B23/'Profit &amp; Loss from 2019-24'!M10)*365</f>
        <v>188.06910424448634</v>
      </c>
      <c r="C18" s="47">
        <f>('Balance Sheet 2019-2024'!C23/'Profit &amp; Loss from 2019-24'!L10)*365</f>
        <v>168.7905683819441</v>
      </c>
      <c r="D18" s="47">
        <f>('Balance Sheet 2019-2024'!D23/'Profit &amp; Loss from 2019-24'!K10)*365</f>
        <v>143.39761116846279</v>
      </c>
      <c r="E18" s="47">
        <f>('Balance Sheet 2019-2024'!E23/'Profit &amp; Loss from 2019-24'!J10)*365</f>
        <v>142.57407717999666</v>
      </c>
      <c r="F18" s="47">
        <f>('Balance Sheet 2019-2024'!F23/'Profit &amp; Loss from 2019-24'!I10)*365</f>
        <v>128.94571290255831</v>
      </c>
      <c r="G18" s="47">
        <f>('Profit &amp; Loss from 2019-24'!F12/'Balance Sheet 2019-2024'!B21)*365</f>
        <v>233.660861337016</v>
      </c>
      <c r="H18" s="49">
        <f>('Profit &amp; Loss from 2019-24'!E12/'Balance Sheet 2019-2024'!C21)*365</f>
        <v>138.26487828050838</v>
      </c>
      <c r="I18" s="49">
        <f>('Profit &amp; Loss from 2019-24'!D12/'Balance Sheet 2019-2024'!D21)*365</f>
        <v>0</v>
      </c>
      <c r="J18" s="49">
        <f>'Profit &amp; Loss from 2019-24'!D12/'Balance Sheet 2019-2024'!D21*365</f>
        <v>0</v>
      </c>
      <c r="K18" s="49">
        <f>'Profit &amp; Loss from 2019-24'!B12/'Balance Sheet 2019-2024'!F21*365</f>
        <v>0</v>
      </c>
    </row>
    <row r="19" spans="1:11" x14ac:dyDescent="0.3">
      <c r="A19" s="111" t="s">
        <v>250</v>
      </c>
      <c r="B19" s="90"/>
      <c r="C19" s="90"/>
      <c r="D19" s="90"/>
      <c r="E19" s="90"/>
      <c r="F19" s="90"/>
      <c r="G19" s="90"/>
      <c r="H19" s="5"/>
      <c r="I19" s="5"/>
      <c r="J19" s="5"/>
      <c r="K19" s="5"/>
    </row>
    <row r="20" spans="1:11" x14ac:dyDescent="0.3">
      <c r="A20" s="33" t="s">
        <v>251</v>
      </c>
      <c r="B20" s="47">
        <f>B25/'Profit &amp; Loss from 2019-24'!M35</f>
        <v>3.2843791722296398</v>
      </c>
      <c r="C20" s="47">
        <f>C25/'Profit &amp; Loss from 2019-24'!L34</f>
        <v>4.9528301886792452</v>
      </c>
      <c r="D20" s="47">
        <f>D25/'Profit &amp; Loss from 2019-24'!K34</f>
        <v>7.2946058091286297</v>
      </c>
      <c r="E20" s="47">
        <f>E25/'Profit &amp; Loss from 2019-24'!J34</f>
        <v>24.075425790754256</v>
      </c>
      <c r="F20" s="47">
        <f>F25/'Profit &amp; Loss from 2019-24'!I34</f>
        <v>37.272727272727273</v>
      </c>
      <c r="G20" s="47">
        <f>G25/'Profit &amp; Loss from 2019-24'!F35</f>
        <v>3.887172284644195</v>
      </c>
      <c r="H20" s="49">
        <f>H25/'Profit &amp; Loss from 2019-24'!E36</f>
        <v>4.4638351555929354</v>
      </c>
      <c r="I20" s="49">
        <f>I25/'Profit &amp; Loss from 2019-24'!D36</f>
        <v>4.121389270976616</v>
      </c>
      <c r="J20" s="49">
        <f>J25/'Profit &amp; Loss from 2019-24'!C36</f>
        <v>6.2327505170144759</v>
      </c>
      <c r="K20" s="49">
        <f>K25/'Profit &amp; Loss from 2019-24'!B36</f>
        <v>10.186338797814207</v>
      </c>
    </row>
    <row r="21" spans="1:11" x14ac:dyDescent="0.3">
      <c r="A21" s="33" t="s">
        <v>252</v>
      </c>
      <c r="B21" s="47">
        <f t="shared" ref="B21:K21" si="0">B25/B26</f>
        <v>1.8250499850805952</v>
      </c>
      <c r="C21" s="47">
        <f t="shared" si="0"/>
        <v>2.772221404533088</v>
      </c>
      <c r="D21" s="47">
        <f t="shared" si="0"/>
        <v>4.1782950301041994</v>
      </c>
      <c r="E21" s="47">
        <f t="shared" si="0"/>
        <v>5.2113618187555932</v>
      </c>
      <c r="F21" s="47">
        <f t="shared" si="0"/>
        <v>9.1683384941255088</v>
      </c>
      <c r="G21" s="47">
        <f t="shared" si="0"/>
        <v>1.0958924357222706</v>
      </c>
      <c r="H21" s="47">
        <f t="shared" si="0"/>
        <v>1.2490382345827591</v>
      </c>
      <c r="I21" s="47">
        <f t="shared" si="0"/>
        <v>1.2545216295804733</v>
      </c>
      <c r="J21" s="47">
        <f t="shared" si="0"/>
        <v>3.2044489127624742</v>
      </c>
      <c r="K21" s="47">
        <f t="shared" si="0"/>
        <v>6.0280867850730449</v>
      </c>
    </row>
    <row r="22" spans="1:11" x14ac:dyDescent="0.3">
      <c r="A22" s="33" t="s">
        <v>26</v>
      </c>
      <c r="B22" s="51">
        <f>(-'Cash Flow Statement from 2019-2'!B52/'Ratio Analysis'!B27)/'Ratio Analysis'!B25</f>
        <v>2.8038981859079036E-3</v>
      </c>
      <c r="C22" s="51">
        <f>(-'Cash Flow Statement from 2019-2'!C52/'Ratio Analysis'!C27)/'Ratio Analysis'!C25</f>
        <v>1.1953945714103312E-3</v>
      </c>
      <c r="D22" s="51">
        <f>(-'Cash Flow Statement from 2019-2'!D52/'Ratio Analysis'!D27)/'Ratio Analysis'!D25</f>
        <v>9.2544112473130118E-4</v>
      </c>
      <c r="E22" s="51">
        <f>(-'Cash Flow Statement from 2019-2'!E53/'Ratio Analysis'!E27)/'Ratio Analysis'!E25</f>
        <v>1.7182246746326315E-2</v>
      </c>
      <c r="F22" s="51">
        <f>(-'Cash Flow Statement from 2019-2'!F53/'Ratio Analysis'!F27)/'Ratio Analysis'!F25</f>
        <v>9.756965089966093E-3</v>
      </c>
      <c r="G22" s="51">
        <f>(-'Cash Flow Statement from 2019-2'!I41/'Ratio Analysis'!G27)/'Ratio Analysis'!G25</f>
        <v>7.8085121372255636E-2</v>
      </c>
      <c r="H22" s="51">
        <f>(-'Cash Flow Statement from 2019-2'!J41/'Ratio Analysis'!H27)/'Ratio Analysis'!H25</f>
        <v>3.622673625522211E-2</v>
      </c>
      <c r="I22" s="51">
        <f>(-'Cash Flow Statement from 2019-2'!K41/'Ratio Analysis'!I27)/'Ratio Analysis'!I25</f>
        <v>3.721632393802473E-2</v>
      </c>
      <c r="J22" s="51">
        <f>(-'Cash Flow Statement from 2019-2'!L41/'Ratio Analysis'!J27)/'Ratio Analysis'!J25</f>
        <v>1.6166698698273734E-2</v>
      </c>
      <c r="K22" s="51">
        <f>(-'Cash Flow Statement from 2019-2'!M41/'Ratio Analysis'!K27)/'Ratio Analysis'!K25</f>
        <v>1.1896797493709444E-2</v>
      </c>
    </row>
    <row r="23" spans="1:11" x14ac:dyDescent="0.3">
      <c r="A23" s="33" t="s">
        <v>25</v>
      </c>
      <c r="B23" s="29">
        <f>((B25*B27)-'Balance Sheet 2019-2024'!B24)/'Profit &amp; Loss from 2019-24'!M21</f>
        <v>6.6276178179470682</v>
      </c>
      <c r="C23" s="57">
        <f>((C25*C27)-'Balance Sheet 2019-2024'!C24)/'Profit &amp; Loss from 2019-24'!L21</f>
        <v>9.4242080407249524</v>
      </c>
      <c r="D23" s="57">
        <f>((D25*D27)-'Balance Sheet 2019-2024'!D24)/'Profit &amp; Loss from 2019-24'!K21</f>
        <v>15.865999619988598</v>
      </c>
      <c r="E23" s="57">
        <f>((E25*E27)-'Balance Sheet 2019-2024'!E24)/'Profit &amp; Loss from 2019-24'!J21</f>
        <v>17.16106407219289</v>
      </c>
      <c r="F23" s="57">
        <f>((F25*F27)-'Balance Sheet 2019-2024'!F24)/'Profit &amp; Loss from 2019-24'!I21</f>
        <v>27.864449926516897</v>
      </c>
      <c r="G23" s="57">
        <f>((G25*G27)-'Balance Sheet 2019-2024'!I41)/'Profit &amp; Loss from 2019-24'!F21</f>
        <v>-3.2707787986999972</v>
      </c>
      <c r="H23" s="58">
        <f>((H25*H27)-'Balance Sheet 2019-2024'!J41)/'Profit &amp; Loss from 2019-24'!E21</f>
        <v>-5.1257233273056046</v>
      </c>
      <c r="I23" s="58">
        <f>((I25*I27)-'Balance Sheet 2019-2024'!K41)/'Profit &amp; Loss from 2019-24'!D21</f>
        <v>-8.4419278976940486</v>
      </c>
      <c r="J23" s="58">
        <f>((J25*J27)-'Balance Sheet 2019-2024'!L41)/'Profit &amp; Loss from 2019-24'!C21</f>
        <v>7.0213036877417645E-2</v>
      </c>
      <c r="K23" s="58">
        <f>((K25*K27)-'Balance Sheet 2019-2024'!M41)/'Profit &amp; Loss from 2019-24'!B21</f>
        <v>9.5176482298547995</v>
      </c>
    </row>
    <row r="24" spans="1:11" x14ac:dyDescent="0.3">
      <c r="A24" s="33"/>
      <c r="B24" s="29"/>
      <c r="C24" s="57"/>
      <c r="D24" s="57"/>
      <c r="E24" s="57"/>
      <c r="F24" s="57"/>
      <c r="G24" s="57"/>
      <c r="H24" s="58"/>
      <c r="I24" s="58"/>
      <c r="J24" s="58"/>
      <c r="K24" s="58"/>
    </row>
    <row r="25" spans="1:11" x14ac:dyDescent="0.3">
      <c r="A25" s="33" t="s">
        <v>254</v>
      </c>
      <c r="B25" s="47">
        <v>24.6</v>
      </c>
      <c r="C25" s="47">
        <v>42</v>
      </c>
      <c r="D25" s="47">
        <v>70.319999999999993</v>
      </c>
      <c r="E25" s="47">
        <v>98.95</v>
      </c>
      <c r="F25" s="47">
        <v>205</v>
      </c>
      <c r="G25" s="47">
        <v>83.03</v>
      </c>
      <c r="H25" s="49">
        <v>106.15</v>
      </c>
      <c r="I25" s="49">
        <v>119.85</v>
      </c>
      <c r="J25" s="49">
        <v>331.52</v>
      </c>
      <c r="K25" s="49">
        <v>932.05</v>
      </c>
    </row>
    <row r="26" spans="1:11" x14ac:dyDescent="0.3">
      <c r="A26" s="33" t="s">
        <v>255</v>
      </c>
      <c r="B26" s="47">
        <f>'Balance Sheet 2019-2024'!B36/'Ratio Analysis'!B27</f>
        <v>13.479082875044462</v>
      </c>
      <c r="C26" s="47">
        <f>'Balance Sheet 2019-2024'!C36/'Ratio Analysis'!C27</f>
        <v>15.150305069906153</v>
      </c>
      <c r="D26" s="47">
        <f>'Balance Sheet 2019-2024'!D36/'Ratio Analysis'!D27</f>
        <v>16.829831185531752</v>
      </c>
      <c r="E26" s="47">
        <f>'Balance Sheet 2019-2024'!E36/'Ratio Analysis'!E27</f>
        <v>18.987359435278666</v>
      </c>
      <c r="F26" s="47">
        <f>'Balance Sheet 2019-2024'!F36/'Ratio Analysis'!F27</f>
        <v>22.359558401050641</v>
      </c>
      <c r="G26" s="47">
        <f>'Balance Sheet 2019-2024'!I9/'Ratio Analysis'!G27</f>
        <v>75.764735017335312</v>
      </c>
      <c r="H26" s="47">
        <f>'Balance Sheet 2019-2024'!J9/'Ratio Analysis'!H27</f>
        <v>84.98538880633977</v>
      </c>
      <c r="I26" s="47">
        <f>'Balance Sheet 2019-2024'!K9/'Ratio Analysis'!I27</f>
        <v>95.534422981674084</v>
      </c>
      <c r="J26" s="47">
        <f>'Balance Sheet 2019-2024'!L9/'Ratio Analysis'!J27</f>
        <v>103.4561664190193</v>
      </c>
      <c r="K26" s="47">
        <f>'Balance Sheet 2019-2024'!M9/'Ratio Analysis'!K27</f>
        <v>154.61788013868249</v>
      </c>
    </row>
    <row r="27" spans="1:11" x14ac:dyDescent="0.3">
      <c r="A27" s="33" t="s">
        <v>258</v>
      </c>
      <c r="B27" s="48">
        <v>730.98</v>
      </c>
      <c r="C27" s="48">
        <v>730.98</v>
      </c>
      <c r="D27" s="48">
        <v>730.98</v>
      </c>
      <c r="E27" s="48">
        <v>730.98</v>
      </c>
      <c r="F27" s="48">
        <v>730.98</v>
      </c>
      <c r="G27" s="48">
        <v>40.380000000000003</v>
      </c>
      <c r="H27" s="48">
        <v>40.380000000000003</v>
      </c>
      <c r="I27" s="48">
        <v>40.380000000000003</v>
      </c>
      <c r="J27" s="48">
        <v>40.380000000000003</v>
      </c>
      <c r="K27" s="48">
        <v>40.380000000000003</v>
      </c>
    </row>
    <row r="29" spans="1:11" x14ac:dyDescent="0.3">
      <c r="F29" s="67"/>
    </row>
  </sheetData>
  <mergeCells count="7">
    <mergeCell ref="A1:K1"/>
    <mergeCell ref="A19:G19"/>
    <mergeCell ref="B2:F2"/>
    <mergeCell ref="G2:K2"/>
    <mergeCell ref="A9:G9"/>
    <mergeCell ref="A12:G12"/>
    <mergeCell ref="A15:G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90CF6-5078-4E2E-B8C0-7AD05AB228BD}">
  <dimension ref="A1:M28"/>
  <sheetViews>
    <sheetView topLeftCell="A15" workbookViewId="0">
      <selection activeCell="B21" sqref="B21"/>
    </sheetView>
  </sheetViews>
  <sheetFormatPr defaultRowHeight="14.4" x14ac:dyDescent="0.3"/>
  <cols>
    <col min="1" max="1" width="19.33203125" style="60" bestFit="1" customWidth="1"/>
    <col min="2" max="2" width="16.77734375" style="2" bestFit="1" customWidth="1"/>
    <col min="3" max="5" width="10.33203125" style="2" bestFit="1" customWidth="1"/>
    <col min="6" max="6" width="11.33203125" style="2" bestFit="1" customWidth="1"/>
    <col min="7" max="7" width="7.5546875" style="2" bestFit="1" customWidth="1"/>
    <col min="8" max="8" width="16.77734375" style="2" bestFit="1" customWidth="1"/>
    <col min="9" max="12" width="8.88671875" style="2"/>
    <col min="13" max="13" width="8.21875" style="2" bestFit="1" customWidth="1"/>
  </cols>
  <sheetData>
    <row r="1" spans="1:13" x14ac:dyDescent="0.3">
      <c r="A1" s="63"/>
      <c r="B1" s="101" t="e" vm="6">
        <v>#VALUE!</v>
      </c>
      <c r="C1" s="101"/>
      <c r="D1" s="101"/>
      <c r="E1" s="101"/>
      <c r="F1" s="101"/>
      <c r="G1" s="101"/>
      <c r="H1" s="101" t="e" vm="7">
        <v>#VALUE!</v>
      </c>
      <c r="I1" s="101"/>
      <c r="J1" s="101"/>
      <c r="K1" s="101"/>
      <c r="L1" s="101"/>
      <c r="M1" s="101"/>
    </row>
    <row r="2" spans="1:13" ht="27.6" customHeight="1" x14ac:dyDescent="0.3">
      <c r="A2" s="63" t="s">
        <v>281</v>
      </c>
      <c r="C2" s="86"/>
      <c r="D2" s="85" cm="1">
        <f t="array" aca="1" ref="D2" ca="1">_FV(B1,"Price")</f>
        <v>377.2</v>
      </c>
      <c r="E2" s="86"/>
      <c r="F2" s="86"/>
      <c r="G2" s="87"/>
      <c r="I2" s="86"/>
      <c r="J2" s="85" cm="1">
        <f t="array" aca="1" ref="J2" ca="1">_FV(H1,"Price")</f>
        <v>2721.8</v>
      </c>
      <c r="K2" s="86"/>
      <c r="L2" s="86"/>
      <c r="M2" s="87"/>
    </row>
    <row r="3" spans="1:13" ht="27.6" customHeight="1" x14ac:dyDescent="0.3">
      <c r="A3" s="63" t="s">
        <v>282</v>
      </c>
      <c r="B3" s="113">
        <f>'Ratio Analysis'!F25</f>
        <v>205</v>
      </c>
      <c r="C3" s="114"/>
      <c r="D3" s="114"/>
      <c r="E3" s="114"/>
      <c r="F3" s="114"/>
      <c r="G3" s="115"/>
      <c r="H3" s="113">
        <f>'Ratio Analysis'!K25</f>
        <v>932.05</v>
      </c>
      <c r="I3" s="114"/>
      <c r="J3" s="114"/>
      <c r="K3" s="114"/>
      <c r="L3" s="114"/>
      <c r="M3" s="115"/>
    </row>
    <row r="4" spans="1:13" ht="27.6" customHeight="1" x14ac:dyDescent="0.3">
      <c r="A4" s="63" t="s">
        <v>280</v>
      </c>
      <c r="B4" s="116">
        <f ca="1">(D2-B3)/B3</f>
        <v>0.84</v>
      </c>
      <c r="C4" s="117"/>
      <c r="D4" s="117"/>
      <c r="E4" s="117"/>
      <c r="F4" s="117"/>
      <c r="G4" s="118"/>
      <c r="H4" s="116">
        <f ca="1">(J2-H3)/H3</f>
        <v>1.9202296014162334</v>
      </c>
      <c r="I4" s="117"/>
      <c r="J4" s="117"/>
      <c r="K4" s="117"/>
      <c r="L4" s="117"/>
      <c r="M4" s="118"/>
    </row>
    <row r="5" spans="1:13" s="61" customFormat="1" ht="28.8" x14ac:dyDescent="0.3">
      <c r="A5" s="63" t="s">
        <v>267</v>
      </c>
      <c r="B5" s="6">
        <v>2020</v>
      </c>
      <c r="C5" s="6">
        <v>2021</v>
      </c>
      <c r="D5" s="6">
        <v>2022</v>
      </c>
      <c r="E5" s="6">
        <v>2023</v>
      </c>
      <c r="F5" s="6">
        <v>2024</v>
      </c>
      <c r="G5" s="6" t="s">
        <v>263</v>
      </c>
      <c r="H5" s="6">
        <v>2020</v>
      </c>
      <c r="I5" s="6">
        <v>2021</v>
      </c>
      <c r="J5" s="6">
        <v>2022</v>
      </c>
      <c r="K5" s="6">
        <v>2023</v>
      </c>
      <c r="L5" s="6">
        <v>2024</v>
      </c>
      <c r="M5" s="6" t="s">
        <v>263</v>
      </c>
    </row>
    <row r="6" spans="1:13" x14ac:dyDescent="0.3">
      <c r="A6" s="63" t="s">
        <v>260</v>
      </c>
      <c r="B6" s="53"/>
      <c r="C6" s="53">
        <f>('Profit &amp; Loss from 2019-24'!L10-'Profit &amp; Loss from 2019-24'!M10)/'Profit &amp; Loss from 2019-24'!M10</f>
        <v>8.5930510818416114E-2</v>
      </c>
      <c r="D6" s="53">
        <f>('Profit &amp; Loss from 2019-24'!K10-'Profit &amp; Loss from 2019-24'!L10)/'Profit &amp; Loss from 2019-24'!L10</f>
        <v>9.5660796071580345E-2</v>
      </c>
      <c r="E6" s="53">
        <f>('Profit &amp; Loss from 2019-24'!J10-'Profit &amp; Loss from 2019-24'!K10)/'Profit &amp; Loss from 2019-24'!K10</f>
        <v>0.15815364033098894</v>
      </c>
      <c r="F6" s="53">
        <f>('Profit &amp; Loss from 2019-24'!I10-'Profit &amp; Loss from 2019-24'!J10)/'Profit &amp; Loss from 2019-24'!J10</f>
        <v>0.16211120379513291</v>
      </c>
      <c r="G6" s="68">
        <f>AVERAGE(C6:F6)</f>
        <v>0.12546403775402959</v>
      </c>
      <c r="H6" s="33"/>
      <c r="I6" s="53">
        <f>('Profit &amp; Loss from 2019-24'!E10-'Profit &amp; Loss from 2019-24'!F10)/'Profit &amp; Loss from 2019-24'!F10</f>
        <v>-0.1650130435096796</v>
      </c>
      <c r="J6" s="53">
        <f>('Profit &amp; Loss from 2019-24'!D10-'Profit &amp; Loss from 2019-24'!E10)/'Profit &amp; Loss from 2019-24'!E10</f>
        <v>0.33427450064042646</v>
      </c>
      <c r="K6" s="53">
        <f>('Profit &amp; Loss from 2019-24'!C10-'Profit &amp; Loss from 2019-24'!D10)/'Profit &amp; Loss from 2019-24'!D10</f>
        <v>0.38491724380605524</v>
      </c>
      <c r="L6" s="53">
        <f>('Profit &amp; Loss from 2019-24'!B10-'Profit &amp; Loss from 2019-24'!C10)/'Profit &amp; Loss from 2019-24'!C10</f>
        <v>0.24166048057175915</v>
      </c>
      <c r="M6" s="47">
        <f>AVERAGE(I6:L6)</f>
        <v>0.19895979537714031</v>
      </c>
    </row>
    <row r="7" spans="1:13" x14ac:dyDescent="0.3">
      <c r="A7" s="63" t="s">
        <v>261</v>
      </c>
      <c r="B7" s="53">
        <f>'Ratio Analysis'!B5</f>
        <v>0.18966761485168426</v>
      </c>
      <c r="C7" s="53">
        <f>'Ratio Analysis'!C5</f>
        <v>0.20682343041861376</v>
      </c>
      <c r="D7" s="53">
        <f>'Ratio Analysis'!D5</f>
        <v>0.20310856834122859</v>
      </c>
      <c r="E7" s="53">
        <f>'Ratio Analysis'!E5</f>
        <v>0.22130574879125101</v>
      </c>
      <c r="F7" s="53">
        <f>'Ratio Analysis'!F5</f>
        <v>0.25493435436551953</v>
      </c>
      <c r="G7" s="68">
        <f>AVERAGE(B7:F7)</f>
        <v>0.21516794335365944</v>
      </c>
      <c r="H7" s="53">
        <f>'Ratio Analysis'!G5</f>
        <v>0.13507620155654951</v>
      </c>
      <c r="I7" s="53">
        <f>'Ratio Analysis'!H5</f>
        <v>0.15793436493924604</v>
      </c>
      <c r="J7" s="53">
        <f>'Ratio Analysis'!I5</f>
        <v>0.127561452980504</v>
      </c>
      <c r="K7" s="53">
        <f>'Ratio Analysis'!J5</f>
        <v>0.16735591862923943</v>
      </c>
      <c r="L7" s="53">
        <f>'Ratio Analysis'!K5</f>
        <v>0.23210493559398751</v>
      </c>
      <c r="M7" s="47">
        <f>AVERAGE(H7:L7)</f>
        <v>0.16400657473990526</v>
      </c>
    </row>
    <row r="8" spans="1:13" ht="28.8" x14ac:dyDescent="0.3">
      <c r="A8" s="63" t="s">
        <v>262</v>
      </c>
      <c r="B8" s="53">
        <f>(-'Cash Flow Statement from 2019-2'!B44)/'Profit &amp; Loss from 2019-24'!M10</f>
        <v>5.7134460900569145E-2</v>
      </c>
      <c r="C8" s="53">
        <f>(-'Cash Flow Statement from 2019-2'!C44)/'Profit &amp; Loss from 2019-24'!L10</f>
        <v>3.3069225852417873E-2</v>
      </c>
      <c r="D8" s="53">
        <f>(-'Cash Flow Statement from 2019-2'!D42)/'Profit &amp; Loss from 2019-24'!K10</f>
        <v>3.5669101165150326E-2</v>
      </c>
      <c r="E8" s="53">
        <f>(-'Cash Flow Statement from 2019-2'!E42)/'Profit &amp; Loss from 2019-24'!J10</f>
        <v>3.2791446511261112E-2</v>
      </c>
      <c r="F8" s="53">
        <f>(-'Cash Flow Statement from 2019-2'!F42)/'Profit &amp; Loss from 2019-24'!I10</f>
        <v>3.1183886628725226E-2</v>
      </c>
      <c r="G8" s="68">
        <f>AVERAGE(B8:F8)</f>
        <v>3.7969624211624739E-2</v>
      </c>
      <c r="H8" s="53">
        <f>(-'Cash Flow Statement from 2019-2'!I29)/'Profit &amp; Loss from 2019-24'!F10</f>
        <v>1.9782054154050717E-2</v>
      </c>
      <c r="I8" s="53">
        <f>(-'Cash Flow Statement from 2019-2'!J29)/'Profit &amp; Loss from 2019-24'!E10</f>
        <v>9.0654965901616636E-3</v>
      </c>
      <c r="J8" s="53">
        <f>(-'Cash Flow Statement from 2019-2'!K29)/'Profit &amp; Loss from 2019-24'!D10</f>
        <v>5.190605992304087E-3</v>
      </c>
      <c r="K8" s="53">
        <f>(-'Cash Flow Statement from 2019-2'!L29)/'Profit &amp; Loss from 2019-24'!C10</f>
        <v>1.5873480503848649E-2</v>
      </c>
      <c r="L8" s="53">
        <f>'Cash Flow Statement from 2019-2'!M29/'Profit &amp; Loss from 2019-24'!B10</f>
        <v>9.7155951190992587E-3</v>
      </c>
      <c r="M8" s="47">
        <f t="shared" ref="M8" si="0">AVERAGE(H8:L8)</f>
        <v>1.1925446471892875E-2</v>
      </c>
    </row>
    <row r="9" spans="1:13" ht="28.8" x14ac:dyDescent="0.3">
      <c r="A9" s="63" t="s">
        <v>264</v>
      </c>
      <c r="B9" s="51">
        <f>'Profit &amp; Loss from 2019-24'!M17/'Profit &amp; Loss from 2019-24'!M10</f>
        <v>2.8457795052754749E-2</v>
      </c>
      <c r="C9" s="51">
        <f>'Profit &amp; Loss from 2019-24'!L17/'Profit &amp; Loss from 2019-24'!L10</f>
        <v>2.5816195005895024E-2</v>
      </c>
      <c r="D9" s="51">
        <f>'Profit &amp; Loss from 2019-24'!K17/'Profit &amp; Loss from 2019-24'!K10</f>
        <v>2.4453041836711722E-2</v>
      </c>
      <c r="E9" s="51">
        <f>'Profit &amp; Loss from 2019-24'!J17/'Profit &amp; Loss from 2019-24'!J10</f>
        <v>2.2651617052329695E-2</v>
      </c>
      <c r="F9" s="51">
        <f>'Profit &amp; Loss from 2019-24'!I17/'Profit &amp; Loss from 2019-24'!I10</f>
        <v>1.9709699726120095E-2</v>
      </c>
      <c r="G9" s="68">
        <f>AVERAGE(B9:F9)</f>
        <v>2.4217669734762255E-2</v>
      </c>
      <c r="H9" s="51">
        <f>'Profit &amp; Loss from 2019-24'!F17/'Profit &amp; Loss from 2019-24'!F10</f>
        <v>1.2409399998554735E-2</v>
      </c>
      <c r="I9" s="51">
        <f>'Profit &amp; Loss from 2019-24'!E17/'Profit &amp; Loss from 2019-24'!E10</f>
        <v>1.2905891923702704E-2</v>
      </c>
      <c r="J9" s="51">
        <f>'Profit &amp; Loss from 2019-24'!D17/'Profit &amp; Loss from 2019-24'!D10</f>
        <v>1.2082225944597864E-2</v>
      </c>
      <c r="K9" s="51">
        <f>'Profit &amp; Loss from 2019-24'!C17/'Profit &amp; Loss from 2019-24'!C10</f>
        <v>8.8494331819789097E-3</v>
      </c>
      <c r="L9" s="51">
        <f>'Profit &amp; Loss from 2019-24'!B17/'Profit &amp; Loss from 2019-24'!B10</f>
        <v>7.8390509778775239E-3</v>
      </c>
      <c r="M9" s="47">
        <f>AVERAGE(H9:L9)</f>
        <v>1.0817200405342346E-2</v>
      </c>
    </row>
    <row r="10" spans="1:13" x14ac:dyDescent="0.3">
      <c r="A10" s="63" t="s">
        <v>266</v>
      </c>
      <c r="B10" s="64">
        <f>('Balance Sheet 2019-2024'!B30-'Balance Sheet 2019-2024'!B58)</f>
        <v>5816.5599999999995</v>
      </c>
      <c r="C10" s="64">
        <f>('Balance Sheet 2019-2024'!C30-'Balance Sheet 2019-2024'!C58)</f>
        <v>6883.7600000000057</v>
      </c>
      <c r="D10" s="64">
        <f>('Balance Sheet 2019-2024'!D30-'Balance Sheet 2019-2024'!D58)</f>
        <v>7712.6700000000019</v>
      </c>
      <c r="E10" s="64">
        <f>('Balance Sheet 2019-2024'!E30-'Balance Sheet 2019-2024'!E58)</f>
        <v>9481.9600000000028</v>
      </c>
      <c r="F10" s="64">
        <f>('Balance Sheet 2019-2024'!F30-'Balance Sheet 2019-2024'!F58)</f>
        <v>12036.250000000007</v>
      </c>
      <c r="G10" s="68"/>
      <c r="H10" s="65">
        <f>('Balance Sheet 2019-2024'!I47-'Balance Sheet 2019-2024'!I22)</f>
        <v>1612.0499999999993</v>
      </c>
      <c r="I10" s="65">
        <f>('Balance Sheet 2019-2024'!J47-'Balance Sheet 2019-2024'!J22)</f>
        <v>1301.4700000000012</v>
      </c>
      <c r="J10" s="65">
        <f>('Balance Sheet 2019-2024'!K47-'Balance Sheet 2019-2024'!K22)</f>
        <v>1345.5000000000036</v>
      </c>
      <c r="K10" s="65">
        <f>('Balance Sheet 2019-2024'!L47-'Balance Sheet 2019-2024'!L22)</f>
        <v>1945.3400000000001</v>
      </c>
      <c r="L10" s="65">
        <f>('Balance Sheet 2019-2024'!M47-'Balance Sheet 2019-2024'!M22)</f>
        <v>3153.8400000000038</v>
      </c>
      <c r="M10" s="47"/>
    </row>
    <row r="11" spans="1:13" ht="28.8" x14ac:dyDescent="0.3">
      <c r="A11" s="63" t="s">
        <v>265</v>
      </c>
      <c r="B11" s="51"/>
      <c r="C11" s="66">
        <f>(C10-B10)/'Profit &amp; Loss from 2019-24'!L10</f>
        <v>7.5208263888546747E-2</v>
      </c>
      <c r="D11" s="51">
        <f>(D10-C10)/'Profit &amp; Loss from 2019-24'!K10</f>
        <v>5.331519519403604E-2</v>
      </c>
      <c r="E11" s="51">
        <f>(E10-D10)/'Profit &amp; Loss from 2019-24'!J10</f>
        <v>9.8259934622591569E-2</v>
      </c>
      <c r="F11" s="51">
        <f>(F10-E10)/'Profit &amp; Loss from 2019-24'!I10</f>
        <v>0.12206747548294593</v>
      </c>
      <c r="G11" s="84">
        <f>AVERAGE(C11:F11)</f>
        <v>8.7212717297030076E-2</v>
      </c>
      <c r="H11" s="51"/>
      <c r="I11" s="51">
        <f>(I10-H10)/'Profit &amp; Loss from 2019-24'!E10</f>
        <v>-6.7197182123446123E-2</v>
      </c>
      <c r="J11" s="51">
        <f>(J10-I10)/'Profit &amp; Loss from 2019-24'!D10</f>
        <v>7.1397182705767517E-3</v>
      </c>
      <c r="K11" s="51">
        <f>(K10-J10)/'Profit &amp; Loss from 2019-24'!C10</f>
        <v>7.0233448000505405E-2</v>
      </c>
      <c r="L11" s="51">
        <f>(L10-K10)/'Profit &amp; Loss from 2019-24'!B10</f>
        <v>0.11395997963148102</v>
      </c>
      <c r="M11" s="72">
        <f>AVERAGE(I11:L11)</f>
        <v>3.1033990944779266E-2</v>
      </c>
    </row>
    <row r="13" spans="1:13" x14ac:dyDescent="0.3">
      <c r="A13" s="63" t="s">
        <v>259</v>
      </c>
      <c r="B13" s="33"/>
      <c r="C13" s="33"/>
      <c r="D13" s="33"/>
      <c r="E13" s="33"/>
      <c r="F13" s="33"/>
      <c r="G13" s="33"/>
      <c r="H13" s="33"/>
      <c r="I13" s="33"/>
      <c r="J13" s="33"/>
      <c r="K13" s="33"/>
      <c r="L13" s="33"/>
      <c r="M13" s="33"/>
    </row>
    <row r="14" spans="1:13" x14ac:dyDescent="0.3">
      <c r="A14" s="63" t="s">
        <v>268</v>
      </c>
      <c r="B14" s="113">
        <f>G6</f>
        <v>0.12546403775402959</v>
      </c>
      <c r="C14" s="114"/>
      <c r="D14" s="114"/>
      <c r="E14" s="114"/>
      <c r="F14" s="114"/>
      <c r="G14" s="115"/>
      <c r="H14" s="113">
        <f>M6</f>
        <v>0.19895979537714031</v>
      </c>
      <c r="I14" s="114"/>
      <c r="J14" s="114"/>
      <c r="K14" s="114"/>
      <c r="L14" s="114"/>
      <c r="M14" s="115"/>
    </row>
    <row r="15" spans="1:13" x14ac:dyDescent="0.3">
      <c r="A15" s="63" t="s">
        <v>261</v>
      </c>
      <c r="B15" s="113">
        <f>G7</f>
        <v>0.21516794335365944</v>
      </c>
      <c r="C15" s="114"/>
      <c r="D15" s="114"/>
      <c r="E15" s="114"/>
      <c r="F15" s="114"/>
      <c r="G15" s="115"/>
      <c r="H15" s="113">
        <f>M7</f>
        <v>0.16400657473990526</v>
      </c>
      <c r="I15" s="114"/>
      <c r="J15" s="114"/>
      <c r="K15" s="114"/>
      <c r="L15" s="114"/>
      <c r="M15" s="115"/>
    </row>
    <row r="16" spans="1:13" ht="28.8" x14ac:dyDescent="0.3">
      <c r="A16" s="63" t="s">
        <v>264</v>
      </c>
      <c r="B16" s="113">
        <f>G9</f>
        <v>2.4217669734762255E-2</v>
      </c>
      <c r="C16" s="114"/>
      <c r="D16" s="114"/>
      <c r="E16" s="114"/>
      <c r="F16" s="114"/>
      <c r="G16" s="115"/>
      <c r="H16" s="113">
        <f>M9</f>
        <v>1.0817200405342346E-2</v>
      </c>
      <c r="I16" s="114"/>
      <c r="J16" s="114"/>
      <c r="K16" s="114"/>
      <c r="L16" s="114"/>
      <c r="M16" s="115"/>
    </row>
    <row r="17" spans="1:13" ht="28.8" x14ac:dyDescent="0.3">
      <c r="A17" s="63" t="s">
        <v>269</v>
      </c>
      <c r="B17" s="113">
        <f>G8</f>
        <v>3.7969624211624739E-2</v>
      </c>
      <c r="C17" s="114"/>
      <c r="D17" s="114"/>
      <c r="E17" s="114"/>
      <c r="F17" s="114"/>
      <c r="G17" s="115"/>
      <c r="H17" s="113">
        <f>M8</f>
        <v>1.1925446471892875E-2</v>
      </c>
      <c r="I17" s="114"/>
      <c r="J17" s="114"/>
      <c r="K17" s="114"/>
      <c r="L17" s="114"/>
      <c r="M17" s="115"/>
    </row>
    <row r="18" spans="1:13" ht="28.8" x14ac:dyDescent="0.3">
      <c r="A18" s="63" t="s">
        <v>270</v>
      </c>
      <c r="B18" s="126">
        <f>G11</f>
        <v>8.7212717297030076E-2</v>
      </c>
      <c r="C18" s="120"/>
      <c r="D18" s="120"/>
      <c r="E18" s="120"/>
      <c r="F18" s="120"/>
      <c r="G18" s="121"/>
      <c r="H18" s="126">
        <f>M11</f>
        <v>3.1033990944779266E-2</v>
      </c>
      <c r="I18" s="120"/>
      <c r="J18" s="120"/>
      <c r="K18" s="120"/>
      <c r="L18" s="120"/>
      <c r="M18" s="121"/>
    </row>
    <row r="19" spans="1:13" x14ac:dyDescent="0.3">
      <c r="A19" s="63" t="s">
        <v>271</v>
      </c>
      <c r="B19" s="69">
        <f>'Profit &amp; Loss from 2019-24'!I27/'Profit &amp; Loss from 2019-24'!I22</f>
        <v>0.24642332263579375</v>
      </c>
      <c r="C19" s="70"/>
      <c r="D19" s="70"/>
      <c r="E19" s="70"/>
      <c r="F19" s="70"/>
      <c r="G19" s="71"/>
      <c r="H19" s="69">
        <f>'Profit &amp; Loss from 2019-24'!B28/'Profit &amp; Loss from 2019-24'!B23</f>
        <v>0.25024579707318662</v>
      </c>
      <c r="I19" s="70"/>
      <c r="J19" s="70"/>
      <c r="K19" s="70"/>
      <c r="L19" s="70"/>
      <c r="M19" s="71"/>
    </row>
    <row r="20" spans="1:13" x14ac:dyDescent="0.3">
      <c r="A20" s="63" t="s">
        <v>272</v>
      </c>
      <c r="B20" s="69">
        <v>7.0000000000000007E-2</v>
      </c>
      <c r="C20" s="70"/>
      <c r="D20" s="70"/>
      <c r="E20" s="70"/>
      <c r="F20" s="70"/>
      <c r="G20" s="71"/>
      <c r="H20" s="69">
        <v>7.0000000000000007E-2</v>
      </c>
      <c r="I20" s="70"/>
      <c r="J20" s="70"/>
      <c r="K20" s="70"/>
      <c r="L20" s="70"/>
      <c r="M20" s="71"/>
    </row>
    <row r="21" spans="1:13" ht="28.8" x14ac:dyDescent="0.3">
      <c r="A21" s="63" t="s">
        <v>273</v>
      </c>
      <c r="B21" s="73">
        <f>(12%-B20)</f>
        <v>4.9999999999999989E-2</v>
      </c>
      <c r="C21" s="74"/>
      <c r="D21" s="74"/>
      <c r="E21" s="74"/>
      <c r="F21" s="74"/>
      <c r="G21" s="75"/>
      <c r="H21" s="73">
        <f>(12%-H20)</f>
        <v>4.9999999999999989E-2</v>
      </c>
      <c r="I21" s="74"/>
      <c r="J21" s="74"/>
      <c r="K21" s="74"/>
      <c r="L21" s="74"/>
      <c r="M21" s="75"/>
    </row>
    <row r="22" spans="1:13" x14ac:dyDescent="0.3">
      <c r="A22" s="63" t="s">
        <v>274</v>
      </c>
      <c r="B22" s="76" cm="1">
        <f t="array" aca="1" ref="B22" ca="1">_FV(B1,"Beta")</f>
        <v>1.2018</v>
      </c>
      <c r="C22" s="77"/>
      <c r="D22" s="77"/>
      <c r="E22" s="77"/>
      <c r="F22" s="77"/>
      <c r="G22" s="78"/>
      <c r="H22" s="76" cm="1">
        <f t="array" aca="1" ref="H22" ca="1">_FV(H1,"Beta")</f>
        <v>1.6984999999999999</v>
      </c>
      <c r="I22" s="77"/>
      <c r="J22" s="77"/>
      <c r="K22" s="77"/>
      <c r="L22" s="77"/>
      <c r="M22" s="78"/>
    </row>
    <row r="23" spans="1:13" ht="28.8" x14ac:dyDescent="0.3">
      <c r="A23" s="63" t="s">
        <v>275</v>
      </c>
      <c r="B23" s="69">
        <v>3.5000000000000003E-2</v>
      </c>
      <c r="C23" s="70"/>
      <c r="D23" s="70"/>
      <c r="E23" s="70"/>
      <c r="F23" s="70"/>
      <c r="G23" s="71"/>
      <c r="H23" s="69">
        <v>3.5000000000000003E-2</v>
      </c>
      <c r="I23" s="70"/>
      <c r="J23" s="70"/>
      <c r="K23" s="70"/>
      <c r="L23" s="70"/>
      <c r="M23" s="71"/>
    </row>
    <row r="24" spans="1:13" x14ac:dyDescent="0.3">
      <c r="A24" s="63" t="s">
        <v>276</v>
      </c>
      <c r="B24" s="125" cm="1">
        <f t="array" aca="1" ref="B24" ca="1">_FV(B1,"Shares outstanding",TRUE)</f>
        <v>7309779000</v>
      </c>
      <c r="C24" s="120"/>
      <c r="D24" s="120"/>
      <c r="E24" s="120"/>
      <c r="F24" s="120"/>
      <c r="G24" s="121"/>
      <c r="H24" s="125" cm="1">
        <f t="array" aca="1" ref="H24" ca="1">_FV(H1,"Shares outstanding",TRUE)</f>
        <v>403380000</v>
      </c>
      <c r="I24" s="120"/>
      <c r="J24" s="120"/>
      <c r="K24" s="120"/>
      <c r="L24" s="120"/>
      <c r="M24" s="121"/>
    </row>
    <row r="25" spans="1:13" x14ac:dyDescent="0.3">
      <c r="A25" s="60" t="s">
        <v>257</v>
      </c>
      <c r="B25" s="47">
        <v>730.97789999999998</v>
      </c>
      <c r="C25" s="47"/>
      <c r="D25" s="47"/>
      <c r="E25" s="47"/>
      <c r="F25" s="47"/>
      <c r="G25" s="47"/>
      <c r="H25" s="85">
        <v>40.338000000000001</v>
      </c>
      <c r="I25" s="86"/>
      <c r="J25" s="86"/>
      <c r="K25" s="86"/>
      <c r="L25" s="86"/>
      <c r="M25" s="87"/>
    </row>
    <row r="26" spans="1:13" ht="28.8" x14ac:dyDescent="0.3">
      <c r="A26" s="63" t="s">
        <v>277</v>
      </c>
      <c r="B26" s="79" cm="1">
        <f t="array" aca="1" ref="B26" ca="1">_FV(B1,"Market cap",TRUE)</f>
        <v>2800376000000</v>
      </c>
      <c r="C26" s="79"/>
      <c r="D26" s="79"/>
      <c r="E26" s="79"/>
      <c r="F26" s="79"/>
      <c r="G26" s="79"/>
      <c r="H26" s="79" cm="1">
        <f t="array" aca="1" ref="H26" ca="1">_FV(H1,"Market cap",TRUE)</f>
        <v>1117847000000</v>
      </c>
      <c r="I26" s="79"/>
      <c r="J26" s="79"/>
      <c r="K26" s="79"/>
      <c r="L26" s="79"/>
      <c r="M26" s="79"/>
    </row>
    <row r="27" spans="1:13" x14ac:dyDescent="0.3">
      <c r="A27" s="63" t="s">
        <v>257</v>
      </c>
      <c r="B27" s="122">
        <v>298421.7</v>
      </c>
      <c r="C27" s="123"/>
      <c r="D27" s="123"/>
      <c r="E27" s="123"/>
      <c r="F27" s="123"/>
      <c r="G27" s="124"/>
      <c r="H27" s="122">
        <v>131356.70000000001</v>
      </c>
      <c r="I27" s="123"/>
      <c r="J27" s="123"/>
      <c r="K27" s="123"/>
      <c r="L27" s="123"/>
      <c r="M27" s="124"/>
    </row>
    <row r="28" spans="1:13" x14ac:dyDescent="0.3">
      <c r="A28" s="63" t="s">
        <v>278</v>
      </c>
      <c r="B28" s="101" t="s">
        <v>279</v>
      </c>
      <c r="C28" s="101"/>
      <c r="D28" s="101"/>
      <c r="E28" s="101"/>
      <c r="F28" s="101"/>
      <c r="G28" s="101"/>
      <c r="H28" s="119" t="s">
        <v>279</v>
      </c>
      <c r="I28" s="120"/>
      <c r="J28" s="120"/>
      <c r="K28" s="120"/>
      <c r="L28" s="120"/>
      <c r="M28" s="121"/>
    </row>
  </sheetData>
  <mergeCells count="22">
    <mergeCell ref="B18:G18"/>
    <mergeCell ref="H18:M18"/>
    <mergeCell ref="B17:G17"/>
    <mergeCell ref="H17:M17"/>
    <mergeCell ref="H16:M16"/>
    <mergeCell ref="H28:M28"/>
    <mergeCell ref="B27:G27"/>
    <mergeCell ref="H27:M27"/>
    <mergeCell ref="B24:G24"/>
    <mergeCell ref="H24:M24"/>
    <mergeCell ref="B28:G28"/>
    <mergeCell ref="B3:G3"/>
    <mergeCell ref="B4:G4"/>
    <mergeCell ref="B16:G16"/>
    <mergeCell ref="H1:M1"/>
    <mergeCell ref="B1:G1"/>
    <mergeCell ref="H3:M3"/>
    <mergeCell ref="H4:M4"/>
    <mergeCell ref="B15:G15"/>
    <mergeCell ref="H15:M15"/>
    <mergeCell ref="B14:G14"/>
    <mergeCell ref="H14:M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56DE5-7018-4DED-86F2-8D951C488A06}">
  <dimension ref="A1:I23"/>
  <sheetViews>
    <sheetView tabSelected="1" topLeftCell="B7" workbookViewId="0">
      <selection activeCell="H11" sqref="H11"/>
    </sheetView>
  </sheetViews>
  <sheetFormatPr defaultRowHeight="14.4" x14ac:dyDescent="0.3"/>
  <cols>
    <col min="1" max="1" width="17.88671875" customWidth="1"/>
    <col min="2" max="2" width="10.33203125" bestFit="1" customWidth="1"/>
    <col min="3" max="4" width="9.88671875" bestFit="1" customWidth="1"/>
    <col min="5" max="5" width="10.5546875" bestFit="1" customWidth="1"/>
    <col min="6" max="9" width="9.88671875" bestFit="1" customWidth="1"/>
  </cols>
  <sheetData>
    <row r="1" spans="1:9" x14ac:dyDescent="0.3">
      <c r="A1" s="102" t="s">
        <v>293</v>
      </c>
      <c r="B1" s="102"/>
      <c r="C1" s="102"/>
      <c r="D1" s="102"/>
      <c r="E1" s="102"/>
      <c r="F1" s="102"/>
      <c r="G1" s="102"/>
      <c r="H1" s="102"/>
    </row>
    <row r="2" spans="1:9" ht="28.8" x14ac:dyDescent="0.3">
      <c r="A2" s="5" t="s">
        <v>283</v>
      </c>
      <c r="B2" s="5">
        <v>2024</v>
      </c>
      <c r="C2" s="50" t="s">
        <v>294</v>
      </c>
      <c r="D2" s="5">
        <v>2025</v>
      </c>
      <c r="E2" s="5">
        <v>2026</v>
      </c>
      <c r="F2" s="5">
        <v>2027</v>
      </c>
      <c r="G2" s="5">
        <v>2028</v>
      </c>
      <c r="H2" s="5">
        <v>2029</v>
      </c>
      <c r="I2" s="129"/>
    </row>
    <row r="3" spans="1:9" x14ac:dyDescent="0.3">
      <c r="A3" s="5" t="s">
        <v>285</v>
      </c>
      <c r="B3" s="58">
        <f>'Profit &amp; Loss from 2019-24'!B10</f>
        <v>10604.6</v>
      </c>
      <c r="C3" s="58">
        <f>'Key Assumptions'!M6</f>
        <v>0.19895979537714031</v>
      </c>
      <c r="D3" s="25">
        <f>B3*(1+$C$3)</f>
        <v>12714.489046056422</v>
      </c>
      <c r="E3" s="25">
        <f>D3*(1+$C$3)</f>
        <v>15244.1611849847</v>
      </c>
      <c r="F3" s="25">
        <f t="shared" ref="F3:I3" si="0">E3*(1+$C$3)</f>
        <v>18277.1363750454</v>
      </c>
      <c r="G3" s="25">
        <f t="shared" si="0"/>
        <v>21913.55168830452</v>
      </c>
      <c r="H3" s="25">
        <f t="shared" si="0"/>
        <v>26273.467448195974</v>
      </c>
      <c r="I3" s="130"/>
    </row>
    <row r="4" spans="1:9" x14ac:dyDescent="0.3">
      <c r="A4" s="5" t="s">
        <v>286</v>
      </c>
      <c r="B4" s="58">
        <f>'Profit &amp; Loss from 2019-24'!B21</f>
        <v>2461.38</v>
      </c>
      <c r="C4" s="58">
        <f>'Key Assumptions'!M7</f>
        <v>0.16400657473990526</v>
      </c>
      <c r="D4" s="25">
        <f>D3*$C$4</f>
        <v>2085.2597980117594</v>
      </c>
      <c r="E4" s="25">
        <f t="shared" ref="E4:I4" si="1">E3*$C$4</f>
        <v>2500.142660732356</v>
      </c>
      <c r="F4" s="25">
        <f t="shared" si="1"/>
        <v>2997.5705329253246</v>
      </c>
      <c r="G4" s="25">
        <f t="shared" si="1"/>
        <v>3593.9665527846923</v>
      </c>
      <c r="H4" s="25">
        <f t="shared" si="1"/>
        <v>4309.0214027190214</v>
      </c>
      <c r="I4" s="130"/>
    </row>
    <row r="5" spans="1:9" x14ac:dyDescent="0.3">
      <c r="A5" s="5" t="s">
        <v>287</v>
      </c>
      <c r="B5" s="58">
        <f>'Profit &amp; Loss from 2019-24'!B28</f>
        <v>615.95000000000005</v>
      </c>
      <c r="C5" s="58">
        <f>'Key Assumptions'!B19</f>
        <v>0.24642332263579375</v>
      </c>
      <c r="D5" s="25">
        <f>D4*$C$5</f>
        <v>513.85664798490188</v>
      </c>
      <c r="E5" s="25">
        <f t="shared" ref="E5:I5" si="2">E4*$C$5</f>
        <v>616.0934615211612</v>
      </c>
      <c r="F5" s="25">
        <f t="shared" si="2"/>
        <v>738.67129055860551</v>
      </c>
      <c r="G5" s="25">
        <f t="shared" si="2"/>
        <v>885.63717937911372</v>
      </c>
      <c r="H5" s="25">
        <f t="shared" si="2"/>
        <v>1061.84337136677</v>
      </c>
      <c r="I5" s="130"/>
    </row>
    <row r="6" spans="1:9" x14ac:dyDescent="0.3">
      <c r="A6" s="5" t="s">
        <v>288</v>
      </c>
      <c r="B6" s="58">
        <f>B4-B5</f>
        <v>1845.43</v>
      </c>
      <c r="C6" s="58"/>
      <c r="D6" s="25">
        <f>D4-D5</f>
        <v>1571.4031500268575</v>
      </c>
      <c r="E6" s="25">
        <f t="shared" ref="E6:H6" si="3">E4-E5</f>
        <v>1884.0491992111947</v>
      </c>
      <c r="F6" s="25">
        <f t="shared" si="3"/>
        <v>2258.8992423667191</v>
      </c>
      <c r="G6" s="25">
        <f t="shared" si="3"/>
        <v>2708.3293734055787</v>
      </c>
      <c r="H6" s="25">
        <f t="shared" si="3"/>
        <v>3247.1780313522513</v>
      </c>
      <c r="I6" s="131"/>
    </row>
    <row r="7" spans="1:9" ht="28.8" x14ac:dyDescent="0.3">
      <c r="A7" s="80" t="s">
        <v>289</v>
      </c>
      <c r="B7" s="58">
        <f>'Profit &amp; Loss from 2019-24'!B17</f>
        <v>83.13</v>
      </c>
      <c r="C7" s="81">
        <f>'Key Assumptions'!M9</f>
        <v>1.0817200405342346E-2</v>
      </c>
      <c r="D7" s="25">
        <f>D3*$C$7</f>
        <v>137.53517606272234</v>
      </c>
      <c r="E7" s="25">
        <f t="shared" ref="E7:I7" si="4">E3*$C$7</f>
        <v>164.89914654932053</v>
      </c>
      <c r="F7" s="25">
        <f t="shared" si="4"/>
        <v>197.70744700463842</v>
      </c>
      <c r="G7" s="25">
        <f t="shared" si="4"/>
        <v>237.04328020521811</v>
      </c>
      <c r="H7" s="25">
        <f t="shared" si="4"/>
        <v>284.20536273037442</v>
      </c>
      <c r="I7" s="130"/>
    </row>
    <row r="8" spans="1:9" x14ac:dyDescent="0.3">
      <c r="A8" s="5" t="s">
        <v>290</v>
      </c>
      <c r="B8" s="58">
        <f>('Cash Flow Statement from 2019-2'!M29)</f>
        <v>103.03</v>
      </c>
      <c r="C8" s="81"/>
      <c r="D8" s="25">
        <f>D3*(-'Cash Flow Statement from 2019-2'!I29/'Profit &amp; Loss from 2019-24'!F10)</f>
        <v>251.51871085017277</v>
      </c>
      <c r="E8" s="25">
        <f>E3*(-'Cash Flow Statement from 2019-2'!J29/'Profit &amp; Loss from 2019-24'!E10)</f>
        <v>138.19589124235358</v>
      </c>
      <c r="F8" s="25">
        <f>F3*(-'Cash Flow Statement from 2019-2'!K29/'Profit &amp; Loss from 2019-24'!D10)</f>
        <v>94.869413590469648</v>
      </c>
      <c r="G8" s="25">
        <f>G3*(-'Cash Flow Statement from 2019-2'!L29/'Profit &amp; Loss from 2019-24'!C10)</f>
        <v>347.84433549438143</v>
      </c>
      <c r="H8" s="25">
        <f>H3*('Cash Flow Statement from 2019-2'!M29/'Profit &amp; Loss from 2019-24'!B10)</f>
        <v>255.26237210150606</v>
      </c>
      <c r="I8" s="130"/>
    </row>
    <row r="9" spans="1:9" x14ac:dyDescent="0.3">
      <c r="A9" s="5" t="s">
        <v>291</v>
      </c>
      <c r="B9" s="58">
        <f>('Key Assumptions'!L10-'Key Assumptions'!K10)</f>
        <v>1208.5000000000036</v>
      </c>
      <c r="C9" s="58">
        <f>'Key Assumptions'!M11</f>
        <v>3.1033990944779266E-2</v>
      </c>
      <c r="D9" s="25">
        <f>D3*C9</f>
        <v>394.58133792281018</v>
      </c>
      <c r="E9" s="25">
        <f>E3*C9</f>
        <v>473.08716017557072</v>
      </c>
      <c r="F9" s="25">
        <f>F3*C9</f>
        <v>567.21248475965467</v>
      </c>
      <c r="G9" s="25">
        <f>G3*C9</f>
        <v>680.06496466279486</v>
      </c>
      <c r="H9" s="25">
        <f>H3*C9</f>
        <v>815.37055087526664</v>
      </c>
    </row>
    <row r="10" spans="1:9" x14ac:dyDescent="0.3">
      <c r="A10" s="5" t="s">
        <v>292</v>
      </c>
      <c r="B10" s="58">
        <f>B6+B7-B8-B9</f>
        <v>617.02999999999633</v>
      </c>
      <c r="C10" s="58"/>
      <c r="D10" s="25">
        <f>D6+D7-D8-D9</f>
        <v>1062.8382773165968</v>
      </c>
      <c r="E10" s="25">
        <f t="shared" ref="E10:H10" si="5">E6+E7-E8-E9</f>
        <v>1437.6652943425909</v>
      </c>
      <c r="F10" s="25">
        <f t="shared" si="5"/>
        <v>1794.5247910212333</v>
      </c>
      <c r="G10" s="25">
        <f t="shared" si="5"/>
        <v>1917.4633534536206</v>
      </c>
      <c r="H10" s="25">
        <f t="shared" si="5"/>
        <v>2460.7504711058527</v>
      </c>
    </row>
    <row r="11" spans="1:9" x14ac:dyDescent="0.3">
      <c r="A11" s="15" t="s">
        <v>308</v>
      </c>
      <c r="B11" s="128"/>
      <c r="C11" s="128"/>
      <c r="D11" s="35">
        <f ca="1">D10/(1+WACC!$C$8)^1</f>
        <v>920.26605824325975</v>
      </c>
      <c r="E11" s="35">
        <f ca="1">E10/(1+WACC!$C$8)^2</f>
        <v>1077.8298924747805</v>
      </c>
      <c r="F11" s="35">
        <f ca="1">F10/(1+WACC!$C$8)^3</f>
        <v>1164.89857845853</v>
      </c>
      <c r="G11" s="35">
        <f ca="1">G10/(1+WACC!$C$8)^4</f>
        <v>1077.7348906996126</v>
      </c>
      <c r="H11" s="35">
        <f ca="1">H10/(1+WACC!$C$8)^5</f>
        <v>1197.5638148826893</v>
      </c>
    </row>
    <row r="12" spans="1:9" x14ac:dyDescent="0.3">
      <c r="A12" s="5"/>
      <c r="B12" s="5"/>
      <c r="C12" s="5"/>
      <c r="D12" s="5"/>
      <c r="E12" s="5"/>
      <c r="F12" s="5"/>
      <c r="G12" s="5"/>
      <c r="H12" s="5"/>
    </row>
    <row r="13" spans="1:9" x14ac:dyDescent="0.3">
      <c r="A13" s="5" t="s">
        <v>3</v>
      </c>
      <c r="B13" s="5"/>
      <c r="C13" s="5"/>
      <c r="D13" s="5"/>
      <c r="E13" s="5"/>
      <c r="F13" s="5"/>
      <c r="G13" s="5"/>
      <c r="H13" s="5"/>
    </row>
    <row r="14" spans="1:9" s="2" customFormat="1" ht="28.8" x14ac:dyDescent="0.3">
      <c r="A14" s="33" t="s">
        <v>283</v>
      </c>
      <c r="B14" s="82" t="s">
        <v>284</v>
      </c>
      <c r="C14" s="50" t="s">
        <v>294</v>
      </c>
      <c r="D14" s="82">
        <v>2025</v>
      </c>
      <c r="E14" s="82">
        <v>2026</v>
      </c>
      <c r="F14" s="82">
        <v>2027</v>
      </c>
      <c r="G14" s="82">
        <v>2028</v>
      </c>
      <c r="H14" s="82">
        <v>2029</v>
      </c>
    </row>
    <row r="15" spans="1:9" x14ac:dyDescent="0.3">
      <c r="A15" s="5" t="s">
        <v>285</v>
      </c>
      <c r="B15" s="58">
        <f>'Profit &amp; Loss from 2019-24'!I10</f>
        <v>20925.23</v>
      </c>
      <c r="C15" s="49">
        <f>'Key Assumptions'!G6</f>
        <v>0.12546403775402959</v>
      </c>
      <c r="D15" s="25">
        <f>B15*(1+C15)</f>
        <v>23550.593846731754</v>
      </c>
      <c r="E15" s="25">
        <f>D15*(1+C15)</f>
        <v>26505.346442247926</v>
      </c>
      <c r="F15" s="25">
        <f>E15*(1+C15)</f>
        <v>29830.814228961757</v>
      </c>
      <c r="G15" s="25">
        <f>F15*(1+C15)</f>
        <v>33573.50863161766</v>
      </c>
      <c r="H15" s="25">
        <f>G15*(1+C15)</f>
        <v>37785.77658611018</v>
      </c>
    </row>
    <row r="16" spans="1:9" x14ac:dyDescent="0.3">
      <c r="A16" s="5" t="s">
        <v>286</v>
      </c>
      <c r="B16" s="58">
        <f>'Profit &amp; Loss from 2019-24'!I21</f>
        <v>5334.56</v>
      </c>
      <c r="C16" s="49">
        <f>'Key Assumptions'!G7</f>
        <v>0.21516794335365944</v>
      </c>
      <c r="D16" s="25">
        <f>D15*$C$16</f>
        <v>5067.3328427586184</v>
      </c>
      <c r="E16" s="25">
        <f t="shared" ref="E16:H16" si="6">E15*$C$16</f>
        <v>5703.1008818547207</v>
      </c>
      <c r="F16" s="25">
        <f t="shared" si="6"/>
        <v>6418.634946210781</v>
      </c>
      <c r="G16" s="25">
        <f t="shared" si="6"/>
        <v>7223.9428034315051</v>
      </c>
      <c r="H16" s="25">
        <f t="shared" si="6"/>
        <v>8130.2878360541863</v>
      </c>
    </row>
    <row r="17" spans="1:8" x14ac:dyDescent="0.3">
      <c r="A17" s="5" t="s">
        <v>287</v>
      </c>
      <c r="B17" s="58">
        <f>'Profit &amp; Loss from 2019-24'!I27</f>
        <v>1314.56</v>
      </c>
      <c r="C17" s="83">
        <f>'Key Assumptions'!B19</f>
        <v>0.24642332263579375</v>
      </c>
      <c r="D17" s="25">
        <f>D16*$C$17</f>
        <v>1248.7089960140609</v>
      </c>
      <c r="E17" s="25">
        <f t="shared" ref="E17:H17" si="7">E16*$C$17</f>
        <v>1405.3770686337657</v>
      </c>
      <c r="F17" s="25">
        <f t="shared" si="7"/>
        <v>1581.7013502314799</v>
      </c>
      <c r="G17" s="25">
        <f t="shared" si="7"/>
        <v>1780.1479881525222</v>
      </c>
      <c r="H17" s="25">
        <f t="shared" si="7"/>
        <v>2003.4925425458503</v>
      </c>
    </row>
    <row r="18" spans="1:8" x14ac:dyDescent="0.3">
      <c r="A18" s="5" t="s">
        <v>288</v>
      </c>
      <c r="B18" s="58">
        <f>B16-B17</f>
        <v>4020.0000000000005</v>
      </c>
      <c r="C18" s="5"/>
      <c r="D18" s="25">
        <f>D16-D17</f>
        <v>3818.6238467445573</v>
      </c>
      <c r="E18" s="25">
        <f t="shared" ref="E18:H18" si="8">E16-E17</f>
        <v>4297.723813220955</v>
      </c>
      <c r="F18" s="25">
        <f t="shared" si="8"/>
        <v>4836.9335959793007</v>
      </c>
      <c r="G18" s="25">
        <f t="shared" si="8"/>
        <v>5443.7948152789832</v>
      </c>
      <c r="H18" s="25">
        <f t="shared" si="8"/>
        <v>6126.7952935083358</v>
      </c>
    </row>
    <row r="19" spans="1:8" ht="28.8" x14ac:dyDescent="0.3">
      <c r="A19" s="80" t="s">
        <v>289</v>
      </c>
      <c r="B19" s="58">
        <f>'Profit &amp; Loss from 2019-24'!I17</f>
        <v>412.43</v>
      </c>
      <c r="C19" s="49">
        <f>'Key Assumptions'!G9</f>
        <v>2.4217669734762255E-2</v>
      </c>
      <c r="D19" s="25">
        <f>D15*$C$19</f>
        <v>570.34050383767374</v>
      </c>
      <c r="E19" s="25">
        <f t="shared" ref="E19:H19" si="9">E15*$C$19</f>
        <v>641.89772634381598</v>
      </c>
      <c r="F19" s="25">
        <f t="shared" si="9"/>
        <v>722.43280691604241</v>
      </c>
      <c r="G19" s="25">
        <f t="shared" si="9"/>
        <v>813.07214387770637</v>
      </c>
      <c r="H19" s="25">
        <f t="shared" si="9"/>
        <v>915.08345803392876</v>
      </c>
    </row>
    <row r="20" spans="1:8" x14ac:dyDescent="0.3">
      <c r="A20" s="5" t="s">
        <v>290</v>
      </c>
      <c r="B20" s="58">
        <f>(-'Cash Flow Statement from 2019-2'!F44)</f>
        <v>652.42999999999995</v>
      </c>
      <c r="C20" s="49"/>
      <c r="D20" s="25">
        <f>D15*(-'Cash Flow Statement from 2019-2'!B44/'Profit &amp; Loss from 2019-24'!M10)</f>
        <v>1345.5504833212797</v>
      </c>
      <c r="E20" s="25">
        <f>E15*(-'Cash Flow Statement from 2019-2'!C44/'Profit &amp; Loss from 2019-24'!L10)</f>
        <v>876.51128779527721</v>
      </c>
      <c r="F20" s="25">
        <f>F15*(-'Cash Flow Statement from 2019-2'!D44/'Profit &amp; Loss from 2019-24'!K10)</f>
        <v>1064.0383305716427</v>
      </c>
      <c r="G20" s="25">
        <f>G15*(-'Cash Flow Statement from 2019-2'!E44/'Profit &amp; Loss from 2019-24'!J10)</f>
        <v>1096.6727370796625</v>
      </c>
      <c r="H20" s="25">
        <f>H15*(-'Cash Flow Statement from 2019-2'!F42/'Profit &amp; Loss from 2019-24'!I10)</f>
        <v>1178.3073732395999</v>
      </c>
    </row>
    <row r="21" spans="1:8" x14ac:dyDescent="0.3">
      <c r="A21" s="5" t="s">
        <v>291</v>
      </c>
      <c r="B21" s="49">
        <f>'Key Assumptions'!F10-'Key Assumptions'!E10</f>
        <v>2554.2900000000045</v>
      </c>
      <c r="C21" s="83">
        <f>'Key Assumptions'!G11</f>
        <v>8.7212717297030076E-2</v>
      </c>
      <c r="D21" s="25">
        <f>D15*$C$21</f>
        <v>2053.9112833321924</v>
      </c>
      <c r="E21" s="25">
        <f t="shared" ref="E21:H21" si="10">E15*$C$21</f>
        <v>2311.6032861276103</v>
      </c>
      <c r="F21" s="25">
        <f t="shared" si="10"/>
        <v>2601.6263680906641</v>
      </c>
      <c r="G21" s="25">
        <f t="shared" si="10"/>
        <v>2928.0369169586702</v>
      </c>
      <c r="H21" s="25">
        <f t="shared" si="10"/>
        <v>3295.4002512531652</v>
      </c>
    </row>
    <row r="22" spans="1:8" x14ac:dyDescent="0.3">
      <c r="A22" s="5" t="s">
        <v>292</v>
      </c>
      <c r="B22" s="58">
        <f>B18+B19-B20-B21</f>
        <v>1225.7099999999959</v>
      </c>
      <c r="C22" s="5"/>
      <c r="D22" s="25">
        <f>D18+D19-D20-D21</f>
        <v>989.50258392875912</v>
      </c>
      <c r="E22" s="25">
        <f t="shared" ref="E22:H22" si="11">E18+E19-E20-E21</f>
        <v>1751.5069656418832</v>
      </c>
      <c r="F22" s="25">
        <f t="shared" si="11"/>
        <v>1893.7017042330363</v>
      </c>
      <c r="G22" s="25">
        <f t="shared" si="11"/>
        <v>2232.1573051183568</v>
      </c>
      <c r="H22" s="25">
        <f t="shared" si="11"/>
        <v>2568.1711270494998</v>
      </c>
    </row>
    <row r="23" spans="1:8" x14ac:dyDescent="0.3">
      <c r="A23" s="5" t="s">
        <v>308</v>
      </c>
      <c r="B23" s="5"/>
      <c r="C23" s="5"/>
      <c r="D23" s="25">
        <f ca="1">D22/(1+WACC!$B$8)^1</f>
        <v>875.59626572110108</v>
      </c>
      <c r="E23" s="25">
        <f ca="1">E22/(1+WACC!$B$8)^2</f>
        <v>1371.4683983559898</v>
      </c>
      <c r="F23" s="25">
        <f ca="1">F22/(1+WACC!$B$8)^3</f>
        <v>1312.1167338355813</v>
      </c>
      <c r="G23" s="25">
        <f ca="1">G22/(1+WACC!$B$8)^4</f>
        <v>1368.587815985268</v>
      </c>
      <c r="H23" s="25">
        <f ca="1">H22/(1+WACC!$B$8)^5</f>
        <v>1393.3454360829587</v>
      </c>
    </row>
  </sheetData>
  <mergeCells count="1">
    <mergeCell ref="A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1A9C2-145A-4F9C-B2E5-6AC0708AB636}">
  <dimension ref="A1:C8"/>
  <sheetViews>
    <sheetView workbookViewId="0">
      <selection activeCell="B4" sqref="B4"/>
    </sheetView>
  </sheetViews>
  <sheetFormatPr defaultRowHeight="14.4" x14ac:dyDescent="0.3"/>
  <cols>
    <col min="1" max="1" width="45.109375" bestFit="1" customWidth="1"/>
    <col min="2" max="3" width="11" bestFit="1" customWidth="1"/>
  </cols>
  <sheetData>
    <row r="1" spans="1:3" x14ac:dyDescent="0.3">
      <c r="A1" t="s">
        <v>295</v>
      </c>
    </row>
    <row r="2" spans="1:3" x14ac:dyDescent="0.3">
      <c r="B2" s="31" t="s">
        <v>304</v>
      </c>
      <c r="C2" s="31" t="s">
        <v>303</v>
      </c>
    </row>
    <row r="3" spans="1:3" x14ac:dyDescent="0.3">
      <c r="A3" t="s">
        <v>296</v>
      </c>
      <c r="B3" s="127" t="s">
        <v>297</v>
      </c>
      <c r="C3" s="127"/>
    </row>
    <row r="4" spans="1:3" x14ac:dyDescent="0.3">
      <c r="A4" t="s">
        <v>298</v>
      </c>
      <c r="B4" s="40">
        <f ca="1">'Key Assumptions'!B20+'Key Assumptions'!B22*('Key Assumptions'!B21)</f>
        <v>0.13008999999999998</v>
      </c>
      <c r="C4" s="40">
        <f ca="1">'Key Assumptions'!H20+'Key Assumptions'!H22*('Key Assumptions'!H21)</f>
        <v>0.15492499999999998</v>
      </c>
    </row>
    <row r="5" spans="1:3" x14ac:dyDescent="0.3">
      <c r="A5" t="s">
        <v>299</v>
      </c>
      <c r="B5">
        <v>0</v>
      </c>
      <c r="C5">
        <v>0</v>
      </c>
    </row>
    <row r="6" spans="1:3" x14ac:dyDescent="0.3">
      <c r="A6" t="s">
        <v>300</v>
      </c>
      <c r="B6" s="59">
        <f ca="1">'Key Assumptions'!B26/'Key Assumptions'!B26</f>
        <v>1</v>
      </c>
      <c r="C6" s="59">
        <f ca="1">'Key Assumptions'!H26/'Key Assumptions'!H26</f>
        <v>1</v>
      </c>
    </row>
    <row r="7" spans="1:3" x14ac:dyDescent="0.3">
      <c r="A7" t="s">
        <v>301</v>
      </c>
      <c r="B7">
        <v>0</v>
      </c>
      <c r="C7">
        <v>0</v>
      </c>
    </row>
    <row r="8" spans="1:3" x14ac:dyDescent="0.3">
      <c r="A8" t="s">
        <v>302</v>
      </c>
      <c r="B8" s="62">
        <f ca="1">(B4*B6)+(B5*B7)</f>
        <v>0.13008999999999998</v>
      </c>
      <c r="C8" s="62">
        <f ca="1">(C4*C6)+(C5*C7)</f>
        <v>0.15492499999999998</v>
      </c>
    </row>
  </sheetData>
  <mergeCells count="1">
    <mergeCell ref="B3:C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2AED2-C0AF-478D-908D-AC0E157CF622}">
  <dimension ref="A1:C13"/>
  <sheetViews>
    <sheetView workbookViewId="0">
      <selection activeCell="B13" sqref="B13"/>
    </sheetView>
  </sheetViews>
  <sheetFormatPr defaultRowHeight="14.4" x14ac:dyDescent="0.3"/>
  <cols>
    <col min="1" max="1" width="25.21875" bestFit="1" customWidth="1"/>
    <col min="2" max="2" width="9.88671875" bestFit="1" customWidth="1"/>
    <col min="3" max="3" width="12" bestFit="1" customWidth="1"/>
  </cols>
  <sheetData>
    <row r="1" spans="1:3" x14ac:dyDescent="0.3">
      <c r="A1" s="98" t="s">
        <v>305</v>
      </c>
      <c r="B1" s="99"/>
      <c r="C1" s="100"/>
    </row>
    <row r="2" spans="1:3" x14ac:dyDescent="0.3">
      <c r="A2" s="5" t="s">
        <v>283</v>
      </c>
      <c r="B2" s="82" t="s">
        <v>304</v>
      </c>
      <c r="C2" s="82" t="s">
        <v>303</v>
      </c>
    </row>
    <row r="3" spans="1:3" x14ac:dyDescent="0.3">
      <c r="A3" s="5" t="s">
        <v>306</v>
      </c>
      <c r="B3" s="25">
        <f ca="1">'FCFF Projections (5Y forecast)'!H22*(1+'Key Assumptions'!B23)/(WACC!B8-'Key Assumptions'!B23)</f>
        <v>27953.066741994244</v>
      </c>
      <c r="C3" s="25">
        <f ca="1">'FCFF Projections (5Y forecast)'!H10*(1+'Key Assumptions'!H23)/(WACC!C8-'Key Assumptions'!H23)</f>
        <v>21237.246092095542</v>
      </c>
    </row>
    <row r="4" spans="1:3" x14ac:dyDescent="0.3">
      <c r="A4" s="5" t="s">
        <v>307</v>
      </c>
      <c r="B4" s="25">
        <f ca="1">B3/(1+WACC!B8)^5</f>
        <v>15165.764290102665</v>
      </c>
      <c r="C4" s="25">
        <f ca="1">C3/(1+WACC!C8)^5</f>
        <v>10335.447558087</v>
      </c>
    </row>
    <row r="5" spans="1:3" x14ac:dyDescent="0.3">
      <c r="A5" s="5" t="s">
        <v>308</v>
      </c>
      <c r="B5" s="25">
        <f ca="1">SUM('FCFF Projections (5Y forecast)'!D23:H23)</f>
        <v>6321.1146499808983</v>
      </c>
      <c r="C5" s="25">
        <f ca="1">SUM('FCFF Projections (5Y forecast)'!D11:H11)</f>
        <v>5438.2932347588721</v>
      </c>
    </row>
    <row r="6" spans="1:3" x14ac:dyDescent="0.3">
      <c r="A6" s="5" t="s">
        <v>309</v>
      </c>
      <c r="B6" s="25">
        <f ca="1">B4+B5</f>
        <v>21486.878940083563</v>
      </c>
      <c r="C6" s="25">
        <f ca="1">C4+C5</f>
        <v>15773.740792845872</v>
      </c>
    </row>
    <row r="7" spans="1:3" x14ac:dyDescent="0.3">
      <c r="A7" s="5" t="s">
        <v>310</v>
      </c>
      <c r="B7" s="25">
        <v>0</v>
      </c>
      <c r="C7" s="25">
        <v>0</v>
      </c>
    </row>
    <row r="8" spans="1:3" x14ac:dyDescent="0.3">
      <c r="A8" s="5" t="s">
        <v>311</v>
      </c>
      <c r="B8" s="25">
        <f>'Cash Flow Statement from 2019-2'!F60</f>
        <v>1206.320000000002</v>
      </c>
      <c r="C8" s="25">
        <f>'Cash Flow Statement from 2019-2'!M47</f>
        <v>3523.4800000000005</v>
      </c>
    </row>
    <row r="9" spans="1:3" x14ac:dyDescent="0.3">
      <c r="A9" s="5" t="s">
        <v>312</v>
      </c>
      <c r="B9" s="25">
        <f ca="1">B6-(B7-B8)</f>
        <v>22693.198940083566</v>
      </c>
      <c r="C9" s="25">
        <f ca="1">C6-(C7-C8)</f>
        <v>19297.220792845874</v>
      </c>
    </row>
    <row r="10" spans="1:3" x14ac:dyDescent="0.3">
      <c r="A10" s="5" t="s">
        <v>313</v>
      </c>
      <c r="B10" s="25">
        <f>'Key Assumptions'!B25</f>
        <v>730.97789999999998</v>
      </c>
      <c r="C10" s="25">
        <f>'Key Assumptions'!H25</f>
        <v>40.338000000000001</v>
      </c>
    </row>
    <row r="11" spans="1:3" x14ac:dyDescent="0.3">
      <c r="A11" s="5" t="s">
        <v>314</v>
      </c>
      <c r="B11" s="25">
        <f ca="1">B9/B10</f>
        <v>31.044986367007219</v>
      </c>
      <c r="C11" s="25">
        <f ca="1">C9/C10</f>
        <v>478.38814003782721</v>
      </c>
    </row>
    <row r="12" spans="1:3" x14ac:dyDescent="0.3">
      <c r="A12" s="5" t="s">
        <v>315</v>
      </c>
      <c r="B12" s="25">
        <f ca="1">'Key Assumptions'!D2</f>
        <v>377.2</v>
      </c>
      <c r="C12" s="25">
        <f ca="1">'Key Assumptions'!J2</f>
        <v>2721.8</v>
      </c>
    </row>
    <row r="13" spans="1:3" x14ac:dyDescent="0.3">
      <c r="A13" s="5" t="s">
        <v>316</v>
      </c>
      <c r="B13" s="25">
        <f ca="1">(B11-B12)/B12</f>
        <v>-0.91769621853921735</v>
      </c>
      <c r="C13" s="25">
        <f ca="1">(C11-C12)/C12</f>
        <v>-0.82423832021536214</v>
      </c>
    </row>
  </sheetData>
  <mergeCells count="1">
    <mergeCell ref="A1:C1"/>
  </mergeCells>
  <conditionalFormatting sqref="B13:C13">
    <cfRule type="cellIs" dxfId="1" priority="1" operator="greaterThan">
      <formula>0</formula>
    </cfRule>
    <cfRule type="cellIs" dxfId="0" priority="2"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Company Basic info</vt:lpstr>
      <vt:lpstr>Balance Sheet 2019-2024</vt:lpstr>
      <vt:lpstr>Profit &amp; Loss from 2019-24</vt:lpstr>
      <vt:lpstr>Cash Flow Statement from 2019-2</vt:lpstr>
      <vt:lpstr>Ratio Analysis</vt:lpstr>
      <vt:lpstr>Key Assumptions</vt:lpstr>
      <vt:lpstr>FCFF Projections (5Y forecast)</vt:lpstr>
      <vt:lpstr>WACC</vt:lpstr>
      <vt:lpstr>Intrinsic Value Calculation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 Gupta</dc:creator>
  <cp:lastModifiedBy>Akshat Gupta</cp:lastModifiedBy>
  <dcterms:created xsi:type="dcterms:W3CDTF">2015-06-05T18:17:20Z</dcterms:created>
  <dcterms:modified xsi:type="dcterms:W3CDTF">2025-08-02T13:16:25Z</dcterms:modified>
</cp:coreProperties>
</file>