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Ex1.xml" ContentType="application/vnd.ms-office.chartex+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Music\NISM &amp; Future\Project\"/>
    </mc:Choice>
  </mc:AlternateContent>
  <xr:revisionPtr revIDLastSave="0" documentId="13_ncr:1_{FD4C15CF-FCDA-4AB5-A352-15E84E8AB214}" xr6:coauthVersionLast="47" xr6:coauthVersionMax="47" xr10:uidLastSave="{00000000-0000-0000-0000-000000000000}"/>
  <bookViews>
    <workbookView xWindow="456" yWindow="1992" windowWidth="17280" windowHeight="8880" xr2:uid="{00000000-000D-0000-FFFF-FFFF00000000}"/>
  </bookViews>
  <sheets>
    <sheet name="Company Basic info" sheetId="1" r:id="rId1"/>
    <sheet name="FS-Interpretations 1" sheetId="7" r:id="rId2"/>
    <sheet name="FS-Interpretations 2" sheetId="10" r:id="rId3"/>
    <sheet name="FS-Interpretations 3" sheetId="11" r:id="rId4"/>
    <sheet name="Financial Statements (Heads)" sheetId="2" r:id="rId5"/>
    <sheet name="Balance Sheet 2019-2024" sheetId="13" r:id="rId6"/>
    <sheet name="Profit &amp; Loss from 2019-24" sheetId="14" r:id="rId7"/>
    <sheet name="Ratio Analysis" sheetId="12" r:id="rId8"/>
  </sheets>
  <definedNames>
    <definedName name="_xlchart.v1.0" hidden="1">'FS-Interpretations 3'!$A$22</definedName>
    <definedName name="_xlchart.v1.1" hidden="1">'FS-Interpretations 3'!$B$21:$F$21</definedName>
    <definedName name="_xlchart.v1.2" hidden="1">'FS-Interpretations 3'!$B$22:$F$22</definedName>
    <definedName name="_xlchart.v1.3" hidden="1">'FS-Interpretations 3'!$A$28</definedName>
    <definedName name="_xlchart.v1.4" hidden="1">'FS-Interpretations 3'!$B$27:$F$27</definedName>
    <definedName name="_xlchart.v1.5" hidden="1">'FS-Interpretations 3'!$B$28:$F$28</definedName>
    <definedName name="_xlchart.v1.6" hidden="1">'FS-Interpretations 3'!$A$25</definedName>
    <definedName name="_xlchart.v1.7" hidden="1">'FS-Interpretations 3'!$B$24:$F$24</definedName>
    <definedName name="_xlchart.v1.8" hidden="1">'FS-Interpretations 3'!$B$25:$F$25</definedName>
  </definedNames>
  <calcPr calcId="191029"/>
  <pivotCaches>
    <pivotCache cacheId="0" r:id="rId9"/>
    <pivotCache cacheId="1" r:id="rId10"/>
    <pivotCache cacheId="2"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2" i="13" l="1"/>
  <c r="E52" i="13"/>
  <c r="C35" i="13"/>
  <c r="D35" i="13"/>
  <c r="D57" i="13" s="1"/>
  <c r="E35" i="13"/>
  <c r="F35" i="13"/>
  <c r="B35" i="13"/>
  <c r="C47" i="13"/>
  <c r="C57" i="13" s="1"/>
  <c r="D47" i="13"/>
  <c r="E47" i="13"/>
  <c r="F47" i="13"/>
  <c r="B47" i="13"/>
  <c r="C19" i="13"/>
  <c r="C30" i="13" s="1"/>
  <c r="D19" i="13"/>
  <c r="D30" i="13" s="1"/>
  <c r="E19" i="13"/>
  <c r="E30" i="13" s="1"/>
  <c r="F19" i="13"/>
  <c r="F30" i="13" s="1"/>
  <c r="B19" i="13"/>
  <c r="B30" i="13" s="1"/>
  <c r="D52" i="13"/>
  <c r="C52" i="13"/>
  <c r="B52" i="13"/>
  <c r="H31" i="2"/>
  <c r="I31" i="2"/>
  <c r="J31" i="2"/>
  <c r="K31" i="2"/>
  <c r="G31" i="2"/>
  <c r="F29" i="2"/>
  <c r="F31" i="2" s="1"/>
  <c r="E29" i="2"/>
  <c r="D29" i="2"/>
  <c r="D31" i="2" s="1"/>
  <c r="C31" i="2"/>
  <c r="B31" i="2"/>
  <c r="K18" i="2"/>
  <c r="K19" i="2" s="1"/>
  <c r="J18" i="2"/>
  <c r="J19" i="2" s="1"/>
  <c r="I18" i="2"/>
  <c r="I19" i="2" s="1"/>
  <c r="H18" i="2"/>
  <c r="H19" i="2" s="1"/>
  <c r="F18" i="2"/>
  <c r="F19" i="2" s="1"/>
  <c r="E18" i="2"/>
  <c r="E19" i="2" s="1"/>
  <c r="D18" i="2"/>
  <c r="D19" i="2" s="1"/>
  <c r="C18" i="2"/>
  <c r="C19" i="2" s="1"/>
  <c r="B18" i="2"/>
  <c r="B19" i="2" s="1"/>
  <c r="G18" i="2"/>
  <c r="G19" i="2" s="1"/>
  <c r="K9" i="2"/>
  <c r="J9" i="2"/>
  <c r="D15" i="1" a="1"/>
  <c r="D15" i="1" s="1"/>
  <c r="C15" i="1" a="1"/>
  <c r="C15" i="1" s="1"/>
  <c r="D14" i="1" a="1"/>
  <c r="D14" i="1" s="1"/>
  <c r="C14" i="1" a="1"/>
  <c r="C14" i="1" s="1"/>
  <c r="D16" i="1" a="1"/>
  <c r="D16" i="1" s="1"/>
  <c r="D17" i="1" a="1"/>
  <c r="D17" i="1" s="1"/>
  <c r="C17" i="1" a="1"/>
  <c r="C17" i="1" s="1"/>
  <c r="C16" i="1" a="1"/>
  <c r="C16" i="1" s="1"/>
  <c r="D11" i="1" a="1"/>
  <c r="D11" i="1" s="1"/>
  <c r="C11" i="1" a="1"/>
  <c r="C11" i="1" s="1"/>
  <c r="D9" i="1" a="1"/>
  <c r="D9" i="1" s="1"/>
  <c r="C9" i="1" a="1"/>
  <c r="C9" i="1" s="1"/>
  <c r="D8" i="1" a="1"/>
  <c r="D8" i="1" s="1"/>
  <c r="C8" i="1" a="1"/>
  <c r="C8" i="1" s="1"/>
  <c r="D7" i="1" a="1"/>
  <c r="D7" i="1" s="1"/>
  <c r="C7" i="1" a="1"/>
  <c r="C7" i="1" s="1"/>
  <c r="D6" i="1" a="1"/>
  <c r="D6" i="1" s="1"/>
  <c r="C6" i="1" a="1"/>
  <c r="C6" i="1" s="1"/>
  <c r="D5" i="1" a="1"/>
  <c r="D5" i="1" s="1"/>
  <c r="C5" i="1" a="1"/>
  <c r="C5" i="1" s="1"/>
  <c r="F57" i="13" l="1"/>
  <c r="E57" i="13"/>
  <c r="B57" i="13"/>
  <c r="E30" i="2"/>
  <c r="E31" i="2" s="1"/>
  <c r="D12" i="1"/>
  <c r="C1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9"/>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<sst xmlns="http://schemas.openxmlformats.org/spreadsheetml/2006/main" count="347" uniqueCount="112">
  <si>
    <t>Company Basic Info</t>
  </si>
  <si>
    <t>Attribute</t>
  </si>
  <si>
    <t>Mazagon Dock Shipbuilders</t>
  </si>
  <si>
    <t>Bharat Electronics Limited</t>
  </si>
  <si>
    <t>Company Name</t>
  </si>
  <si>
    <t>Ticker Symbol</t>
  </si>
  <si>
    <t>Industry/Sector</t>
  </si>
  <si>
    <t>Listed Exchange</t>
  </si>
  <si>
    <t>Year of Corporation</t>
  </si>
  <si>
    <t>Face Value</t>
  </si>
  <si>
    <t>INR to USD</t>
  </si>
  <si>
    <t>Market Capitalization (in $)</t>
  </si>
  <si>
    <t>Market Capitalization (in ₹)</t>
  </si>
  <si>
    <t>52 week low</t>
  </si>
  <si>
    <t>52 week high</t>
  </si>
  <si>
    <t>Market Price</t>
  </si>
  <si>
    <t>Daily change (%)</t>
  </si>
  <si>
    <t>Particulars</t>
  </si>
  <si>
    <t>2019-2020</t>
  </si>
  <si>
    <t>2020-2021</t>
  </si>
  <si>
    <t>2021-2022</t>
  </si>
  <si>
    <t>2022-2023</t>
  </si>
  <si>
    <t>2023-2024</t>
  </si>
  <si>
    <t>Mazagon Dock Shipbuilders Limited</t>
  </si>
  <si>
    <t>Revenue From Operations (Net)</t>
  </si>
  <si>
    <t>Profit/Loss Before Exceptional,
ExtraOrdinary Items And Tax</t>
  </si>
  <si>
    <t>Profit/Loss Before Tax</t>
  </si>
  <si>
    <t>Profit/Loss For The Period</t>
  </si>
  <si>
    <t>Basic EPS (₹)</t>
  </si>
  <si>
    <t>Income Statement from 2019-2024 (in ₹ Crores)</t>
  </si>
  <si>
    <t>Logo</t>
  </si>
  <si>
    <t>Balance Sheet from 2019-2024 (in ₹ Crores)</t>
  </si>
  <si>
    <t>Total Assets</t>
  </si>
  <si>
    <t>Total Liabilities</t>
  </si>
  <si>
    <t>Net Worth</t>
  </si>
  <si>
    <t>Total Debt</t>
  </si>
  <si>
    <t>Cash &amp; Cash Equivalents</t>
  </si>
  <si>
    <t>Cash Flow Statements from 2019-2024 (in ₹ crores)</t>
  </si>
  <si>
    <t>Cash flow from Operating Activities</t>
  </si>
  <si>
    <t>Cash Flow from Investing Activities</t>
  </si>
  <si>
    <t>Cash flow from Financing Activities</t>
  </si>
  <si>
    <t>Net cash flow</t>
  </si>
  <si>
    <t>Cash &amp; cash equivalents (Beginning of the year)</t>
  </si>
  <si>
    <t>Sum of 2019-2020</t>
  </si>
  <si>
    <t>Sum of 2020-2021</t>
  </si>
  <si>
    <t>Sum of 2021-2022</t>
  </si>
  <si>
    <t>Sum of 2022-2023</t>
  </si>
  <si>
    <t>Sum of 2023-2024</t>
  </si>
  <si>
    <t>Ratio</t>
  </si>
  <si>
    <t>Formula</t>
  </si>
  <si>
    <t>Ratio Analysis</t>
  </si>
  <si>
    <t>Current Ratio</t>
  </si>
  <si>
    <t>Quick Ratio</t>
  </si>
  <si>
    <t>Debt to Equity ratio</t>
  </si>
  <si>
    <t>Return on Equity (ROE)</t>
  </si>
  <si>
    <t>Return on Assets (ROA)</t>
  </si>
  <si>
    <t>Net Profit Margin</t>
  </si>
  <si>
    <t>Operating Profit Margin</t>
  </si>
  <si>
    <t>EPS</t>
  </si>
  <si>
    <t>P/E Ratio</t>
  </si>
  <si>
    <t>EV/EBITDA</t>
  </si>
  <si>
    <t>Interest Coverage Ratio</t>
  </si>
  <si>
    <t>Dividend Yield</t>
  </si>
  <si>
    <t>ASSETS</t>
  </si>
  <si>
    <t>NON-CURRENT ASSETS</t>
  </si>
  <si>
    <t>Property, plant and equipment</t>
  </si>
  <si>
    <t>Capital work-in-progress</t>
  </si>
  <si>
    <t>Investment property</t>
  </si>
  <si>
    <t>Other intangible assets</t>
  </si>
  <si>
    <t>Intangible assets under development</t>
  </si>
  <si>
    <t>Financial assets</t>
  </si>
  <si>
    <t>Investments</t>
  </si>
  <si>
    <t>Trade receivables</t>
  </si>
  <si>
    <t>Loans</t>
  </si>
  <si>
    <t>Other financial assets</t>
  </si>
  <si>
    <t>Deferred tax assets (net)</t>
  </si>
  <si>
    <t>Inventories</t>
  </si>
  <si>
    <t>Other non-current assets</t>
  </si>
  <si>
    <t>CURRENT ASSETS</t>
  </si>
  <si>
    <t>Cash &amp; Cash equivalents</t>
  </si>
  <si>
    <t>Bank Balances</t>
  </si>
  <si>
    <t>Other finance assets</t>
  </si>
  <si>
    <t>Current tax assets (net)</t>
  </si>
  <si>
    <t>Other current assets</t>
  </si>
  <si>
    <t>TOTAL ASSETS</t>
  </si>
  <si>
    <t>EQUITY AND LIABILITIES</t>
  </si>
  <si>
    <t>Equity share capital</t>
  </si>
  <si>
    <t>Other equity</t>
  </si>
  <si>
    <t>Total shareholder's funds</t>
  </si>
  <si>
    <t>LIABILITIES</t>
  </si>
  <si>
    <t>NON-CURRENT LIABILITIES</t>
  </si>
  <si>
    <t>Deferred income</t>
  </si>
  <si>
    <t>Financial liabilities</t>
  </si>
  <si>
    <t>Borrowings</t>
  </si>
  <si>
    <t>Trade payables</t>
  </si>
  <si>
    <t>Other financial liabilities</t>
  </si>
  <si>
    <t>Other non-current liabilities</t>
  </si>
  <si>
    <t>Total non-current liabilities</t>
  </si>
  <si>
    <t>CURRENT LIABILITIES</t>
  </si>
  <si>
    <t>Trade Payables</t>
  </si>
  <si>
    <t>Other current liabilities</t>
  </si>
  <si>
    <t>Short term provisions</t>
  </si>
  <si>
    <t>Long term provisions</t>
  </si>
  <si>
    <t>Current tax liabilities (net)</t>
  </si>
  <si>
    <t>TOTAL EQUITY AND LIABILITIES</t>
  </si>
  <si>
    <t>Lease liabilities</t>
  </si>
  <si>
    <t>Deferred tax liabilities (net)</t>
  </si>
  <si>
    <t>Total Non-current assets</t>
  </si>
  <si>
    <t>Investment in associate</t>
  </si>
  <si>
    <t>Non controlling interest</t>
  </si>
  <si>
    <t>BHARAT ELECTRONICS LIMITED BALANCE SHEET 2019-2024</t>
  </si>
  <si>
    <t>MAZAGON DOCK SHIPBUILDERS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</si>
</sst>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quot;₹&quot;\ * #,##0.00_ ;_ &quot;₹&quot;\ * \-#,##0.00_ ;_ &quot;₹&quot;\ * &quot;-&quot;??_ ;_ @_ "/>
    <numFmt numFmtId="43" formatCode="_ * #,##0.00_ ;_ * \-#,##0.00_ ;_ * &quot;-&quot;??_ ;_ @_ "/>
    <numFmt numFmtId="164" formatCode="_ [$₹-4009]\ * #,##0_ ;_ [$₹-4009]\ * \-#,##0_ ;_ [$₹-4009]\ * &quot;-&quot;_ ;_ @_ "/>
    <numFmt numFmtId="165" formatCode="_ [$₹-4009]\ * #,##0.00_ ;_ [$₹-4009]\ * \-#,##0.00_ ;_ [$₹-4009]\ * &quot;-&quot;??_ ;_ @_ "/>
    <numFmt numFmtId="166" formatCode="_ [$₹-4009]\ * #,##0.000_ ;_ [$₹-4009]\ * \-#,##0.000_ ;_ [$₹-4009]\ * &quot;-&quot;_ ;_ @_ "/>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Agency FB"/>
      <family val="2"/>
    </font>
    <font>
      <u/>
      <sz val="11"/>
      <color theme="10"/>
      <name val="Calibri"/>
      <family val="2"/>
      <scheme val="minor"/>
    </font>
    <font>
      <b/>
      <u/>
      <sz val="11"/>
      <color theme="10"/>
      <name val="Calibri"/>
      <family val="2"/>
      <scheme val="minor"/>
    </font>
    <font>
      <b/>
      <sz val="11"/>
      <name val="Calibri"/>
      <family val="2"/>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0" fontId="4" fillId="0" borderId="0" applyNumberFormat="0" applyFill="0" applyBorder="0" applyAlignment="0" applyProtection="0"/>
  </cellStyleXfs>
  <cellXfs count="81">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3"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vertical="center" wrapText="1"/>
    </xf>
    <xf numFmtId="0" fontId="0" fillId="0" borderId="1" xfId="0" applyBorder="1" applyAlignment="1">
      <alignment vertical="center"/>
    </xf>
    <xf numFmtId="44" fontId="0" fillId="0" borderId="1" xfId="0" applyNumberFormat="1" applyBorder="1" applyAlignment="1">
      <alignment vertical="center" wrapText="1"/>
    </xf>
    <xf numFmtId="0" fontId="0" fillId="0" borderId="1" xfId="0" applyBorder="1" applyAlignment="1">
      <alignment horizontal="right" vertical="center" wrapText="1"/>
    </xf>
    <xf numFmtId="1" fontId="0" fillId="0" borderId="1" xfId="0" applyNumberFormat="1" applyBorder="1" applyAlignment="1">
      <alignment horizontal="right" vertical="center" wrapText="1"/>
    </xf>
    <xf numFmtId="164" fontId="0" fillId="0" borderId="1" xfId="0" applyNumberFormat="1" applyBorder="1" applyAlignment="1">
      <alignment horizontal="right" vertical="center" wrapText="1"/>
    </xf>
    <xf numFmtId="166" fontId="0" fillId="0" borderId="1" xfId="0" applyNumberFormat="1" applyBorder="1" applyAlignment="1">
      <alignment horizontal="right" vertical="center" wrapText="1"/>
    </xf>
    <xf numFmtId="44" fontId="0" fillId="0" borderId="1" xfId="0" applyNumberFormat="1" applyBorder="1" applyAlignment="1">
      <alignment horizontal="right" vertical="center" wrapText="1"/>
    </xf>
    <xf numFmtId="165" fontId="0" fillId="0" borderId="1" xfId="0" applyNumberFormat="1" applyBorder="1" applyAlignment="1">
      <alignment horizontal="right" vertical="center" wrapText="1"/>
    </xf>
    <xf numFmtId="10" fontId="0" fillId="0" borderId="1" xfId="0" applyNumberFormat="1" applyBorder="1" applyAlignment="1">
      <alignment horizontal="right" vertical="center" wrapText="1"/>
    </xf>
    <xf numFmtId="165" fontId="0" fillId="0" borderId="1" xfId="1" applyNumberFormat="1" applyFont="1" applyBorder="1" applyAlignment="1">
      <alignment horizontal="right" vertical="center"/>
    </xf>
    <xf numFmtId="0" fontId="3" fillId="0" borderId="1" xfId="0" applyFont="1" applyBorder="1" applyAlignment="1">
      <alignment horizontal="center" vertical="center"/>
    </xf>
    <xf numFmtId="165" fontId="0" fillId="0" borderId="1" xfId="1" applyNumberFormat="1" applyFont="1" applyBorder="1" applyAlignment="1">
      <alignment vertical="center"/>
    </xf>
    <xf numFmtId="44" fontId="0" fillId="0" borderId="1" xfId="1" applyNumberFormat="1" applyFont="1" applyBorder="1" applyAlignment="1">
      <alignment vertical="center"/>
    </xf>
    <xf numFmtId="165" fontId="0" fillId="0" borderId="0" xfId="0" applyNumberFormat="1" applyAlignment="1">
      <alignment vertical="center"/>
    </xf>
    <xf numFmtId="44" fontId="0" fillId="0" borderId="0" xfId="0" applyNumberFormat="1" applyAlignment="1">
      <alignment vertical="center"/>
    </xf>
    <xf numFmtId="0" fontId="2" fillId="0" borderId="1" xfId="0" applyFont="1" applyBorder="1" applyAlignment="1">
      <alignment horizontal="left" vertical="center"/>
    </xf>
    <xf numFmtId="0" fontId="2" fillId="0" borderId="1" xfId="0" applyFont="1" applyBorder="1" applyAlignment="1">
      <alignment horizontal="right" vertical="center"/>
    </xf>
    <xf numFmtId="0" fontId="2" fillId="0" borderId="0" xfId="0" applyFont="1" applyAlignment="1">
      <alignment horizontal="left" vertical="center"/>
    </xf>
    <xf numFmtId="0" fontId="2" fillId="0" borderId="11" xfId="0" applyFont="1" applyBorder="1" applyAlignment="1">
      <alignment horizontal="left" vertical="center"/>
    </xf>
    <xf numFmtId="0" fontId="0" fillId="0" borderId="10" xfId="0" applyBorder="1" applyAlignment="1">
      <alignment vertical="center" wrapText="1"/>
    </xf>
    <xf numFmtId="165" fontId="0" fillId="0" borderId="10" xfId="1" applyNumberFormat="1" applyFont="1" applyBorder="1" applyAlignment="1">
      <alignment vertical="center"/>
    </xf>
    <xf numFmtId="0" fontId="2" fillId="0" borderId="1" xfId="0" applyFont="1" applyBorder="1" applyAlignment="1">
      <alignment vertical="center"/>
    </xf>
    <xf numFmtId="0" fontId="2" fillId="0" borderId="15" xfId="0" applyFont="1" applyBorder="1" applyAlignment="1">
      <alignment horizontal="right" vertical="center"/>
    </xf>
    <xf numFmtId="0" fontId="2" fillId="0" borderId="16" xfId="0" applyFont="1" applyBorder="1" applyAlignment="1">
      <alignment horizontal="right" vertical="center"/>
    </xf>
    <xf numFmtId="165" fontId="0" fillId="0" borderId="15" xfId="1" applyNumberFormat="1" applyFont="1" applyBorder="1" applyAlignment="1">
      <alignment horizontal="right" vertical="center"/>
    </xf>
    <xf numFmtId="165" fontId="0" fillId="0" borderId="16" xfId="1" applyNumberFormat="1" applyFont="1" applyBorder="1" applyAlignment="1">
      <alignment horizontal="right" vertical="center"/>
    </xf>
    <xf numFmtId="165" fontId="0" fillId="0" borderId="17" xfId="1" applyNumberFormat="1" applyFont="1" applyBorder="1" applyAlignment="1">
      <alignment horizontal="right" vertical="center"/>
    </xf>
    <xf numFmtId="165" fontId="0" fillId="0" borderId="18" xfId="1" applyNumberFormat="1" applyFont="1" applyBorder="1" applyAlignment="1">
      <alignment vertical="center"/>
    </xf>
    <xf numFmtId="165" fontId="0" fillId="0" borderId="18" xfId="1" applyNumberFormat="1" applyFont="1" applyBorder="1" applyAlignment="1">
      <alignment horizontal="right" vertical="center"/>
    </xf>
    <xf numFmtId="165" fontId="0" fillId="0" borderId="19" xfId="1" applyNumberFormat="1" applyFont="1" applyBorder="1" applyAlignment="1">
      <alignment horizontal="right" vertical="center"/>
    </xf>
    <xf numFmtId="0" fontId="2" fillId="0" borderId="20" xfId="0" applyFont="1" applyBorder="1" applyAlignment="1">
      <alignment vertical="center"/>
    </xf>
    <xf numFmtId="0" fontId="0" fillId="0" borderId="21" xfId="0" applyBorder="1" applyAlignment="1">
      <alignment vertical="center"/>
    </xf>
    <xf numFmtId="0" fontId="0" fillId="0" borderId="21" xfId="0" applyBorder="1" applyAlignment="1">
      <alignment vertical="center" wrapText="1"/>
    </xf>
    <xf numFmtId="0" fontId="0" fillId="0" borderId="22" xfId="0" applyBorder="1" applyAlignment="1">
      <alignment vertical="center"/>
    </xf>
    <xf numFmtId="0" fontId="0" fillId="0" borderId="0" xfId="0" pivotButton="1" applyAlignment="1">
      <alignment vertical="center" wrapText="1"/>
    </xf>
    <xf numFmtId="44" fontId="0" fillId="0" borderId="1" xfId="0" applyNumberFormat="1" applyBorder="1" applyAlignment="1">
      <alignment vertical="center"/>
    </xf>
    <xf numFmtId="44" fontId="0" fillId="0" borderId="0" xfId="0" applyNumberFormat="1" applyAlignment="1">
      <alignment vertical="center" wrapText="1"/>
    </xf>
    <xf numFmtId="44" fontId="0" fillId="0" borderId="0" xfId="0" applyNumberFormat="1" applyAlignment="1">
      <alignment wrapText="1"/>
    </xf>
    <xf numFmtId="44" fontId="0" fillId="0" borderId="0" xfId="0" applyNumberFormat="1"/>
    <xf numFmtId="44" fontId="0" fillId="0" borderId="0" xfId="0" applyNumberFormat="1" applyAlignment="1">
      <alignment horizontal="left" vertical="center" wrapText="1"/>
    </xf>
    <xf numFmtId="44" fontId="0" fillId="0" borderId="0" xfId="0" applyNumberFormat="1" applyAlignment="1">
      <alignment horizontal="left" vertical="center"/>
    </xf>
    <xf numFmtId="0" fontId="0" fillId="0" borderId="0" xfId="0" pivotButton="1" applyAlignment="1">
      <alignment horizontal="left" vertical="center"/>
    </xf>
    <xf numFmtId="44" fontId="0" fillId="0" borderId="1" xfId="0" applyNumberFormat="1" applyBorder="1" applyAlignment="1">
      <alignment horizontal="left" vertical="center" wrapText="1"/>
    </xf>
    <xf numFmtId="44" fontId="0" fillId="0" borderId="1" xfId="0" applyNumberFormat="1" applyBorder="1" applyAlignment="1">
      <alignment horizontal="left" vertical="center"/>
    </xf>
    <xf numFmtId="0" fontId="0" fillId="0" borderId="0" xfId="0" pivotButton="1" applyAlignment="1">
      <alignment horizontal="left" vertical="center" wrapText="1"/>
    </xf>
    <xf numFmtId="165" fontId="0" fillId="0" borderId="0" xfId="0" applyNumberFormat="1" applyAlignment="1">
      <alignment horizontal="left" vertical="center"/>
    </xf>
    <xf numFmtId="0" fontId="2" fillId="0" borderId="1" xfId="0" applyFont="1" applyBorder="1"/>
    <xf numFmtId="44" fontId="0" fillId="0" borderId="1" xfId="0" applyNumberFormat="1" applyBorder="1"/>
    <xf numFmtId="44" fontId="2" fillId="0" borderId="1" xfId="0" applyNumberFormat="1" applyFont="1" applyBorder="1"/>
    <xf numFmtId="0" fontId="0" fillId="0" borderId="0" xfId="0" applyAlignment="1">
      <alignment horizontal="right" vertical="center"/>
    </xf>
    <xf numFmtId="0" fontId="3" fillId="0" borderId="1" xfId="0" applyFont="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5" fillId="0" borderId="12" xfId="2" applyFont="1" applyBorder="1" applyAlignment="1">
      <alignment horizontal="center" vertical="center"/>
    </xf>
    <xf numFmtId="0" fontId="5" fillId="0" borderId="13" xfId="2" applyFont="1" applyBorder="1" applyAlignment="1">
      <alignment horizontal="center" vertical="center"/>
    </xf>
    <xf numFmtId="0" fontId="5" fillId="0" borderId="14" xfId="2" applyFont="1"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center" vertical="center"/>
    </xf>
    <xf numFmtId="0" fontId="6" fillId="0" borderId="1" xfId="2" applyFont="1" applyBorder="1" applyAlignment="1">
      <alignment horizontal="center" vertical="center"/>
    </xf>
    <xf numFmtId="0" fontId="2" fillId="0" borderId="9" xfId="0" applyFont="1" applyBorder="1" applyAlignment="1">
      <alignment horizontal="left" vertical="center"/>
    </xf>
    <xf numFmtId="0" fontId="5" fillId="0" borderId="1" xfId="2" applyFont="1" applyBorder="1" applyAlignment="1">
      <alignment horizontal="center" vertical="center"/>
    </xf>
    <xf numFmtId="0" fontId="2" fillId="0" borderId="2" xfId="0" applyFont="1" applyBorder="1" applyAlignment="1">
      <alignment horizontal="left" vertical="center"/>
    </xf>
    <xf numFmtId="0" fontId="2" fillId="0" borderId="8" xfId="0" applyFont="1" applyBorder="1" applyAlignment="1">
      <alignment horizontal="left" vertical="center"/>
    </xf>
    <xf numFmtId="0" fontId="2" fillId="0" borderId="3" xfId="0" applyFont="1" applyBorder="1" applyAlignment="1">
      <alignment horizontal="left" vertical="center"/>
    </xf>
    <xf numFmtId="0" fontId="0" fillId="0" borderId="1" xfId="0" applyBorder="1" applyAlignment="1">
      <alignment horizontal="right" vertical="center"/>
    </xf>
    <xf numFmtId="0" fontId="0" fillId="0" borderId="0" xfId="0" applyAlignment="1">
      <alignment horizontal="center" vertical="center"/>
    </xf>
  </cellXfs>
  <cellStyles count="3">
    <cellStyle name="Comma" xfId="1" builtinId="3"/>
    <cellStyle name="Hyperlink" xfId="2" builtinId="8"/>
    <cellStyle name="Normal" xfId="0" builtinId="0"/>
  </cellStyles>
  <dxfs count="144">
    <dxf>
      <font>
        <color rgb="FF006100"/>
      </font>
      <fill>
        <patternFill>
          <bgColor rgb="FFC6EFCE"/>
        </patternFill>
      </fill>
    </dxf>
    <dxf>
      <font>
        <color rgb="FF9C0006"/>
      </font>
      <fill>
        <patternFill>
          <bgColor rgb="FFFFC7CE"/>
        </patternFill>
      </fill>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wrapText="1"/>
    </dxf>
    <dxf>
      <alignment wrapText="1"/>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wrapText="1"/>
    </dxf>
    <dxf>
      <alignment wrapText="1"/>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wrapText="1"/>
    </dxf>
    <dxf>
      <alignment wrapText="1"/>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wrapText="1"/>
    </dxf>
    <dxf>
      <alignment wrapText="1"/>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wrapText="1"/>
    </dxf>
    <dxf>
      <alignment wrapText="1"/>
    </dxf>
    <dxf>
      <numFmt numFmtId="34" formatCode="_ &quot;₹&quot;\ * #,##0.00_ ;_ &quot;₹&quot;\ * \-#,##0.00_ ;_ &quot;₹&quot;\ * &quot;-&quot;??_ ;_ @_ "/>
    </dxf>
    <dxf>
      <numFmt numFmtId="34" formatCode="_ &quot;₹&quot;\ * #,##0.00_ ;_ &quot;₹&quot;\ * \-#,##0.00_ ;_ &quot;₹&quot;\ * &quot;-&quot;??_ ;_ @_ "/>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numFmt numFmtId="34" formatCode="_ &quot;₹&quot;\ * #,##0.00_ ;_ &quot;₹&quot;\ * \-#,##0.00_ ;_ &quot;₹&quot;\ * &quot;-&quot;??_ ;_ @_ "/>
    </dxf>
    <dxf>
      <numFmt numFmtId="34" formatCode="_ &quot;₹&quot;\ * #,##0.00_ ;_ &quot;₹&quot;\ * \-#,##0.00_ ;_ &quot;₹&quot;\ * &quot;-&quot;??_ ;_ @_ "/>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numFmt numFmtId="34" formatCode="_ &quot;₹&quot;\ * #,##0.00_ ;_ &quot;₹&quot;\ * \-#,##0.00_ ;_ &quot;₹&quot;\ * &quot;-&quot;??_ ;_ @_ "/>
    </dxf>
    <dxf>
      <numFmt numFmtId="34" formatCode="_ &quot;₹&quot;\ * #,##0.00_ ;_ &quot;₹&quot;\ * \-#,##0.00_ ;_ &quot;₹&quot;\ * &quot;-&quot;??_ ;_ @_ "/>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numFmt numFmtId="34" formatCode="_ &quot;₹&quot;\ * #,##0.00_ ;_ &quot;₹&quot;\ * \-#,##0.00_ ;_ &quot;₹&quot;\ * &quot;-&quot;??_ ;_ @_ "/>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vertical="center"/>
    </dxf>
    <dxf>
      <alignment vertical="center"/>
    </dxf>
    <dxf>
      <alignment vertical="center"/>
    </dxf>
    <dxf>
      <alignment vertical="center"/>
    </dxf>
    <dxf>
      <alignment vertical="center"/>
    </dxf>
    <dxf>
      <alignment wrapText="1"/>
    </dxf>
    <dxf>
      <alignment wrapText="1"/>
    </dxf>
    <dxf>
      <alignment vertical="center"/>
    </dxf>
    <dxf>
      <alignment vertical="center"/>
    </dxf>
    <dxf>
      <alignment vertical="center"/>
    </dxf>
    <dxf>
      <alignment vertical="center"/>
    </dxf>
    <dxf>
      <alignment vertical="center"/>
    </dxf>
    <dxf>
      <alignment wrapText="1"/>
    </dxf>
    <dxf>
      <alignment wrapText="1"/>
    </dxf>
    <dxf>
      <alignment vertical="center"/>
    </dxf>
    <dxf>
      <alignment vertical="center"/>
    </dxf>
    <dxf>
      <alignment vertical="center"/>
    </dxf>
    <dxf>
      <alignment vertical="center"/>
    </dxf>
    <dxf>
      <alignment vertical="center"/>
    </dxf>
    <dxf>
      <alignment wrapText="1"/>
    </dxf>
    <dxf>
      <alignment wrapText="1"/>
    </dxf>
    <dxf>
      <alignment vertical="center"/>
    </dxf>
    <dxf>
      <alignment vertical="center"/>
    </dxf>
    <dxf>
      <alignment vertical="center"/>
    </dxf>
    <dxf>
      <alignment vertical="center"/>
    </dxf>
    <dxf>
      <alignment vertical="center"/>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2/10/relationships/richValueRel" Target="richData/richValueRel.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openxmlformats.org/officeDocument/2006/relationships/pivotCacheDefinition" Target="pivotCache/pivotCacheDefinition2.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 Basic EPS (₹) </c:v>
          </c:tx>
          <c:spPr>
            <a:ln w="28575" cap="rnd">
              <a:solidFill>
                <a:schemeClr val="accent1"/>
              </a:solidFill>
              <a:round/>
            </a:ln>
            <a:effectLst/>
          </c:spPr>
          <c:marker>
            <c:symbol val="none"/>
          </c:marker>
          <c:dLbls>
            <c:dLbl>
              <c:idx val="3"/>
              <c:layout>
                <c:manualLayout>
                  <c:x val="-5.7750000000000003E-2"/>
                  <c:y val="5.327537182852143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A44-4A83-AF18-9921D8784B8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5"/>
              <c:pt idx="0">
                <c:v>1</c:v>
              </c:pt>
              <c:pt idx="1">
                <c:v>2</c:v>
              </c:pt>
              <c:pt idx="2">
                <c:v>3</c:v>
              </c:pt>
              <c:pt idx="3">
                <c:v>4</c:v>
              </c:pt>
              <c:pt idx="4">
                <c:v>5</c:v>
              </c:pt>
            </c:numLit>
          </c:cat>
          <c:val>
            <c:numLit>
              <c:formatCode>General</c:formatCode>
              <c:ptCount val="5"/>
              <c:pt idx="0">
                <c:v>7.36</c:v>
              </c:pt>
              <c:pt idx="1">
                <c:v>8.48</c:v>
              </c:pt>
              <c:pt idx="2">
                <c:v>9.64</c:v>
              </c:pt>
              <c:pt idx="3">
                <c:v>4.1100000000000003</c:v>
              </c:pt>
              <c:pt idx="4">
                <c:v>5.5</c:v>
              </c:pt>
            </c:numLit>
          </c:val>
          <c:smooth val="0"/>
          <c:extLst>
            <c:ext xmlns:c16="http://schemas.microsoft.com/office/drawing/2014/chart" uri="{C3380CC4-5D6E-409C-BE32-E72D297353CC}">
              <c16:uniqueId val="{00000000-6A44-4A83-AF18-9921D8784B85}"/>
            </c:ext>
          </c:extLst>
        </c:ser>
        <c:dLbls>
          <c:dLblPos val="t"/>
          <c:showLegendKey val="0"/>
          <c:showVal val="1"/>
          <c:showCatName val="0"/>
          <c:showSerName val="0"/>
          <c:showPercent val="0"/>
          <c:showBubbleSize val="0"/>
        </c:dLbls>
        <c:smooth val="0"/>
        <c:axId val="762339544"/>
        <c:axId val="762342784"/>
      </c:lineChart>
      <c:catAx>
        <c:axId val="762339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342784"/>
        <c:crosses val="autoZero"/>
        <c:auto val="1"/>
        <c:lblAlgn val="ctr"/>
        <c:lblOffset val="100"/>
        <c:noMultiLvlLbl val="0"/>
      </c:catAx>
      <c:valAx>
        <c:axId val="76234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3395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'FS-Interpretations 1'!$H$7</c:f>
              <c:strCache>
                <c:ptCount val="1"/>
                <c:pt idx="0">
                  <c:v> Profit/Loss Before Exceptional,
ExtraOrdinary Items And Tax </c:v>
                </c:pt>
              </c:strCache>
            </c:strRef>
          </c:tx>
          <c:spPr>
            <a:ln w="28575" cap="rnd">
              <a:solidFill>
                <a:schemeClr val="accent1"/>
              </a:solidFill>
              <a:round/>
            </a:ln>
            <a:effectLst/>
          </c:spPr>
          <c:marker>
            <c:symbol val="none"/>
          </c:marker>
          <c:dLbls>
            <c:dLbl>
              <c:idx val="3"/>
              <c:layout>
                <c:manualLayout>
                  <c:x val="-8.8071282227906056E-2"/>
                  <c:y val="-7.298697396462215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958-47A4-AE91-5854693CA30E}"/>
                </c:ext>
              </c:extLst>
            </c:dLbl>
            <c:dLbl>
              <c:idx val="4"/>
              <c:layout>
                <c:manualLayout>
                  <c:x val="-4.7045082322560369E-2"/>
                  <c:y val="-4.943142088209054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958-47A4-AE91-5854693CA30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'FS-Interpretations 1'!$I$6:$M$6</c:f>
              <c:strCache>
                <c:ptCount val="5"/>
                <c:pt idx="0">
                  <c:v> Sum of 2019-2020 </c:v>
                </c:pt>
                <c:pt idx="1">
                  <c:v> Sum of 2020-2021 </c:v>
                </c:pt>
                <c:pt idx="2">
                  <c:v> Sum of 2021-2022 </c:v>
                </c:pt>
                <c:pt idx="3">
                  <c:v> Sum of 2022-2023 </c:v>
                </c:pt>
                <c:pt idx="4">
                  <c:v> Sum of 2023-2024 </c:v>
                </c:pt>
              </c:strCache>
            </c:strRef>
          </c:cat>
          <c:val>
            <c:numRef>
              <c:f>'FS-Interpretations 1'!$I$7:$M$7</c:f>
              <c:numCache>
                <c:formatCode>_("₹"* #,##0.00_);_("₹"* \(#,##0.00\);_("₹"* "-"??_);_(@_)</c:formatCode>
                <c:ptCount val="5"/>
                <c:pt idx="0">
                  <c:v>2479.17</c:v>
                </c:pt>
                <c:pt idx="1">
                  <c:v>2934.81</c:v>
                </c:pt>
                <c:pt idx="2">
                  <c:v>3157.8</c:v>
                </c:pt>
                <c:pt idx="3">
                  <c:v>3984.88</c:v>
                </c:pt>
                <c:pt idx="4">
                  <c:v>5334.56</c:v>
                </c:pt>
              </c:numCache>
            </c:numRef>
          </c:val>
          <c:smooth val="0"/>
          <c:extLst>
            <c:ext xmlns:c16="http://schemas.microsoft.com/office/drawing/2014/chart" uri="{C3380CC4-5D6E-409C-BE32-E72D297353CC}">
              <c16:uniqueId val="{00000000-A958-47A4-AE91-5854693CA30E}"/>
            </c:ext>
          </c:extLst>
        </c:ser>
        <c:dLbls>
          <c:dLblPos val="t"/>
          <c:showLegendKey val="0"/>
          <c:showVal val="1"/>
          <c:showCatName val="0"/>
          <c:showSerName val="0"/>
          <c:showPercent val="0"/>
          <c:showBubbleSize val="0"/>
        </c:dLbls>
        <c:smooth val="0"/>
        <c:axId val="1217712448"/>
        <c:axId val="1217713888"/>
      </c:lineChart>
      <c:catAx>
        <c:axId val="121771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713888"/>
        <c:crosses val="autoZero"/>
        <c:auto val="1"/>
        <c:lblAlgn val="ctr"/>
        <c:lblOffset val="100"/>
        <c:noMultiLvlLbl val="0"/>
      </c:catAx>
      <c:valAx>
        <c:axId val="1217713888"/>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7124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'FS-Interpretations 1'!$H$10</c:f>
              <c:strCache>
                <c:ptCount val="1"/>
                <c:pt idx="0">
                  <c:v> Profit/Loss Before Tax </c:v>
                </c:pt>
              </c:strCache>
            </c:strRef>
          </c:tx>
          <c:spPr>
            <a:ln w="28575" cap="rnd">
              <a:solidFill>
                <a:schemeClr val="accent1"/>
              </a:solidFill>
              <a:round/>
            </a:ln>
            <a:effectLst/>
          </c:spPr>
          <c:marker>
            <c:symbol val="none"/>
          </c:marker>
          <c:dLbls>
            <c:dLbl>
              <c:idx val="3"/>
              <c:layout>
                <c:manualLayout>
                  <c:x val="-9.3756999125109361E-2"/>
                  <c:y val="-9.02431466899970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BE2-43CA-896D-C3B5511B1AE5}"/>
                </c:ext>
              </c:extLst>
            </c:dLbl>
            <c:dLbl>
              <c:idx val="4"/>
              <c:layout>
                <c:manualLayout>
                  <c:x val="-4.418919510061263E-2"/>
                  <c:y val="-5.32061096529600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BE2-43CA-896D-C3B5511B1AE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'FS-Interpretations 1'!$I$9:$M$9</c:f>
              <c:strCache>
                <c:ptCount val="5"/>
                <c:pt idx="0">
                  <c:v> Sum of 2019-2020 </c:v>
                </c:pt>
                <c:pt idx="1">
                  <c:v> Sum of 2020-2021 </c:v>
                </c:pt>
                <c:pt idx="2">
                  <c:v> Sum of 2021-2022 </c:v>
                </c:pt>
                <c:pt idx="3">
                  <c:v> Sum of 2022-2023 </c:v>
                </c:pt>
                <c:pt idx="4">
                  <c:v> Sum of 2023-2024 </c:v>
                </c:pt>
              </c:strCache>
            </c:strRef>
          </c:cat>
          <c:val>
            <c:numRef>
              <c:f>'FS-Interpretations 1'!$I$10:$M$10</c:f>
              <c:numCache>
                <c:formatCode>_("₹"* #,##0.00_);_("₹"* \(#,##0.00\);_("₹"* "-"??_);_(@_)</c:formatCode>
                <c:ptCount val="5"/>
                <c:pt idx="0">
                  <c:v>2479.17</c:v>
                </c:pt>
                <c:pt idx="1">
                  <c:v>2934.81</c:v>
                </c:pt>
                <c:pt idx="2">
                  <c:v>3157.8</c:v>
                </c:pt>
                <c:pt idx="3">
                  <c:v>3984.88</c:v>
                </c:pt>
                <c:pt idx="4">
                  <c:v>5334.56</c:v>
                </c:pt>
              </c:numCache>
            </c:numRef>
          </c:val>
          <c:smooth val="0"/>
          <c:extLst>
            <c:ext xmlns:c16="http://schemas.microsoft.com/office/drawing/2014/chart" uri="{C3380CC4-5D6E-409C-BE32-E72D297353CC}">
              <c16:uniqueId val="{00000000-1BE2-43CA-896D-C3B5511B1AE5}"/>
            </c:ext>
          </c:extLst>
        </c:ser>
        <c:dLbls>
          <c:dLblPos val="t"/>
          <c:showLegendKey val="0"/>
          <c:showVal val="1"/>
          <c:showCatName val="0"/>
          <c:showSerName val="0"/>
          <c:showPercent val="0"/>
          <c:showBubbleSize val="0"/>
        </c:dLbls>
        <c:smooth val="0"/>
        <c:axId val="1217557000"/>
        <c:axId val="1217556280"/>
      </c:lineChart>
      <c:catAx>
        <c:axId val="1217557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556280"/>
        <c:crosses val="autoZero"/>
        <c:auto val="1"/>
        <c:lblAlgn val="ctr"/>
        <c:lblOffset val="100"/>
        <c:noMultiLvlLbl val="0"/>
      </c:catAx>
      <c:valAx>
        <c:axId val="1217556280"/>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5570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'FS-Interpretations 1'!$H$13</c:f>
              <c:strCache>
                <c:ptCount val="1"/>
                <c:pt idx="0">
                  <c:v> Profit/Loss For The Period </c:v>
                </c:pt>
              </c:strCache>
            </c:strRef>
          </c:tx>
          <c:spPr>
            <a:ln w="28575" cap="rnd">
              <a:solidFill>
                <a:schemeClr val="accent1"/>
              </a:solidFill>
              <a:round/>
            </a:ln>
            <a:effectLst/>
          </c:spPr>
          <c:marker>
            <c:symbol val="none"/>
          </c:marker>
          <c:dLbls>
            <c:dLbl>
              <c:idx val="2"/>
              <c:layout>
                <c:manualLayout>
                  <c:x val="-9.9312554680664911E-2"/>
                  <c:y val="-7.63542578011081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D34-43B4-99D0-03E6CB0C5465}"/>
                </c:ext>
              </c:extLst>
            </c:dLbl>
            <c:dLbl>
              <c:idx val="3"/>
              <c:layout>
                <c:manualLayout>
                  <c:x val="-9.3756999125109361E-2"/>
                  <c:y val="-9.02431466899971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D34-43B4-99D0-03E6CB0C5465}"/>
                </c:ext>
              </c:extLst>
            </c:dLbl>
            <c:dLbl>
              <c:idx val="4"/>
              <c:layout>
                <c:manualLayout>
                  <c:x val="-4.6966972878390301E-2"/>
                  <c:y val="-4.857648002333041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D34-43B4-99D0-03E6CB0C54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'FS-Interpretations 1'!$I$12:$M$12</c:f>
              <c:strCache>
                <c:ptCount val="5"/>
                <c:pt idx="0">
                  <c:v> Sum of 2019-2020 </c:v>
                </c:pt>
                <c:pt idx="1">
                  <c:v> Sum of 2020-2021 </c:v>
                </c:pt>
                <c:pt idx="2">
                  <c:v> Sum of 2021-2022 </c:v>
                </c:pt>
                <c:pt idx="3">
                  <c:v> Sum of 2022-2023 </c:v>
                </c:pt>
                <c:pt idx="4">
                  <c:v> Sum of 2023-2024 </c:v>
                </c:pt>
              </c:strCache>
            </c:strRef>
          </c:cat>
          <c:val>
            <c:numRef>
              <c:f>'FS-Interpretations 1'!$I$13:$M$13</c:f>
              <c:numCache>
                <c:formatCode>_("₹"* #,##0.00_);_("₹"* \(#,##0.00\);_("₹"* "-"??_);_(@_)</c:formatCode>
                <c:ptCount val="5"/>
                <c:pt idx="0">
                  <c:v>1793.83</c:v>
                </c:pt>
                <c:pt idx="1">
                  <c:v>2065.42</c:v>
                </c:pt>
                <c:pt idx="2">
                  <c:v>2348.9299999999998</c:v>
                </c:pt>
                <c:pt idx="3">
                  <c:v>3006.67</c:v>
                </c:pt>
                <c:pt idx="4">
                  <c:v>4020</c:v>
                </c:pt>
              </c:numCache>
            </c:numRef>
          </c:val>
          <c:smooth val="0"/>
          <c:extLst>
            <c:ext xmlns:c16="http://schemas.microsoft.com/office/drawing/2014/chart" uri="{C3380CC4-5D6E-409C-BE32-E72D297353CC}">
              <c16:uniqueId val="{00000000-3D34-43B4-99D0-03E6CB0C5465}"/>
            </c:ext>
          </c:extLst>
        </c:ser>
        <c:dLbls>
          <c:dLblPos val="t"/>
          <c:showLegendKey val="0"/>
          <c:showVal val="1"/>
          <c:showCatName val="0"/>
          <c:showSerName val="0"/>
          <c:showPercent val="0"/>
          <c:showBubbleSize val="0"/>
        </c:dLbls>
        <c:smooth val="0"/>
        <c:axId val="809802216"/>
        <c:axId val="809802576"/>
      </c:lineChart>
      <c:catAx>
        <c:axId val="809802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802576"/>
        <c:crosses val="autoZero"/>
        <c:auto val="1"/>
        <c:lblAlgn val="ctr"/>
        <c:lblOffset val="100"/>
        <c:noMultiLvlLbl val="0"/>
      </c:catAx>
      <c:valAx>
        <c:axId val="809802576"/>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8022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'FS-Interpretations 1'!$H$16</c:f>
              <c:strCache>
                <c:ptCount val="1"/>
                <c:pt idx="0">
                  <c:v> Revenue From Operations (Net)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'FS-Interpretations 1'!$I$15:$M$15</c:f>
              <c:strCache>
                <c:ptCount val="5"/>
                <c:pt idx="0">
                  <c:v> Sum of 2019-2020 </c:v>
                </c:pt>
                <c:pt idx="1">
                  <c:v> Sum of 2020-2021 </c:v>
                </c:pt>
                <c:pt idx="2">
                  <c:v> Sum of 2021-2022 </c:v>
                </c:pt>
                <c:pt idx="3">
                  <c:v> Sum of 2022-2023 </c:v>
                </c:pt>
                <c:pt idx="4">
                  <c:v> Sum of 2023-2024 </c:v>
                </c:pt>
              </c:strCache>
            </c:strRef>
          </c:cat>
          <c:val>
            <c:numRef>
              <c:f>'FS-Interpretations 1'!$I$16:$M$16</c:f>
              <c:numCache>
                <c:formatCode>_("₹"* #,##0.00_);_("₹"* \(#,##0.00\);_("₹"* "-"??_);_(@_)</c:formatCode>
                <c:ptCount val="5"/>
                <c:pt idx="0">
                  <c:v>12607.76</c:v>
                </c:pt>
                <c:pt idx="1">
                  <c:v>13818.16</c:v>
                </c:pt>
                <c:pt idx="2">
                  <c:v>15043.67</c:v>
                </c:pt>
                <c:pt idx="3">
                  <c:v>17333.37</c:v>
                </c:pt>
                <c:pt idx="4">
                  <c:v>19819.93</c:v>
                </c:pt>
              </c:numCache>
            </c:numRef>
          </c:val>
          <c:smooth val="0"/>
          <c:extLst>
            <c:ext xmlns:c16="http://schemas.microsoft.com/office/drawing/2014/chart" uri="{C3380CC4-5D6E-409C-BE32-E72D297353CC}">
              <c16:uniqueId val="{00000000-A35B-4E42-B76D-C3BE82A5B3E4}"/>
            </c:ext>
          </c:extLst>
        </c:ser>
        <c:dLbls>
          <c:dLblPos val="t"/>
          <c:showLegendKey val="0"/>
          <c:showVal val="1"/>
          <c:showCatName val="0"/>
          <c:showSerName val="0"/>
          <c:showPercent val="0"/>
          <c:showBubbleSize val="0"/>
        </c:dLbls>
        <c:smooth val="0"/>
        <c:axId val="762321544"/>
        <c:axId val="762334144"/>
      </c:lineChart>
      <c:catAx>
        <c:axId val="762321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334144"/>
        <c:crosses val="autoZero"/>
        <c:auto val="1"/>
        <c:lblAlgn val="ctr"/>
        <c:lblOffset val="100"/>
        <c:noMultiLvlLbl val="0"/>
      </c:catAx>
      <c:valAx>
        <c:axId val="76233414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3215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'FS-Interpretations 2'!$H$4</c:f>
              <c:strCache>
                <c:ptCount val="1"/>
                <c:pt idx="0">
                  <c:v> Cash &amp; Cash Equivalents </c:v>
                </c:pt>
              </c:strCache>
            </c:strRef>
          </c:tx>
          <c:spPr>
            <a:ln w="28575" cap="rnd">
              <a:solidFill>
                <a:schemeClr val="accent1"/>
              </a:solidFill>
              <a:round/>
            </a:ln>
            <a:effectLst/>
          </c:spPr>
          <c:marker>
            <c:symbol val="none"/>
          </c:marker>
          <c:dLbls>
            <c:dLbl>
              <c:idx val="0"/>
              <c:layout>
                <c:manualLayout>
                  <c:x val="-7.9868110236220466E-2"/>
                  <c:y val="4.864574219889180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848-4B9A-96BF-BDB15FD0649B}"/>
                </c:ext>
              </c:extLst>
            </c:dLbl>
            <c:dLbl>
              <c:idx val="2"/>
              <c:layout>
                <c:manualLayout>
                  <c:x val="-8.2645888013998248E-2"/>
                  <c:y val="5.79050014581510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848-4B9A-96BF-BDB15FD0649B}"/>
                </c:ext>
              </c:extLst>
            </c:dLbl>
            <c:dLbl>
              <c:idx val="4"/>
              <c:layout>
                <c:manualLayout>
                  <c:x val="-3.8633639545056865E-2"/>
                  <c:y val="6.253463108778060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848-4B9A-96BF-BDB15FD064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'FS-Interpretations 2'!$I$3:$M$3</c:f>
              <c:strCache>
                <c:ptCount val="5"/>
                <c:pt idx="0">
                  <c:v> Sum of 2019-2020 </c:v>
                </c:pt>
                <c:pt idx="1">
                  <c:v> Sum of 2020-2021 </c:v>
                </c:pt>
                <c:pt idx="2">
                  <c:v> Sum of 2021-2022 </c:v>
                </c:pt>
                <c:pt idx="3">
                  <c:v> Sum of 2022-2023 </c:v>
                </c:pt>
                <c:pt idx="4">
                  <c:v> Sum of 2023-2024 </c:v>
                </c:pt>
              </c:strCache>
            </c:strRef>
          </c:cat>
          <c:val>
            <c:numRef>
              <c:f>'FS-Interpretations 2'!$I$4:$M$4</c:f>
              <c:numCache>
                <c:formatCode>_("₹"* #,##0.00_);_("₹"* \(#,##0.00\);_("₹"* "-"??_);_(@_)</c:formatCode>
                <c:ptCount val="5"/>
                <c:pt idx="0">
                  <c:v>1556.22</c:v>
                </c:pt>
                <c:pt idx="1">
                  <c:v>3015.65</c:v>
                </c:pt>
                <c:pt idx="2">
                  <c:v>1239.04</c:v>
                </c:pt>
                <c:pt idx="3">
                  <c:v>3864.18</c:v>
                </c:pt>
                <c:pt idx="4">
                  <c:v>1149</c:v>
                </c:pt>
              </c:numCache>
            </c:numRef>
          </c:val>
          <c:smooth val="0"/>
          <c:extLst>
            <c:ext xmlns:c16="http://schemas.microsoft.com/office/drawing/2014/chart" uri="{C3380CC4-5D6E-409C-BE32-E72D297353CC}">
              <c16:uniqueId val="{00000000-1848-4B9A-96BF-BDB15FD0649B}"/>
            </c:ext>
          </c:extLst>
        </c:ser>
        <c:dLbls>
          <c:dLblPos val="t"/>
          <c:showLegendKey val="0"/>
          <c:showVal val="1"/>
          <c:showCatName val="0"/>
          <c:showSerName val="0"/>
          <c:showPercent val="0"/>
          <c:showBubbleSize val="0"/>
        </c:dLbls>
        <c:smooth val="0"/>
        <c:axId val="1096638200"/>
        <c:axId val="1096634240"/>
      </c:lineChart>
      <c:catAx>
        <c:axId val="1096638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634240"/>
        <c:crosses val="autoZero"/>
        <c:auto val="1"/>
        <c:lblAlgn val="ctr"/>
        <c:lblOffset val="100"/>
        <c:noMultiLvlLbl val="0"/>
      </c:catAx>
      <c:valAx>
        <c:axId val="1096634240"/>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6382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'FS-Interpretations 2'!$H$7</c:f>
              <c:strCache>
                <c:ptCount val="1"/>
                <c:pt idx="0">
                  <c:v> Net Worth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'FS-Interpretations 2'!$I$6:$M$6</c:f>
              <c:strCache>
                <c:ptCount val="5"/>
                <c:pt idx="0">
                  <c:v> Sum of 2019-2020 </c:v>
                </c:pt>
                <c:pt idx="1">
                  <c:v> Sum of 2020-2021 </c:v>
                </c:pt>
                <c:pt idx="2">
                  <c:v> Sum of 2021-2022 </c:v>
                </c:pt>
                <c:pt idx="3">
                  <c:v> Sum of 2022-2023 </c:v>
                </c:pt>
                <c:pt idx="4">
                  <c:v> Sum of 2023-2024 </c:v>
                </c:pt>
              </c:strCache>
            </c:strRef>
          </c:cat>
          <c:val>
            <c:numRef>
              <c:f>'FS-Interpretations 2'!$I$7:$M$7</c:f>
              <c:numCache>
                <c:formatCode>_("₹"* #,##0.00_);_("₹"* \(#,##0.00\);_("₹"* "-"??_);_(@_)</c:formatCode>
                <c:ptCount val="5"/>
                <c:pt idx="0">
                  <c:v>9852.9399999999987</c:v>
                </c:pt>
                <c:pt idx="1">
                  <c:v>10807.89</c:v>
                </c:pt>
                <c:pt idx="2">
                  <c:v>11984.260000000002</c:v>
                </c:pt>
                <c:pt idx="3">
                  <c:v>13581.990000000002</c:v>
                </c:pt>
                <c:pt idx="4">
                  <c:v>16082.39</c:v>
                </c:pt>
              </c:numCache>
            </c:numRef>
          </c:val>
          <c:smooth val="0"/>
          <c:extLst>
            <c:ext xmlns:c16="http://schemas.microsoft.com/office/drawing/2014/chart" uri="{C3380CC4-5D6E-409C-BE32-E72D297353CC}">
              <c16:uniqueId val="{00000000-CF81-4BC4-BEEF-0012465D6093}"/>
            </c:ext>
          </c:extLst>
        </c:ser>
        <c:dLbls>
          <c:dLblPos val="t"/>
          <c:showLegendKey val="0"/>
          <c:showVal val="1"/>
          <c:showCatName val="0"/>
          <c:showSerName val="0"/>
          <c:showPercent val="0"/>
          <c:showBubbleSize val="0"/>
        </c:dLbls>
        <c:smooth val="0"/>
        <c:axId val="988774656"/>
        <c:axId val="988775376"/>
      </c:lineChart>
      <c:catAx>
        <c:axId val="98877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775376"/>
        <c:crosses val="autoZero"/>
        <c:auto val="1"/>
        <c:lblAlgn val="ctr"/>
        <c:lblOffset val="100"/>
        <c:noMultiLvlLbl val="0"/>
      </c:catAx>
      <c:valAx>
        <c:axId val="988775376"/>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7746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'FS-Interpretations 2'!$H$10</c:f>
              <c:strCache>
                <c:ptCount val="1"/>
                <c:pt idx="0">
                  <c:v> Total Assets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'FS-Interpretations 2'!$I$9:$M$9</c:f>
              <c:strCache>
                <c:ptCount val="5"/>
                <c:pt idx="0">
                  <c:v> Sum of 2019-2020 </c:v>
                </c:pt>
                <c:pt idx="1">
                  <c:v> Sum of 2020-2021 </c:v>
                </c:pt>
                <c:pt idx="2">
                  <c:v> Sum of 2021-2022 </c:v>
                </c:pt>
                <c:pt idx="3">
                  <c:v> Sum of 2022-2023 </c:v>
                </c:pt>
                <c:pt idx="4">
                  <c:v> Sum of 2023-2024 </c:v>
                </c:pt>
              </c:strCache>
            </c:strRef>
          </c:cat>
          <c:val>
            <c:numRef>
              <c:f>'FS-Interpretations 2'!$I$10:$M$10</c:f>
              <c:numCache>
                <c:formatCode>_("₹"* #,##0.00_);_("₹"* \(#,##0.00\);_("₹"* "-"??_);_(@_)</c:formatCode>
                <c:ptCount val="5"/>
                <c:pt idx="0">
                  <c:v>23911.09</c:v>
                </c:pt>
                <c:pt idx="1">
                  <c:v>29053.15</c:v>
                </c:pt>
                <c:pt idx="2">
                  <c:v>33449.94</c:v>
                </c:pt>
                <c:pt idx="3">
                  <c:v>35054.480000000003</c:v>
                </c:pt>
                <c:pt idx="4">
                  <c:v>39155.65</c:v>
                </c:pt>
              </c:numCache>
            </c:numRef>
          </c:val>
          <c:smooth val="0"/>
          <c:extLst>
            <c:ext xmlns:c16="http://schemas.microsoft.com/office/drawing/2014/chart" uri="{C3380CC4-5D6E-409C-BE32-E72D297353CC}">
              <c16:uniqueId val="{00000000-16F0-4DFD-8587-157C12410CEA}"/>
            </c:ext>
          </c:extLst>
        </c:ser>
        <c:dLbls>
          <c:dLblPos val="t"/>
          <c:showLegendKey val="0"/>
          <c:showVal val="1"/>
          <c:showCatName val="0"/>
          <c:showSerName val="0"/>
          <c:showPercent val="0"/>
          <c:showBubbleSize val="0"/>
        </c:dLbls>
        <c:smooth val="0"/>
        <c:axId val="960965544"/>
        <c:axId val="1218767576"/>
      </c:lineChart>
      <c:catAx>
        <c:axId val="96096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767576"/>
        <c:crosses val="autoZero"/>
        <c:auto val="1"/>
        <c:lblAlgn val="ctr"/>
        <c:lblOffset val="100"/>
        <c:noMultiLvlLbl val="0"/>
      </c:catAx>
      <c:valAx>
        <c:axId val="1218767576"/>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9655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'FS-Interpretations 2'!$H$13</c:f>
              <c:strCache>
                <c:ptCount val="1"/>
                <c:pt idx="0">
                  <c:v> Total Liabilities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'FS-Interpretations 2'!$I$12:$M$12</c:f>
              <c:strCache>
                <c:ptCount val="5"/>
                <c:pt idx="0">
                  <c:v> Sum of 2019-2020 </c:v>
                </c:pt>
                <c:pt idx="1">
                  <c:v> Sum of 2020-2021 </c:v>
                </c:pt>
                <c:pt idx="2">
                  <c:v> Sum of 2021-2022 </c:v>
                </c:pt>
                <c:pt idx="3">
                  <c:v> Sum of 2022-2023 </c:v>
                </c:pt>
                <c:pt idx="4">
                  <c:v> Sum of 2023-2024 </c:v>
                </c:pt>
              </c:strCache>
            </c:strRef>
          </c:cat>
          <c:val>
            <c:numRef>
              <c:f>'FS-Interpretations 2'!$I$13:$M$13</c:f>
              <c:numCache>
                <c:formatCode>_("₹"* #,##0.00_);_("₹"* \(#,##0.00\);_("₹"* "-"??_);_(@_)</c:formatCode>
                <c:ptCount val="5"/>
                <c:pt idx="0">
                  <c:v>14058.150000000001</c:v>
                </c:pt>
                <c:pt idx="1">
                  <c:v>18245.260000000002</c:v>
                </c:pt>
                <c:pt idx="2">
                  <c:v>21465.68</c:v>
                </c:pt>
                <c:pt idx="3">
                  <c:v>21472.49</c:v>
                </c:pt>
                <c:pt idx="4">
                  <c:v>23073.260000000002</c:v>
                </c:pt>
              </c:numCache>
            </c:numRef>
          </c:val>
          <c:smooth val="0"/>
          <c:extLst>
            <c:ext xmlns:c16="http://schemas.microsoft.com/office/drawing/2014/chart" uri="{C3380CC4-5D6E-409C-BE32-E72D297353CC}">
              <c16:uniqueId val="{00000000-A0D3-4738-8872-E75ECB33354C}"/>
            </c:ext>
          </c:extLst>
        </c:ser>
        <c:dLbls>
          <c:dLblPos val="t"/>
          <c:showLegendKey val="0"/>
          <c:showVal val="1"/>
          <c:showCatName val="0"/>
          <c:showSerName val="0"/>
          <c:showPercent val="0"/>
          <c:showBubbleSize val="0"/>
        </c:dLbls>
        <c:smooth val="0"/>
        <c:axId val="989773984"/>
        <c:axId val="989774704"/>
      </c:lineChart>
      <c:catAx>
        <c:axId val="98977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774704"/>
        <c:crosses val="autoZero"/>
        <c:auto val="1"/>
        <c:lblAlgn val="ctr"/>
        <c:lblOffset val="100"/>
        <c:noMultiLvlLbl val="0"/>
      </c:catAx>
      <c:valAx>
        <c:axId val="98977470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7739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'FS-Interpretations 3'!$A$19</c:f>
              <c:strCache>
                <c:ptCount val="1"/>
                <c:pt idx="0">
                  <c:v>Cash flow from Operating Activities</c:v>
                </c:pt>
              </c:strCache>
            </c:strRef>
          </c:tx>
          <c:spPr>
            <a:ln w="28575" cap="rnd">
              <a:solidFill>
                <a:schemeClr val="accent1"/>
              </a:solidFill>
              <a:round/>
            </a:ln>
            <a:effectLst/>
          </c:spPr>
          <c:marker>
            <c:symbol val="none"/>
          </c:marker>
          <c:dLbls>
            <c:dLbl>
              <c:idx val="0"/>
              <c:layout>
                <c:manualLayout>
                  <c:x val="-7.7090332458442698E-2"/>
                  <c:y val="3.93864829396325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D53-44B8-A748-3523A69A8AAF}"/>
                </c:ext>
              </c:extLst>
            </c:dLbl>
            <c:dLbl>
              <c:idx val="2"/>
              <c:layout>
                <c:manualLayout>
                  <c:x val="-2.1534776902887139E-2"/>
                  <c:y val="-6.246536891221930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D53-44B8-A748-3523A69A8AAF}"/>
                </c:ext>
              </c:extLst>
            </c:dLbl>
            <c:dLbl>
              <c:idx val="3"/>
              <c:layout>
                <c:manualLayout>
                  <c:x val="-7.9868110236220466E-2"/>
                  <c:y val="4.864574219889180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D53-44B8-A748-3523A69A8AA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'FS-Interpretations 3'!$B$18:$F$18</c:f>
              <c:strCache>
                <c:ptCount val="5"/>
                <c:pt idx="0">
                  <c:v> Sum of 2019-2020 </c:v>
                </c:pt>
                <c:pt idx="1">
                  <c:v> Sum of 2020-2021 </c:v>
                </c:pt>
                <c:pt idx="2">
                  <c:v> Sum of 2021-2022 </c:v>
                </c:pt>
                <c:pt idx="3">
                  <c:v> Sum of 2022-2023 </c:v>
                </c:pt>
                <c:pt idx="4">
                  <c:v> Sum of 2023-2024 </c:v>
                </c:pt>
              </c:strCache>
            </c:strRef>
          </c:cat>
          <c:val>
            <c:numRef>
              <c:f>'FS-Interpretations 3'!$B$19:$F$19</c:f>
              <c:numCache>
                <c:formatCode>_("₹"* #,##0.00_);_("₹"* \(#,##0.00\);_("₹"* "-"??_);_(@_)</c:formatCode>
                <c:ptCount val="5"/>
                <c:pt idx="0">
                  <c:v>2532.5300000000002</c:v>
                </c:pt>
                <c:pt idx="1">
                  <c:v>5103.46</c:v>
                </c:pt>
                <c:pt idx="2">
                  <c:v>4207.22</c:v>
                </c:pt>
                <c:pt idx="3">
                  <c:v>1199.26</c:v>
                </c:pt>
                <c:pt idx="4">
                  <c:v>4659.49</c:v>
                </c:pt>
              </c:numCache>
            </c:numRef>
          </c:val>
          <c:smooth val="0"/>
          <c:extLst>
            <c:ext xmlns:c16="http://schemas.microsoft.com/office/drawing/2014/chart" uri="{C3380CC4-5D6E-409C-BE32-E72D297353CC}">
              <c16:uniqueId val="{00000000-3D53-44B8-A748-3523A69A8AAF}"/>
            </c:ext>
          </c:extLst>
        </c:ser>
        <c:dLbls>
          <c:dLblPos val="t"/>
          <c:showLegendKey val="0"/>
          <c:showVal val="1"/>
          <c:showCatName val="0"/>
          <c:showSerName val="0"/>
          <c:showPercent val="0"/>
          <c:showBubbleSize val="0"/>
        </c:dLbls>
        <c:smooth val="0"/>
        <c:axId val="802129160"/>
        <c:axId val="802126640"/>
      </c:lineChart>
      <c:catAx>
        <c:axId val="802129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126640"/>
        <c:crosses val="autoZero"/>
        <c:auto val="1"/>
        <c:lblAlgn val="ctr"/>
        <c:lblOffset val="100"/>
        <c:noMultiLvlLbl val="0"/>
      </c:catAx>
      <c:valAx>
        <c:axId val="802126640"/>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1291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'FS-Interpretations 3'!$A$31</c:f>
              <c:strCache>
                <c:ptCount val="1"/>
                <c:pt idx="0">
                  <c:v>Net cash flow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'FS-Interpretations 3'!$B$30:$F$30</c:f>
              <c:strCache>
                <c:ptCount val="5"/>
                <c:pt idx="0">
                  <c:v> Sum of 2019-2020 </c:v>
                </c:pt>
                <c:pt idx="1">
                  <c:v> Sum of 2020-2021 </c:v>
                </c:pt>
                <c:pt idx="2">
                  <c:v> Sum of 2021-2022 </c:v>
                </c:pt>
                <c:pt idx="3">
                  <c:v> Sum of 2022-2023 </c:v>
                </c:pt>
                <c:pt idx="4">
                  <c:v> Sum of 2023-2024 </c:v>
                </c:pt>
              </c:strCache>
            </c:strRef>
          </c:cat>
          <c:val>
            <c:numRef>
              <c:f>'FS-Interpretations 3'!$B$31:$F$31</c:f>
              <c:numCache>
                <c:formatCode>_("₹"* #,##0.00_);_("₹"* \(#,##0.00\);_("₹"* "-"??_);_(@_)</c:formatCode>
                <c:ptCount val="5"/>
                <c:pt idx="0">
                  <c:v>1556.2200000000003</c:v>
                </c:pt>
                <c:pt idx="1">
                  <c:v>3015.6499999999996</c:v>
                </c:pt>
                <c:pt idx="2">
                  <c:v>1239.0400000000004</c:v>
                </c:pt>
                <c:pt idx="3">
                  <c:v>3864.1800000000003</c:v>
                </c:pt>
                <c:pt idx="4">
                  <c:v>1148.9999999999995</c:v>
                </c:pt>
              </c:numCache>
            </c:numRef>
          </c:val>
          <c:extLst>
            <c:ext xmlns:c16="http://schemas.microsoft.com/office/drawing/2014/chart" uri="{C3380CC4-5D6E-409C-BE32-E72D297353CC}">
              <c16:uniqueId val="{00000000-9FBF-420F-BA58-AFC2D6A54FF6}"/>
            </c:ext>
          </c:extLst>
        </c:ser>
        <c:dLbls>
          <c:dLblPos val="outEnd"/>
          <c:showLegendKey val="0"/>
          <c:showVal val="1"/>
          <c:showCatName val="0"/>
          <c:showSerName val="0"/>
          <c:showPercent val="0"/>
          <c:showBubbleSize val="0"/>
        </c:dLbls>
        <c:gapWidth val="219"/>
        <c:overlap val="-27"/>
        <c:axId val="1277492504"/>
        <c:axId val="1277493224"/>
      </c:barChart>
      <c:catAx>
        <c:axId val="1277492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493224"/>
        <c:crosses val="autoZero"/>
        <c:auto val="1"/>
        <c:lblAlgn val="ctr"/>
        <c:lblOffset val="100"/>
        <c:noMultiLvlLbl val="0"/>
      </c:catAx>
      <c:valAx>
        <c:axId val="127749322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4925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_xlchart.v1.1</cx:f>
      </cx:strDim>
      <cx:numDim type="val">
        <cx:f dir="row">_xlchart.v1.2</cx:f>
      </cx:numDim>
    </cx:data>
  </cx:chartData>
  <cx:chart>
    <cx:title pos="t" align="ctr" overlay="0">
      <cx:tx>
        <cx:txData>
          <cx:v>Cash Flow from Investing Activities</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Cash Flow from Investing Activities</a:t>
          </a:r>
        </a:p>
      </cx:txPr>
    </cx:title>
    <cx:plotArea>
      <cx:plotAreaRegion>
        <cx:series layoutId="waterfall" uniqueId="{98C4C099-911D-4F91-B99D-0A3A6718999B}">
          <cx:tx>
            <cx:txData>
              <cx:f>_xlchart.v1.0</cx:f>
              <cx:v>Cash Flow from Investing Activities</cx:v>
            </cx:txData>
          </cx:tx>
          <cx:dataLabels>
            <cx:visibility seriesName="0" categoryName="0" value="1"/>
          </cx:dataLabels>
          <cx:dataId val="0"/>
          <cx:layoutPr>
            <cx:subtotals/>
          </cx:layoutPr>
        </cx:series>
      </cx:plotAreaRegion>
      <cx:axis id="0">
        <cx:catScaling/>
        <cx:tickLabels/>
      </cx:axis>
      <cx:axis id="1">
        <cx:valScaling/>
        <cx:tickLabels/>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_xlchart.v1.7</cx:f>
      </cx:strDim>
      <cx:numDim type="val">
        <cx:f dir="row">_xlchart.v1.8</cx:f>
      </cx:numDim>
    </cx:data>
  </cx:chartData>
  <cx:chart>
    <cx:title pos="t" align="ctr" overlay="0">
      <cx:tx>
        <cx:txData>
          <cx:v>Cash flow from Financing Activities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Cash flow from Financing Activities</a:t>
          </a:r>
        </a:p>
      </cx:txPr>
    </cx:title>
    <cx:plotArea>
      <cx:plotAreaRegion>
        <cx:series layoutId="waterfall" uniqueId="{F1E8090F-30E7-4B52-B46C-A0FD0535652A}">
          <cx:tx>
            <cx:txData>
              <cx:f>_xlchart.v1.6</cx:f>
              <cx:v>Cash flow from Financing Activities</cx:v>
            </cx:txData>
          </cx:tx>
          <cx:dataLabels pos="outEnd">
            <cx:visibility seriesName="0" categoryName="0" value="1"/>
          </cx:dataLabels>
          <cx:dataId val="0"/>
          <cx:layoutPr>
            <cx:subtotals/>
          </cx:layoutPr>
        </cx:series>
      </cx:plotAreaRegion>
      <cx:axis id="0">
        <cx:catScaling gapWidth="0.5"/>
        <cx:tickLabels/>
      </cx:axis>
      <cx:axis id="1">
        <cx:valScaling/>
        <cx:tickLabels/>
      </cx:axis>
    </cx:plotArea>
  </cx:chart>
  <cx:spPr>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_xlchart.v1.4</cx:f>
      </cx:strDim>
      <cx:numDim type="val">
        <cx:f dir="row">_xlchart.v1.5</cx:f>
      </cx:numDim>
    </cx:data>
  </cx:chartData>
  <cx:chart>
    <cx:title pos="t" align="ctr" overlay="0">
      <cx:tx>
        <cx:txData>
          <cx:v>Cash &amp; Cash Equivalents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Cash &amp; Cash Equivalents</a:t>
          </a:r>
        </a:p>
      </cx:txPr>
    </cx:title>
    <cx:plotArea>
      <cx:plotAreaRegion>
        <cx:series layoutId="waterfall" uniqueId="{ED783ABA-F105-47E2-9A60-A2DDD58B7A5F}">
          <cx:tx>
            <cx:txData>
              <cx:f>_xlchart.v1.3</cx:f>
              <cx:v>Cash &amp; cash equivalents (Beginning of the year)</cx:v>
            </cx:txData>
          </cx:tx>
          <cx:dataLabels pos="outEnd">
            <cx:visibility seriesName="0" categoryName="0" value="1"/>
          </cx:dataLabels>
          <cx:dataId val="0"/>
          <cx:layoutPr>
            <cx:subtotals/>
          </cx:layoutPr>
        </cx:series>
      </cx:plotAreaRegion>
      <cx:axis id="0">
        <cx:catScaling gapWidth="0.5"/>
        <cx:tickLabels/>
      </cx:axis>
      <cx:axis id="1">
        <cx:valScaling/>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0.xml"/><Relationship Id="rId5" Type="http://schemas.openxmlformats.org/officeDocument/2006/relationships/chart" Target="../charts/chart11.xml"/><Relationship Id="rId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xdr:col>
      <xdr:colOff>594360</xdr:colOff>
      <xdr:row>16</xdr:row>
      <xdr:rowOff>163830</xdr:rowOff>
    </xdr:from>
    <xdr:to>
      <xdr:col>5</xdr:col>
      <xdr:colOff>716280</xdr:colOff>
      <xdr:row>31</xdr:row>
      <xdr:rowOff>163830</xdr:rowOff>
    </xdr:to>
    <xdr:graphicFrame macro="">
      <xdr:nvGraphicFramePr>
        <xdr:cNvPr id="5" name="Chart 4">
          <a:extLst>
            <a:ext uri="{FF2B5EF4-FFF2-40B4-BE49-F238E27FC236}">
              <a16:creationId xmlns:a16="http://schemas.microsoft.com/office/drawing/2014/main" id="{FBD1041A-7BF5-2473-6752-D05B3031D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937260</xdr:colOff>
      <xdr:row>17</xdr:row>
      <xdr:rowOff>3810</xdr:rowOff>
    </xdr:from>
    <xdr:to>
      <xdr:col>9</xdr:col>
      <xdr:colOff>929640</xdr:colOff>
      <xdr:row>32</xdr:row>
      <xdr:rowOff>3810</xdr:rowOff>
    </xdr:to>
    <xdr:graphicFrame macro="">
      <xdr:nvGraphicFramePr>
        <xdr:cNvPr id="6" name="Chart 5">
          <a:extLst>
            <a:ext uri="{FF2B5EF4-FFF2-40B4-BE49-F238E27FC236}">
              <a16:creationId xmlns:a16="http://schemas.microsoft.com/office/drawing/2014/main" id="{2185EBDD-CCF5-CE9C-4F17-27897001AE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1031576</xdr:colOff>
      <xdr:row>17</xdr:row>
      <xdr:rowOff>1439</xdr:rowOff>
    </xdr:from>
    <xdr:to>
      <xdr:col>15</xdr:col>
      <xdr:colOff>10783</xdr:colOff>
      <xdr:row>32</xdr:row>
      <xdr:rowOff>48884</xdr:rowOff>
    </xdr:to>
    <xdr:graphicFrame macro="">
      <xdr:nvGraphicFramePr>
        <xdr:cNvPr id="7" name="Chart 6">
          <a:extLst>
            <a:ext uri="{FF2B5EF4-FFF2-40B4-BE49-F238E27FC236}">
              <a16:creationId xmlns:a16="http://schemas.microsoft.com/office/drawing/2014/main" id="{5649ECEF-C12F-EB04-3EE2-FEB1E9A50F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988443</xdr:colOff>
      <xdr:row>32</xdr:row>
      <xdr:rowOff>58947</xdr:rowOff>
    </xdr:from>
    <xdr:to>
      <xdr:col>7</xdr:col>
      <xdr:colOff>1606669</xdr:colOff>
      <xdr:row>47</xdr:row>
      <xdr:rowOff>106392</xdr:rowOff>
    </xdr:to>
    <xdr:graphicFrame macro="">
      <xdr:nvGraphicFramePr>
        <xdr:cNvPr id="8" name="Chart 7">
          <a:extLst>
            <a:ext uri="{FF2B5EF4-FFF2-40B4-BE49-F238E27FC236}">
              <a16:creationId xmlns:a16="http://schemas.microsoft.com/office/drawing/2014/main" id="{5E7B86B8-0761-0FEC-B49B-8C8840A00B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226443</xdr:colOff>
      <xdr:row>31</xdr:row>
      <xdr:rowOff>159589</xdr:rowOff>
    </xdr:from>
    <xdr:to>
      <xdr:col>12</xdr:col>
      <xdr:colOff>427726</xdr:colOff>
      <xdr:row>47</xdr:row>
      <xdr:rowOff>27317</xdr:rowOff>
    </xdr:to>
    <xdr:graphicFrame macro="">
      <xdr:nvGraphicFramePr>
        <xdr:cNvPr id="9" name="Chart 8">
          <a:extLst>
            <a:ext uri="{FF2B5EF4-FFF2-40B4-BE49-F238E27FC236}">
              <a16:creationId xmlns:a16="http://schemas.microsoft.com/office/drawing/2014/main" id="{4D122EEC-D1E1-BEA7-A197-C0DDF0BB3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106680</xdr:colOff>
      <xdr:row>13</xdr:row>
      <xdr:rowOff>163830</xdr:rowOff>
    </xdr:from>
    <xdr:to>
      <xdr:col>4</xdr:col>
      <xdr:colOff>426720</xdr:colOff>
      <xdr:row>28</xdr:row>
      <xdr:rowOff>163830</xdr:rowOff>
    </xdr:to>
    <xdr:graphicFrame macro="">
      <xdr:nvGraphicFramePr>
        <xdr:cNvPr id="4" name="Chart 3">
          <a:extLst>
            <a:ext uri="{FF2B5EF4-FFF2-40B4-BE49-F238E27FC236}">
              <a16:creationId xmlns:a16="http://schemas.microsoft.com/office/drawing/2014/main" id="{44195A2A-9C5A-0598-4236-57431D5B27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594360</xdr:colOff>
      <xdr:row>13</xdr:row>
      <xdr:rowOff>125730</xdr:rowOff>
    </xdr:from>
    <xdr:to>
      <xdr:col>9</xdr:col>
      <xdr:colOff>327660</xdr:colOff>
      <xdr:row>28</xdr:row>
      <xdr:rowOff>125730</xdr:rowOff>
    </xdr:to>
    <xdr:graphicFrame macro="">
      <xdr:nvGraphicFramePr>
        <xdr:cNvPr id="5" name="Chart 4">
          <a:extLst>
            <a:ext uri="{FF2B5EF4-FFF2-40B4-BE49-F238E27FC236}">
              <a16:creationId xmlns:a16="http://schemas.microsoft.com/office/drawing/2014/main" id="{B4492C12-C438-82A0-F7DB-8C26162842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464820</xdr:colOff>
      <xdr:row>13</xdr:row>
      <xdr:rowOff>148590</xdr:rowOff>
    </xdr:from>
    <xdr:to>
      <xdr:col>14</xdr:col>
      <xdr:colOff>68580</xdr:colOff>
      <xdr:row>28</xdr:row>
      <xdr:rowOff>148590</xdr:rowOff>
    </xdr:to>
    <xdr:graphicFrame macro="">
      <xdr:nvGraphicFramePr>
        <xdr:cNvPr id="6" name="Chart 5">
          <a:extLst>
            <a:ext uri="{FF2B5EF4-FFF2-40B4-BE49-F238E27FC236}">
              <a16:creationId xmlns:a16="http://schemas.microsoft.com/office/drawing/2014/main" id="{F6611660-A7F0-D29E-792A-4F1C254302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746760</xdr:colOff>
      <xdr:row>29</xdr:row>
      <xdr:rowOff>102870</xdr:rowOff>
    </xdr:from>
    <xdr:to>
      <xdr:col>9</xdr:col>
      <xdr:colOff>480060</xdr:colOff>
      <xdr:row>44</xdr:row>
      <xdr:rowOff>102870</xdr:rowOff>
    </xdr:to>
    <xdr:graphicFrame macro="">
      <xdr:nvGraphicFramePr>
        <xdr:cNvPr id="7" name="Chart 6">
          <a:extLst>
            <a:ext uri="{FF2B5EF4-FFF2-40B4-BE49-F238E27FC236}">
              <a16:creationId xmlns:a16="http://schemas.microsoft.com/office/drawing/2014/main" id="{415B6ACC-9137-D8DB-B79D-D52972F84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236220</xdr:colOff>
      <xdr:row>0</xdr:row>
      <xdr:rowOff>148590</xdr:rowOff>
    </xdr:from>
    <xdr:to>
      <xdr:col>13</xdr:col>
      <xdr:colOff>541020</xdr:colOff>
      <xdr:row>12</xdr:row>
      <xdr:rowOff>148590</xdr:rowOff>
    </xdr:to>
    <xdr:graphicFrame macro="">
      <xdr:nvGraphicFramePr>
        <xdr:cNvPr id="2" name="Chart 1">
          <a:extLst>
            <a:ext uri="{FF2B5EF4-FFF2-40B4-BE49-F238E27FC236}">
              <a16:creationId xmlns:a16="http://schemas.microsoft.com/office/drawing/2014/main" id="{1C3EB05A-A4DD-3451-6E69-1C86A4E299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228600</xdr:colOff>
      <xdr:row>12</xdr:row>
      <xdr:rowOff>285750</xdr:rowOff>
    </xdr:from>
    <xdr:to>
      <xdr:col>13</xdr:col>
      <xdr:colOff>533400</xdr:colOff>
      <xdr:row>24</xdr:row>
      <xdr:rowOff>213360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614FE33-FB9D-88A3-7A95-FDBC5172E7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368540" y="3028950"/>
              <a:ext cx="4572000" cy="26708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213360</xdr:colOff>
      <xdr:row>24</xdr:row>
      <xdr:rowOff>293370</xdr:rowOff>
    </xdr:from>
    <xdr:to>
      <xdr:col>13</xdr:col>
      <xdr:colOff>518160</xdr:colOff>
      <xdr:row>38</xdr:row>
      <xdr:rowOff>110490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E2A1D2B-6438-F8CF-F398-FCF9FBAD1E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353300" y="57797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53340</xdr:colOff>
      <xdr:row>31</xdr:row>
      <xdr:rowOff>148590</xdr:rowOff>
    </xdr:from>
    <xdr:to>
      <xdr:col>3</xdr:col>
      <xdr:colOff>822960</xdr:colOff>
      <xdr:row>46</xdr:row>
      <xdr:rowOff>148590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7935ED1-0C97-C934-4EDC-7C2CDEEBC6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3340" y="72809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289560</xdr:colOff>
      <xdr:row>39</xdr:row>
      <xdr:rowOff>163830</xdr:rowOff>
    </xdr:from>
    <xdr:to>
      <xdr:col>10</xdr:col>
      <xdr:colOff>198120</xdr:colOff>
      <xdr:row>54</xdr:row>
      <xdr:rowOff>163830</xdr:rowOff>
    </xdr:to>
    <xdr:graphicFrame macro="">
      <xdr:nvGraphicFramePr>
        <xdr:cNvPr id="7" name="Chart 6">
          <a:extLst>
            <a:ext uri="{FF2B5EF4-FFF2-40B4-BE49-F238E27FC236}">
              <a16:creationId xmlns:a16="http://schemas.microsoft.com/office/drawing/2014/main" id="{51B3ED4F-9344-E193-0D60-5F88A9B290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t Gupta" refreshedDate="45822.776602083337" createdVersion="8" refreshedVersion="8" minRefreshableVersion="3" recordCount="5" xr:uid="{C3354E89-DE85-4111-B1B4-F4E65AEFFB21}">
  <cacheSource type="worksheet">
    <worksheetSource ref="A6:K11" sheet="Financial Statements (Heads)"/>
  </cacheSource>
  <cacheFields count="11">
    <cacheField name="Particulars" numFmtId="0">
      <sharedItems count="5">
        <s v="Revenue From Operations (Net)"/>
        <s v="Profit/Loss Before Exceptional,_x000a_ExtraOrdinary Items And Tax"/>
        <s v="Profit/Loss Before Tax"/>
        <s v="Profit/Loss For The Period"/>
        <s v="Basic EPS (₹)"/>
      </sharedItems>
    </cacheField>
    <cacheField name="2019-2020" numFmtId="165">
      <sharedItems containsSemiMixedTypes="0" containsString="0" containsNumber="1" minValue="7.36" maxValue="12607.76" count="4">
        <n v="12607.76"/>
        <n v="2479.17"/>
        <n v="1793.83"/>
        <n v="7.36"/>
      </sharedItems>
    </cacheField>
    <cacheField name="2020-2021" numFmtId="165">
      <sharedItems containsSemiMixedTypes="0" containsString="0" containsNumber="1" minValue="8.48" maxValue="13818.16" count="4">
        <n v="13818.16"/>
        <n v="2934.81"/>
        <n v="2065.42"/>
        <n v="8.48"/>
      </sharedItems>
    </cacheField>
    <cacheField name="2021-2022" numFmtId="165">
      <sharedItems containsSemiMixedTypes="0" containsString="0" containsNumber="1" minValue="9.64" maxValue="15043.67"/>
    </cacheField>
    <cacheField name="2022-2023" numFmtId="165">
      <sharedItems containsSemiMixedTypes="0" containsString="0" containsNumber="1" minValue="4.1100000000000003" maxValue="17333.37"/>
    </cacheField>
    <cacheField name="2023-2024" numFmtId="165">
      <sharedItems containsSemiMixedTypes="0" containsString="0" containsNumber="1" minValue="5.5" maxValue="19819.93"/>
    </cacheField>
    <cacheField name="2019-20202" numFmtId="165">
      <sharedItems containsSemiMixedTypes="0" containsString="0" containsNumber="1" minValue="18.29" maxValue="4897.43"/>
    </cacheField>
    <cacheField name="2020-20212" numFmtId="165">
      <sharedItems containsSemiMixedTypes="0" containsString="0" containsNumber="1" minValue="23.78" maxValue="4041.58"/>
    </cacheField>
    <cacheField name="2021-20222" numFmtId="165">
      <sharedItems containsSemiMixedTypes="0" containsString="0" containsNumber="1" minValue="29.08" maxValue="5717.61"/>
    </cacheField>
    <cacheField name="2022-20232" numFmtId="165">
      <sharedItems containsSemiMixedTypes="0" containsString="0" containsNumber="1" minValue="53.19" maxValue="7584.03"/>
    </cacheField>
    <cacheField name="2023-20242" numFmtId="165">
      <sharedItems containsSemiMixedTypes="0" containsString="0" containsNumber="1" minValue="91.5" maxValue="9068.0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t Gupta" refreshedDate="45822.800250231485" createdVersion="8" refreshedVersion="8" minRefreshableVersion="3" recordCount="5" xr:uid="{7BBF6789-BDA5-4D3C-B2AD-38D6D7CDA997}">
  <cacheSource type="worksheet">
    <worksheetSource ref="A16:K21" sheet="Financial Statements (Heads)"/>
  </cacheSource>
  <cacheFields count="11">
    <cacheField name="Particulars" numFmtId="0">
      <sharedItems count="5">
        <s v="Total Assets"/>
        <s v="Total Liabilities"/>
        <s v="Net Worth"/>
        <s v="Total Debt"/>
        <s v="Cash &amp; Cash Equivalents"/>
      </sharedItems>
    </cacheField>
    <cacheField name="2019-2020" numFmtId="0">
      <sharedItems containsSemiMixedTypes="0" containsString="0" containsNumber="1" minValue="0" maxValue="23911.09"/>
    </cacheField>
    <cacheField name="2020-2021" numFmtId="44">
      <sharedItems containsSemiMixedTypes="0" containsString="0" containsNumber="1" minValue="0" maxValue="29053.15"/>
    </cacheField>
    <cacheField name="2021-2022" numFmtId="44">
      <sharedItems containsSemiMixedTypes="0" containsString="0" containsNumber="1" minValue="0" maxValue="33449.94"/>
    </cacheField>
    <cacheField name="2022-2023" numFmtId="44">
      <sharedItems containsSemiMixedTypes="0" containsString="0" containsNumber="1" minValue="0" maxValue="35054.480000000003"/>
    </cacheField>
    <cacheField name="2023-2024" numFmtId="44">
      <sharedItems containsSemiMixedTypes="0" containsString="0" containsNumber="1" minValue="0" maxValue="39155.65"/>
    </cacheField>
    <cacheField name="2019-20202" numFmtId="44">
      <sharedItems containsSemiMixedTypes="0" containsString="0" containsNumber="1" minValue="0" maxValue="20462.68"/>
    </cacheField>
    <cacheField name="2020-20212" numFmtId="44">
      <sharedItems containsSemiMixedTypes="0" containsString="0" containsNumber="1" minValue="0" maxValue="24625.86"/>
    </cacheField>
    <cacheField name="2021-20222" numFmtId="44">
      <sharedItems containsSemiMixedTypes="0" containsString="0" containsNumber="1" minValue="0" maxValue="29233.84"/>
    </cacheField>
    <cacheField name="2022-20232" numFmtId="44">
      <sharedItems containsSemiMixedTypes="0" containsString="0" containsNumber="1" minValue="0" maxValue="28880.57"/>
    </cacheField>
    <cacheField name="2023-20242" numFmtId="44">
      <sharedItems containsSemiMixedTypes="0" containsString="0" containsNumber="1" minValue="0" maxValue="28776.0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t Gupta" refreshedDate="45822.80962083333" createdVersion="8" refreshedVersion="8" minRefreshableVersion="3" recordCount="5" xr:uid="{900D079C-9792-442E-934F-3EBFC8FD519A}">
  <cacheSource type="worksheet">
    <worksheetSource ref="A26:K31" sheet="Financial Statements (Heads)"/>
  </cacheSource>
  <cacheFields count="11">
    <cacheField name="Particulars" numFmtId="0">
      <sharedItems count="5">
        <s v="Cash flow from Operating Activities"/>
        <s v="Cash Flow from Investing Activities"/>
        <s v="Cash flow from Financing Activities"/>
        <s v="Cash &amp; cash equivalents (Beginning of the year)"/>
        <s v="Net cash flow"/>
      </sharedItems>
    </cacheField>
    <cacheField name="2019-2020" numFmtId="165">
      <sharedItems containsSemiMixedTypes="0" containsString="0" containsNumber="1" minValue="-1059.31" maxValue="2532.5300000000002"/>
    </cacheField>
    <cacheField name="2020-2021" numFmtId="165">
      <sharedItems containsSemiMixedTypes="0" containsString="0" containsNumber="1" minValue="-2568.59" maxValue="5103.46"/>
    </cacheField>
    <cacheField name="2021-2022" numFmtId="165">
      <sharedItems containsSemiMixedTypes="0" containsString="0" containsNumber="1" minValue="-4871.66" maxValue="4207.22"/>
    </cacheField>
    <cacheField name="2022-2023" numFmtId="165">
      <sharedItems containsSemiMixedTypes="0" containsString="0" containsNumber="1" minValue="-1281.77" maxValue="3864.1800000000003"/>
    </cacheField>
    <cacheField name="2023-2024" numFmtId="165">
      <sharedItems containsSemiMixedTypes="0" containsString="0" containsNumber="1" minValue="-5923.85" maxValue="4659.49"/>
    </cacheField>
    <cacheField name="2019-20202" numFmtId="165">
      <sharedItems containsSemiMixedTypes="0" containsString="0" containsNumber="1" minValue="-604.58000000000004" maxValue="729.68"/>
    </cacheField>
    <cacheField name="2020-20212" numFmtId="165">
      <sharedItems containsSemiMixedTypes="0" containsString="0" containsNumber="1" minValue="-159.83000000000001" maxValue="739.91"/>
    </cacheField>
    <cacheField name="2021-20222" numFmtId="165">
      <sharedItems containsSemiMixedTypes="0" containsString="0" containsNumber="1" minValue="-183.21" maxValue="739.91"/>
    </cacheField>
    <cacheField name="2022-20232" numFmtId="165">
      <sharedItems containsSemiMixedTypes="0" containsString="0" containsNumber="1" minValue="-217.99" maxValue="1868.42"/>
    </cacheField>
    <cacheField name="2023-20242" numFmtId="165">
      <sharedItems containsSemiMixedTypes="0" containsString="0" containsNumber="1" minValue="-448.5" maxValue="3523.4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x v="0"/>
    <n v="15043.67"/>
    <n v="17333.37"/>
    <n v="19819.93"/>
    <n v="4897.43"/>
    <n v="4041.58"/>
    <n v="5717.61"/>
    <n v="7584.03"/>
    <n v="9068.01"/>
  </r>
  <r>
    <x v="1"/>
    <x v="1"/>
    <x v="1"/>
    <n v="3157.8"/>
    <n v="3984.88"/>
    <n v="5334.56"/>
    <n v="770.43"/>
    <n v="756.06"/>
    <n v="786.66"/>
    <n v="1429.33"/>
    <n v="2461.38"/>
  </r>
  <r>
    <x v="2"/>
    <x v="1"/>
    <x v="1"/>
    <n v="3157.8"/>
    <n v="3984.88"/>
    <n v="5334.56"/>
    <n v="758.11"/>
    <n v="629.91999999999996"/>
    <n v="772.69"/>
    <n v="1429.33"/>
    <n v="2461.38"/>
  </r>
  <r>
    <x v="3"/>
    <x v="2"/>
    <x v="2"/>
    <n v="2348.9299999999998"/>
    <n v="3006.67"/>
    <n v="4020"/>
    <n v="408.48"/>
    <n v="479.57"/>
    <n v="586.47"/>
    <n v="1072.72"/>
    <n v="1845.43"/>
  </r>
  <r>
    <x v="4"/>
    <x v="3"/>
    <x v="3"/>
    <n v="9.64"/>
    <n v="4.1100000000000003"/>
    <n v="5.5"/>
    <n v="18.29"/>
    <n v="23.78"/>
    <n v="29.08"/>
    <n v="53.19"/>
    <n v="9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23911.09"/>
    <n v="29053.15"/>
    <n v="33449.94"/>
    <n v="35054.480000000003"/>
    <n v="39155.65"/>
    <n v="20462.68"/>
    <n v="24625.86"/>
    <n v="29233.84"/>
    <n v="28880.57"/>
    <n v="28776.02"/>
  </r>
  <r>
    <x v="1"/>
    <n v="14058.150000000001"/>
    <n v="18245.260000000002"/>
    <n v="21465.68"/>
    <n v="21472.49"/>
    <n v="23073.260000000002"/>
    <n v="17881.48"/>
    <n v="21706.799999999999"/>
    <n v="25912.48"/>
    <n v="24703.01"/>
    <n v="23205.34"/>
  </r>
  <r>
    <x v="2"/>
    <n v="9852.9399999999987"/>
    <n v="10807.89"/>
    <n v="11984.260000000002"/>
    <n v="13581.990000000002"/>
    <n v="16082.39"/>
    <n v="2581.2000000000007"/>
    <n v="2919.0600000000013"/>
    <n v="3321.3600000000006"/>
    <n v="4177.5600000000013"/>
    <n v="5570.68"/>
  </r>
  <r>
    <x v="3"/>
    <n v="0"/>
    <n v="0"/>
    <n v="0"/>
    <n v="0"/>
    <n v="0"/>
    <n v="0"/>
    <n v="0"/>
    <n v="0"/>
    <n v="0"/>
    <n v="0"/>
  </r>
  <r>
    <x v="4"/>
    <n v="1556.22"/>
    <n v="3015.65"/>
    <n v="1239.04"/>
    <n v="3864.18"/>
    <n v="1149"/>
    <n v="483.28"/>
    <n v="739.91"/>
    <n v="720.47"/>
    <n v="1868.42"/>
    <n v="3523.4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2532.5300000000002"/>
    <n v="5103.46"/>
    <n v="4207.22"/>
    <n v="1199.26"/>
    <n v="4659.49"/>
    <n v="-95.54"/>
    <n v="68.209999999999994"/>
    <n v="-162.63"/>
    <n v="857.6"/>
    <n v="683.75"/>
  </r>
  <r>
    <x v="1"/>
    <n v="-638.92999999999995"/>
    <n v="-2568.59"/>
    <n v="-4871.66"/>
    <n v="2707.65"/>
    <n v="-5923.85"/>
    <n v="453.72"/>
    <n v="348.25"/>
    <n v="326.39999999999998"/>
    <n v="508.34"/>
    <n v="1419.81"/>
  </r>
  <r>
    <x v="2"/>
    <n v="-1059.31"/>
    <n v="-1075.44"/>
    <n v="-1112.17"/>
    <n v="-1281.77"/>
    <n v="-1450.82"/>
    <n v="-604.58000000000004"/>
    <n v="-159.83000000000001"/>
    <n v="-183.21"/>
    <n v="-217.99"/>
    <n v="-448.5"/>
  </r>
  <r>
    <x v="3"/>
    <n v="721.93"/>
    <n v="1556.22"/>
    <n v="3015.65"/>
    <n v="1239.0400000000004"/>
    <n v="3864.18"/>
    <n v="729.68"/>
    <n v="483.28"/>
    <n v="739.91"/>
    <n v="720.47"/>
    <n v="1868.42"/>
  </r>
  <r>
    <x v="4"/>
    <n v="1556.2200000000003"/>
    <n v="3015.6499999999996"/>
    <n v="1239.0400000000004"/>
    <n v="3864.1800000000003"/>
    <n v="1148.9999999999995"/>
    <n v="483.27999999999992"/>
    <n v="739.91"/>
    <n v="720.46999999999991"/>
    <n v="1868.42"/>
    <n v="3523.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BD9715-0012-48DF-AF0B-DB7EA1A391BD}"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6:F7" firstHeaderRow="0" firstDataRow="1" firstDataCol="1"/>
  <pivotFields count="11">
    <pivotField axis="axisRow" showAll="0">
      <items count="6">
        <item h="1" x="4"/>
        <item x="1"/>
        <item h="1" x="2"/>
        <item h="1" x="3"/>
        <item h="1" x="0"/>
        <item t="default"/>
      </items>
    </pivotField>
    <pivotField dataField="1" numFmtId="165" showAll="0"/>
    <pivotField dataField="1" numFmtId="165" showAll="0"/>
    <pivotField dataField="1" numFmtId="165" showAll="0"/>
    <pivotField dataField="1" numFmtId="165" showAll="0"/>
    <pivotField dataField="1" numFmtId="165" showAll="0"/>
    <pivotField numFmtId="165" showAll="0"/>
    <pivotField numFmtId="165" showAll="0"/>
    <pivotField numFmtId="165" showAll="0"/>
    <pivotField numFmtId="165" showAll="0"/>
    <pivotField numFmtId="165" showAll="0"/>
  </pivotFields>
  <rowFields count="1">
    <field x="0"/>
  </rowFields>
  <rowItems count="1">
    <i>
      <x v="1"/>
    </i>
  </rowItems>
  <colFields count="1">
    <field x="-2"/>
  </colFields>
  <colItems count="5">
    <i>
      <x/>
    </i>
    <i i="1">
      <x v="1"/>
    </i>
    <i i="2">
      <x v="2"/>
    </i>
    <i i="3">
      <x v="3"/>
    </i>
    <i i="4">
      <x v="4"/>
    </i>
  </colItems>
  <dataFields count="5">
    <dataField name="Sum of 2019-2020" fld="1" baseField="0" baseItem="0" numFmtId="165"/>
    <dataField name="Sum of 2020-2021" fld="2" baseField="0" baseItem="0" numFmtId="165"/>
    <dataField name="Sum of 2021-2022" fld="3" baseField="0" baseItem="0" numFmtId="165"/>
    <dataField name="Sum of 2022-2023" fld="4" baseField="0" baseItem="0" numFmtId="165"/>
    <dataField name="Sum of 2023-2024" fld="5" baseField="0" baseItem="0" numFmtId="165"/>
  </dataFields>
  <formats count="7">
    <format dxfId="115">
      <pivotArea field="0" type="button" dataOnly="0" labelOnly="1" outline="0" axis="axisRow" fieldPosition="0"/>
    </format>
    <format dxfId="114">
      <pivotArea dataOnly="0" labelOnly="1" fieldPosition="0">
        <references count="1">
          <reference field="0" count="0"/>
        </references>
      </pivotArea>
    </format>
    <format dxfId="113">
      <pivotArea type="all" dataOnly="0" outline="0" fieldPosition="0"/>
    </format>
    <format dxfId="112">
      <pivotArea outline="0" collapsedLevelsAreSubtotals="1" fieldPosition="0"/>
    </format>
    <format dxfId="111">
      <pivotArea field="0" type="button" dataOnly="0" labelOnly="1" outline="0" axis="axisRow" fieldPosition="0"/>
    </format>
    <format dxfId="110">
      <pivotArea dataOnly="0" labelOnly="1" fieldPosition="0">
        <references count="1">
          <reference field="0" count="0"/>
        </references>
      </pivotArea>
    </format>
    <format dxfId="109">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1218CB-806A-4A24-9DCA-413296F17D51}"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rowHeaderCaption="Particulars">
  <location ref="A3:F4" firstHeaderRow="0" firstDataRow="1" firstDataCol="1"/>
  <pivotFields count="11">
    <pivotField axis="axisRow" showAll="0">
      <items count="6">
        <item x="4"/>
        <item h="1" x="1"/>
        <item h="1" x="2"/>
        <item h="1" x="3"/>
        <item h="1" x="0"/>
        <item t="default"/>
      </items>
    </pivotField>
    <pivotField dataField="1" numFmtId="165" showAll="0">
      <items count="5">
        <item x="3"/>
        <item x="2"/>
        <item x="1"/>
        <item x="0"/>
        <item t="default"/>
      </items>
    </pivotField>
    <pivotField dataField="1" numFmtId="165" showAll="0"/>
    <pivotField dataField="1" numFmtId="165" showAll="0"/>
    <pivotField dataField="1" numFmtId="165" showAll="0"/>
    <pivotField dataField="1" numFmtId="165" showAll="0"/>
    <pivotField numFmtId="165" showAll="0"/>
    <pivotField numFmtId="165" showAll="0"/>
    <pivotField numFmtId="165" showAll="0"/>
    <pivotField numFmtId="165" showAll="0"/>
    <pivotField numFmtId="165" showAll="0"/>
  </pivotFields>
  <rowFields count="1">
    <field x="0"/>
  </rowFields>
  <rowItems count="1">
    <i>
      <x/>
    </i>
  </rowItems>
  <colFields count="1">
    <field x="-2"/>
  </colFields>
  <colItems count="5">
    <i>
      <x/>
    </i>
    <i i="1">
      <x v="1"/>
    </i>
    <i i="2">
      <x v="2"/>
    </i>
    <i i="3">
      <x v="3"/>
    </i>
    <i i="4">
      <x v="4"/>
    </i>
  </colItems>
  <dataFields count="5">
    <dataField name="Sum of 2019-2020" fld="1" baseField="0" baseItem="0" numFmtId="165"/>
    <dataField name="Sum of 2020-2021" fld="2" baseField="0" baseItem="0" numFmtId="165"/>
    <dataField name="Sum of 2021-2022" fld="3" baseField="0" baseItem="0" numFmtId="165"/>
    <dataField name="Sum of 2022-2023" fld="4" baseField="0" baseItem="0" numFmtId="165"/>
    <dataField name="Sum of 2023-2024" fld="5" baseField="0" baseItem="0" numFmtId="165"/>
  </dataFields>
  <formats count="7">
    <format dxfId="122">
      <pivotArea field="0" type="button" dataOnly="0" labelOnly="1" outline="0" axis="axisRow" fieldPosition="0"/>
    </format>
    <format dxfId="121">
      <pivotArea dataOnly="0" labelOnly="1" fieldPosition="0">
        <references count="1">
          <reference field="0" count="0"/>
        </references>
      </pivotArea>
    </format>
    <format dxfId="120">
      <pivotArea type="all" dataOnly="0" outline="0" fieldPosition="0"/>
    </format>
    <format dxfId="119">
      <pivotArea outline="0" collapsedLevelsAreSubtotals="1" fieldPosition="0"/>
    </format>
    <format dxfId="118">
      <pivotArea field="0" type="button" dataOnly="0" labelOnly="1" outline="0" axis="axisRow" fieldPosition="0"/>
    </format>
    <format dxfId="117">
      <pivotArea dataOnly="0" labelOnly="1" fieldPosition="0">
        <references count="1">
          <reference field="0" count="0"/>
        </references>
      </pivotArea>
    </format>
    <format dxfId="116">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F02EB6-3C0F-4492-95C6-D624E00E4713}"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15:F16" firstHeaderRow="0" firstDataRow="1" firstDataCol="1"/>
  <pivotFields count="11">
    <pivotField axis="axisRow" showAll="0">
      <items count="6">
        <item h="1" x="4"/>
        <item h="1" x="1"/>
        <item h="1" x="2"/>
        <item h="1" x="3"/>
        <item x="0"/>
        <item t="default"/>
      </items>
    </pivotField>
    <pivotField dataField="1" numFmtId="165" showAll="0"/>
    <pivotField dataField="1" numFmtId="165" showAll="0"/>
    <pivotField dataField="1" numFmtId="165" showAll="0"/>
    <pivotField dataField="1" numFmtId="165" showAll="0"/>
    <pivotField dataField="1" numFmtId="165" showAll="0"/>
    <pivotField numFmtId="165" showAll="0"/>
    <pivotField numFmtId="165" showAll="0"/>
    <pivotField numFmtId="165" showAll="0"/>
    <pivotField numFmtId="165" showAll="0"/>
    <pivotField numFmtId="165" showAll="0"/>
  </pivotFields>
  <rowFields count="1">
    <field x="0"/>
  </rowFields>
  <rowItems count="1">
    <i>
      <x v="4"/>
    </i>
  </rowItems>
  <colFields count="1">
    <field x="-2"/>
  </colFields>
  <colItems count="5">
    <i>
      <x/>
    </i>
    <i i="1">
      <x v="1"/>
    </i>
    <i i="2">
      <x v="2"/>
    </i>
    <i i="3">
      <x v="3"/>
    </i>
    <i i="4">
      <x v="4"/>
    </i>
  </colItems>
  <dataFields count="5">
    <dataField name="Sum of 2019-2020" fld="1" baseField="0" baseItem="0" numFmtId="165"/>
    <dataField name="Sum of 2020-2021" fld="2" baseField="0" baseItem="0" numFmtId="165"/>
    <dataField name="Sum of 2021-2022" fld="3" baseField="0" baseItem="0" numFmtId="165"/>
    <dataField name="Sum of 2022-2023" fld="4" baseField="0" baseItem="0" numFmtId="165"/>
    <dataField name="Sum of 2023-2024" fld="5" baseField="0" baseItem="0" numFmtId="165"/>
  </dataFields>
  <formats count="7">
    <format dxfId="129">
      <pivotArea field="0" type="button" dataOnly="0" labelOnly="1" outline="0" axis="axisRow" fieldPosition="0"/>
    </format>
    <format dxfId="128">
      <pivotArea dataOnly="0" labelOnly="1" fieldPosition="0">
        <references count="1">
          <reference field="0" count="0"/>
        </references>
      </pivotArea>
    </format>
    <format dxfId="127">
      <pivotArea type="all" dataOnly="0" outline="0" fieldPosition="0"/>
    </format>
    <format dxfId="126">
      <pivotArea outline="0" collapsedLevelsAreSubtotals="1" fieldPosition="0"/>
    </format>
    <format dxfId="125">
      <pivotArea field="0" type="button" dataOnly="0" labelOnly="1" outline="0" axis="axisRow" fieldPosition="0"/>
    </format>
    <format dxfId="124">
      <pivotArea dataOnly="0" labelOnly="1" fieldPosition="0">
        <references count="1">
          <reference field="0" count="0"/>
        </references>
      </pivotArea>
    </format>
    <format dxfId="123">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1F1B83-B530-4896-9F44-13D2510280AF}"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12:F13" firstHeaderRow="0" firstDataRow="1" firstDataCol="1"/>
  <pivotFields count="11">
    <pivotField axis="axisRow" showAll="0">
      <items count="6">
        <item h="1" x="4"/>
        <item h="1" x="1"/>
        <item h="1" x="2"/>
        <item x="3"/>
        <item h="1" x="0"/>
        <item t="default"/>
      </items>
    </pivotField>
    <pivotField dataField="1" numFmtId="165" showAll="0"/>
    <pivotField dataField="1" numFmtId="165" showAll="0"/>
    <pivotField dataField="1" numFmtId="165" showAll="0"/>
    <pivotField dataField="1" numFmtId="165" showAll="0"/>
    <pivotField dataField="1" numFmtId="165" showAll="0"/>
    <pivotField numFmtId="165" showAll="0"/>
    <pivotField numFmtId="165" showAll="0"/>
    <pivotField numFmtId="165" showAll="0"/>
    <pivotField numFmtId="165" showAll="0"/>
    <pivotField numFmtId="165" showAll="0"/>
  </pivotFields>
  <rowFields count="1">
    <field x="0"/>
  </rowFields>
  <rowItems count="1">
    <i>
      <x v="3"/>
    </i>
  </rowItems>
  <colFields count="1">
    <field x="-2"/>
  </colFields>
  <colItems count="5">
    <i>
      <x/>
    </i>
    <i i="1">
      <x v="1"/>
    </i>
    <i i="2">
      <x v="2"/>
    </i>
    <i i="3">
      <x v="3"/>
    </i>
    <i i="4">
      <x v="4"/>
    </i>
  </colItems>
  <dataFields count="5">
    <dataField name="Sum of 2019-2020" fld="1" baseField="0" baseItem="0" numFmtId="165"/>
    <dataField name="Sum of 2020-2021" fld="2" baseField="0" baseItem="0" numFmtId="165"/>
    <dataField name="Sum of 2021-2022" fld="3" baseField="0" baseItem="0" numFmtId="165"/>
    <dataField name="Sum of 2022-2023" fld="4" baseField="0" baseItem="0" numFmtId="165"/>
    <dataField name="Sum of 2023-2024" fld="5" baseField="0" baseItem="0" numFmtId="165"/>
  </dataFields>
  <formats count="7">
    <format dxfId="136">
      <pivotArea field="0" type="button" dataOnly="0" labelOnly="1" outline="0" axis="axisRow" fieldPosition="0"/>
    </format>
    <format dxfId="135">
      <pivotArea dataOnly="0" labelOnly="1" fieldPosition="0">
        <references count="1">
          <reference field="0" count="0"/>
        </references>
      </pivotArea>
    </format>
    <format dxfId="134">
      <pivotArea type="all" dataOnly="0" outline="0" fieldPosition="0"/>
    </format>
    <format dxfId="133">
      <pivotArea outline="0" collapsedLevelsAreSubtotals="1" fieldPosition="0"/>
    </format>
    <format dxfId="132">
      <pivotArea field="0" type="button" dataOnly="0" labelOnly="1" outline="0" axis="axisRow" fieldPosition="0"/>
    </format>
    <format dxfId="131">
      <pivotArea dataOnly="0" labelOnly="1" fieldPosition="0">
        <references count="1">
          <reference field="0" count="0"/>
        </references>
      </pivotArea>
    </format>
    <format dxfId="130">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D320FB-03C6-4D4E-8348-D53D4EAE146E}"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9:F10" firstHeaderRow="0" firstDataRow="1" firstDataCol="1"/>
  <pivotFields count="11">
    <pivotField axis="axisRow" showAll="0">
      <items count="6">
        <item h="1" x="4"/>
        <item h="1" x="1"/>
        <item x="2"/>
        <item h="1" x="3"/>
        <item h="1" x="0"/>
        <item t="default"/>
      </items>
    </pivotField>
    <pivotField dataField="1" numFmtId="165" showAll="0"/>
    <pivotField dataField="1" numFmtId="165" showAll="0"/>
    <pivotField dataField="1" numFmtId="165" showAll="0"/>
    <pivotField dataField="1" numFmtId="165" showAll="0"/>
    <pivotField dataField="1" numFmtId="165" showAll="0"/>
    <pivotField numFmtId="165" showAll="0"/>
    <pivotField numFmtId="165" showAll="0"/>
    <pivotField numFmtId="165" showAll="0"/>
    <pivotField numFmtId="165" showAll="0"/>
    <pivotField numFmtId="165" showAll="0"/>
  </pivotFields>
  <rowFields count="1">
    <field x="0"/>
  </rowFields>
  <rowItems count="1">
    <i>
      <x v="2"/>
    </i>
  </rowItems>
  <colFields count="1">
    <field x="-2"/>
  </colFields>
  <colItems count="5">
    <i>
      <x/>
    </i>
    <i i="1">
      <x v="1"/>
    </i>
    <i i="2">
      <x v="2"/>
    </i>
    <i i="3">
      <x v="3"/>
    </i>
    <i i="4">
      <x v="4"/>
    </i>
  </colItems>
  <dataFields count="5">
    <dataField name="Sum of 2019-2020" fld="1" baseField="0" baseItem="0" numFmtId="165"/>
    <dataField name="Sum of 2020-2021" fld="2" baseField="0" baseItem="0" numFmtId="165"/>
    <dataField name="Sum of 2021-2022" fld="3" baseField="0" baseItem="0" numFmtId="165"/>
    <dataField name="Sum of 2022-2023" fld="4" baseField="0" baseItem="0" numFmtId="165"/>
    <dataField name="Sum of 2023-2024" fld="5" baseField="0" baseItem="0" numFmtId="165"/>
  </dataFields>
  <formats count="7">
    <format dxfId="143">
      <pivotArea field="0" type="button" dataOnly="0" labelOnly="1" outline="0" axis="axisRow" fieldPosition="0"/>
    </format>
    <format dxfId="142">
      <pivotArea dataOnly="0" labelOnly="1" fieldPosition="0">
        <references count="1">
          <reference field="0" count="0"/>
        </references>
      </pivotArea>
    </format>
    <format dxfId="141">
      <pivotArea type="all" dataOnly="0" outline="0" fieldPosition="0"/>
    </format>
    <format dxfId="140">
      <pivotArea outline="0" collapsedLevelsAreSubtotals="1" fieldPosition="0"/>
    </format>
    <format dxfId="139">
      <pivotArea field="0" type="button" dataOnly="0" labelOnly="1" outline="0" axis="axisRow" fieldPosition="0"/>
    </format>
    <format dxfId="138">
      <pivotArea dataOnly="0" labelOnly="1" fieldPosition="0">
        <references count="1">
          <reference field="0" count="0"/>
        </references>
      </pivotArea>
    </format>
    <format dxfId="137">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E24FB8-124B-41A9-A2BC-2664AC1AD423}" name="PivotTable2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12:F13" firstHeaderRow="0" firstDataRow="1" firstDataCol="1"/>
  <pivotFields count="11">
    <pivotField axis="axisRow" showAll="0">
      <items count="6">
        <item h="1" x="4"/>
        <item h="1" x="2"/>
        <item h="1" x="0"/>
        <item h="1" x="3"/>
        <item x="1"/>
        <item t="default"/>
      </items>
    </pivotField>
    <pivotField dataField="1" showAll="0"/>
    <pivotField dataField="1" numFmtId="44" showAll="0"/>
    <pivotField dataField="1" numFmtId="44" showAll="0"/>
    <pivotField dataField="1" numFmtId="44" showAll="0"/>
    <pivotField dataField="1" numFmtId="44" showAll="0"/>
    <pivotField numFmtId="44" showAll="0"/>
    <pivotField numFmtId="44" showAll="0"/>
    <pivotField numFmtId="44" showAll="0"/>
    <pivotField numFmtId="44" showAll="0"/>
    <pivotField numFmtId="44" showAll="0"/>
  </pivotFields>
  <rowFields count="1">
    <field x="0"/>
  </rowFields>
  <rowItems count="1">
    <i>
      <x v="4"/>
    </i>
  </rowItems>
  <colFields count="1">
    <field x="-2"/>
  </colFields>
  <colItems count="5">
    <i>
      <x/>
    </i>
    <i i="1">
      <x v="1"/>
    </i>
    <i i="2">
      <x v="2"/>
    </i>
    <i i="3">
      <x v="3"/>
    </i>
    <i i="4">
      <x v="4"/>
    </i>
  </colItems>
  <dataFields count="5">
    <dataField name="Sum of 2019-2020" fld="1" baseField="0" baseItem="0" numFmtId="44"/>
    <dataField name="Sum of 2020-2021" fld="2" baseField="0" baseItem="0" numFmtId="44"/>
    <dataField name="Sum of 2021-2022" fld="3" baseField="0" baseItem="0" numFmtId="44"/>
    <dataField name="Sum of 2022-2023" fld="4" baseField="0" baseItem="0" numFmtId="44"/>
    <dataField name="Sum of 2023-2024" fld="5" baseField="0" baseItem="0" numFmtId="44"/>
  </dataFields>
  <formats count="12">
    <format dxfId="73">
      <pivotArea type="all" dataOnly="0" outline="0" fieldPosition="0"/>
    </format>
    <format dxfId="72">
      <pivotArea outline="0" collapsedLevelsAreSubtotals="1" fieldPosition="0"/>
    </format>
    <format dxfId="71">
      <pivotArea field="0" type="button" dataOnly="0" labelOnly="1" outline="0" axis="axisRow" fieldPosition="0"/>
    </format>
    <format dxfId="70">
      <pivotArea dataOnly="0" labelOnly="1" fieldPosition="0">
        <references count="1">
          <reference field="0" count="0"/>
        </references>
      </pivotArea>
    </format>
    <format dxfId="69">
      <pivotArea dataOnly="0" labelOnly="1" outline="0" fieldPosition="0">
        <references count="1">
          <reference field="4294967294" count="5">
            <x v="0"/>
            <x v="1"/>
            <x v="2"/>
            <x v="3"/>
            <x v="4"/>
          </reference>
        </references>
      </pivotArea>
    </format>
    <format dxfId="68">
      <pivotArea type="all" dataOnly="0" outline="0" fieldPosition="0"/>
    </format>
    <format dxfId="67">
      <pivotArea outline="0" collapsedLevelsAreSubtotals="1" fieldPosition="0"/>
    </format>
    <format dxfId="66">
      <pivotArea field="0" type="button" dataOnly="0" labelOnly="1" outline="0" axis="axisRow" fieldPosition="0"/>
    </format>
    <format dxfId="65">
      <pivotArea dataOnly="0" labelOnly="1" fieldPosition="0">
        <references count="1">
          <reference field="0" count="0"/>
        </references>
      </pivotArea>
    </format>
    <format dxfId="64">
      <pivotArea dataOnly="0" labelOnly="1" outline="0" fieldPosition="0">
        <references count="1">
          <reference field="4294967294" count="5">
            <x v="0"/>
            <x v="1"/>
            <x v="2"/>
            <x v="3"/>
            <x v="4"/>
          </reference>
        </references>
      </pivotArea>
    </format>
    <format dxfId="63">
      <pivotArea outline="0" collapsedLevelsAreSubtotals="1" fieldPosition="0">
        <references count="1">
          <reference field="4294967294" count="1" selected="0">
            <x v="0"/>
          </reference>
        </references>
      </pivotArea>
    </format>
    <format dxfId="62">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9924E3-16F3-40E6-933B-D2E81E3A9684}" name="PivotTable20"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9:F10" firstHeaderRow="0" firstDataRow="1" firstDataCol="1"/>
  <pivotFields count="11">
    <pivotField axis="axisRow" showAll="0">
      <items count="6">
        <item h="1" x="4"/>
        <item h="1" x="2"/>
        <item x="0"/>
        <item h="1" x="3"/>
        <item h="1" x="1"/>
        <item t="default"/>
      </items>
    </pivotField>
    <pivotField dataField="1" showAll="0"/>
    <pivotField dataField="1" numFmtId="44" showAll="0"/>
    <pivotField dataField="1" numFmtId="44" showAll="0"/>
    <pivotField dataField="1" numFmtId="44" showAll="0"/>
    <pivotField dataField="1" numFmtId="44" showAll="0"/>
    <pivotField numFmtId="44" showAll="0"/>
    <pivotField numFmtId="44" showAll="0"/>
    <pivotField numFmtId="44" showAll="0"/>
    <pivotField numFmtId="44" showAll="0"/>
    <pivotField numFmtId="44" showAll="0"/>
  </pivotFields>
  <rowFields count="1">
    <field x="0"/>
  </rowFields>
  <rowItems count="1">
    <i>
      <x v="2"/>
    </i>
  </rowItems>
  <colFields count="1">
    <field x="-2"/>
  </colFields>
  <colItems count="5">
    <i>
      <x/>
    </i>
    <i i="1">
      <x v="1"/>
    </i>
    <i i="2">
      <x v="2"/>
    </i>
    <i i="3">
      <x v="3"/>
    </i>
    <i i="4">
      <x v="4"/>
    </i>
  </colItems>
  <dataFields count="5">
    <dataField name="Sum of 2019-2020" fld="1" baseField="0" baseItem="0" numFmtId="44"/>
    <dataField name="Sum of 2020-2021" fld="2" baseField="0" baseItem="0" numFmtId="44"/>
    <dataField name="Sum of 2021-2022" fld="3" baseField="0" baseItem="0" numFmtId="44"/>
    <dataField name="Sum of 2022-2023" fld="4" baseField="0" baseItem="0" numFmtId="44"/>
    <dataField name="Sum of 2023-2024" fld="5" baseField="0" baseItem="0" numFmtId="44"/>
  </dataFields>
  <formats count="12">
    <format dxfId="85">
      <pivotArea type="all" dataOnly="0" outline="0" fieldPosition="0"/>
    </format>
    <format dxfId="84">
      <pivotArea outline="0" collapsedLevelsAreSubtotals="1" fieldPosition="0"/>
    </format>
    <format dxfId="83">
      <pivotArea field="0" type="button" dataOnly="0" labelOnly="1" outline="0" axis="axisRow" fieldPosition="0"/>
    </format>
    <format dxfId="82">
      <pivotArea dataOnly="0" labelOnly="1" fieldPosition="0">
        <references count="1">
          <reference field="0" count="0"/>
        </references>
      </pivotArea>
    </format>
    <format dxfId="81">
      <pivotArea dataOnly="0" labelOnly="1" outline="0" fieldPosition="0">
        <references count="1">
          <reference field="4294967294" count="5">
            <x v="0"/>
            <x v="1"/>
            <x v="2"/>
            <x v="3"/>
            <x v="4"/>
          </reference>
        </references>
      </pivotArea>
    </format>
    <format dxfId="80">
      <pivotArea type="all" dataOnly="0" outline="0" fieldPosition="0"/>
    </format>
    <format dxfId="79">
      <pivotArea outline="0" collapsedLevelsAreSubtotals="1" fieldPosition="0"/>
    </format>
    <format dxfId="78">
      <pivotArea field="0" type="button" dataOnly="0" labelOnly="1" outline="0" axis="axisRow" fieldPosition="0"/>
    </format>
    <format dxfId="77">
      <pivotArea dataOnly="0" labelOnly="1" fieldPosition="0">
        <references count="1">
          <reference field="0" count="0"/>
        </references>
      </pivotArea>
    </format>
    <format dxfId="76">
      <pivotArea dataOnly="0" labelOnly="1" outline="0" fieldPosition="0">
        <references count="1">
          <reference field="4294967294" count="5">
            <x v="0"/>
            <x v="1"/>
            <x v="2"/>
            <x v="3"/>
            <x v="4"/>
          </reference>
        </references>
      </pivotArea>
    </format>
    <format dxfId="75">
      <pivotArea outline="0" collapsedLevelsAreSubtotals="1" fieldPosition="0">
        <references count="1">
          <reference field="4294967294" count="1" selected="0">
            <x v="0"/>
          </reference>
        </references>
      </pivotArea>
    </format>
    <format dxfId="74">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BFBAADB-0E39-44C6-AC49-E0B6524BB607}" name="PivotTable1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6:F7" firstHeaderRow="0" firstDataRow="1" firstDataCol="1"/>
  <pivotFields count="11">
    <pivotField axis="axisRow" showAll="0">
      <items count="6">
        <item h="1" x="4"/>
        <item x="2"/>
        <item h="1" x="0"/>
        <item h="1" x="3"/>
        <item h="1" x="1"/>
        <item t="default"/>
      </items>
    </pivotField>
    <pivotField dataField="1" showAll="0"/>
    <pivotField dataField="1" numFmtId="44" showAll="0"/>
    <pivotField dataField="1" numFmtId="44" showAll="0"/>
    <pivotField dataField="1" numFmtId="44" showAll="0"/>
    <pivotField dataField="1" numFmtId="44" showAll="0"/>
    <pivotField numFmtId="44" showAll="0"/>
    <pivotField numFmtId="44" showAll="0"/>
    <pivotField numFmtId="44" showAll="0"/>
    <pivotField numFmtId="44" showAll="0"/>
    <pivotField numFmtId="44" showAll="0"/>
  </pivotFields>
  <rowFields count="1">
    <field x="0"/>
  </rowFields>
  <rowItems count="1">
    <i>
      <x v="1"/>
    </i>
  </rowItems>
  <colFields count="1">
    <field x="-2"/>
  </colFields>
  <colItems count="5">
    <i>
      <x/>
    </i>
    <i i="1">
      <x v="1"/>
    </i>
    <i i="2">
      <x v="2"/>
    </i>
    <i i="3">
      <x v="3"/>
    </i>
    <i i="4">
      <x v="4"/>
    </i>
  </colItems>
  <dataFields count="5">
    <dataField name="Sum of 2019-2020" fld="1" baseField="0" baseItem="0" numFmtId="44"/>
    <dataField name="Sum of 2020-2021" fld="2" baseField="0" baseItem="0" numFmtId="44"/>
    <dataField name="Sum of 2021-2022" fld="3" baseField="0" baseItem="0" numFmtId="44"/>
    <dataField name="Sum of 2022-2023" fld="4" baseField="0" baseItem="0" numFmtId="44"/>
    <dataField name="Sum of 2023-2024" fld="5" baseField="0" baseItem="0" numFmtId="44"/>
  </dataFields>
  <formats count="12">
    <format dxfId="97">
      <pivotArea type="all" dataOnly="0" outline="0" fieldPosition="0"/>
    </format>
    <format dxfId="96">
      <pivotArea outline="0" collapsedLevelsAreSubtotals="1" fieldPosition="0"/>
    </format>
    <format dxfId="95">
      <pivotArea field="0" type="button" dataOnly="0" labelOnly="1" outline="0" axis="axisRow" fieldPosition="0"/>
    </format>
    <format dxfId="94">
      <pivotArea dataOnly="0" labelOnly="1" fieldPosition="0">
        <references count="1">
          <reference field="0" count="0"/>
        </references>
      </pivotArea>
    </format>
    <format dxfId="93">
      <pivotArea dataOnly="0" labelOnly="1" outline="0" fieldPosition="0">
        <references count="1">
          <reference field="4294967294" count="5">
            <x v="0"/>
            <x v="1"/>
            <x v="2"/>
            <x v="3"/>
            <x v="4"/>
          </reference>
        </references>
      </pivotArea>
    </format>
    <format dxfId="92">
      <pivotArea type="all" dataOnly="0" outline="0" fieldPosition="0"/>
    </format>
    <format dxfId="91">
      <pivotArea outline="0" collapsedLevelsAreSubtotals="1" fieldPosition="0"/>
    </format>
    <format dxfId="90">
      <pivotArea field="0" type="button" dataOnly="0" labelOnly="1" outline="0" axis="axisRow" fieldPosition="0"/>
    </format>
    <format dxfId="89">
      <pivotArea dataOnly="0" labelOnly="1" fieldPosition="0">
        <references count="1">
          <reference field="0" count="0"/>
        </references>
      </pivotArea>
    </format>
    <format dxfId="88">
      <pivotArea dataOnly="0" labelOnly="1" outline="0" fieldPosition="0">
        <references count="1">
          <reference field="4294967294" count="5">
            <x v="0"/>
            <x v="1"/>
            <x v="2"/>
            <x v="3"/>
            <x v="4"/>
          </reference>
        </references>
      </pivotArea>
    </format>
    <format dxfId="87">
      <pivotArea outline="0" collapsedLevelsAreSubtotals="1" fieldPosition="0">
        <references count="1">
          <reference field="4294967294" count="1" selected="0">
            <x v="0"/>
          </reference>
        </references>
      </pivotArea>
    </format>
    <format dxfId="86">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F4E0145-F0BF-4A30-BCAF-190C914ED802}" name="PivotTable1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3:F4" firstHeaderRow="0" firstDataRow="1" firstDataCol="1"/>
  <pivotFields count="11">
    <pivotField axis="axisRow" showAll="0">
      <items count="6">
        <item x="4"/>
        <item h="1" x="2"/>
        <item h="1" x="0"/>
        <item h="1" x="3"/>
        <item h="1" x="1"/>
        <item t="default"/>
      </items>
    </pivotField>
    <pivotField dataField="1" showAll="0"/>
    <pivotField dataField="1" numFmtId="44" showAll="0"/>
    <pivotField dataField="1" numFmtId="44" showAll="0"/>
    <pivotField dataField="1" numFmtId="44" showAll="0"/>
    <pivotField dataField="1" numFmtId="44" showAll="0"/>
    <pivotField numFmtId="44" showAll="0"/>
    <pivotField numFmtId="44" showAll="0"/>
    <pivotField numFmtId="44" showAll="0"/>
    <pivotField numFmtId="44" showAll="0"/>
    <pivotField numFmtId="44" showAll="0"/>
  </pivotFields>
  <rowFields count="1">
    <field x="0"/>
  </rowFields>
  <rowItems count="1">
    <i>
      <x/>
    </i>
  </rowItems>
  <colFields count="1">
    <field x="-2"/>
  </colFields>
  <colItems count="5">
    <i>
      <x/>
    </i>
    <i i="1">
      <x v="1"/>
    </i>
    <i i="2">
      <x v="2"/>
    </i>
    <i i="3">
      <x v="3"/>
    </i>
    <i i="4">
      <x v="4"/>
    </i>
  </colItems>
  <dataFields count="5">
    <dataField name="Sum of 2019-2020" fld="1" baseField="0" baseItem="0" numFmtId="44"/>
    <dataField name="Sum of 2020-2021" fld="2" baseField="0" baseItem="0" numFmtId="44"/>
    <dataField name="Sum of 2021-2022" fld="3" baseField="0" baseItem="0" numFmtId="44"/>
    <dataField name="Sum of 2022-2023" fld="4" baseField="0" baseItem="0" numFmtId="44"/>
    <dataField name="Sum of 2023-2024" fld="5" baseField="0" baseItem="0" numFmtId="44"/>
  </dataFields>
  <formats count="11">
    <format dxfId="108">
      <pivotArea type="all" dataOnly="0" outline="0" fieldPosition="0"/>
    </format>
    <format dxfId="107">
      <pivotArea outline="0" collapsedLevelsAreSubtotals="1" fieldPosition="0"/>
    </format>
    <format dxfId="106">
      <pivotArea field="0" type="button" dataOnly="0" labelOnly="1" outline="0" axis="axisRow" fieldPosition="0"/>
    </format>
    <format dxfId="105">
      <pivotArea dataOnly="0" labelOnly="1" fieldPosition="0">
        <references count="1">
          <reference field="0" count="0"/>
        </references>
      </pivotArea>
    </format>
    <format dxfId="104">
      <pivotArea dataOnly="0" labelOnly="1" outline="0" fieldPosition="0">
        <references count="1">
          <reference field="4294967294" count="5">
            <x v="0"/>
            <x v="1"/>
            <x v="2"/>
            <x v="3"/>
            <x v="4"/>
          </reference>
        </references>
      </pivotArea>
    </format>
    <format dxfId="103">
      <pivotArea type="all" dataOnly="0" outline="0" fieldPosition="0"/>
    </format>
    <format dxfId="102">
      <pivotArea outline="0" collapsedLevelsAreSubtotals="1" fieldPosition="0"/>
    </format>
    <format dxfId="101">
      <pivotArea field="0" type="button" dataOnly="0" labelOnly="1" outline="0" axis="axisRow" fieldPosition="0"/>
    </format>
    <format dxfId="100">
      <pivotArea dataOnly="0" labelOnly="1" fieldPosition="0">
        <references count="1">
          <reference field="0" count="0"/>
        </references>
      </pivotArea>
    </format>
    <format dxfId="99">
      <pivotArea dataOnly="0" labelOnly="1" outline="0" fieldPosition="0">
        <references count="1">
          <reference field="4294967294" count="5">
            <x v="0"/>
            <x v="1"/>
            <x v="2"/>
            <x v="3"/>
            <x v="4"/>
          </reference>
        </references>
      </pivotArea>
    </format>
    <format dxfId="98">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10CF8F9-7BF8-402D-A036-AC9910EEB5B4}" name="PivotTable29"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12:F13" firstHeaderRow="0" firstDataRow="1" firstDataCol="1"/>
  <pivotFields count="11">
    <pivotField axis="axisRow" showAll="0">
      <items count="6">
        <item x="3"/>
        <item h="1" x="2"/>
        <item h="1" x="1"/>
        <item h="1" x="0"/>
        <item h="1" x="4"/>
        <item t="default"/>
      </items>
    </pivotField>
    <pivotField dataField="1" numFmtId="165" showAll="0"/>
    <pivotField dataField="1" numFmtId="165" showAll="0"/>
    <pivotField dataField="1" numFmtId="165" showAll="0"/>
    <pivotField dataField="1" numFmtId="165" showAll="0"/>
    <pivotField dataField="1" numFmtId="165" showAll="0"/>
    <pivotField numFmtId="165" showAll="0"/>
    <pivotField numFmtId="165" showAll="0"/>
    <pivotField numFmtId="165" showAll="0"/>
    <pivotField numFmtId="165" showAll="0"/>
    <pivotField numFmtId="165" showAll="0"/>
  </pivotFields>
  <rowFields count="1">
    <field x="0"/>
  </rowFields>
  <rowItems count="1">
    <i>
      <x/>
    </i>
  </rowItems>
  <colFields count="1">
    <field x="-2"/>
  </colFields>
  <colItems count="5">
    <i>
      <x/>
    </i>
    <i i="1">
      <x v="1"/>
    </i>
    <i i="2">
      <x v="2"/>
    </i>
    <i i="3">
      <x v="3"/>
    </i>
    <i i="4">
      <x v="4"/>
    </i>
  </colItems>
  <dataFields count="5">
    <dataField name="Sum of 2019-2020" fld="1" baseField="0" baseItem="0" numFmtId="165"/>
    <dataField name="Sum of 2020-2021" fld="2" baseField="0" baseItem="0" numFmtId="165"/>
    <dataField name="Sum of 2021-2022" fld="3" baseField="0" baseItem="0" numFmtId="165"/>
    <dataField name="Sum of 2022-2023" fld="4" baseField="0" baseItem="0" numFmtId="165"/>
    <dataField name="Sum of 2023-2024" fld="5" baseField="0" baseItem="0" numFmtId="165"/>
  </dataFields>
  <formats count="12">
    <format dxfId="13">
      <pivotArea field="0" type="button" dataOnly="0" labelOnly="1" outline="0" axis="axisRow" fieldPosition="0"/>
    </format>
    <format dxfId="12">
      <pivotArea dataOnly="0" labelOnly="1" fieldPosition="0">
        <references count="1">
          <reference field="0" count="0"/>
        </references>
      </pivotArea>
    </format>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outline="0" fieldPosition="0">
        <references count="1">
          <reference field="4294967294" count="5">
            <x v="0"/>
            <x v="1"/>
            <x v="2"/>
            <x v="3"/>
            <x v="4"/>
          </reference>
        </references>
      </pivotArea>
    </format>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B7066C9-40F8-4EF1-9B45-242D49DE2D71}" name="PivotTable2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9:F10" firstHeaderRow="0" firstDataRow="1" firstDataCol="1"/>
  <pivotFields count="11">
    <pivotField axis="axisRow" showAll="0">
      <items count="6">
        <item h="1" x="3"/>
        <item x="2"/>
        <item h="1" x="1"/>
        <item h="1" x="0"/>
        <item h="1" x="4"/>
        <item t="default"/>
      </items>
    </pivotField>
    <pivotField dataField="1" numFmtId="165" showAll="0"/>
    <pivotField dataField="1" numFmtId="165" showAll="0"/>
    <pivotField dataField="1" numFmtId="165" showAll="0"/>
    <pivotField dataField="1" numFmtId="165" showAll="0"/>
    <pivotField dataField="1" numFmtId="165" showAll="0"/>
    <pivotField numFmtId="165" showAll="0"/>
    <pivotField numFmtId="165" showAll="0"/>
    <pivotField numFmtId="165" showAll="0"/>
    <pivotField numFmtId="165" showAll="0"/>
    <pivotField numFmtId="165" showAll="0"/>
  </pivotFields>
  <rowFields count="1">
    <field x="0"/>
  </rowFields>
  <rowItems count="1">
    <i>
      <x v="1"/>
    </i>
  </rowItems>
  <colFields count="1">
    <field x="-2"/>
  </colFields>
  <colItems count="5">
    <i>
      <x/>
    </i>
    <i i="1">
      <x v="1"/>
    </i>
    <i i="2">
      <x v="2"/>
    </i>
    <i i="3">
      <x v="3"/>
    </i>
    <i i="4">
      <x v="4"/>
    </i>
  </colItems>
  <dataFields count="5">
    <dataField name="Sum of 2019-2020" fld="1" baseField="0" baseItem="0" numFmtId="165"/>
    <dataField name="Sum of 2020-2021" fld="2" baseField="0" baseItem="0" numFmtId="165"/>
    <dataField name="Sum of 2021-2022" fld="3" baseField="0" baseItem="0" numFmtId="165"/>
    <dataField name="Sum of 2022-2023" fld="4" baseField="0" baseItem="0" numFmtId="165"/>
    <dataField name="Sum of 2023-2024" fld="5" baseField="0" baseItem="0" numFmtId="165"/>
  </dataFields>
  <formats count="12">
    <format dxfId="25">
      <pivotArea field="0" type="button" dataOnly="0" labelOnly="1" outline="0" axis="axisRow" fieldPosition="0"/>
    </format>
    <format dxfId="24">
      <pivotArea dataOnly="0" labelOnly="1" fieldPosition="0">
        <references count="1">
          <reference field="0" count="0"/>
        </references>
      </pivotArea>
    </format>
    <format dxfId="23">
      <pivotArea type="all" dataOnly="0" outline="0" fieldPosition="0"/>
    </format>
    <format dxfId="22">
      <pivotArea outline="0" collapsedLevelsAreSubtotals="1" fieldPosition="0"/>
    </format>
    <format dxfId="21">
      <pivotArea field="0" type="button" dataOnly="0" labelOnly="1" outline="0" axis="axisRow" fieldPosition="0"/>
    </format>
    <format dxfId="20">
      <pivotArea dataOnly="0" labelOnly="1" fieldPosition="0">
        <references count="1">
          <reference field="0" count="0"/>
        </references>
      </pivotArea>
    </format>
    <format dxfId="19">
      <pivotArea dataOnly="0" labelOnly="1" outline="0" fieldPosition="0">
        <references count="1">
          <reference field="4294967294" count="5">
            <x v="0"/>
            <x v="1"/>
            <x v="2"/>
            <x v="3"/>
            <x v="4"/>
          </reference>
        </references>
      </pivotArea>
    </format>
    <format dxfId="18">
      <pivotArea type="all" dataOnly="0" outline="0" fieldPosition="0"/>
    </format>
    <format dxfId="17">
      <pivotArea outline="0" collapsedLevelsAreSubtotals="1" fieldPosition="0"/>
    </format>
    <format dxfId="16">
      <pivotArea field="0" type="button" dataOnly="0" labelOnly="1" outline="0" axis="axisRow" fieldPosition="0"/>
    </format>
    <format dxfId="15">
      <pivotArea dataOnly="0" labelOnly="1" fieldPosition="0">
        <references count="1">
          <reference field="0" count="0"/>
        </references>
      </pivotArea>
    </format>
    <format dxfId="14">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A446624-3F20-4AE6-8D06-F3B024690B29}" name="PivotTable27"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6:F7" firstHeaderRow="0" firstDataRow="1" firstDataCol="1"/>
  <pivotFields count="11">
    <pivotField axis="axisRow" showAll="0">
      <items count="6">
        <item h="1" x="3"/>
        <item h="1" x="2"/>
        <item x="1"/>
        <item h="1" x="0"/>
        <item h="1" x="4"/>
        <item t="default"/>
      </items>
    </pivotField>
    <pivotField dataField="1" numFmtId="165" showAll="0"/>
    <pivotField dataField="1" numFmtId="165" showAll="0"/>
    <pivotField dataField="1" numFmtId="165" showAll="0"/>
    <pivotField dataField="1" numFmtId="165" showAll="0"/>
    <pivotField dataField="1" numFmtId="165" showAll="0"/>
    <pivotField numFmtId="165" showAll="0"/>
    <pivotField numFmtId="165" showAll="0"/>
    <pivotField numFmtId="165" showAll="0"/>
    <pivotField numFmtId="165" showAll="0"/>
    <pivotField numFmtId="165" showAll="0"/>
  </pivotFields>
  <rowFields count="1">
    <field x="0"/>
  </rowFields>
  <rowItems count="1">
    <i>
      <x v="2"/>
    </i>
  </rowItems>
  <colFields count="1">
    <field x="-2"/>
  </colFields>
  <colItems count="5">
    <i>
      <x/>
    </i>
    <i i="1">
      <x v="1"/>
    </i>
    <i i="2">
      <x v="2"/>
    </i>
    <i i="3">
      <x v="3"/>
    </i>
    <i i="4">
      <x v="4"/>
    </i>
  </colItems>
  <dataFields count="5">
    <dataField name="Sum of 2019-2020" fld="1" baseField="0" baseItem="0" numFmtId="165"/>
    <dataField name="Sum of 2020-2021" fld="2" baseField="0" baseItem="0" numFmtId="165"/>
    <dataField name="Sum of 2021-2022" fld="3" baseField="0" baseItem="0" numFmtId="165"/>
    <dataField name="Sum of 2022-2023" fld="4" baseField="0" baseItem="0" numFmtId="165"/>
    <dataField name="Sum of 2023-2024" fld="5" baseField="0" baseItem="0" numFmtId="165"/>
  </dataFields>
  <formats count="12">
    <format dxfId="37">
      <pivotArea field="0" type="button" dataOnly="0" labelOnly="1" outline="0" axis="axisRow" fieldPosition="0"/>
    </format>
    <format dxfId="36">
      <pivotArea dataOnly="0" labelOnly="1" fieldPosition="0">
        <references count="1">
          <reference field="0" count="0"/>
        </references>
      </pivotArea>
    </format>
    <format dxfId="35">
      <pivotArea type="all" dataOnly="0" outline="0" fieldPosition="0"/>
    </format>
    <format dxfId="34">
      <pivotArea outline="0" collapsedLevelsAreSubtotals="1" fieldPosition="0"/>
    </format>
    <format dxfId="33">
      <pivotArea field="0" type="button" dataOnly="0" labelOnly="1" outline="0" axis="axisRow" fieldPosition="0"/>
    </format>
    <format dxfId="32">
      <pivotArea dataOnly="0" labelOnly="1" fieldPosition="0">
        <references count="1">
          <reference field="0" count="0"/>
        </references>
      </pivotArea>
    </format>
    <format dxfId="31">
      <pivotArea dataOnly="0" labelOnly="1" outline="0" fieldPosition="0">
        <references count="1">
          <reference field="4294967294" count="5">
            <x v="0"/>
            <x v="1"/>
            <x v="2"/>
            <x v="3"/>
            <x v="4"/>
          </reference>
        </references>
      </pivotArea>
    </format>
    <format dxfId="30">
      <pivotArea type="all" dataOnly="0" outline="0" fieldPosition="0"/>
    </format>
    <format dxfId="29">
      <pivotArea outline="0" collapsedLevelsAreSubtotals="1" fieldPosition="0"/>
    </format>
    <format dxfId="28">
      <pivotArea field="0" type="button" dataOnly="0" labelOnly="1" outline="0" axis="axisRow" fieldPosition="0"/>
    </format>
    <format dxfId="27">
      <pivotArea dataOnly="0" labelOnly="1" fieldPosition="0">
        <references count="1">
          <reference field="0" count="0"/>
        </references>
      </pivotArea>
    </format>
    <format dxfId="26">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C5E1B52-2CB6-4C1F-8B68-8F82A18A791D}" name="PivotTable26"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3:F4" firstHeaderRow="0" firstDataRow="1" firstDataCol="1"/>
  <pivotFields count="11">
    <pivotField axis="axisRow" showAll="0">
      <items count="6">
        <item h="1" x="3"/>
        <item h="1" x="2"/>
        <item h="1" x="1"/>
        <item x="0"/>
        <item h="1" x="4"/>
        <item t="default"/>
      </items>
    </pivotField>
    <pivotField dataField="1" numFmtId="165" showAll="0"/>
    <pivotField dataField="1" numFmtId="165" showAll="0"/>
    <pivotField dataField="1" numFmtId="165" showAll="0"/>
    <pivotField dataField="1" numFmtId="165" showAll="0"/>
    <pivotField dataField="1" numFmtId="165" showAll="0"/>
    <pivotField numFmtId="165" showAll="0"/>
    <pivotField numFmtId="165" showAll="0"/>
    <pivotField numFmtId="165" showAll="0"/>
    <pivotField numFmtId="165" showAll="0"/>
    <pivotField numFmtId="165" showAll="0"/>
  </pivotFields>
  <rowFields count="1">
    <field x="0"/>
  </rowFields>
  <rowItems count="1">
    <i>
      <x v="3"/>
    </i>
  </rowItems>
  <colFields count="1">
    <field x="-2"/>
  </colFields>
  <colItems count="5">
    <i>
      <x/>
    </i>
    <i i="1">
      <x v="1"/>
    </i>
    <i i="2">
      <x v="2"/>
    </i>
    <i i="3">
      <x v="3"/>
    </i>
    <i i="4">
      <x v="4"/>
    </i>
  </colItems>
  <dataFields count="5">
    <dataField name="Sum of 2019-2020" fld="1" baseField="0" baseItem="0" numFmtId="165"/>
    <dataField name="Sum of 2020-2021" fld="2" baseField="0" baseItem="0" numFmtId="165"/>
    <dataField name="Sum of 2021-2022" fld="3" baseField="0" baseItem="0" numFmtId="165"/>
    <dataField name="Sum of 2022-2023" fld="4" baseField="0" baseItem="0" numFmtId="165"/>
    <dataField name="Sum of 2023-2024" fld="5" baseField="0" baseItem="0" numFmtId="165"/>
  </dataFields>
  <formats count="12">
    <format dxfId="49">
      <pivotArea field="0" type="button" dataOnly="0" labelOnly="1" outline="0" axis="axisRow" fieldPosition="0"/>
    </format>
    <format dxfId="48">
      <pivotArea dataOnly="0" labelOnly="1" fieldPosition="0">
        <references count="1">
          <reference field="0" count="0"/>
        </references>
      </pivotArea>
    </format>
    <format dxfId="47">
      <pivotArea type="all" dataOnly="0" outline="0" fieldPosition="0"/>
    </format>
    <format dxfId="46">
      <pivotArea outline="0" collapsedLevelsAreSubtotals="1" fieldPosition="0"/>
    </format>
    <format dxfId="45">
      <pivotArea field="0" type="button" dataOnly="0" labelOnly="1" outline="0" axis="axisRow" fieldPosition="0"/>
    </format>
    <format dxfId="44">
      <pivotArea dataOnly="0" labelOnly="1" fieldPosition="0">
        <references count="1">
          <reference field="0" count="0"/>
        </references>
      </pivotArea>
    </format>
    <format dxfId="43">
      <pivotArea dataOnly="0" labelOnly="1" outline="0" fieldPosition="0">
        <references count="1">
          <reference field="4294967294" count="5">
            <x v="0"/>
            <x v="1"/>
            <x v="2"/>
            <x v="3"/>
            <x v="4"/>
          </reference>
        </references>
      </pivotArea>
    </format>
    <format dxfId="42">
      <pivotArea type="all" dataOnly="0" outline="0" fieldPosition="0"/>
    </format>
    <format dxfId="41">
      <pivotArea outline="0" collapsedLevelsAreSubtotals="1" fieldPosition="0"/>
    </format>
    <format dxfId="40">
      <pivotArea field="0" type="button" dataOnly="0" labelOnly="1" outline="0" axis="axisRow" fieldPosition="0"/>
    </format>
    <format dxfId="39">
      <pivotArea dataOnly="0" labelOnly="1" fieldPosition="0">
        <references count="1">
          <reference field="0" count="0"/>
        </references>
      </pivotArea>
    </format>
    <format dxfId="38">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C8D43CE-BEFA-46E4-ABDC-8B897AA8BCBA}" name="PivotTable30"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15:F16" firstHeaderRow="0" firstDataRow="1" firstDataCol="1"/>
  <pivotFields count="11">
    <pivotField axis="axisRow" showAll="0">
      <items count="6">
        <item h="1" x="3"/>
        <item h="1" x="2"/>
        <item h="1" x="1"/>
        <item h="1" x="0"/>
        <item x="4"/>
        <item t="default"/>
      </items>
    </pivotField>
    <pivotField dataField="1" numFmtId="165" showAll="0"/>
    <pivotField dataField="1" numFmtId="165" showAll="0"/>
    <pivotField dataField="1" numFmtId="165" showAll="0"/>
    <pivotField dataField="1" numFmtId="165" showAll="0"/>
    <pivotField dataField="1" numFmtId="165" showAll="0"/>
    <pivotField numFmtId="165" showAll="0"/>
    <pivotField numFmtId="165" showAll="0"/>
    <pivotField numFmtId="165" showAll="0"/>
    <pivotField numFmtId="165" showAll="0"/>
    <pivotField numFmtId="165" showAll="0"/>
  </pivotFields>
  <rowFields count="1">
    <field x="0"/>
  </rowFields>
  <rowItems count="1">
    <i>
      <x v="4"/>
    </i>
  </rowItems>
  <colFields count="1">
    <field x="-2"/>
  </colFields>
  <colItems count="5">
    <i>
      <x/>
    </i>
    <i i="1">
      <x v="1"/>
    </i>
    <i i="2">
      <x v="2"/>
    </i>
    <i i="3">
      <x v="3"/>
    </i>
    <i i="4">
      <x v="4"/>
    </i>
  </colItems>
  <dataFields count="5">
    <dataField name="Sum of 2019-2020" fld="1" baseField="0" baseItem="0" numFmtId="165"/>
    <dataField name="Sum of 2020-2021" fld="2" baseField="0" baseItem="0" numFmtId="165"/>
    <dataField name="Sum of 2021-2022" fld="3" baseField="0" baseItem="0" numFmtId="165"/>
    <dataField name="Sum of 2022-2023" fld="4" baseField="0" baseItem="0" numFmtId="165"/>
    <dataField name="Sum of 2023-2024" fld="5" baseField="0" baseItem="0" numFmtId="165"/>
  </dataFields>
  <formats count="12">
    <format dxfId="61">
      <pivotArea field="0" type="button" dataOnly="0" labelOnly="1" outline="0" axis="axisRow" fieldPosition="0"/>
    </format>
    <format dxfId="60">
      <pivotArea dataOnly="0" labelOnly="1" fieldPosition="0">
        <references count="1">
          <reference field="0" count="0"/>
        </references>
      </pivotArea>
    </format>
    <format dxfId="59">
      <pivotArea type="all" dataOnly="0" outline="0" fieldPosition="0"/>
    </format>
    <format dxfId="58">
      <pivotArea outline="0" collapsedLevelsAreSubtotals="1" fieldPosition="0"/>
    </format>
    <format dxfId="57">
      <pivotArea field="0" type="button" dataOnly="0" labelOnly="1" outline="0" axis="axisRow" fieldPosition="0"/>
    </format>
    <format dxfId="56">
      <pivotArea dataOnly="0" labelOnly="1" fieldPosition="0">
        <references count="1">
          <reference field="0" count="0"/>
        </references>
      </pivotArea>
    </format>
    <format dxfId="55">
      <pivotArea dataOnly="0" labelOnly="1" outline="0" fieldPosition="0">
        <references count="1">
          <reference field="4294967294" count="5">
            <x v="0"/>
            <x v="1"/>
            <x v="2"/>
            <x v="3"/>
            <x v="4"/>
          </reference>
        </references>
      </pivotArea>
    </format>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fieldPosition="0">
        <references count="1">
          <reference field="0" count="0"/>
        </references>
      </pivotArea>
    </format>
    <format dxfId="50">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
  <rv s="0">
    <v>0</v>
    <v>5</v>
  </rv>
  <rv s="0">
    <v>1</v>
    <v>5</v>
  </rv>
  <rv s="1">
    <v>https://www.bing.com/financeapi/forcetrigger?t=ah7pa2&amp;q=XBOM%3a500049&amp;form=skydnc</v>
    <v>Learn more on Bing</v>
  </rv>
  <rv s="2">
    <v>en-IN</v>
    <v>ah7pa2</v>
    <v>268435456</v>
    <v>1</v>
    <v>Powered by Refinitiv</v>
    <v>0</v>
    <v>BHARAT ELECTRONICS LIMITED (XBOM:500049)</v>
    <v>2</v>
    <v>3</v>
    <v>Finance</v>
    <v>4</v>
    <v>435.95</v>
    <v>240.15</v>
    <v>1.1892</v>
    <v>2.9</v>
    <v>1.7369999999999998E-3</v>
    <v>7.2480000000000001E-3</v>
    <v>0.7</v>
    <v>INR</v>
    <v>Bharat Electronics Limited is an India-based company, which manufactures and supplies electronic equipment and systems for the defense sector as well as for non-defense markets. It manufactures electronic products and systems for the army, navy, and the air force. Its defense products include radar and fire control systems, weapon systems, communication, network centric systems (c4i), electronic warfare systems, avionics, anti-submarine warfare systems &amp; sonars, electro-optics, tank electronics, gun upgrades, strategic components, and others. Its non-defense products include electronic voting machines, software solutions / services, healthcare solutions, civil aviation and solar cells/power plants, railway / metro / airport solutions, space electronics and systems, alternate energy solutions, secure communication solutions. It also offers software, electronic manufacturing services and cybersecurity. Its subsidiaries include BEL Optronic Devices Ltd. and BEL-THALES Systems Ltd.</v>
    <v>8937</v>
    <v>Bombay Stock Exchange</v>
    <v>XBOM</v>
    <v>XBOM</v>
    <v>Outer Ring Road, Nagavara, BANGALORE, KARNATAKA, 560045 IN</v>
    <v>404.7</v>
    <v>Aerospace &amp; Defense</v>
    <v>Stock</v>
    <v>45860.438506944447</v>
    <v>2</v>
    <v>399.7</v>
    <v>2923546000000</v>
    <v>BHARAT ELECTRONICS LIMITED</v>
    <v>BHARAT ELECTRONICS LIMITED</v>
    <v>402.5</v>
    <v>55.357100000000003</v>
    <v>400.1</v>
    <v>403</v>
    <v>403.7</v>
    <v>7309779000</v>
    <v>500049</v>
    <v>BHARAT ELECTRONICS LIMITED (XBOM:500049)</v>
    <v>637973</v>
    <v>14977950</v>
    <v>1954</v>
  </rv>
  <rv s="3">
    <v>3</v>
  </rv>
  <rv s="1">
    <v>https://www.bing.com/financeapi/forcetrigger?t=bwg4fr&amp;q=XBOM%3a543237&amp;form=skydnc</v>
    <v>Learn more on Bing</v>
  </rv>
  <rv s="2">
    <v>en-IN</v>
    <v>bwg4fr</v>
    <v>268435456</v>
    <v>1</v>
    <v>Powered by Refinitiv</v>
    <v>0</v>
    <v>Mazagon Dock Shipbuilders Ltd (XBOM:543237)</v>
    <v>2</v>
    <v>3</v>
    <v>Finance</v>
    <v>4</v>
    <v>3778</v>
    <v>1917.95</v>
    <v>1.6687000000000001</v>
    <v>-30.2</v>
    <v>3.6609999999999998E-3</v>
    <v>-1.0228999999999999E-2</v>
    <v>10.7</v>
    <v>INR</v>
    <v>Mazagon Dock Shipbuilders Limited is an India-based shipbuilding yard company, which is principally engaged in the building and repairing of ships, submarines, various types of vessels, and related engineering products for its customers. It is also engaged in the production of defense equipment. The Company's segments include Shipbuilding (New Construction and Ship Repairs) and Submarine. Its Shipbuilding segment includes the building and repair of Naval ships. Its Submarine segment includes the building, repair and refits of diesel and electric submarines for the Indian Navy. It provides cargo ships, passenger ships, supply vessels, multipurpose support vessels, water tankers, tugs, dredgers, fishing trawlers, barges, and border outposts. The Company caters to both national and international customers in the defense sector as well as civil operations. It offers supply chain management, tug support, and yard services and berth facilities for repairs and refits of commercial vessels.</v>
    <v>2814</v>
    <v>Bombay Stock Exchange</v>
    <v>XBOM</v>
    <v>XBOM</v>
    <v>Dockyard Road, MUMBAI, MAHARASHTRA, 400010 IN</v>
    <v>3022.05</v>
    <v>Aerospace &amp; Defense</v>
    <v>Stock</v>
    <v>45860.438483796293</v>
    <v>5</v>
    <v>2912</v>
    <v>1190657000000</v>
    <v>Mazagon Dock Shipbuilders Ltd</v>
    <v>Mazagon Dock Shipbuilders Ltd</v>
    <v>2965</v>
    <v>42.847499999999997</v>
    <v>2952.5</v>
    <v>2922.3</v>
    <v>2933</v>
    <v>403380000</v>
    <v>543237</v>
    <v>Mazagon Dock Shipbuilders Ltd (XBOM:543237)</v>
    <v>161404</v>
    <v>1135510</v>
    <v>1934</v>
  </rv>
  <rv s="3">
    <v>6</v>
  </rv>
  <rv s="4">
    <v>en-IN</v>
    <v>avcpf2</v>
    <v>268435456</v>
    <v>1</v>
    <v>Powered by Refinitiv</v>
    <v>5</v>
    <v>INR/USD</v>
    <v>6</v>
    <v>7</v>
    <v>Finance</v>
    <v>8</v>
    <v>1.1979999999999999E-2</v>
    <v>1.136E-2</v>
    <v>-3.1000000000000001E-5</v>
    <v>-2.6719999999999999E-3</v>
    <v>USD</v>
    <v>INR</v>
    <v>1.1599999999999999E-2</v>
    <v>Currency Pair</v>
    <v>45860.527789351851</v>
    <v>1.157E-2</v>
    <v>Indian Rupee/US Dollar FX Cross Rate</v>
    <v>1.1599999999999999E-2</v>
    <v>1.1599999999999999E-2</v>
    <v>1.157E-2</v>
    <v>INRUSD</v>
    <v>INR/USD</v>
  </rv>
  <rv s="3">
    <v>8</v>
  </rv>
</rvData>
</file>

<file path=xl/richData/rdrichvaluestructure.xml><?xml version="1.0" encoding="utf-8"?>
<rvStructures xmlns="http://schemas.microsoft.com/office/spreadsheetml/2017/richdata" count="5">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GMT</v>
      <v>Delayed 15 minutes</v>
      <v>from close</v>
      <v>from close</v>
    </spb>
    <spb s="5">
      <v>1</v>
      <v>Name</v>
    </spb>
    <spb s="6">
      <v>1</v>
      <v>1</v>
    </spb>
    <spb s="7">
      <v>10</v>
      <v>10</v>
      <v>3</v>
      <v>10</v>
      <v>10</v>
      <v>10</v>
      <v>5</v>
      <v>10</v>
      <v>10</v>
      <v>10</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dxfid="1">
      <rpv i="0">_([$$-en-US]* #,##0.00_);_([$$-en-US]* (#,##0.00);_([$$-en-US]* "-"??_);_(@_)</rpv>
    </rSty>
  </richStyles>
</richStyleSheet>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2.xml"/><Relationship Id="rId4"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drawing" Target="../drawings/drawing3.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5.xml.rels><?xml version="1.0" encoding="UTF-8" standalone="yes"?>
<Relationships xmlns="http://schemas.openxmlformats.org/package/2006/relationships"><Relationship Id="rId3" Type="http://schemas.openxmlformats.org/officeDocument/2006/relationships/hyperlink" Target="Attachments/Moneycontrol.com%20__%20Company%20Info%20__%20Print%20Financials%20BEL.pdf" TargetMode="External"/><Relationship Id="rId2" Type="http://schemas.openxmlformats.org/officeDocument/2006/relationships/hyperlink" Target="Attachments/Moneycontrol.com%20__%20Company%20Info%20__%20Print%20Financials%20MZD%20PL.pdf" TargetMode="External"/><Relationship Id="rId1" Type="http://schemas.openxmlformats.org/officeDocument/2006/relationships/hyperlink" Target="Attachments/Moneycontrol.com%20__%20Company%20Info%20__%20Print%20Financials%20BEL%20PL.pdf" TargetMode="External"/><Relationship Id="rId6" Type="http://schemas.openxmlformats.org/officeDocument/2006/relationships/hyperlink" Target="Attachments/Moneycontrol.com%20__%20Company%20Info%20__%20Print%20Financials%20MZD.pdf" TargetMode="External"/><Relationship Id="rId5" Type="http://schemas.openxmlformats.org/officeDocument/2006/relationships/hyperlink" Target="Attachments/Moneycontrol.com%20__%20Company%20Info%20__%20Print%20Financials%20BEL.pdf" TargetMode="External"/><Relationship Id="rId4" Type="http://schemas.openxmlformats.org/officeDocument/2006/relationships/hyperlink" Target="Attachments/Moneycontrol.com%20__%20Company%20Info%20__%20Print%20Financials%20MZ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I4" sqref="I4"/>
    </sheetView>
  </sheetViews>
  <sheetFormatPr defaultRowHeight="14.4" x14ac:dyDescent="0.3"/>
  <cols>
    <col min="1" max="2" width="12.6640625" style="4" customWidth="1"/>
    <col min="3" max="4" width="22.77734375" style="2" customWidth="1"/>
  </cols>
  <sheetData>
    <row r="1" spans="1:4" ht="27" customHeight="1" x14ac:dyDescent="0.3">
      <c r="A1" s="60" t="s">
        <v>0</v>
      </c>
      <c r="B1" s="60"/>
      <c r="C1" s="60"/>
      <c r="D1" s="60"/>
    </row>
    <row r="2" spans="1:4" ht="55.2" customHeight="1" x14ac:dyDescent="0.3">
      <c r="A2" s="62" t="s">
        <v>30</v>
      </c>
      <c r="B2" s="63"/>
      <c r="C2" s="6" t="e" vm="1">
        <v>#VALUE!</v>
      </c>
      <c r="D2" s="20" t="e" vm="2">
        <v>#VALUE!</v>
      </c>
    </row>
    <row r="3" spans="1:4" s="4" customFormat="1" ht="28.8" customHeight="1" x14ac:dyDescent="0.3">
      <c r="A3" s="61" t="s">
        <v>1</v>
      </c>
      <c r="B3" s="61"/>
      <c r="C3" s="12" t="s">
        <v>3</v>
      </c>
      <c r="D3" s="12" t="s">
        <v>2</v>
      </c>
    </row>
    <row r="4" spans="1:4" ht="28.2" customHeight="1" x14ac:dyDescent="0.3">
      <c r="A4" s="61" t="s">
        <v>4</v>
      </c>
      <c r="B4" s="61"/>
      <c r="C4" s="12" t="e" vm="3">
        <v>#VALUE!</v>
      </c>
      <c r="D4" s="12" t="e" vm="4">
        <v>#VALUE!</v>
      </c>
    </row>
    <row r="5" spans="1:4" x14ac:dyDescent="0.3">
      <c r="A5" s="61" t="s">
        <v>5</v>
      </c>
      <c r="B5" s="61"/>
      <c r="C5" s="12" t="str" cm="1">
        <f t="array" aca="1" ref="C5" ca="1">_FV(C4,"Ticker symbol",TRUE)</f>
        <v>500049</v>
      </c>
      <c r="D5" s="12" t="str" cm="1">
        <f t="array" aca="1" ref="D5" ca="1">_FV(D4,"Ticker symbol",TRUE)</f>
        <v>543237</v>
      </c>
    </row>
    <row r="6" spans="1:4" x14ac:dyDescent="0.3">
      <c r="A6" s="61" t="s">
        <v>6</v>
      </c>
      <c r="B6" s="61"/>
      <c r="C6" s="12" t="str" cm="1">
        <f t="array" aca="1" ref="C6" ca="1">_FV(C4,"Industry")</f>
        <v>Aerospace &amp; Defense</v>
      </c>
      <c r="D6" s="12" t="str" cm="1">
        <f t="array" aca="1" ref="D6" ca="1">_FV(D4,"Industry")</f>
        <v>Aerospace &amp; Defense</v>
      </c>
    </row>
    <row r="7" spans="1:4" x14ac:dyDescent="0.3">
      <c r="A7" s="61" t="s">
        <v>7</v>
      </c>
      <c r="B7" s="61"/>
      <c r="C7" s="12" t="str" cm="1">
        <f t="array" aca="1" ref="C7" ca="1">_FV(C4,"Exchange")</f>
        <v>Bombay Stock Exchange</v>
      </c>
      <c r="D7" s="12" t="str" cm="1">
        <f t="array" aca="1" ref="D7" ca="1">_FV(D4,"Exchange")</f>
        <v>Bombay Stock Exchange</v>
      </c>
    </row>
    <row r="8" spans="1:4" x14ac:dyDescent="0.3">
      <c r="A8" s="61" t="s">
        <v>8</v>
      </c>
      <c r="B8" s="61"/>
      <c r="C8" s="13" cm="1">
        <f t="array" aca="1" ref="C8" ca="1">_FV(C4,"Year incorporated",TRUE)</f>
        <v>1954</v>
      </c>
      <c r="D8" s="13" cm="1">
        <f t="array" aca="1" ref="D8" ca="1">_FV(D4,"Year incorporated",TRUE)</f>
        <v>1934</v>
      </c>
    </row>
    <row r="9" spans="1:4" x14ac:dyDescent="0.3">
      <c r="A9" s="61" t="s">
        <v>12</v>
      </c>
      <c r="B9" s="61"/>
      <c r="C9" s="14" cm="1">
        <f t="array" aca="1" ref="C9" ca="1">_FV(C4,"Market cap",TRUE)</f>
        <v>2923546000000</v>
      </c>
      <c r="D9" s="14" cm="1">
        <f t="array" aca="1" ref="D9" ca="1">_FV(D4,"Market cap",TRUE)</f>
        <v>1190657000000</v>
      </c>
    </row>
    <row r="10" spans="1:4" x14ac:dyDescent="0.3">
      <c r="A10" s="64" t="s">
        <v>10</v>
      </c>
      <c r="B10" s="65"/>
      <c r="C10" s="14" t="e" vm="5">
        <v>#VALUE!</v>
      </c>
      <c r="D10" s="14" t="e" vm="5">
        <v>#VALUE!</v>
      </c>
    </row>
    <row r="11" spans="1:4" x14ac:dyDescent="0.3">
      <c r="A11" s="66"/>
      <c r="B11" s="67"/>
      <c r="C11" s="15" cm="1">
        <f t="array" aca="1" ref="C11" ca="1">_FV(C10,"Price")</f>
        <v>1.157E-2</v>
      </c>
      <c r="D11" s="15" cm="1">
        <f t="array" aca="1" ref="D11" ca="1">_FV(D10,"Price")</f>
        <v>1.157E-2</v>
      </c>
    </row>
    <row r="12" spans="1:4" x14ac:dyDescent="0.3">
      <c r="A12" s="62" t="s">
        <v>11</v>
      </c>
      <c r="B12" s="63"/>
      <c r="C12" s="14">
        <f ca="1">C9*C11</f>
        <v>33825427220</v>
      </c>
      <c r="D12" s="14">
        <f ca="1">D9*D11</f>
        <v>13775901490</v>
      </c>
    </row>
    <row r="13" spans="1:4" x14ac:dyDescent="0.3">
      <c r="A13" s="61" t="s">
        <v>9</v>
      </c>
      <c r="B13" s="61"/>
      <c r="C13" s="16">
        <v>1</v>
      </c>
      <c r="D13" s="17">
        <v>5</v>
      </c>
    </row>
    <row r="14" spans="1:4" x14ac:dyDescent="0.3">
      <c r="A14" s="62" t="s">
        <v>15</v>
      </c>
      <c r="B14" s="63"/>
      <c r="C14" s="16" cm="1">
        <f t="array" aca="1" ref="C14" ca="1">_FV(C4,"Price")</f>
        <v>403</v>
      </c>
      <c r="D14" s="16" cm="1">
        <f t="array" aca="1" ref="D14" ca="1">_FV(D4,"Price")</f>
        <v>2922.3</v>
      </c>
    </row>
    <row r="15" spans="1:4" x14ac:dyDescent="0.3">
      <c r="A15" s="62" t="s">
        <v>16</v>
      </c>
      <c r="B15" s="63"/>
      <c r="C15" s="18" cm="1">
        <f t="array" aca="1" ref="C15" ca="1">_FV(C4,"Change (%)",TRUE)</f>
        <v>7.2480000000000001E-3</v>
      </c>
      <c r="D15" s="18" cm="1">
        <f t="array" aca="1" ref="D15" ca="1">_FV(D4,"Change (%)",TRUE)</f>
        <v>-1.0228999999999999E-2</v>
      </c>
    </row>
    <row r="16" spans="1:4" x14ac:dyDescent="0.3">
      <c r="A16" s="61" t="s">
        <v>13</v>
      </c>
      <c r="B16" s="61"/>
      <c r="C16" s="17" cm="1">
        <f t="array" aca="1" ref="C16" ca="1">_FV(C4,"52 week low",TRUE)</f>
        <v>240.15</v>
      </c>
      <c r="D16" s="17" cm="1">
        <f t="array" aca="1" ref="D16" ca="1">_FV(D4,"52 week low",TRUE)</f>
        <v>1917.95</v>
      </c>
    </row>
    <row r="17" spans="1:4" x14ac:dyDescent="0.3">
      <c r="A17" s="62" t="s">
        <v>14</v>
      </c>
      <c r="B17" s="63"/>
      <c r="C17" s="17" cm="1">
        <f t="array" aca="1" ref="C17" ca="1">_FV(C4,"52 week high",TRUE)</f>
        <v>435.95</v>
      </c>
      <c r="D17" s="17" cm="1">
        <f t="array" aca="1" ref="D17" ca="1">_FV(D4,"52 week high",TRUE)</f>
        <v>3778</v>
      </c>
    </row>
  </sheetData>
  <mergeCells count="16">
    <mergeCell ref="A17:B17"/>
    <mergeCell ref="A14:B14"/>
    <mergeCell ref="A15:B15"/>
    <mergeCell ref="A2:B2"/>
    <mergeCell ref="A8:B8"/>
    <mergeCell ref="A9:B9"/>
    <mergeCell ref="A13:B13"/>
    <mergeCell ref="A16:B16"/>
    <mergeCell ref="A12:B12"/>
    <mergeCell ref="A10:B11"/>
    <mergeCell ref="A7:B7"/>
    <mergeCell ref="A1:D1"/>
    <mergeCell ref="A3:B3"/>
    <mergeCell ref="A4:B4"/>
    <mergeCell ref="A5:B5"/>
    <mergeCell ref="A6:B6"/>
  </mergeCells>
  <conditionalFormatting sqref="C15:D15">
    <cfRule type="cellIs" dxfId="1" priority="1" operator="lessThan">
      <formula>0</formula>
    </cfRule>
    <cfRule type="cellIs" dxfId="0" priority="2"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15525-90C2-4F47-BE6F-30C0C630DB8E}">
  <dimension ref="A3:M16"/>
  <sheetViews>
    <sheetView topLeftCell="B1" zoomScale="106" workbookViewId="0">
      <selection activeCell="G14" sqref="G14"/>
    </sheetView>
  </sheetViews>
  <sheetFormatPr defaultRowHeight="14.4" x14ac:dyDescent="0.3"/>
  <cols>
    <col min="1" max="1" width="24.6640625" style="2" customWidth="1"/>
    <col min="2" max="6" width="16.21875" style="3" bestFit="1" customWidth="1"/>
    <col min="8" max="8" width="25.77734375" style="47" customWidth="1"/>
    <col min="9" max="13" width="15.88671875" style="48" bestFit="1" customWidth="1"/>
  </cols>
  <sheetData>
    <row r="3" spans="1:13" x14ac:dyDescent="0.3">
      <c r="A3" s="44" t="s">
        <v>17</v>
      </c>
      <c r="B3" s="3" t="s">
        <v>43</v>
      </c>
      <c r="C3" s="3" t="s">
        <v>44</v>
      </c>
      <c r="D3" s="3" t="s">
        <v>45</v>
      </c>
      <c r="E3" s="3" t="s">
        <v>46</v>
      </c>
      <c r="F3" s="3" t="s">
        <v>47</v>
      </c>
      <c r="H3" s="11" t="s">
        <v>17</v>
      </c>
      <c r="I3" s="45" t="s">
        <v>43</v>
      </c>
      <c r="J3" s="45" t="s">
        <v>44</v>
      </c>
      <c r="K3" s="45" t="s">
        <v>45</v>
      </c>
      <c r="L3" s="45" t="s">
        <v>46</v>
      </c>
      <c r="M3" s="45" t="s">
        <v>47</v>
      </c>
    </row>
    <row r="4" spans="1:13" x14ac:dyDescent="0.3">
      <c r="A4" s="5" t="s">
        <v>28</v>
      </c>
      <c r="B4" s="23">
        <v>7.36</v>
      </c>
      <c r="C4" s="23">
        <v>8.48</v>
      </c>
      <c r="D4" s="23">
        <v>9.64</v>
      </c>
      <c r="E4" s="23">
        <v>4.1100000000000003</v>
      </c>
      <c r="F4" s="23">
        <v>5.5</v>
      </c>
      <c r="H4" s="11" t="s">
        <v>28</v>
      </c>
      <c r="I4" s="45">
        <v>7.36</v>
      </c>
      <c r="J4" s="45">
        <v>8.48</v>
      </c>
      <c r="K4" s="45">
        <v>9.64</v>
      </c>
      <c r="L4" s="45">
        <v>4.1100000000000003</v>
      </c>
      <c r="M4" s="45">
        <v>5.5</v>
      </c>
    </row>
    <row r="5" spans="1:13" x14ac:dyDescent="0.3">
      <c r="H5" s="46"/>
      <c r="I5" s="24"/>
      <c r="J5" s="24"/>
      <c r="K5" s="24"/>
      <c r="L5" s="24"/>
      <c r="M5" s="24"/>
    </row>
    <row r="6" spans="1:13" x14ac:dyDescent="0.3">
      <c r="A6" s="44" t="s">
        <v>17</v>
      </c>
      <c r="B6" s="3" t="s">
        <v>43</v>
      </c>
      <c r="C6" s="3" t="s">
        <v>44</v>
      </c>
      <c r="D6" s="3" t="s">
        <v>45</v>
      </c>
      <c r="E6" s="3" t="s">
        <v>46</v>
      </c>
      <c r="F6" s="3" t="s">
        <v>47</v>
      </c>
      <c r="H6" s="11" t="s">
        <v>17</v>
      </c>
      <c r="I6" s="45" t="s">
        <v>43</v>
      </c>
      <c r="J6" s="45" t="s">
        <v>44</v>
      </c>
      <c r="K6" s="45" t="s">
        <v>45</v>
      </c>
      <c r="L6" s="45" t="s">
        <v>46</v>
      </c>
      <c r="M6" s="45" t="s">
        <v>47</v>
      </c>
    </row>
    <row r="7" spans="1:13" ht="46.2" customHeight="1" x14ac:dyDescent="0.3">
      <c r="A7" s="5" t="s">
        <v>25</v>
      </c>
      <c r="B7" s="23">
        <v>2479.17</v>
      </c>
      <c r="C7" s="23">
        <v>2934.81</v>
      </c>
      <c r="D7" s="23">
        <v>3157.8</v>
      </c>
      <c r="E7" s="23">
        <v>3984.88</v>
      </c>
      <c r="F7" s="23">
        <v>5334.56</v>
      </c>
      <c r="H7" s="11" t="s">
        <v>25</v>
      </c>
      <c r="I7" s="45">
        <v>2479.17</v>
      </c>
      <c r="J7" s="45">
        <v>2934.81</v>
      </c>
      <c r="K7" s="45">
        <v>3157.8</v>
      </c>
      <c r="L7" s="45">
        <v>3984.88</v>
      </c>
      <c r="M7" s="45">
        <v>5334.56</v>
      </c>
    </row>
    <row r="8" spans="1:13" x14ac:dyDescent="0.3">
      <c r="H8" s="46"/>
      <c r="I8" s="24"/>
      <c r="J8" s="24"/>
      <c r="K8" s="24"/>
      <c r="L8" s="24"/>
      <c r="M8" s="24"/>
    </row>
    <row r="9" spans="1:13" x14ac:dyDescent="0.3">
      <c r="A9" s="44" t="s">
        <v>17</v>
      </c>
      <c r="B9" s="3" t="s">
        <v>43</v>
      </c>
      <c r="C9" s="3" t="s">
        <v>44</v>
      </c>
      <c r="D9" s="3" t="s">
        <v>45</v>
      </c>
      <c r="E9" s="3" t="s">
        <v>46</v>
      </c>
      <c r="F9" s="3" t="s">
        <v>47</v>
      </c>
      <c r="H9" s="11" t="s">
        <v>17</v>
      </c>
      <c r="I9" s="45" t="s">
        <v>43</v>
      </c>
      <c r="J9" s="45" t="s">
        <v>44</v>
      </c>
      <c r="K9" s="45" t="s">
        <v>45</v>
      </c>
      <c r="L9" s="45" t="s">
        <v>46</v>
      </c>
      <c r="M9" s="45" t="s">
        <v>47</v>
      </c>
    </row>
    <row r="10" spans="1:13" ht="19.2" customHeight="1" x14ac:dyDescent="0.3">
      <c r="A10" s="5" t="s">
        <v>26</v>
      </c>
      <c r="B10" s="23">
        <v>2479.17</v>
      </c>
      <c r="C10" s="23">
        <v>2934.81</v>
      </c>
      <c r="D10" s="23">
        <v>3157.8</v>
      </c>
      <c r="E10" s="23">
        <v>3984.88</v>
      </c>
      <c r="F10" s="23">
        <v>5334.56</v>
      </c>
      <c r="H10" s="11" t="s">
        <v>26</v>
      </c>
      <c r="I10" s="45">
        <v>2479.17</v>
      </c>
      <c r="J10" s="45">
        <v>2934.81</v>
      </c>
      <c r="K10" s="45">
        <v>3157.8</v>
      </c>
      <c r="L10" s="45">
        <v>3984.88</v>
      </c>
      <c r="M10" s="45">
        <v>5334.56</v>
      </c>
    </row>
    <row r="11" spans="1:13" x14ac:dyDescent="0.3">
      <c r="H11" s="46"/>
      <c r="I11" s="24"/>
      <c r="J11" s="24"/>
      <c r="K11" s="24"/>
      <c r="L11" s="24"/>
      <c r="M11" s="24"/>
    </row>
    <row r="12" spans="1:13" x14ac:dyDescent="0.3">
      <c r="A12" s="44" t="s">
        <v>17</v>
      </c>
      <c r="B12" s="3" t="s">
        <v>43</v>
      </c>
      <c r="C12" s="3" t="s">
        <v>44</v>
      </c>
      <c r="D12" s="3" t="s">
        <v>45</v>
      </c>
      <c r="E12" s="3" t="s">
        <v>46</v>
      </c>
      <c r="F12" s="3" t="s">
        <v>47</v>
      </c>
      <c r="H12" s="11" t="s">
        <v>17</v>
      </c>
      <c r="I12" s="45" t="s">
        <v>43</v>
      </c>
      <c r="J12" s="45" t="s">
        <v>44</v>
      </c>
      <c r="K12" s="45" t="s">
        <v>45</v>
      </c>
      <c r="L12" s="45" t="s">
        <v>46</v>
      </c>
      <c r="M12" s="45" t="s">
        <v>47</v>
      </c>
    </row>
    <row r="13" spans="1:13" ht="20.399999999999999" customHeight="1" x14ac:dyDescent="0.3">
      <c r="A13" s="5" t="s">
        <v>27</v>
      </c>
      <c r="B13" s="23">
        <v>1793.83</v>
      </c>
      <c r="C13" s="23">
        <v>2065.42</v>
      </c>
      <c r="D13" s="23">
        <v>2348.9299999999998</v>
      </c>
      <c r="E13" s="23">
        <v>3006.67</v>
      </c>
      <c r="F13" s="23">
        <v>4020</v>
      </c>
      <c r="H13" s="11" t="s">
        <v>27</v>
      </c>
      <c r="I13" s="45">
        <v>1793.83</v>
      </c>
      <c r="J13" s="45">
        <v>2065.42</v>
      </c>
      <c r="K13" s="45">
        <v>2348.9299999999998</v>
      </c>
      <c r="L13" s="45">
        <v>3006.67</v>
      </c>
      <c r="M13" s="45">
        <v>4020</v>
      </c>
    </row>
    <row r="14" spans="1:13" x14ac:dyDescent="0.3">
      <c r="H14" s="46"/>
      <c r="I14" s="24"/>
      <c r="J14" s="24"/>
      <c r="K14" s="24"/>
      <c r="L14" s="24"/>
      <c r="M14" s="24"/>
    </row>
    <row r="15" spans="1:13" x14ac:dyDescent="0.3">
      <c r="A15" s="44" t="s">
        <v>17</v>
      </c>
      <c r="B15" s="3" t="s">
        <v>43</v>
      </c>
      <c r="C15" s="3" t="s">
        <v>44</v>
      </c>
      <c r="D15" s="3" t="s">
        <v>45</v>
      </c>
      <c r="E15" s="3" t="s">
        <v>46</v>
      </c>
      <c r="F15" s="3" t="s">
        <v>47</v>
      </c>
      <c r="H15" s="11" t="s">
        <v>17</v>
      </c>
      <c r="I15" s="45" t="s">
        <v>43</v>
      </c>
      <c r="J15" s="45" t="s">
        <v>44</v>
      </c>
      <c r="K15" s="45" t="s">
        <v>45</v>
      </c>
      <c r="L15" s="45" t="s">
        <v>46</v>
      </c>
      <c r="M15" s="45" t="s">
        <v>47</v>
      </c>
    </row>
    <row r="16" spans="1:13" ht="31.2" customHeight="1" x14ac:dyDescent="0.3">
      <c r="A16" s="5" t="s">
        <v>24</v>
      </c>
      <c r="B16" s="23">
        <v>12607.76</v>
      </c>
      <c r="C16" s="23">
        <v>13818.16</v>
      </c>
      <c r="D16" s="23">
        <v>15043.67</v>
      </c>
      <c r="E16" s="23">
        <v>17333.37</v>
      </c>
      <c r="F16" s="23">
        <v>19819.93</v>
      </c>
      <c r="H16" s="11" t="s">
        <v>24</v>
      </c>
      <c r="I16" s="45">
        <v>12607.76</v>
      </c>
      <c r="J16" s="45">
        <v>13818.16</v>
      </c>
      <c r="K16" s="45">
        <v>15043.67</v>
      </c>
      <c r="L16" s="45">
        <v>17333.37</v>
      </c>
      <c r="M16" s="45">
        <v>19819.93</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ACD2C-3A0E-439E-B140-AB073F082DAF}">
  <dimension ref="A3:N13"/>
  <sheetViews>
    <sheetView workbookViewId="0">
      <selection activeCell="K30" sqref="K30"/>
    </sheetView>
  </sheetViews>
  <sheetFormatPr defaultRowHeight="14.4" x14ac:dyDescent="0.3"/>
  <cols>
    <col min="1" max="1" width="13.33203125" style="4" bestFit="1" customWidth="1"/>
    <col min="2" max="6" width="16.21875" style="4" bestFit="1" customWidth="1"/>
    <col min="8" max="8" width="13.33203125" style="5" bestFit="1" customWidth="1"/>
    <col min="9" max="13" width="15.88671875" style="4" bestFit="1" customWidth="1"/>
    <col min="14" max="14" width="8.88671875" style="4"/>
  </cols>
  <sheetData>
    <row r="3" spans="1:13" x14ac:dyDescent="0.3">
      <c r="A3" s="51" t="s">
        <v>17</v>
      </c>
      <c r="B3" s="4" t="s">
        <v>43</v>
      </c>
      <c r="C3" s="4" t="s">
        <v>44</v>
      </c>
      <c r="D3" s="4" t="s">
        <v>45</v>
      </c>
      <c r="E3" s="4" t="s">
        <v>46</v>
      </c>
      <c r="F3" s="4" t="s">
        <v>47</v>
      </c>
      <c r="H3" s="52" t="s">
        <v>17</v>
      </c>
      <c r="I3" s="53" t="s">
        <v>43</v>
      </c>
      <c r="J3" s="53" t="s">
        <v>44</v>
      </c>
      <c r="K3" s="53" t="s">
        <v>45</v>
      </c>
      <c r="L3" s="53" t="s">
        <v>46</v>
      </c>
      <c r="M3" s="53" t="s">
        <v>47</v>
      </c>
    </row>
    <row r="4" spans="1:13" ht="28.2" customHeight="1" x14ac:dyDescent="0.3">
      <c r="A4" s="4" t="s">
        <v>36</v>
      </c>
      <c r="B4" s="50">
        <v>1556.22</v>
      </c>
      <c r="C4" s="50">
        <v>3015.65</v>
      </c>
      <c r="D4" s="50">
        <v>1239.04</v>
      </c>
      <c r="E4" s="50">
        <v>3864.18</v>
      </c>
      <c r="F4" s="50">
        <v>1149</v>
      </c>
      <c r="H4" s="52" t="s">
        <v>36</v>
      </c>
      <c r="I4" s="53">
        <v>1556.22</v>
      </c>
      <c r="J4" s="53">
        <v>3015.65</v>
      </c>
      <c r="K4" s="53">
        <v>1239.04</v>
      </c>
      <c r="L4" s="53">
        <v>3864.18</v>
      </c>
      <c r="M4" s="53">
        <v>1149</v>
      </c>
    </row>
    <row r="5" spans="1:13" x14ac:dyDescent="0.3">
      <c r="B5" s="50"/>
      <c r="H5" s="49"/>
      <c r="I5" s="50"/>
      <c r="J5" s="50"/>
      <c r="K5" s="50"/>
      <c r="L5" s="50"/>
      <c r="M5" s="50"/>
    </row>
    <row r="6" spans="1:13" x14ac:dyDescent="0.3">
      <c r="A6" s="51" t="s">
        <v>17</v>
      </c>
      <c r="B6" s="50" t="s">
        <v>43</v>
      </c>
      <c r="C6" s="4" t="s">
        <v>44</v>
      </c>
      <c r="D6" s="4" t="s">
        <v>45</v>
      </c>
      <c r="E6" s="4" t="s">
        <v>46</v>
      </c>
      <c r="F6" s="4" t="s">
        <v>47</v>
      </c>
      <c r="H6" s="52" t="s">
        <v>17</v>
      </c>
      <c r="I6" s="53" t="s">
        <v>43</v>
      </c>
      <c r="J6" s="53" t="s">
        <v>44</v>
      </c>
      <c r="K6" s="53" t="s">
        <v>45</v>
      </c>
      <c r="L6" s="53" t="s">
        <v>46</v>
      </c>
      <c r="M6" s="53" t="s">
        <v>47</v>
      </c>
    </row>
    <row r="7" spans="1:13" x14ac:dyDescent="0.3">
      <c r="A7" s="4" t="s">
        <v>34</v>
      </c>
      <c r="B7" s="50">
        <v>9852.9399999999987</v>
      </c>
      <c r="C7" s="50">
        <v>10807.89</v>
      </c>
      <c r="D7" s="50">
        <v>11984.260000000002</v>
      </c>
      <c r="E7" s="50">
        <v>13581.990000000002</v>
      </c>
      <c r="F7" s="50">
        <v>16082.39</v>
      </c>
      <c r="H7" s="52" t="s">
        <v>34</v>
      </c>
      <c r="I7" s="53">
        <v>9852.9399999999987</v>
      </c>
      <c r="J7" s="53">
        <v>10807.89</v>
      </c>
      <c r="K7" s="53">
        <v>11984.260000000002</v>
      </c>
      <c r="L7" s="53">
        <v>13581.990000000002</v>
      </c>
      <c r="M7" s="53">
        <v>16082.39</v>
      </c>
    </row>
    <row r="8" spans="1:13" x14ac:dyDescent="0.3">
      <c r="B8" s="50"/>
      <c r="H8" s="49"/>
      <c r="I8" s="50"/>
      <c r="J8" s="50"/>
      <c r="K8" s="50"/>
      <c r="L8" s="50"/>
      <c r="M8" s="50"/>
    </row>
    <row r="9" spans="1:13" x14ac:dyDescent="0.3">
      <c r="A9" s="51" t="s">
        <v>17</v>
      </c>
      <c r="B9" s="50" t="s">
        <v>43</v>
      </c>
      <c r="C9" s="4" t="s">
        <v>44</v>
      </c>
      <c r="D9" s="4" t="s">
        <v>45</v>
      </c>
      <c r="E9" s="4" t="s">
        <v>46</v>
      </c>
      <c r="F9" s="4" t="s">
        <v>47</v>
      </c>
      <c r="H9" s="52" t="s">
        <v>17</v>
      </c>
      <c r="I9" s="53" t="s">
        <v>43</v>
      </c>
      <c r="J9" s="53" t="s">
        <v>44</v>
      </c>
      <c r="K9" s="53" t="s">
        <v>45</v>
      </c>
      <c r="L9" s="53" t="s">
        <v>46</v>
      </c>
      <c r="M9" s="53" t="s">
        <v>47</v>
      </c>
    </row>
    <row r="10" spans="1:13" x14ac:dyDescent="0.3">
      <c r="A10" s="4" t="s">
        <v>32</v>
      </c>
      <c r="B10" s="50">
        <v>23911.09</v>
      </c>
      <c r="C10" s="50">
        <v>29053.15</v>
      </c>
      <c r="D10" s="50">
        <v>33449.94</v>
      </c>
      <c r="E10" s="50">
        <v>35054.480000000003</v>
      </c>
      <c r="F10" s="50">
        <v>39155.65</v>
      </c>
      <c r="H10" s="52" t="s">
        <v>32</v>
      </c>
      <c r="I10" s="53">
        <v>23911.09</v>
      </c>
      <c r="J10" s="53">
        <v>29053.15</v>
      </c>
      <c r="K10" s="53">
        <v>33449.94</v>
      </c>
      <c r="L10" s="53">
        <v>35054.480000000003</v>
      </c>
      <c r="M10" s="53">
        <v>39155.65</v>
      </c>
    </row>
    <row r="11" spans="1:13" x14ac:dyDescent="0.3">
      <c r="B11" s="50"/>
      <c r="H11" s="49"/>
      <c r="I11" s="50"/>
      <c r="J11" s="50"/>
      <c r="K11" s="50"/>
      <c r="L11" s="50"/>
      <c r="M11" s="50"/>
    </row>
    <row r="12" spans="1:13" x14ac:dyDescent="0.3">
      <c r="A12" s="51" t="s">
        <v>17</v>
      </c>
      <c r="B12" s="50" t="s">
        <v>43</v>
      </c>
      <c r="C12" s="4" t="s">
        <v>44</v>
      </c>
      <c r="D12" s="4" t="s">
        <v>45</v>
      </c>
      <c r="E12" s="4" t="s">
        <v>46</v>
      </c>
      <c r="F12" s="4" t="s">
        <v>47</v>
      </c>
      <c r="H12" s="52" t="s">
        <v>17</v>
      </c>
      <c r="I12" s="53" t="s">
        <v>43</v>
      </c>
      <c r="J12" s="53" t="s">
        <v>44</v>
      </c>
      <c r="K12" s="53" t="s">
        <v>45</v>
      </c>
      <c r="L12" s="53" t="s">
        <v>46</v>
      </c>
      <c r="M12" s="53" t="s">
        <v>47</v>
      </c>
    </row>
    <row r="13" spans="1:13" ht="28.8" x14ac:dyDescent="0.3">
      <c r="A13" s="4" t="s">
        <v>33</v>
      </c>
      <c r="B13" s="50">
        <v>14058.150000000001</v>
      </c>
      <c r="C13" s="50">
        <v>18245.260000000002</v>
      </c>
      <c r="D13" s="50">
        <v>21465.68</v>
      </c>
      <c r="E13" s="50">
        <v>21472.49</v>
      </c>
      <c r="F13" s="50">
        <v>23073.260000000002</v>
      </c>
      <c r="H13" s="52" t="s">
        <v>33</v>
      </c>
      <c r="I13" s="53">
        <v>14058.150000000001</v>
      </c>
      <c r="J13" s="53">
        <v>18245.260000000002</v>
      </c>
      <c r="K13" s="53">
        <v>21465.68</v>
      </c>
      <c r="L13" s="53">
        <v>21472.49</v>
      </c>
      <c r="M13" s="53">
        <v>23073.260000000002</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CAD6-A58D-4B44-87B6-EDA9D156758C}">
  <dimension ref="A3:F32"/>
  <sheetViews>
    <sheetView workbookViewId="0">
      <selection activeCell="E35" sqref="E35"/>
    </sheetView>
  </sheetViews>
  <sheetFormatPr defaultRowHeight="14.4" x14ac:dyDescent="0.3"/>
  <cols>
    <col min="1" max="1" width="23" style="5" customWidth="1"/>
    <col min="2" max="6" width="16.21875" style="4" bestFit="1" customWidth="1"/>
  </cols>
  <sheetData>
    <row r="3" spans="1:6" x14ac:dyDescent="0.3">
      <c r="A3" s="54" t="s">
        <v>17</v>
      </c>
      <c r="B3" s="4" t="s">
        <v>43</v>
      </c>
      <c r="C3" s="4" t="s">
        <v>44</v>
      </c>
      <c r="D3" s="4" t="s">
        <v>45</v>
      </c>
      <c r="E3" s="4" t="s">
        <v>46</v>
      </c>
      <c r="F3" s="4" t="s">
        <v>47</v>
      </c>
    </row>
    <row r="4" spans="1:6" ht="28.8" x14ac:dyDescent="0.3">
      <c r="A4" s="5" t="s">
        <v>38</v>
      </c>
      <c r="B4" s="55">
        <v>2532.5300000000002</v>
      </c>
      <c r="C4" s="55">
        <v>5103.46</v>
      </c>
      <c r="D4" s="55">
        <v>4207.22</v>
      </c>
      <c r="E4" s="55">
        <v>1199.26</v>
      </c>
      <c r="F4" s="55">
        <v>4659.49</v>
      </c>
    </row>
    <row r="6" spans="1:6" x14ac:dyDescent="0.3">
      <c r="A6" s="54" t="s">
        <v>17</v>
      </c>
      <c r="B6" s="4" t="s">
        <v>43</v>
      </c>
      <c r="C6" s="4" t="s">
        <v>44</v>
      </c>
      <c r="D6" s="4" t="s">
        <v>45</v>
      </c>
      <c r="E6" s="4" t="s">
        <v>46</v>
      </c>
      <c r="F6" s="4" t="s">
        <v>47</v>
      </c>
    </row>
    <row r="7" spans="1:6" ht="28.8" x14ac:dyDescent="0.3">
      <c r="A7" s="5" t="s">
        <v>39</v>
      </c>
      <c r="B7" s="55">
        <v>-638.92999999999995</v>
      </c>
      <c r="C7" s="55">
        <v>-2568.59</v>
      </c>
      <c r="D7" s="55">
        <v>-4871.66</v>
      </c>
      <c r="E7" s="55">
        <v>2707.65</v>
      </c>
      <c r="F7" s="55">
        <v>-5923.85</v>
      </c>
    </row>
    <row r="9" spans="1:6" x14ac:dyDescent="0.3">
      <c r="A9" s="54" t="s">
        <v>17</v>
      </c>
      <c r="B9" s="4" t="s">
        <v>43</v>
      </c>
      <c r="C9" s="4" t="s">
        <v>44</v>
      </c>
      <c r="D9" s="4" t="s">
        <v>45</v>
      </c>
      <c r="E9" s="4" t="s">
        <v>46</v>
      </c>
      <c r="F9" s="4" t="s">
        <v>47</v>
      </c>
    </row>
    <row r="10" spans="1:6" ht="28.8" x14ac:dyDescent="0.3">
      <c r="A10" s="5" t="s">
        <v>40</v>
      </c>
      <c r="B10" s="55">
        <v>-1059.31</v>
      </c>
      <c r="C10" s="55">
        <v>-1075.44</v>
      </c>
      <c r="D10" s="55">
        <v>-1112.17</v>
      </c>
      <c r="E10" s="55">
        <v>-1281.77</v>
      </c>
      <c r="F10" s="55">
        <v>-1450.82</v>
      </c>
    </row>
    <row r="12" spans="1:6" x14ac:dyDescent="0.3">
      <c r="A12" s="54" t="s">
        <v>17</v>
      </c>
      <c r="B12" s="4" t="s">
        <v>43</v>
      </c>
      <c r="C12" s="4" t="s">
        <v>44</v>
      </c>
      <c r="D12" s="4" t="s">
        <v>45</v>
      </c>
      <c r="E12" s="4" t="s">
        <v>46</v>
      </c>
      <c r="F12" s="4" t="s">
        <v>47</v>
      </c>
    </row>
    <row r="13" spans="1:6" ht="28.8" x14ac:dyDescent="0.3">
      <c r="A13" s="5" t="s">
        <v>42</v>
      </c>
      <c r="B13" s="55">
        <v>721.93</v>
      </c>
      <c r="C13" s="55">
        <v>1556.22</v>
      </c>
      <c r="D13" s="55">
        <v>3015.65</v>
      </c>
      <c r="E13" s="55">
        <v>1239.0400000000004</v>
      </c>
      <c r="F13" s="55">
        <v>3864.18</v>
      </c>
    </row>
    <row r="15" spans="1:6" x14ac:dyDescent="0.3">
      <c r="A15" s="54" t="s">
        <v>17</v>
      </c>
      <c r="B15" s="4" t="s">
        <v>43</v>
      </c>
      <c r="C15" s="4" t="s">
        <v>44</v>
      </c>
      <c r="D15" s="4" t="s">
        <v>45</v>
      </c>
      <c r="E15" s="4" t="s">
        <v>46</v>
      </c>
      <c r="F15" s="4" t="s">
        <v>47</v>
      </c>
    </row>
    <row r="16" spans="1:6" x14ac:dyDescent="0.3">
      <c r="A16" s="5" t="s">
        <v>41</v>
      </c>
      <c r="B16" s="55">
        <v>1556.2200000000003</v>
      </c>
      <c r="C16" s="55">
        <v>3015.6499999999996</v>
      </c>
      <c r="D16" s="55">
        <v>1239.0400000000004</v>
      </c>
      <c r="E16" s="55">
        <v>3864.1800000000003</v>
      </c>
      <c r="F16" s="55">
        <v>1148.9999999999995</v>
      </c>
    </row>
    <row r="18" spans="1:6" x14ac:dyDescent="0.3">
      <c r="A18" s="7" t="s">
        <v>17</v>
      </c>
      <c r="B18" s="53" t="s">
        <v>43</v>
      </c>
      <c r="C18" s="53" t="s">
        <v>44</v>
      </c>
      <c r="D18" s="53" t="s">
        <v>45</v>
      </c>
      <c r="E18" s="53" t="s">
        <v>46</v>
      </c>
      <c r="F18" s="53" t="s">
        <v>47</v>
      </c>
    </row>
    <row r="19" spans="1:6" ht="28.8" x14ac:dyDescent="0.3">
      <c r="A19" s="7" t="s">
        <v>38</v>
      </c>
      <c r="B19" s="53">
        <v>2532.5300000000002</v>
      </c>
      <c r="C19" s="53">
        <v>5103.46</v>
      </c>
      <c r="D19" s="53">
        <v>4207.22</v>
      </c>
      <c r="E19" s="53">
        <v>1199.26</v>
      </c>
      <c r="F19" s="53">
        <v>4659.49</v>
      </c>
    </row>
    <row r="20" spans="1:6" x14ac:dyDescent="0.3">
      <c r="B20" s="50"/>
      <c r="C20" s="50"/>
      <c r="D20" s="50"/>
      <c r="E20" s="50"/>
      <c r="F20" s="50"/>
    </row>
    <row r="21" spans="1:6" x14ac:dyDescent="0.3">
      <c r="A21" s="7" t="s">
        <v>17</v>
      </c>
      <c r="B21" s="53" t="s">
        <v>43</v>
      </c>
      <c r="C21" s="53" t="s">
        <v>44</v>
      </c>
      <c r="D21" s="53" t="s">
        <v>45</v>
      </c>
      <c r="E21" s="53" t="s">
        <v>46</v>
      </c>
      <c r="F21" s="53" t="s">
        <v>47</v>
      </c>
    </row>
    <row r="22" spans="1:6" ht="28.8" x14ac:dyDescent="0.3">
      <c r="A22" s="7" t="s">
        <v>39</v>
      </c>
      <c r="B22" s="53">
        <v>-638.92999999999995</v>
      </c>
      <c r="C22" s="53">
        <v>-2568.59</v>
      </c>
      <c r="D22" s="53">
        <v>-4871.66</v>
      </c>
      <c r="E22" s="53">
        <v>2707.65</v>
      </c>
      <c r="F22" s="53">
        <v>-5923.85</v>
      </c>
    </row>
    <row r="23" spans="1:6" x14ac:dyDescent="0.3">
      <c r="B23" s="50"/>
      <c r="C23" s="50"/>
      <c r="D23" s="50"/>
      <c r="E23" s="50"/>
      <c r="F23" s="50"/>
    </row>
    <row r="24" spans="1:6" x14ac:dyDescent="0.3">
      <c r="A24" s="7" t="s">
        <v>17</v>
      </c>
      <c r="B24" s="53" t="s">
        <v>43</v>
      </c>
      <c r="C24" s="53" t="s">
        <v>44</v>
      </c>
      <c r="D24" s="53" t="s">
        <v>45</v>
      </c>
      <c r="E24" s="53" t="s">
        <v>46</v>
      </c>
      <c r="F24" s="53" t="s">
        <v>47</v>
      </c>
    </row>
    <row r="25" spans="1:6" ht="28.8" x14ac:dyDescent="0.3">
      <c r="A25" s="7" t="s">
        <v>40</v>
      </c>
      <c r="B25" s="53">
        <v>-1059.31</v>
      </c>
      <c r="C25" s="53">
        <v>-1075.44</v>
      </c>
      <c r="D25" s="53">
        <v>-1112.17</v>
      </c>
      <c r="E25" s="53">
        <v>-1281.77</v>
      </c>
      <c r="F25" s="53">
        <v>-1450.82</v>
      </c>
    </row>
    <row r="26" spans="1:6" x14ac:dyDescent="0.3">
      <c r="B26" s="50"/>
      <c r="C26" s="50"/>
      <c r="D26" s="50"/>
      <c r="E26" s="50"/>
      <c r="F26" s="50"/>
    </row>
    <row r="27" spans="1:6" x14ac:dyDescent="0.3">
      <c r="A27" s="7" t="s">
        <v>17</v>
      </c>
      <c r="B27" s="53" t="s">
        <v>43</v>
      </c>
      <c r="C27" s="53" t="s">
        <v>44</v>
      </c>
      <c r="D27" s="53" t="s">
        <v>45</v>
      </c>
      <c r="E27" s="53" t="s">
        <v>46</v>
      </c>
      <c r="F27" s="53" t="s">
        <v>47</v>
      </c>
    </row>
    <row r="28" spans="1:6" ht="28.8" x14ac:dyDescent="0.3">
      <c r="A28" s="7" t="s">
        <v>42</v>
      </c>
      <c r="B28" s="53">
        <v>721.93</v>
      </c>
      <c r="C28" s="53">
        <v>1556.22</v>
      </c>
      <c r="D28" s="53">
        <v>3015.65</v>
      </c>
      <c r="E28" s="53">
        <v>1239.0400000000004</v>
      </c>
      <c r="F28" s="53">
        <v>3864.18</v>
      </c>
    </row>
    <row r="29" spans="1:6" x14ac:dyDescent="0.3">
      <c r="B29" s="50"/>
      <c r="C29" s="50"/>
      <c r="D29" s="50"/>
      <c r="E29" s="50"/>
      <c r="F29" s="50"/>
    </row>
    <row r="30" spans="1:6" x14ac:dyDescent="0.3">
      <c r="A30" s="7" t="s">
        <v>17</v>
      </c>
      <c r="B30" s="53" t="s">
        <v>43</v>
      </c>
      <c r="C30" s="53" t="s">
        <v>44</v>
      </c>
      <c r="D30" s="53" t="s">
        <v>45</v>
      </c>
      <c r="E30" s="53" t="s">
        <v>46</v>
      </c>
      <c r="F30" s="53" t="s">
        <v>47</v>
      </c>
    </row>
    <row r="31" spans="1:6" x14ac:dyDescent="0.3">
      <c r="A31" s="7" t="s">
        <v>41</v>
      </c>
      <c r="B31" s="53">
        <v>1556.2200000000003</v>
      </c>
      <c r="C31" s="53">
        <v>3015.6499999999996</v>
      </c>
      <c r="D31" s="53">
        <v>1239.0400000000004</v>
      </c>
      <c r="E31" s="53">
        <v>3864.1800000000003</v>
      </c>
      <c r="F31" s="53">
        <v>1148.9999999999995</v>
      </c>
    </row>
    <row r="32" spans="1:6" x14ac:dyDescent="0.3">
      <c r="B32" s="50"/>
      <c r="C32" s="50"/>
      <c r="D32" s="50"/>
      <c r="E32" s="50"/>
      <c r="F32" s="50"/>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C5F1E-B22F-4618-A289-AF5E86D15AC6}">
  <dimension ref="A1:K32"/>
  <sheetViews>
    <sheetView topLeftCell="A4" zoomScaleNormal="100" workbookViewId="0">
      <selection activeCell="L27" sqref="L27"/>
    </sheetView>
  </sheetViews>
  <sheetFormatPr defaultRowHeight="14.4" x14ac:dyDescent="0.3"/>
  <cols>
    <col min="1" max="1" width="26.77734375" style="3" customWidth="1"/>
    <col min="2" max="11" width="11.88671875" style="3" customWidth="1"/>
  </cols>
  <sheetData>
    <row r="1" spans="1:11" x14ac:dyDescent="0.3">
      <c r="A1" s="71" t="s">
        <v>29</v>
      </c>
      <c r="B1" s="71"/>
      <c r="C1" s="71"/>
      <c r="D1" s="71"/>
      <c r="E1" s="71"/>
      <c r="F1" s="71"/>
      <c r="G1" s="71"/>
      <c r="H1" s="71"/>
      <c r="I1" s="71"/>
      <c r="J1" s="71"/>
      <c r="K1" s="71"/>
    </row>
    <row r="2" spans="1:11" x14ac:dyDescent="0.3">
      <c r="A2" s="27"/>
      <c r="B2" s="27"/>
      <c r="C2" s="27"/>
      <c r="D2" s="27"/>
      <c r="E2" s="27"/>
      <c r="F2" s="27"/>
      <c r="G2" s="27"/>
      <c r="H2" s="27"/>
      <c r="I2" s="27"/>
      <c r="J2" s="27"/>
      <c r="K2" s="27"/>
    </row>
    <row r="3" spans="1:11" ht="57" customHeight="1" x14ac:dyDescent="0.3">
      <c r="A3" s="25" t="s">
        <v>30</v>
      </c>
      <c r="B3" s="72" t="e" vm="1">
        <v>#VALUE!</v>
      </c>
      <c r="C3" s="72"/>
      <c r="D3" s="72"/>
      <c r="E3" s="72"/>
      <c r="F3" s="72"/>
      <c r="G3" s="72" t="e" vm="2">
        <v>#VALUE!</v>
      </c>
      <c r="H3" s="72"/>
      <c r="I3" s="72"/>
      <c r="J3" s="72"/>
      <c r="K3" s="72"/>
    </row>
    <row r="4" spans="1:11" ht="16.8" customHeight="1" thickBot="1" x14ac:dyDescent="0.35">
      <c r="A4" s="27"/>
      <c r="B4" s="1"/>
      <c r="C4" s="1"/>
      <c r="D4" s="1"/>
      <c r="E4" s="1"/>
      <c r="F4" s="1"/>
      <c r="G4" s="1"/>
      <c r="H4" s="1"/>
      <c r="I4" s="1"/>
      <c r="J4" s="1"/>
      <c r="K4" s="1"/>
    </row>
    <row r="5" spans="1:11" ht="15" thickBot="1" x14ac:dyDescent="0.35">
      <c r="B5" s="68" t="s">
        <v>3</v>
      </c>
      <c r="C5" s="69"/>
      <c r="D5" s="69"/>
      <c r="E5" s="69"/>
      <c r="F5" s="70"/>
      <c r="G5" s="68" t="s">
        <v>23</v>
      </c>
      <c r="H5" s="69"/>
      <c r="I5" s="69"/>
      <c r="J5" s="69"/>
      <c r="K5" s="70"/>
    </row>
    <row r="6" spans="1:11" x14ac:dyDescent="0.3">
      <c r="A6" s="40" t="s">
        <v>17</v>
      </c>
      <c r="B6" s="32" t="s">
        <v>18</v>
      </c>
      <c r="C6" s="26" t="s">
        <v>19</v>
      </c>
      <c r="D6" s="26" t="s">
        <v>20</v>
      </c>
      <c r="E6" s="26" t="s">
        <v>21</v>
      </c>
      <c r="F6" s="33" t="s">
        <v>22</v>
      </c>
      <c r="G6" s="32" t="s">
        <v>18</v>
      </c>
      <c r="H6" s="26" t="s">
        <v>19</v>
      </c>
      <c r="I6" s="26" t="s">
        <v>20</v>
      </c>
      <c r="J6" s="26" t="s">
        <v>21</v>
      </c>
      <c r="K6" s="33" t="s">
        <v>22</v>
      </c>
    </row>
    <row r="7" spans="1:11" x14ac:dyDescent="0.3">
      <c r="A7" s="41" t="s">
        <v>24</v>
      </c>
      <c r="B7" s="34">
        <v>12607.76</v>
      </c>
      <c r="C7" s="21">
        <v>13818.16</v>
      </c>
      <c r="D7" s="19">
        <v>15043.67</v>
      </c>
      <c r="E7" s="19">
        <v>17333.37</v>
      </c>
      <c r="F7" s="35">
        <v>19819.93</v>
      </c>
      <c r="G7" s="34">
        <v>4897.43</v>
      </c>
      <c r="H7" s="19">
        <v>4041.58</v>
      </c>
      <c r="I7" s="19">
        <v>5717.61</v>
      </c>
      <c r="J7" s="19">
        <v>7584.03</v>
      </c>
      <c r="K7" s="35">
        <v>9068.01</v>
      </c>
    </row>
    <row r="8" spans="1:11" ht="28.8" x14ac:dyDescent="0.3">
      <c r="A8" s="42" t="s">
        <v>25</v>
      </c>
      <c r="B8" s="34">
        <v>2479.17</v>
      </c>
      <c r="C8" s="21">
        <v>2934.81</v>
      </c>
      <c r="D8" s="19">
        <v>3157.8</v>
      </c>
      <c r="E8" s="19">
        <v>3984.88</v>
      </c>
      <c r="F8" s="35">
        <v>5334.56</v>
      </c>
      <c r="G8" s="34">
        <v>770.43</v>
      </c>
      <c r="H8" s="19">
        <v>756.06</v>
      </c>
      <c r="I8" s="19">
        <v>786.66</v>
      </c>
      <c r="J8" s="19">
        <v>1429.33</v>
      </c>
      <c r="K8" s="35">
        <v>2461.38</v>
      </c>
    </row>
    <row r="9" spans="1:11" x14ac:dyDescent="0.3">
      <c r="A9" s="41" t="s">
        <v>26</v>
      </c>
      <c r="B9" s="34">
        <v>2479.17</v>
      </c>
      <c r="C9" s="21">
        <v>2934.81</v>
      </c>
      <c r="D9" s="19">
        <v>3157.8</v>
      </c>
      <c r="E9" s="19">
        <v>3984.88</v>
      </c>
      <c r="F9" s="35">
        <v>5334.56</v>
      </c>
      <c r="G9" s="34">
        <v>758.11</v>
      </c>
      <c r="H9" s="19">
        <v>629.91999999999996</v>
      </c>
      <c r="I9" s="19">
        <v>772.69</v>
      </c>
      <c r="J9" s="19">
        <f>J8</f>
        <v>1429.33</v>
      </c>
      <c r="K9" s="35">
        <f>K8</f>
        <v>2461.38</v>
      </c>
    </row>
    <row r="10" spans="1:11" x14ac:dyDescent="0.3">
      <c r="A10" s="41" t="s">
        <v>27</v>
      </c>
      <c r="B10" s="34">
        <v>1793.83</v>
      </c>
      <c r="C10" s="21">
        <v>2065.42</v>
      </c>
      <c r="D10" s="19">
        <v>2348.9299999999998</v>
      </c>
      <c r="E10" s="19">
        <v>3006.67</v>
      </c>
      <c r="F10" s="35">
        <v>4020</v>
      </c>
      <c r="G10" s="34">
        <v>408.48</v>
      </c>
      <c r="H10" s="19">
        <v>479.57</v>
      </c>
      <c r="I10" s="19">
        <v>586.47</v>
      </c>
      <c r="J10" s="19">
        <v>1072.72</v>
      </c>
      <c r="K10" s="35">
        <v>1845.43</v>
      </c>
    </row>
    <row r="11" spans="1:11" ht="15" thickBot="1" x14ac:dyDescent="0.35">
      <c r="A11" s="43" t="s">
        <v>28</v>
      </c>
      <c r="B11" s="36">
        <v>7.36</v>
      </c>
      <c r="C11" s="37">
        <v>8.48</v>
      </c>
      <c r="D11" s="38">
        <v>9.64</v>
      </c>
      <c r="E11" s="38">
        <v>4.1100000000000003</v>
      </c>
      <c r="F11" s="39">
        <v>5.5</v>
      </c>
      <c r="G11" s="36">
        <v>18.29</v>
      </c>
      <c r="H11" s="38">
        <v>23.78</v>
      </c>
      <c r="I11" s="38">
        <v>29.08</v>
      </c>
      <c r="J11" s="38">
        <v>53.19</v>
      </c>
      <c r="K11" s="39">
        <v>91.5</v>
      </c>
    </row>
    <row r="13" spans="1:11" x14ac:dyDescent="0.3">
      <c r="A13" s="74" t="s">
        <v>31</v>
      </c>
      <c r="B13" s="74"/>
      <c r="C13" s="74"/>
      <c r="D13" s="74"/>
      <c r="E13" s="74"/>
      <c r="F13" s="74"/>
      <c r="G13" s="74"/>
      <c r="H13" s="74"/>
      <c r="I13" s="74"/>
      <c r="J13" s="74"/>
      <c r="K13" s="74"/>
    </row>
    <row r="14" spans="1:11" x14ac:dyDescent="0.3">
      <c r="A14" s="28"/>
      <c r="B14" s="28"/>
      <c r="C14" s="28"/>
      <c r="D14" s="28"/>
      <c r="E14" s="28"/>
      <c r="F14" s="28"/>
      <c r="G14" s="28"/>
      <c r="H14" s="28"/>
      <c r="I14" s="28"/>
      <c r="J14" s="28"/>
      <c r="K14" s="28"/>
    </row>
    <row r="15" spans="1:11" x14ac:dyDescent="0.3">
      <c r="B15" s="75" t="s">
        <v>3</v>
      </c>
      <c r="C15" s="75"/>
      <c r="D15" s="75"/>
      <c r="E15" s="75"/>
      <c r="F15" s="75"/>
      <c r="G15" s="75" t="s">
        <v>23</v>
      </c>
      <c r="H15" s="75"/>
      <c r="I15" s="75"/>
      <c r="J15" s="75"/>
      <c r="K15" s="75"/>
    </row>
    <row r="16" spans="1:11" x14ac:dyDescent="0.3">
      <c r="A16" s="31" t="s">
        <v>17</v>
      </c>
      <c r="B16" s="26" t="s">
        <v>18</v>
      </c>
      <c r="C16" s="26" t="s">
        <v>19</v>
      </c>
      <c r="D16" s="26" t="s">
        <v>20</v>
      </c>
      <c r="E16" s="26" t="s">
        <v>21</v>
      </c>
      <c r="F16" s="26" t="s">
        <v>22</v>
      </c>
      <c r="G16" s="26" t="s">
        <v>18</v>
      </c>
      <c r="H16" s="26" t="s">
        <v>19</v>
      </c>
      <c r="I16" s="26" t="s">
        <v>20</v>
      </c>
      <c r="J16" s="26" t="s">
        <v>21</v>
      </c>
      <c r="K16" s="26" t="s">
        <v>22</v>
      </c>
    </row>
    <row r="17" spans="1:11" x14ac:dyDescent="0.3">
      <c r="A17" s="10" t="s">
        <v>32</v>
      </c>
      <c r="B17" s="22">
        <v>23911.09</v>
      </c>
      <c r="C17" s="22">
        <v>29053.15</v>
      </c>
      <c r="D17" s="22">
        <v>33449.94</v>
      </c>
      <c r="E17" s="22">
        <v>35054.480000000003</v>
      </c>
      <c r="F17" s="22">
        <v>39155.65</v>
      </c>
      <c r="G17" s="22">
        <v>20462.68</v>
      </c>
      <c r="H17" s="22">
        <v>24625.86</v>
      </c>
      <c r="I17" s="22">
        <v>29233.84</v>
      </c>
      <c r="J17" s="22">
        <v>28880.57</v>
      </c>
      <c r="K17" s="22">
        <v>28776.02</v>
      </c>
    </row>
    <row r="18" spans="1:11" x14ac:dyDescent="0.3">
      <c r="A18" s="10" t="s">
        <v>33</v>
      </c>
      <c r="B18" s="23">
        <f>1280.12+12778.03</f>
        <v>14058.150000000001</v>
      </c>
      <c r="C18" s="22">
        <f>1480.54+16764.72</f>
        <v>18245.260000000002</v>
      </c>
      <c r="D18" s="22">
        <f>1933.65+19532.03</f>
        <v>21465.68</v>
      </c>
      <c r="E18" s="22">
        <f>963.68+20508.81</f>
        <v>21472.49</v>
      </c>
      <c r="F18" s="22">
        <f>1083.18+21990.08</f>
        <v>23073.260000000002</v>
      </c>
      <c r="G18" s="22">
        <f>1421.53+16459.95</f>
        <v>17881.48</v>
      </c>
      <c r="H18" s="22">
        <f>924.03+20782.77</f>
        <v>21706.799999999999</v>
      </c>
      <c r="I18" s="22">
        <f>728.54+25183.94</f>
        <v>25912.48</v>
      </c>
      <c r="J18" s="22">
        <f>563.16+24139.85</f>
        <v>24703.01</v>
      </c>
      <c r="K18" s="22">
        <f>570.99+22634.35</f>
        <v>23205.34</v>
      </c>
    </row>
    <row r="19" spans="1:11" x14ac:dyDescent="0.3">
      <c r="A19" s="10" t="s">
        <v>34</v>
      </c>
      <c r="B19" s="22">
        <f>B17-B18</f>
        <v>9852.9399999999987</v>
      </c>
      <c r="C19" s="22">
        <f t="shared" ref="C19:K19" si="0">C17-C18</f>
        <v>10807.89</v>
      </c>
      <c r="D19" s="22">
        <f t="shared" si="0"/>
        <v>11984.260000000002</v>
      </c>
      <c r="E19" s="22">
        <f t="shared" si="0"/>
        <v>13581.990000000002</v>
      </c>
      <c r="F19" s="22">
        <f t="shared" si="0"/>
        <v>16082.39</v>
      </c>
      <c r="G19" s="22">
        <f t="shared" si="0"/>
        <v>2581.2000000000007</v>
      </c>
      <c r="H19" s="22">
        <f t="shared" si="0"/>
        <v>2919.0600000000013</v>
      </c>
      <c r="I19" s="22">
        <f t="shared" si="0"/>
        <v>3321.3600000000006</v>
      </c>
      <c r="J19" s="22">
        <f t="shared" si="0"/>
        <v>4177.5600000000013</v>
      </c>
      <c r="K19" s="22">
        <f t="shared" si="0"/>
        <v>5570.68</v>
      </c>
    </row>
    <row r="20" spans="1:11" x14ac:dyDescent="0.3">
      <c r="A20" s="10" t="s">
        <v>35</v>
      </c>
      <c r="B20" s="22">
        <v>0</v>
      </c>
      <c r="C20" s="22">
        <v>0</v>
      </c>
      <c r="D20" s="22">
        <v>0</v>
      </c>
      <c r="E20" s="22">
        <v>0</v>
      </c>
      <c r="F20" s="22">
        <v>0</v>
      </c>
      <c r="G20" s="22">
        <v>0</v>
      </c>
      <c r="H20" s="22">
        <v>0</v>
      </c>
      <c r="I20" s="22">
        <v>0</v>
      </c>
      <c r="J20" s="22">
        <v>0</v>
      </c>
      <c r="K20" s="22">
        <v>0</v>
      </c>
    </row>
    <row r="21" spans="1:11" x14ac:dyDescent="0.3">
      <c r="A21" s="10" t="s">
        <v>36</v>
      </c>
      <c r="B21" s="22">
        <v>1556.22</v>
      </c>
      <c r="C21" s="22">
        <v>3015.65</v>
      </c>
      <c r="D21" s="22">
        <v>1239.04</v>
      </c>
      <c r="E21" s="22">
        <v>3864.18</v>
      </c>
      <c r="F21" s="22">
        <v>1149</v>
      </c>
      <c r="G21" s="22">
        <v>483.28</v>
      </c>
      <c r="H21" s="22">
        <v>739.91</v>
      </c>
      <c r="I21" s="22">
        <v>720.47</v>
      </c>
      <c r="J21" s="22">
        <v>1868.42</v>
      </c>
      <c r="K21" s="22">
        <v>3523.48</v>
      </c>
    </row>
    <row r="23" spans="1:11" x14ac:dyDescent="0.3">
      <c r="A23" s="71" t="s">
        <v>37</v>
      </c>
      <c r="B23" s="71"/>
      <c r="C23" s="71"/>
      <c r="D23" s="71"/>
      <c r="E23" s="71"/>
      <c r="F23" s="71"/>
      <c r="G23" s="71"/>
      <c r="H23" s="71"/>
      <c r="I23" s="71"/>
      <c r="J23" s="71"/>
      <c r="K23" s="71"/>
    </row>
    <row r="24" spans="1:11" x14ac:dyDescent="0.3">
      <c r="A24" s="27"/>
      <c r="B24" s="27"/>
      <c r="C24" s="27"/>
      <c r="D24" s="27"/>
      <c r="E24" s="27"/>
      <c r="F24" s="27"/>
      <c r="G24" s="27"/>
      <c r="H24" s="27"/>
      <c r="I24" s="27"/>
      <c r="J24" s="27"/>
      <c r="K24" s="27"/>
    </row>
    <row r="25" spans="1:11" x14ac:dyDescent="0.3">
      <c r="B25" s="73" t="s">
        <v>3</v>
      </c>
      <c r="C25" s="73"/>
      <c r="D25" s="73"/>
      <c r="E25" s="73"/>
      <c r="F25" s="73"/>
      <c r="G25" s="73" t="s">
        <v>23</v>
      </c>
      <c r="H25" s="73"/>
      <c r="I25" s="73"/>
      <c r="J25" s="73"/>
      <c r="K25" s="73"/>
    </row>
    <row r="26" spans="1:11" x14ac:dyDescent="0.3">
      <c r="A26" s="31" t="s">
        <v>17</v>
      </c>
      <c r="B26" s="26" t="s">
        <v>18</v>
      </c>
      <c r="C26" s="26" t="s">
        <v>19</v>
      </c>
      <c r="D26" s="26" t="s">
        <v>20</v>
      </c>
      <c r="E26" s="26" t="s">
        <v>21</v>
      </c>
      <c r="F26" s="26" t="s">
        <v>22</v>
      </c>
      <c r="G26" s="26" t="s">
        <v>18</v>
      </c>
      <c r="H26" s="26" t="s">
        <v>19</v>
      </c>
      <c r="I26" s="26" t="s">
        <v>20</v>
      </c>
      <c r="J26" s="26" t="s">
        <v>21</v>
      </c>
      <c r="K26" s="26" t="s">
        <v>22</v>
      </c>
    </row>
    <row r="27" spans="1:11" ht="28.8" x14ac:dyDescent="0.3">
      <c r="A27" s="29" t="s">
        <v>38</v>
      </c>
      <c r="B27" s="30">
        <v>2532.5300000000002</v>
      </c>
      <c r="C27" s="30">
        <v>5103.46</v>
      </c>
      <c r="D27" s="30">
        <v>4207.22</v>
      </c>
      <c r="E27" s="30">
        <v>1199.26</v>
      </c>
      <c r="F27" s="30">
        <v>4659.49</v>
      </c>
      <c r="G27" s="30">
        <v>-95.54</v>
      </c>
      <c r="H27" s="30">
        <v>68.209999999999994</v>
      </c>
      <c r="I27" s="30">
        <v>-162.63</v>
      </c>
      <c r="J27" s="30">
        <v>857.6</v>
      </c>
      <c r="K27" s="30">
        <v>683.75</v>
      </c>
    </row>
    <row r="28" spans="1:11" ht="28.8" x14ac:dyDescent="0.3">
      <c r="A28" s="9" t="s">
        <v>39</v>
      </c>
      <c r="B28" s="21">
        <v>-638.92999999999995</v>
      </c>
      <c r="C28" s="21">
        <v>-2568.59</v>
      </c>
      <c r="D28" s="21">
        <v>-4871.66</v>
      </c>
      <c r="E28" s="21">
        <v>2707.65</v>
      </c>
      <c r="F28" s="21">
        <v>-5923.85</v>
      </c>
      <c r="G28" s="21">
        <v>453.72</v>
      </c>
      <c r="H28" s="21">
        <v>348.25</v>
      </c>
      <c r="I28" s="21">
        <v>326.39999999999998</v>
      </c>
      <c r="J28" s="21">
        <v>508.34</v>
      </c>
      <c r="K28" s="21">
        <v>1419.81</v>
      </c>
    </row>
    <row r="29" spans="1:11" ht="28.8" x14ac:dyDescent="0.3">
      <c r="A29" s="9" t="s">
        <v>40</v>
      </c>
      <c r="B29" s="21">
        <v>-1059.31</v>
      </c>
      <c r="C29" s="21">
        <v>-1075.44</v>
      </c>
      <c r="D29" s="21">
        <f>-1077.21-34.96</f>
        <v>-1112.17</v>
      </c>
      <c r="E29" s="21">
        <f>-1316.73+34.96</f>
        <v>-1281.77</v>
      </c>
      <c r="F29" s="21">
        <f>-1475+24.18</f>
        <v>-1450.82</v>
      </c>
      <c r="G29" s="21">
        <v>-604.58000000000004</v>
      </c>
      <c r="H29" s="21">
        <v>-159.83000000000001</v>
      </c>
      <c r="I29" s="21">
        <v>-183.21</v>
      </c>
      <c r="J29" s="21">
        <v>-217.99</v>
      </c>
      <c r="K29" s="21">
        <v>-448.5</v>
      </c>
    </row>
    <row r="30" spans="1:11" ht="28.8" x14ac:dyDescent="0.3">
      <c r="A30" s="9" t="s">
        <v>42</v>
      </c>
      <c r="B30" s="21">
        <v>721.93</v>
      </c>
      <c r="C30" s="21">
        <v>1556.22</v>
      </c>
      <c r="D30" s="21">
        <v>3015.65</v>
      </c>
      <c r="E30" s="21">
        <f>D31</f>
        <v>1239.0400000000004</v>
      </c>
      <c r="F30" s="21">
        <v>3864.18</v>
      </c>
      <c r="G30" s="21">
        <v>729.68</v>
      </c>
      <c r="H30" s="21">
        <v>483.28</v>
      </c>
      <c r="I30" s="21">
        <v>739.91</v>
      </c>
      <c r="J30" s="21">
        <v>720.47</v>
      </c>
      <c r="K30" s="21">
        <v>1868.42</v>
      </c>
    </row>
    <row r="31" spans="1:11" x14ac:dyDescent="0.3">
      <c r="A31" s="9" t="s">
        <v>41</v>
      </c>
      <c r="B31" s="21">
        <f>SUM(B27:B30)</f>
        <v>1556.2200000000003</v>
      </c>
      <c r="C31" s="21">
        <f t="shared" ref="C31:F31" si="1">SUM(C27:C30)</f>
        <v>3015.6499999999996</v>
      </c>
      <c r="D31" s="21">
        <f t="shared" si="1"/>
        <v>1239.0400000000004</v>
      </c>
      <c r="E31" s="21">
        <f t="shared" si="1"/>
        <v>3864.1800000000003</v>
      </c>
      <c r="F31" s="21">
        <f t="shared" si="1"/>
        <v>1148.9999999999995</v>
      </c>
      <c r="G31" s="21">
        <f>SUM(G27:G30)</f>
        <v>483.27999999999992</v>
      </c>
      <c r="H31" s="21">
        <f t="shared" ref="H31:K31" si="2">SUM(H27:H30)</f>
        <v>739.91</v>
      </c>
      <c r="I31" s="21">
        <f t="shared" si="2"/>
        <v>720.46999999999991</v>
      </c>
      <c r="J31" s="21">
        <f t="shared" si="2"/>
        <v>1868.42</v>
      </c>
      <c r="K31" s="21">
        <f t="shared" si="2"/>
        <v>3523.48</v>
      </c>
    </row>
    <row r="32" spans="1:11" x14ac:dyDescent="0.3">
      <c r="A32" s="2"/>
      <c r="B32" s="24"/>
      <c r="C32" s="24"/>
      <c r="D32" s="24"/>
      <c r="E32" s="24"/>
      <c r="F32" s="24"/>
    </row>
  </sheetData>
  <mergeCells count="11">
    <mergeCell ref="A23:K23"/>
    <mergeCell ref="B25:F25"/>
    <mergeCell ref="G25:K25"/>
    <mergeCell ref="A13:K13"/>
    <mergeCell ref="B15:F15"/>
    <mergeCell ref="G15:K15"/>
    <mergeCell ref="B5:F5"/>
    <mergeCell ref="G5:K5"/>
    <mergeCell ref="A1:K1"/>
    <mergeCell ref="B3:F3"/>
    <mergeCell ref="G3:K3"/>
  </mergeCells>
  <hyperlinks>
    <hyperlink ref="B5:F5" r:id="rId1" display="Bharat Electronics Limited" xr:uid="{12D31B75-D1A2-40E9-898D-F6D363973679}"/>
    <hyperlink ref="G5:K5" r:id="rId2" display="Mazagon Dock Shipbuilders Limited" xr:uid="{A1BAC466-5644-48F5-9A56-63DFCBDB764D}"/>
    <hyperlink ref="B15:F15" r:id="rId3" display="Bharat Electronics Limited" xr:uid="{D1050481-9054-433B-92E6-4125452FD22F}"/>
    <hyperlink ref="G15:K15" r:id="rId4" display="Mazagon Dock Shipbuilders Limited" xr:uid="{E8009A66-452B-4845-BC43-E52F4066DB91}"/>
    <hyperlink ref="B25:F25" r:id="rId5" display="Bharat Electronics Limited" xr:uid="{8287EC16-E9A8-4567-9347-65D1F47ED5C4}"/>
    <hyperlink ref="G25:K25" r:id="rId6" display="Mazagon Dock Shipbuilders Limited" xr:uid="{5A5A276C-0ABC-45B9-A0F8-0D867DE8C76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31333-90FA-4CD1-95AE-7178916238F1}">
  <dimension ref="A1:F59"/>
  <sheetViews>
    <sheetView zoomScale="90" zoomScaleNormal="90" workbookViewId="0">
      <pane xSplit="1" topLeftCell="B1" activePane="topRight" state="frozen"/>
      <selection pane="topRight" activeCell="A60" sqref="A60"/>
    </sheetView>
  </sheetViews>
  <sheetFormatPr defaultRowHeight="14.4" x14ac:dyDescent="0.3"/>
  <cols>
    <col min="1" max="1" width="31.21875" bestFit="1" customWidth="1"/>
    <col min="2" max="6" width="12.5546875" bestFit="1" customWidth="1"/>
  </cols>
  <sheetData>
    <row r="1" spans="1:6" s="59" customFormat="1" x14ac:dyDescent="0.3">
      <c r="A1" s="79" t="s">
        <v>110</v>
      </c>
      <c r="B1" s="79"/>
      <c r="C1" s="79"/>
      <c r="D1" s="79"/>
      <c r="E1" s="79"/>
      <c r="F1" s="79"/>
    </row>
    <row r="2" spans="1:6" x14ac:dyDescent="0.3">
      <c r="A2" s="56" t="s">
        <v>17</v>
      </c>
      <c r="B2" s="56">
        <v>2020</v>
      </c>
      <c r="C2" s="56">
        <v>2021</v>
      </c>
      <c r="D2" s="56">
        <v>2022</v>
      </c>
      <c r="E2" s="56">
        <v>2023</v>
      </c>
      <c r="F2" s="56">
        <v>2024</v>
      </c>
    </row>
    <row r="3" spans="1:6" x14ac:dyDescent="0.3">
      <c r="A3" s="76" t="s">
        <v>63</v>
      </c>
      <c r="B3" s="77"/>
      <c r="C3" s="77"/>
      <c r="D3" s="77"/>
      <c r="E3" s="77"/>
      <c r="F3" s="78"/>
    </row>
    <row r="4" spans="1:6" x14ac:dyDescent="0.3">
      <c r="A4" s="76" t="s">
        <v>64</v>
      </c>
      <c r="B4" s="77"/>
      <c r="C4" s="77"/>
      <c r="D4" s="77"/>
      <c r="E4" s="77"/>
      <c r="F4" s="78"/>
    </row>
    <row r="5" spans="1:6" x14ac:dyDescent="0.3">
      <c r="A5" s="8" t="s">
        <v>65</v>
      </c>
      <c r="B5" s="57">
        <v>2496.63</v>
      </c>
      <c r="C5" s="57">
        <v>2485.5</v>
      </c>
      <c r="D5" s="57">
        <v>2509.37</v>
      </c>
      <c r="E5" s="57">
        <v>2694.31</v>
      </c>
      <c r="F5" s="57">
        <v>2788.47</v>
      </c>
    </row>
    <row r="6" spans="1:6" x14ac:dyDescent="0.3">
      <c r="A6" s="8" t="s">
        <v>66</v>
      </c>
      <c r="B6" s="57">
        <v>199.44</v>
      </c>
      <c r="C6" s="57">
        <v>397.47</v>
      </c>
      <c r="D6" s="57">
        <v>445.93</v>
      </c>
      <c r="E6" s="57">
        <v>361.23</v>
      </c>
      <c r="F6" s="57">
        <v>456.42</v>
      </c>
    </row>
    <row r="7" spans="1:6" x14ac:dyDescent="0.3">
      <c r="A7" s="8" t="s">
        <v>67</v>
      </c>
      <c r="B7" s="57">
        <v>0.09</v>
      </c>
      <c r="C7" s="57">
        <v>0.08</v>
      </c>
      <c r="D7" s="57">
        <v>7.0000000000000007E-2</v>
      </c>
      <c r="E7" s="57">
        <v>0.06</v>
      </c>
      <c r="F7" s="57">
        <v>0.04</v>
      </c>
    </row>
    <row r="8" spans="1:6" x14ac:dyDescent="0.3">
      <c r="A8" s="8" t="s">
        <v>108</v>
      </c>
      <c r="B8" s="57">
        <v>0</v>
      </c>
      <c r="C8" s="57">
        <v>189.89</v>
      </c>
      <c r="D8" s="57">
        <v>232.92</v>
      </c>
      <c r="E8" s="57">
        <v>200.73</v>
      </c>
      <c r="F8" s="57">
        <v>151.57</v>
      </c>
    </row>
    <row r="9" spans="1:6" x14ac:dyDescent="0.3">
      <c r="A9" s="8" t="s">
        <v>68</v>
      </c>
      <c r="B9" s="57">
        <v>22.97</v>
      </c>
      <c r="C9" s="57">
        <v>166.56</v>
      </c>
      <c r="D9" s="57">
        <v>165.82</v>
      </c>
      <c r="E9" s="57">
        <v>268.49</v>
      </c>
      <c r="F9" s="57">
        <v>246.7</v>
      </c>
    </row>
    <row r="10" spans="1:6" x14ac:dyDescent="0.3">
      <c r="A10" s="8" t="s">
        <v>69</v>
      </c>
      <c r="B10" s="57">
        <v>483.43</v>
      </c>
      <c r="C10" s="57">
        <v>485.21</v>
      </c>
      <c r="D10" s="57">
        <v>560.11</v>
      </c>
      <c r="E10" s="57">
        <v>493.71</v>
      </c>
      <c r="F10" s="57">
        <v>437.3</v>
      </c>
    </row>
    <row r="11" spans="1:6" x14ac:dyDescent="0.3">
      <c r="A11" s="76" t="s">
        <v>70</v>
      </c>
      <c r="B11" s="77"/>
      <c r="C11" s="77"/>
      <c r="D11" s="77"/>
      <c r="E11" s="77"/>
      <c r="F11" s="78"/>
    </row>
    <row r="12" spans="1:6" x14ac:dyDescent="0.3">
      <c r="A12" s="8" t="s">
        <v>71</v>
      </c>
      <c r="B12" s="57">
        <v>1161.67</v>
      </c>
      <c r="C12" s="57">
        <v>1116.05</v>
      </c>
      <c r="D12" s="57">
        <v>1339.1</v>
      </c>
      <c r="E12" s="57">
        <v>449.26</v>
      </c>
      <c r="F12" s="57">
        <v>530.66</v>
      </c>
    </row>
    <row r="13" spans="1:6" x14ac:dyDescent="0.3">
      <c r="A13" s="8" t="s">
        <v>72</v>
      </c>
      <c r="B13" s="57">
        <v>0</v>
      </c>
      <c r="C13" s="57">
        <v>0</v>
      </c>
      <c r="D13" s="57">
        <v>0</v>
      </c>
      <c r="E13" s="57">
        <v>0</v>
      </c>
      <c r="F13" s="57">
        <v>0</v>
      </c>
    </row>
    <row r="14" spans="1:6" x14ac:dyDescent="0.3">
      <c r="A14" s="8" t="s">
        <v>73</v>
      </c>
      <c r="B14" s="57">
        <v>33.090000000000003</v>
      </c>
      <c r="C14" s="57">
        <v>7.36</v>
      </c>
      <c r="D14" s="57">
        <v>7.28</v>
      </c>
      <c r="E14" s="57">
        <v>6.56</v>
      </c>
      <c r="F14" s="57">
        <v>7.03</v>
      </c>
    </row>
    <row r="15" spans="1:6" x14ac:dyDescent="0.3">
      <c r="A15" s="8" t="s">
        <v>74</v>
      </c>
      <c r="B15" s="57">
        <v>28.45</v>
      </c>
      <c r="C15" s="57">
        <v>28.71</v>
      </c>
      <c r="D15" s="57">
        <v>24.17</v>
      </c>
      <c r="E15" s="57">
        <v>20.45</v>
      </c>
      <c r="F15" s="57">
        <v>18.829999999999998</v>
      </c>
    </row>
    <row r="16" spans="1:6" x14ac:dyDescent="0.3">
      <c r="A16" s="8" t="s">
        <v>75</v>
      </c>
      <c r="B16" s="57">
        <v>497.4</v>
      </c>
      <c r="C16" s="57">
        <v>463.46</v>
      </c>
      <c r="D16" s="57">
        <v>620.94000000000005</v>
      </c>
      <c r="E16" s="57">
        <v>503.72</v>
      </c>
      <c r="F16" s="57">
        <v>574.67999999999995</v>
      </c>
    </row>
    <row r="17" spans="1:6" x14ac:dyDescent="0.3">
      <c r="A17" s="8" t="s">
        <v>76</v>
      </c>
      <c r="B17" s="57">
        <v>52.55</v>
      </c>
      <c r="C17" s="57">
        <v>39.380000000000003</v>
      </c>
      <c r="D17" s="57">
        <v>27.34</v>
      </c>
      <c r="E17" s="57">
        <v>5.87</v>
      </c>
      <c r="F17" s="57">
        <v>0</v>
      </c>
    </row>
    <row r="18" spans="1:6" x14ac:dyDescent="0.3">
      <c r="A18" s="8" t="s">
        <v>77</v>
      </c>
      <c r="B18" s="57">
        <v>340.78</v>
      </c>
      <c r="C18" s="57">
        <v>396.69</v>
      </c>
      <c r="D18" s="57">
        <v>683.82</v>
      </c>
      <c r="E18" s="57">
        <v>439.04</v>
      </c>
      <c r="F18" s="57">
        <v>252</v>
      </c>
    </row>
    <row r="19" spans="1:6" x14ac:dyDescent="0.3">
      <c r="A19" s="56" t="s">
        <v>107</v>
      </c>
      <c r="B19" s="58">
        <f>SUM(B5:B18)</f>
        <v>5316.4999999999991</v>
      </c>
      <c r="C19" s="58">
        <f t="shared" ref="C19:F19" si="0">SUM(C5:C18)</f>
        <v>5776.36</v>
      </c>
      <c r="D19" s="58">
        <f t="shared" si="0"/>
        <v>6616.869999999999</v>
      </c>
      <c r="E19" s="58">
        <f t="shared" si="0"/>
        <v>5443.43</v>
      </c>
      <c r="F19" s="58">
        <f t="shared" si="0"/>
        <v>5463.7</v>
      </c>
    </row>
    <row r="20" spans="1:6" x14ac:dyDescent="0.3">
      <c r="A20" s="76" t="s">
        <v>78</v>
      </c>
      <c r="B20" s="77"/>
      <c r="C20" s="77"/>
      <c r="D20" s="77"/>
      <c r="E20" s="77"/>
      <c r="F20" s="78"/>
    </row>
    <row r="21" spans="1:6" x14ac:dyDescent="0.3">
      <c r="A21" s="8" t="s">
        <v>76</v>
      </c>
      <c r="B21" s="57">
        <v>3910.2</v>
      </c>
      <c r="C21" s="57">
        <v>4967.9799999999996</v>
      </c>
      <c r="D21" s="57">
        <v>5591.9</v>
      </c>
      <c r="E21" s="57">
        <v>6448.04</v>
      </c>
      <c r="F21" s="57">
        <v>7446.89</v>
      </c>
    </row>
    <row r="22" spans="1:6" x14ac:dyDescent="0.3">
      <c r="A22" s="76" t="s">
        <v>70</v>
      </c>
      <c r="B22" s="77"/>
      <c r="C22" s="77"/>
      <c r="D22" s="77"/>
      <c r="E22" s="77"/>
      <c r="F22" s="78"/>
    </row>
    <row r="23" spans="1:6" x14ac:dyDescent="0.3">
      <c r="A23" s="8" t="s">
        <v>72</v>
      </c>
      <c r="B23" s="57">
        <v>6732.91</v>
      </c>
      <c r="C23" s="57">
        <v>6561.99</v>
      </c>
      <c r="D23" s="57">
        <v>6108.09</v>
      </c>
      <c r="E23" s="57">
        <v>7033.48</v>
      </c>
      <c r="F23" s="57">
        <v>7392.38</v>
      </c>
    </row>
    <row r="24" spans="1:6" x14ac:dyDescent="0.3">
      <c r="A24" s="8" t="s">
        <v>79</v>
      </c>
      <c r="B24" s="57">
        <v>1556.22</v>
      </c>
      <c r="C24" s="57">
        <v>3042.9</v>
      </c>
      <c r="D24" s="57">
        <v>1300.8599999999999</v>
      </c>
      <c r="E24" s="57">
        <v>3945.69</v>
      </c>
      <c r="F24" s="57">
        <v>1206.32</v>
      </c>
    </row>
    <row r="25" spans="1:6" x14ac:dyDescent="0.3">
      <c r="A25" s="8" t="s">
        <v>80</v>
      </c>
      <c r="B25" s="57">
        <v>1.48</v>
      </c>
      <c r="C25" s="57">
        <v>2030.86</v>
      </c>
      <c r="D25" s="57">
        <v>6262.88</v>
      </c>
      <c r="E25" s="57">
        <v>4165.8900000000003</v>
      </c>
      <c r="F25" s="57">
        <v>9850.27</v>
      </c>
    </row>
    <row r="26" spans="1:6" x14ac:dyDescent="0.3">
      <c r="A26" s="8" t="s">
        <v>73</v>
      </c>
      <c r="B26" s="57">
        <v>32.619999999999997</v>
      </c>
      <c r="C26" s="57">
        <v>1.52</v>
      </c>
      <c r="D26" s="57">
        <v>1.48</v>
      </c>
      <c r="E26" s="57">
        <v>1.72</v>
      </c>
      <c r="F26" s="57">
        <v>1.41</v>
      </c>
    </row>
    <row r="27" spans="1:6" x14ac:dyDescent="0.3">
      <c r="A27" s="8" t="s">
        <v>81</v>
      </c>
      <c r="B27" s="57">
        <v>29.03</v>
      </c>
      <c r="C27" s="57">
        <v>60.66</v>
      </c>
      <c r="D27" s="57">
        <v>102.54</v>
      </c>
      <c r="E27" s="57">
        <v>203.42</v>
      </c>
      <c r="F27" s="57">
        <v>294.39999999999998</v>
      </c>
    </row>
    <row r="28" spans="1:6" x14ac:dyDescent="0.3">
      <c r="A28" s="8" t="s">
        <v>82</v>
      </c>
      <c r="B28" s="57">
        <v>279.89</v>
      </c>
      <c r="C28" s="57">
        <v>133.63999999999999</v>
      </c>
      <c r="D28" s="57">
        <v>144.74</v>
      </c>
      <c r="E28" s="57">
        <v>403.14</v>
      </c>
      <c r="F28" s="57">
        <v>449.61</v>
      </c>
    </row>
    <row r="29" spans="1:6" x14ac:dyDescent="0.3">
      <c r="A29" s="8" t="s">
        <v>83</v>
      </c>
      <c r="B29" s="57">
        <v>6052.24</v>
      </c>
      <c r="C29" s="57">
        <v>6913.76</v>
      </c>
      <c r="D29" s="57">
        <v>7781.22</v>
      </c>
      <c r="E29" s="57">
        <v>7846.36</v>
      </c>
      <c r="F29" s="57">
        <v>7421.7</v>
      </c>
    </row>
    <row r="30" spans="1:6" x14ac:dyDescent="0.3">
      <c r="A30" s="56" t="s">
        <v>84</v>
      </c>
      <c r="B30" s="58">
        <f>B19+B21+B23+B24+B25+B26+B27+B28+B29</f>
        <v>23911.089999999997</v>
      </c>
      <c r="C30" s="58">
        <f t="shared" ref="C30:F30" si="1">C19+C21+C23+C24+C25+C26+C27+C28+C29</f>
        <v>29489.670000000006</v>
      </c>
      <c r="D30" s="58">
        <f t="shared" si="1"/>
        <v>33910.58</v>
      </c>
      <c r="E30" s="58">
        <f t="shared" si="1"/>
        <v>35491.17</v>
      </c>
      <c r="F30" s="58">
        <f t="shared" si="1"/>
        <v>39526.68</v>
      </c>
    </row>
    <row r="31" spans="1:6" x14ac:dyDescent="0.3">
      <c r="A31" s="76" t="s">
        <v>85</v>
      </c>
      <c r="B31" s="77"/>
      <c r="C31" s="77"/>
      <c r="D31" s="77"/>
      <c r="E31" s="77"/>
      <c r="F31" s="78"/>
    </row>
    <row r="32" spans="1:6" x14ac:dyDescent="0.3">
      <c r="A32" s="8" t="s">
        <v>86</v>
      </c>
      <c r="B32" s="57">
        <v>243.66</v>
      </c>
      <c r="C32" s="57">
        <v>243.66</v>
      </c>
      <c r="D32" s="57">
        <v>243.66</v>
      </c>
      <c r="E32" s="57">
        <v>730.98</v>
      </c>
      <c r="F32" s="57">
        <v>730.98</v>
      </c>
    </row>
    <row r="33" spans="1:6" x14ac:dyDescent="0.3">
      <c r="A33" s="8" t="s">
        <v>87</v>
      </c>
      <c r="B33" s="57">
        <v>9609.2800000000007</v>
      </c>
      <c r="C33" s="57">
        <v>10815.92</v>
      </c>
      <c r="D33" s="57">
        <v>12042.27</v>
      </c>
      <c r="E33" s="57">
        <v>13130.65</v>
      </c>
      <c r="F33" s="57">
        <v>15595.49</v>
      </c>
    </row>
    <row r="34" spans="1:6" x14ac:dyDescent="0.3">
      <c r="A34" s="8" t="s">
        <v>109</v>
      </c>
      <c r="B34" s="57">
        <v>0</v>
      </c>
      <c r="C34" s="57">
        <v>14.99</v>
      </c>
      <c r="D34" s="57">
        <v>16.34</v>
      </c>
      <c r="E34" s="57">
        <v>17.75</v>
      </c>
      <c r="F34" s="57">
        <v>17.920000000000002</v>
      </c>
    </row>
    <row r="35" spans="1:6" x14ac:dyDescent="0.3">
      <c r="A35" s="56" t="s">
        <v>88</v>
      </c>
      <c r="B35" s="58">
        <f>B32+B33+B34</f>
        <v>9852.94</v>
      </c>
      <c r="C35" s="58">
        <f t="shared" ref="C35:F35" si="2">C32+C33+C34</f>
        <v>11074.57</v>
      </c>
      <c r="D35" s="58">
        <f t="shared" si="2"/>
        <v>12302.27</v>
      </c>
      <c r="E35" s="58">
        <f t="shared" si="2"/>
        <v>13879.38</v>
      </c>
      <c r="F35" s="58">
        <f t="shared" si="2"/>
        <v>16344.39</v>
      </c>
    </row>
    <row r="36" spans="1:6" x14ac:dyDescent="0.3">
      <c r="A36" s="76" t="s">
        <v>89</v>
      </c>
      <c r="B36" s="77"/>
      <c r="C36" s="77"/>
      <c r="D36" s="77"/>
      <c r="E36" s="77"/>
      <c r="F36" s="78"/>
    </row>
    <row r="37" spans="1:6" x14ac:dyDescent="0.3">
      <c r="A37" s="76" t="s">
        <v>90</v>
      </c>
      <c r="B37" s="77"/>
      <c r="C37" s="77"/>
      <c r="D37" s="77"/>
      <c r="E37" s="77"/>
      <c r="F37" s="78"/>
    </row>
    <row r="38" spans="1:6" x14ac:dyDescent="0.3">
      <c r="A38" s="8" t="s">
        <v>91</v>
      </c>
      <c r="B38" s="57">
        <v>68.89</v>
      </c>
      <c r="C38" s="57">
        <v>164.99</v>
      </c>
      <c r="D38" s="57">
        <v>148.43</v>
      </c>
      <c r="E38" s="57">
        <v>133.94999999999999</v>
      </c>
      <c r="F38" s="57">
        <v>117.76</v>
      </c>
    </row>
    <row r="39" spans="1:6" x14ac:dyDescent="0.3">
      <c r="A39" s="76" t="s">
        <v>92</v>
      </c>
      <c r="B39" s="77"/>
      <c r="C39" s="77"/>
      <c r="D39" s="77"/>
      <c r="E39" s="77"/>
      <c r="F39" s="78"/>
    </row>
    <row r="40" spans="1:6" x14ac:dyDescent="0.3">
      <c r="A40" s="8" t="s">
        <v>93</v>
      </c>
      <c r="B40" s="57">
        <v>0</v>
      </c>
      <c r="C40" s="57">
        <v>0</v>
      </c>
      <c r="D40" s="57">
        <v>0</v>
      </c>
      <c r="E40" s="57"/>
      <c r="F40" s="57"/>
    </row>
    <row r="41" spans="1:6" x14ac:dyDescent="0.3">
      <c r="A41" s="8" t="s">
        <v>94</v>
      </c>
      <c r="B41" s="57">
        <v>0.2</v>
      </c>
      <c r="C41" s="57">
        <v>0.28999999999999998</v>
      </c>
      <c r="D41" s="57">
        <v>0.34</v>
      </c>
      <c r="E41" s="57">
        <v>0.37</v>
      </c>
      <c r="F41" s="57">
        <v>0</v>
      </c>
    </row>
    <row r="42" spans="1:6" x14ac:dyDescent="0.3">
      <c r="A42" s="8" t="s">
        <v>105</v>
      </c>
      <c r="B42" s="57">
        <v>0</v>
      </c>
      <c r="C42" s="57">
        <v>1.17</v>
      </c>
      <c r="D42" s="57">
        <v>51.51</v>
      </c>
      <c r="E42" s="57">
        <v>59.42</v>
      </c>
      <c r="F42" s="57">
        <v>60.25</v>
      </c>
    </row>
    <row r="43" spans="1:6" x14ac:dyDescent="0.3">
      <c r="A43" s="8" t="s">
        <v>95</v>
      </c>
      <c r="B43" s="57">
        <v>49.34</v>
      </c>
      <c r="C43" s="57">
        <v>6.71</v>
      </c>
      <c r="D43" s="57">
        <v>20.22</v>
      </c>
      <c r="E43" s="57">
        <v>4.7300000000000004</v>
      </c>
      <c r="F43" s="57">
        <v>4.8</v>
      </c>
    </row>
    <row r="44" spans="1:6" x14ac:dyDescent="0.3">
      <c r="A44" s="8" t="s">
        <v>102</v>
      </c>
      <c r="B44" s="57">
        <v>1160.57</v>
      </c>
      <c r="C44" s="57">
        <v>1412.03</v>
      </c>
      <c r="D44" s="57">
        <v>1805.32</v>
      </c>
      <c r="E44" s="57">
        <v>844.65</v>
      </c>
      <c r="F44" s="57">
        <v>967.28</v>
      </c>
    </row>
    <row r="45" spans="1:6" x14ac:dyDescent="0.3">
      <c r="A45" s="8" t="s">
        <v>96</v>
      </c>
      <c r="B45" s="57">
        <v>1.1200000000000001</v>
      </c>
      <c r="C45" s="57">
        <v>0</v>
      </c>
      <c r="D45" s="57">
        <v>0</v>
      </c>
      <c r="E45" s="57">
        <v>0</v>
      </c>
      <c r="F45" s="57">
        <v>0</v>
      </c>
    </row>
    <row r="46" spans="1:6" x14ac:dyDescent="0.3">
      <c r="A46" s="8" t="s">
        <v>106</v>
      </c>
      <c r="B46" s="57">
        <v>0</v>
      </c>
      <c r="C46" s="57">
        <v>0.36</v>
      </c>
      <c r="D46" s="57">
        <v>1.45</v>
      </c>
      <c r="E46" s="57">
        <v>2.89</v>
      </c>
      <c r="F46" s="57">
        <v>5.47</v>
      </c>
    </row>
    <row r="47" spans="1:6" x14ac:dyDescent="0.3">
      <c r="A47" s="56" t="s">
        <v>97</v>
      </c>
      <c r="B47" s="58">
        <f>SUM(B38:B46)</f>
        <v>1280.1199999999999</v>
      </c>
      <c r="C47" s="58">
        <f t="shared" ref="C47:F47" si="3">SUM(C38:C46)</f>
        <v>1585.55</v>
      </c>
      <c r="D47" s="58">
        <f t="shared" si="3"/>
        <v>2027.27</v>
      </c>
      <c r="E47" s="58">
        <f t="shared" si="3"/>
        <v>1046.01</v>
      </c>
      <c r="F47" s="58">
        <f t="shared" si="3"/>
        <v>1155.56</v>
      </c>
    </row>
    <row r="48" spans="1:6" x14ac:dyDescent="0.3">
      <c r="A48" s="76" t="s">
        <v>98</v>
      </c>
      <c r="B48" s="77"/>
      <c r="C48" s="77"/>
      <c r="D48" s="77"/>
      <c r="E48" s="77"/>
      <c r="F48" s="78"/>
    </row>
    <row r="49" spans="1:6" x14ac:dyDescent="0.3">
      <c r="A49" s="8" t="s">
        <v>91</v>
      </c>
      <c r="B49" s="57">
        <v>4.22</v>
      </c>
      <c r="C49" s="57">
        <v>17.11</v>
      </c>
      <c r="D49" s="57">
        <v>16.54</v>
      </c>
      <c r="E49" s="57">
        <v>16.649999999999999</v>
      </c>
      <c r="F49" s="57">
        <v>16.37</v>
      </c>
    </row>
    <row r="50" spans="1:6" x14ac:dyDescent="0.3">
      <c r="A50" s="76" t="s">
        <v>92</v>
      </c>
      <c r="B50" s="77"/>
      <c r="C50" s="77"/>
      <c r="D50" s="77"/>
      <c r="E50" s="77"/>
      <c r="F50" s="78"/>
    </row>
    <row r="51" spans="1:6" x14ac:dyDescent="0.3">
      <c r="A51" s="8" t="s">
        <v>105</v>
      </c>
      <c r="B51" s="57">
        <v>0</v>
      </c>
      <c r="C51" s="57">
        <v>1.35</v>
      </c>
      <c r="D51" s="57">
        <v>1.19</v>
      </c>
      <c r="E51" s="57">
        <v>1.92</v>
      </c>
      <c r="F51" s="57">
        <v>2.2599999999999998</v>
      </c>
    </row>
    <row r="52" spans="1:6" x14ac:dyDescent="0.3">
      <c r="A52" s="8" t="s">
        <v>99</v>
      </c>
      <c r="B52" s="57">
        <f>64.78+2359.97</f>
        <v>2424.75</v>
      </c>
      <c r="C52" s="57">
        <f>153.43+3145.47</f>
        <v>3298.8999999999996</v>
      </c>
      <c r="D52" s="57">
        <f>248.44+3120.86</f>
        <v>3369.3</v>
      </c>
      <c r="E52" s="57">
        <f>207.54+3122.84</f>
        <v>3330.38</v>
      </c>
      <c r="F52" s="57">
        <f>213.06+3493.25</f>
        <v>3706.31</v>
      </c>
    </row>
    <row r="53" spans="1:6" x14ac:dyDescent="0.3">
      <c r="A53" s="8" t="s">
        <v>95</v>
      </c>
      <c r="B53" s="57">
        <v>831.95</v>
      </c>
      <c r="C53" s="57">
        <v>958.95</v>
      </c>
      <c r="D53" s="57">
        <v>960.43</v>
      </c>
      <c r="E53" s="57">
        <v>1290.23</v>
      </c>
      <c r="F53" s="57">
        <v>1317.14</v>
      </c>
    </row>
    <row r="54" spans="1:6" x14ac:dyDescent="0.3">
      <c r="A54" s="8" t="s">
        <v>100</v>
      </c>
      <c r="B54" s="57">
        <v>9201.75</v>
      </c>
      <c r="C54" s="57">
        <v>12202.96</v>
      </c>
      <c r="D54" s="57">
        <v>14809.07</v>
      </c>
      <c r="E54" s="57">
        <v>15299.06</v>
      </c>
      <c r="F54" s="57">
        <v>16289.84</v>
      </c>
    </row>
    <row r="55" spans="1:6" x14ac:dyDescent="0.3">
      <c r="A55" s="8" t="s">
        <v>101</v>
      </c>
      <c r="B55" s="57">
        <v>315.36</v>
      </c>
      <c r="C55" s="57">
        <v>350.28</v>
      </c>
      <c r="D55" s="57">
        <v>423.82</v>
      </c>
      <c r="E55" s="57">
        <v>627.54</v>
      </c>
      <c r="F55" s="57">
        <v>694.53</v>
      </c>
    </row>
    <row r="56" spans="1:6" x14ac:dyDescent="0.3">
      <c r="A56" s="8" t="s">
        <v>103</v>
      </c>
      <c r="B56" s="57">
        <v>0</v>
      </c>
      <c r="C56" s="57">
        <v>0</v>
      </c>
      <c r="D56" s="57">
        <v>0.69</v>
      </c>
      <c r="E56" s="57">
        <v>0</v>
      </c>
      <c r="F56" s="57">
        <v>0.28000000000000003</v>
      </c>
    </row>
    <row r="57" spans="1:6" x14ac:dyDescent="0.3">
      <c r="A57" s="56" t="s">
        <v>104</v>
      </c>
      <c r="B57" s="58">
        <f>B35+B47+B49+B52+B53+B54+B55+B56</f>
        <v>23911.090000000004</v>
      </c>
      <c r="C57" s="58">
        <f>C35+C47+C49+C52+C53+C54+C55+C56+C51</f>
        <v>29489.669999999995</v>
      </c>
      <c r="D57" s="58">
        <f>D35+D47+D49+D52+D53+D54+D55+D56+D51</f>
        <v>33910.580000000009</v>
      </c>
      <c r="E57" s="58">
        <f>E35+E47+E49+E52+E53+E54+E55+E56+E51</f>
        <v>35491.17</v>
      </c>
      <c r="F57" s="58">
        <f>F35+F47+F49+F52+F53+F54+F55+F56+F51</f>
        <v>39526.68</v>
      </c>
    </row>
    <row r="58" spans="1:6" x14ac:dyDescent="0.3">
      <c r="B58" s="48"/>
      <c r="C58" s="48"/>
      <c r="D58" s="48"/>
      <c r="E58" s="48"/>
      <c r="F58" s="48"/>
    </row>
    <row r="59" spans="1:6" x14ac:dyDescent="0.3">
      <c r="A59" s="80" t="s">
        <v>111</v>
      </c>
      <c r="B59" s="80"/>
      <c r="C59" s="80"/>
      <c r="D59" s="80"/>
      <c r="E59" s="80"/>
      <c r="F59" s="80"/>
    </row>
  </sheetData>
  <mergeCells count="13">
    <mergeCell ref="A59:F59"/>
    <mergeCell ref="A36:F36"/>
    <mergeCell ref="A37:F37"/>
    <mergeCell ref="A39:F39"/>
    <mergeCell ref="A48:F48"/>
    <mergeCell ref="A50:F50"/>
    <mergeCell ref="A22:F22"/>
    <mergeCell ref="A31:F31"/>
    <mergeCell ref="A1:F1"/>
    <mergeCell ref="A4:F4"/>
    <mergeCell ref="A3:F3"/>
    <mergeCell ref="A11:F11"/>
    <mergeCell ref="A20:F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E7A62-683B-43DF-89BA-70D79E3C7817}">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E36E-352A-489C-BCC1-C27D6113AF03}">
  <dimension ref="A1:D14"/>
  <sheetViews>
    <sheetView workbookViewId="0">
      <selection activeCell="B3" sqref="B3"/>
    </sheetView>
  </sheetViews>
  <sheetFormatPr defaultRowHeight="14.4" x14ac:dyDescent="0.3"/>
  <cols>
    <col min="1" max="1" width="21.88671875" style="3" customWidth="1"/>
    <col min="2" max="2" width="25.88671875" style="3" customWidth="1"/>
    <col min="3" max="4" width="18.33203125" style="3" customWidth="1"/>
  </cols>
  <sheetData>
    <row r="1" spans="1:4" x14ac:dyDescent="0.3">
      <c r="A1" s="80" t="s">
        <v>50</v>
      </c>
      <c r="B1" s="80"/>
      <c r="C1" s="80"/>
      <c r="D1" s="80"/>
    </row>
    <row r="2" spans="1:4" ht="28.8" x14ac:dyDescent="0.3">
      <c r="A2" s="3" t="s">
        <v>48</v>
      </c>
      <c r="B2" s="3" t="s">
        <v>49</v>
      </c>
      <c r="C2" s="2" t="s">
        <v>3</v>
      </c>
      <c r="D2" s="2" t="s">
        <v>23</v>
      </c>
    </row>
    <row r="3" spans="1:4" x14ac:dyDescent="0.3">
      <c r="A3" s="3" t="s">
        <v>51</v>
      </c>
    </row>
    <row r="4" spans="1:4" x14ac:dyDescent="0.3">
      <c r="A4" s="3" t="s">
        <v>52</v>
      </c>
    </row>
    <row r="5" spans="1:4" x14ac:dyDescent="0.3">
      <c r="A5" s="3" t="s">
        <v>53</v>
      </c>
    </row>
    <row r="6" spans="1:4" x14ac:dyDescent="0.3">
      <c r="A6" s="3" t="s">
        <v>54</v>
      </c>
    </row>
    <row r="7" spans="1:4" x14ac:dyDescent="0.3">
      <c r="A7" s="3" t="s">
        <v>55</v>
      </c>
    </row>
    <row r="8" spans="1:4" x14ac:dyDescent="0.3">
      <c r="A8" s="3" t="s">
        <v>56</v>
      </c>
    </row>
    <row r="9" spans="1:4" x14ac:dyDescent="0.3">
      <c r="A9" s="3" t="s">
        <v>57</v>
      </c>
    </row>
    <row r="10" spans="1:4" x14ac:dyDescent="0.3">
      <c r="A10" s="3" t="s">
        <v>58</v>
      </c>
    </row>
    <row r="11" spans="1:4" x14ac:dyDescent="0.3">
      <c r="A11" s="3" t="s">
        <v>59</v>
      </c>
    </row>
    <row r="12" spans="1:4" x14ac:dyDescent="0.3">
      <c r="A12" s="3" t="s">
        <v>60</v>
      </c>
    </row>
    <row r="13" spans="1:4" x14ac:dyDescent="0.3">
      <c r="A13" s="3" t="s">
        <v>61</v>
      </c>
    </row>
    <row r="14" spans="1:4" x14ac:dyDescent="0.3">
      <c r="A14" s="3" t="s">
        <v>62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Company Basic info</vt:lpstr>
      <vt:lpstr>FS-Interpretations 1</vt:lpstr>
      <vt:lpstr>FS-Interpretations 2</vt:lpstr>
      <vt:lpstr>FS-Interpretations 3</vt:lpstr>
      <vt:lpstr>Financial Statements (Heads)</vt:lpstr>
      <vt:lpstr>Balance Sheet 2019-2024</vt:lpstr>
      <vt:lpstr>Profit &amp; Loss from 2019-24</vt:lpstr>
      <vt:lpstr>Ratio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Gupta</dc:creator>
  <cp:lastModifiedBy>Akshat Gupta</cp:lastModifiedBy>
  <dcterms:created xsi:type="dcterms:W3CDTF">2015-06-05T18:17:20Z</dcterms:created>
  <dcterms:modified xsi:type="dcterms:W3CDTF">2025-07-22T12:40:27Z</dcterms:modified>
</cp:coreProperties>
</file>