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showInkAnnotation="0" saveExternalLinkValues="0" codeName="ThisWorkbook" defaultThemeVersion="124226"/>
  <mc:AlternateContent xmlns:mc="http://schemas.openxmlformats.org/markup-compatibility/2006">
    <mc:Choice Requires="x15">
      <x15ac:absPath xmlns:x15ac="http://schemas.microsoft.com/office/spreadsheetml/2010/11/ac" url="https://gtvault-my.sharepoint.com/personal/mmayakonda3_gatech_edu/Documents/OASyS/framework/"/>
    </mc:Choice>
  </mc:AlternateContent>
  <xr:revisionPtr revIDLastSave="0" documentId="8_{8E1DE296-589E-4F56-A8A6-2123339C96CF}" xr6:coauthVersionLast="45" xr6:coauthVersionMax="45" xr10:uidLastSave="{00000000-0000-0000-0000-000000000000}"/>
  <bookViews>
    <workbookView xWindow="-120" yWindow="-120" windowWidth="24240" windowHeight="13140" tabRatio="882" activeTab="4"/>
  </bookViews>
  <sheets>
    <sheet name="T2.3" sheetId="140" r:id="rId1"/>
    <sheet name="passeng_graph" sheetId="138" r:id="rId2"/>
    <sheet name="perf_mode_pkm" sheetId="71" r:id="rId3"/>
    <sheet name="split_mode_pkm" sheetId="72" r:id="rId4"/>
    <sheet name="cars" sheetId="143" r:id="rId5"/>
    <sheet name="bus_coach" sheetId="144" r:id="rId6"/>
    <sheet name="tram_metro" sheetId="145" r:id="rId7"/>
    <sheet name="rail_pkm" sheetId="146" r:id="rId8"/>
    <sheet name="hs_rail" sheetId="97" r:id="rId9"/>
    <sheet name="USA" sheetId="142" r:id="rId10"/>
  </sheets>
  <definedNames>
    <definedName name="A" localSheetId="0">'T2.3'!$A$65500</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_xlnm.Print_Area" localSheetId="5">bus_coach!$B$1:$AH$50</definedName>
    <definedName name="_xlnm.Print_Area" localSheetId="4">cars!$B$1:$AH$47</definedName>
    <definedName name="_xlnm.Print_Area" localSheetId="8">hs_rail!#REF!</definedName>
    <definedName name="_xlnm.Print_Area" localSheetId="1">passeng_graph!$B$1:$N$32</definedName>
    <definedName name="_xlnm.Print_Area" localSheetId="2">perf_mode_pkm!$B$1:$J$60</definedName>
    <definedName name="_xlnm.Print_Area" localSheetId="7">rail_pkm!$B$1:$AN$43</definedName>
    <definedName name="_xlnm.Print_Area" localSheetId="3">split_mode_pkm!#REF!</definedName>
    <definedName name="_xlnm.Print_Area" localSheetId="0">'T2.3'!$B$1:$E$25</definedName>
    <definedName name="_xlnm.Print_Area" localSheetId="6">tram_metro!$B$1:$AG$47</definedName>
    <definedName name="_xlnm.Print_Area" localSheetId="9">USA!$B$1:$I$78</definedName>
    <definedName name="Z_534C28F4_E90D_11D3_A4B3_0050041AE0D6_.wvu.PrintArea" localSheetId="3" hidden="1">split_mode_pkm!#REF!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 i="142" l="1"/>
  <c r="I8" i="142"/>
  <c r="M8" i="142"/>
  <c r="N8" i="142"/>
  <c r="O8" i="142"/>
  <c r="P8" i="142"/>
  <c r="Q8" i="142"/>
  <c r="R8" i="142"/>
  <c r="I9" i="142"/>
  <c r="M9" i="142"/>
  <c r="N9" i="142"/>
  <c r="O9" i="142"/>
  <c r="P9" i="142"/>
  <c r="Q9" i="142"/>
  <c r="R9" i="142"/>
  <c r="I10" i="142"/>
  <c r="M10" i="142"/>
  <c r="N10" i="142"/>
  <c r="O10" i="142"/>
  <c r="P10" i="142"/>
  <c r="Q10" i="142"/>
  <c r="R10" i="142"/>
  <c r="I11" i="142"/>
  <c r="M11" i="142"/>
  <c r="N11" i="142"/>
  <c r="O11" i="142"/>
  <c r="P11" i="142"/>
  <c r="Q11" i="142"/>
  <c r="R11" i="142"/>
  <c r="I12" i="142"/>
  <c r="M12" i="142"/>
  <c r="N12" i="142"/>
  <c r="O12" i="142"/>
  <c r="P12" i="142"/>
  <c r="Q12" i="142"/>
  <c r="R12" i="142"/>
  <c r="I13" i="142"/>
  <c r="M13" i="142"/>
  <c r="N13" i="142"/>
  <c r="O13" i="142"/>
  <c r="P13" i="142"/>
  <c r="Q13" i="142"/>
  <c r="R13" i="142"/>
  <c r="I14" i="142"/>
  <c r="M14" i="142"/>
  <c r="N14" i="142"/>
  <c r="O14" i="142"/>
  <c r="P14" i="142"/>
  <c r="Q14" i="142"/>
  <c r="R14" i="142"/>
  <c r="I15" i="142"/>
  <c r="M15" i="142"/>
  <c r="N15" i="142"/>
  <c r="O15" i="142"/>
  <c r="P15" i="142"/>
  <c r="Q15" i="142"/>
  <c r="R15" i="142"/>
  <c r="I16" i="142"/>
  <c r="M16" i="142"/>
  <c r="N16" i="142"/>
  <c r="O16" i="142"/>
  <c r="P16" i="142"/>
  <c r="Q16" i="142"/>
  <c r="R16" i="142"/>
  <c r="I17" i="142"/>
  <c r="M17" i="142"/>
  <c r="N17" i="142"/>
  <c r="O17" i="142"/>
  <c r="P17" i="142"/>
  <c r="Q17" i="142"/>
  <c r="R17" i="142"/>
  <c r="I18" i="142"/>
  <c r="M18" i="142"/>
  <c r="N18" i="142"/>
  <c r="O18" i="142"/>
  <c r="P18" i="142"/>
  <c r="Q18" i="142"/>
  <c r="R18" i="142"/>
  <c r="I19" i="142"/>
  <c r="M19" i="142"/>
  <c r="N19" i="142"/>
  <c r="O19" i="142"/>
  <c r="P19" i="142"/>
  <c r="Q19" i="142"/>
  <c r="R19" i="142"/>
  <c r="I20" i="142"/>
  <c r="M20" i="142"/>
  <c r="N20" i="142"/>
  <c r="O20" i="142"/>
  <c r="P20" i="142"/>
  <c r="Q20" i="142"/>
  <c r="R20" i="142"/>
  <c r="I21" i="142"/>
  <c r="M21" i="142"/>
  <c r="N21" i="142"/>
  <c r="O21" i="142"/>
  <c r="P21" i="142"/>
  <c r="Q21" i="142"/>
  <c r="R21" i="142"/>
  <c r="I22" i="142"/>
  <c r="M22" i="142"/>
  <c r="N22" i="142"/>
  <c r="O22" i="142"/>
  <c r="P22" i="142"/>
  <c r="Q22" i="142"/>
  <c r="R22" i="142"/>
  <c r="I23" i="142"/>
  <c r="M23" i="142"/>
  <c r="N23" i="142"/>
  <c r="O23" i="142"/>
  <c r="P23" i="142"/>
  <c r="Q23" i="142"/>
  <c r="R23" i="142"/>
  <c r="I24" i="142"/>
  <c r="M24" i="142"/>
  <c r="N24" i="142"/>
  <c r="O24" i="142"/>
  <c r="P24" i="142"/>
  <c r="Q24" i="142"/>
  <c r="R24" i="142"/>
  <c r="I25" i="142"/>
  <c r="M25" i="142"/>
  <c r="N25" i="142"/>
  <c r="O25" i="142"/>
  <c r="P25" i="142"/>
  <c r="Q25" i="142"/>
  <c r="R25" i="142"/>
  <c r="E26" i="142"/>
  <c r="I26" i="142"/>
  <c r="M26" i="142"/>
  <c r="N26" i="142"/>
  <c r="O26" i="142"/>
  <c r="P26" i="142"/>
  <c r="Q26" i="142"/>
  <c r="R26" i="142"/>
  <c r="I27" i="142"/>
  <c r="M27" i="142"/>
  <c r="N27" i="142"/>
  <c r="O27" i="142"/>
  <c r="P27" i="142"/>
  <c r="Q27" i="142"/>
  <c r="R27" i="142"/>
  <c r="I28" i="142"/>
  <c r="M28" i="142"/>
  <c r="N28" i="142"/>
  <c r="O28" i="142"/>
  <c r="P28" i="142"/>
  <c r="Q28" i="142"/>
  <c r="R28" i="142"/>
  <c r="I29" i="142"/>
  <c r="M29" i="142"/>
  <c r="N29" i="142"/>
  <c r="O29" i="142"/>
  <c r="P29" i="142"/>
  <c r="Q29" i="142"/>
  <c r="R29" i="142"/>
  <c r="I30" i="142"/>
  <c r="M30" i="142"/>
  <c r="N30" i="142"/>
  <c r="O30" i="142"/>
  <c r="P30" i="142"/>
  <c r="Q30" i="142"/>
  <c r="R30" i="142"/>
  <c r="M31" i="142"/>
  <c r="N31" i="142"/>
  <c r="O31" i="142"/>
  <c r="P31" i="142"/>
  <c r="Q31" i="142"/>
  <c r="R31" i="142"/>
  <c r="C40" i="142"/>
  <c r="D40" i="142"/>
  <c r="E40" i="142"/>
  <c r="F40" i="142"/>
  <c r="G40" i="142"/>
  <c r="H40" i="142"/>
  <c r="I40" i="142"/>
  <c r="C41" i="142"/>
  <c r="D41" i="142"/>
  <c r="E41" i="142"/>
  <c r="F41" i="142"/>
  <c r="G41" i="142"/>
  <c r="H41" i="142"/>
  <c r="I41" i="142"/>
  <c r="C42" i="142"/>
  <c r="D42" i="142"/>
  <c r="E42" i="142"/>
  <c r="F42" i="142"/>
  <c r="G42" i="142"/>
  <c r="H42" i="142"/>
  <c r="I42" i="142"/>
  <c r="C43" i="142"/>
  <c r="D43" i="142"/>
  <c r="E43" i="142"/>
  <c r="F43" i="142"/>
  <c r="G43" i="142"/>
  <c r="H43" i="142"/>
  <c r="I43" i="142"/>
  <c r="C44" i="142"/>
  <c r="D44" i="142"/>
  <c r="E44" i="142"/>
  <c r="F44" i="142"/>
  <c r="G44" i="142"/>
  <c r="H44" i="142"/>
  <c r="I44" i="142"/>
  <c r="C45" i="142"/>
  <c r="D45" i="142"/>
  <c r="E45" i="142"/>
  <c r="F45" i="142"/>
  <c r="G45" i="142"/>
  <c r="H45" i="142"/>
  <c r="I45" i="142"/>
  <c r="C46" i="142"/>
  <c r="D46" i="142"/>
  <c r="E46" i="142"/>
  <c r="F46" i="142"/>
  <c r="G46" i="142"/>
  <c r="H46" i="142"/>
  <c r="I46" i="142"/>
  <c r="C47" i="142"/>
  <c r="D47" i="142"/>
  <c r="E47" i="142"/>
  <c r="F47" i="142"/>
  <c r="G47" i="142"/>
  <c r="H47" i="142"/>
  <c r="I47" i="142"/>
  <c r="C48" i="142"/>
  <c r="D48" i="142"/>
  <c r="E48" i="142"/>
  <c r="F48" i="142"/>
  <c r="G48" i="142"/>
  <c r="H48" i="142"/>
  <c r="I48" i="142"/>
  <c r="C49" i="142"/>
  <c r="D49" i="142"/>
  <c r="E49" i="142"/>
  <c r="F49" i="142"/>
  <c r="G49" i="142"/>
  <c r="H49" i="142"/>
  <c r="I49" i="142"/>
  <c r="C50" i="142"/>
  <c r="D50" i="142"/>
  <c r="E50" i="142"/>
  <c r="F50" i="142"/>
  <c r="G50" i="142"/>
  <c r="H50" i="142"/>
  <c r="I50" i="142"/>
  <c r="C51" i="142"/>
  <c r="D51" i="142"/>
  <c r="E51" i="142"/>
  <c r="F51" i="142"/>
  <c r="G51" i="142"/>
  <c r="H51" i="142"/>
  <c r="I51" i="142"/>
  <c r="C52" i="142"/>
  <c r="D52" i="142"/>
  <c r="E52" i="142"/>
  <c r="F52" i="142"/>
  <c r="G52" i="142"/>
  <c r="H52" i="142"/>
  <c r="I52" i="142"/>
  <c r="C53" i="142"/>
  <c r="D53" i="142"/>
  <c r="E53" i="142"/>
  <c r="F53" i="142"/>
  <c r="G53" i="142"/>
  <c r="H53" i="142"/>
  <c r="I53" i="142"/>
  <c r="C54" i="142"/>
  <c r="D54" i="142"/>
  <c r="E54" i="142"/>
  <c r="F54" i="142"/>
  <c r="G54" i="142"/>
  <c r="H54" i="142"/>
  <c r="I54" i="142"/>
  <c r="C55" i="142"/>
  <c r="D55" i="142"/>
  <c r="E55" i="142"/>
  <c r="F55" i="142"/>
  <c r="G55" i="142"/>
  <c r="H55" i="142"/>
  <c r="I55" i="142"/>
  <c r="C56" i="142"/>
  <c r="D56" i="142"/>
  <c r="E56" i="142"/>
  <c r="F56" i="142"/>
  <c r="G56" i="142"/>
  <c r="H56" i="142"/>
  <c r="I56" i="142"/>
  <c r="C57" i="142"/>
  <c r="D57" i="142"/>
  <c r="E57" i="142"/>
  <c r="F57" i="142"/>
  <c r="G57" i="142"/>
  <c r="H57" i="142"/>
  <c r="I57" i="142"/>
  <c r="C58" i="142"/>
  <c r="D58" i="142"/>
  <c r="E58" i="142"/>
  <c r="F58" i="142"/>
  <c r="G58" i="142"/>
  <c r="H58" i="142"/>
  <c r="I58" i="142"/>
  <c r="C59" i="142"/>
  <c r="D59" i="142"/>
  <c r="E59" i="142"/>
  <c r="F59" i="142"/>
  <c r="G59" i="142"/>
  <c r="H59" i="142"/>
  <c r="I59" i="142"/>
  <c r="C60" i="142"/>
  <c r="D60" i="142"/>
  <c r="E60" i="142"/>
  <c r="F60" i="142"/>
  <c r="G60" i="142"/>
  <c r="H60" i="142"/>
  <c r="I60" i="142"/>
  <c r="Q5" i="97"/>
  <c r="Q6" i="97"/>
  <c r="R6" i="97"/>
  <c r="Q7" i="97"/>
  <c r="R7" i="97"/>
  <c r="Q8" i="97"/>
  <c r="R8" i="97"/>
  <c r="Q9" i="97"/>
  <c r="R9" i="97"/>
  <c r="Q10" i="97"/>
  <c r="R10" i="97"/>
  <c r="Q11" i="97"/>
  <c r="R11" i="97"/>
  <c r="Q12" i="97"/>
  <c r="R12" i="97"/>
  <c r="Q13" i="97"/>
  <c r="R13" i="97"/>
  <c r="Q14" i="97"/>
  <c r="R14" i="97"/>
  <c r="Q15" i="97"/>
  <c r="R15" i="97"/>
  <c r="Q16" i="97"/>
  <c r="R16" i="97"/>
  <c r="Q17" i="97"/>
  <c r="R17" i="97"/>
  <c r="Q18" i="97"/>
  <c r="R18" i="97"/>
  <c r="Q19" i="97"/>
  <c r="R19" i="97"/>
  <c r="Q20" i="97"/>
  <c r="R20" i="97"/>
  <c r="Q21" i="97"/>
  <c r="R21" i="97"/>
  <c r="Q22" i="97"/>
  <c r="R22" i="97"/>
  <c r="Q23" i="97"/>
  <c r="R23" i="97"/>
  <c r="Q24" i="97"/>
  <c r="R24" i="97"/>
  <c r="O25" i="97"/>
  <c r="Q25" i="97"/>
  <c r="R25" i="97"/>
  <c r="Q26" i="97"/>
  <c r="R26" i="97"/>
  <c r="Q27" i="97"/>
  <c r="R27" i="97"/>
  <c r="Q28" i="97"/>
  <c r="R28" i="97"/>
  <c r="Q29" i="97"/>
  <c r="R29" i="97"/>
  <c r="Q30" i="97"/>
  <c r="R30" i="97"/>
  <c r="Q31" i="97"/>
  <c r="R31" i="97"/>
  <c r="Q32" i="97"/>
  <c r="R32" i="97"/>
  <c r="C6" i="146"/>
  <c r="D6" i="146"/>
  <c r="E6" i="146"/>
  <c r="F6" i="146"/>
  <c r="G6" i="146"/>
  <c r="H6" i="146"/>
  <c r="I6" i="146"/>
  <c r="J6" i="146"/>
  <c r="K6" i="146"/>
  <c r="L6" i="146"/>
  <c r="M6" i="146"/>
  <c r="N6" i="146"/>
  <c r="O6" i="146"/>
  <c r="P6" i="146"/>
  <c r="Q6" i="146"/>
  <c r="R6" i="146"/>
  <c r="S6" i="146"/>
  <c r="T6" i="146"/>
  <c r="U6" i="146"/>
  <c r="V6" i="146"/>
  <c r="W6" i="146"/>
  <c r="X6" i="146"/>
  <c r="Y6" i="146"/>
  <c r="Z6" i="146"/>
  <c r="AA6" i="146"/>
  <c r="AB6" i="146"/>
  <c r="AC6" i="146"/>
  <c r="AD6" i="146"/>
  <c r="AE6" i="146"/>
  <c r="AF6" i="146"/>
  <c r="AI6" i="146"/>
  <c r="AJ6" i="146"/>
  <c r="AM6" i="146"/>
  <c r="AM7" i="146"/>
  <c r="AK8" i="146"/>
  <c r="AM8" i="146"/>
  <c r="AK9" i="146"/>
  <c r="AM9" i="146"/>
  <c r="AE10" i="146"/>
  <c r="AM10" i="146"/>
  <c r="AK11" i="146"/>
  <c r="AM11" i="146"/>
  <c r="AK12" i="146"/>
  <c r="AM12" i="146"/>
  <c r="AK13" i="146"/>
  <c r="AM13" i="146"/>
  <c r="AK14" i="146"/>
  <c r="AM14" i="146"/>
  <c r="AK15" i="146"/>
  <c r="AM15" i="146"/>
  <c r="AK16" i="146"/>
  <c r="AM16" i="146"/>
  <c r="AM17" i="146"/>
  <c r="J18" i="146"/>
  <c r="K18" i="146"/>
  <c r="L18" i="146"/>
  <c r="M18" i="146"/>
  <c r="N18" i="146"/>
  <c r="O18" i="146"/>
  <c r="P18" i="146"/>
  <c r="Q18" i="146"/>
  <c r="R18" i="146"/>
  <c r="AK18" i="146"/>
  <c r="AM18" i="146"/>
  <c r="AK20" i="146"/>
  <c r="AM20" i="146"/>
  <c r="AK21" i="146"/>
  <c r="AM21" i="146"/>
  <c r="Z22" i="146"/>
  <c r="AM22" i="146"/>
  <c r="AK23" i="146"/>
  <c r="AM23" i="146"/>
  <c r="AM25" i="146"/>
  <c r="AK26" i="146"/>
  <c r="AM26" i="146"/>
  <c r="AK27" i="146"/>
  <c r="AM27" i="146"/>
  <c r="AM28" i="146"/>
  <c r="AM29" i="146"/>
  <c r="AM30" i="146"/>
  <c r="AM31" i="146"/>
  <c r="AG32" i="146"/>
  <c r="AH32" i="146"/>
  <c r="AK32" i="146"/>
  <c r="AM32" i="146"/>
  <c r="AK33" i="146"/>
  <c r="AM33" i="146"/>
  <c r="J34" i="146"/>
  <c r="K34" i="146"/>
  <c r="L34" i="146"/>
  <c r="M34" i="146"/>
  <c r="N34" i="146"/>
  <c r="O34" i="146"/>
  <c r="P34" i="146"/>
  <c r="Q34" i="146"/>
  <c r="R34" i="146"/>
  <c r="AK34" i="146"/>
  <c r="AM34" i="146"/>
  <c r="AM35" i="146"/>
  <c r="AE36" i="146"/>
  <c r="AM36" i="146"/>
  <c r="Y37" i="146"/>
  <c r="Z37" i="146"/>
  <c r="AA37" i="146"/>
  <c r="AM37" i="146"/>
  <c r="AM38" i="146"/>
  <c r="Z39" i="146"/>
  <c r="AM39" i="146"/>
  <c r="AK41" i="146"/>
  <c r="AL41" i="146"/>
  <c r="AM41" i="146"/>
  <c r="AM42" i="146"/>
  <c r="J6" i="145"/>
  <c r="K6" i="145"/>
  <c r="L6" i="145"/>
  <c r="M6" i="145"/>
  <c r="N6" i="145"/>
  <c r="O6" i="145"/>
  <c r="P6" i="145"/>
  <c r="Q6" i="145"/>
  <c r="R6" i="145"/>
  <c r="S6" i="145"/>
  <c r="T6" i="145"/>
  <c r="U6" i="145"/>
  <c r="V6" i="145"/>
  <c r="W6" i="145"/>
  <c r="X6" i="145"/>
  <c r="Y6" i="145"/>
  <c r="Z6" i="145"/>
  <c r="AA6" i="145"/>
  <c r="AB6" i="145"/>
  <c r="AC6" i="145"/>
  <c r="AD6" i="145"/>
  <c r="AE6" i="145"/>
  <c r="AF6" i="145"/>
  <c r="AG6" i="145"/>
  <c r="Z7" i="145"/>
  <c r="AA7" i="145"/>
  <c r="AB7" i="145"/>
  <c r="AC7" i="145"/>
  <c r="AD7" i="145"/>
  <c r="AE7" i="145"/>
  <c r="AF7" i="145"/>
  <c r="AG7" i="145"/>
  <c r="Y8" i="145"/>
  <c r="AG8" i="145"/>
  <c r="S9" i="145"/>
  <c r="T9" i="145"/>
  <c r="U9" i="145"/>
  <c r="V9" i="145"/>
  <c r="W9" i="145"/>
  <c r="Y9" i="145"/>
  <c r="Z9" i="145"/>
  <c r="AA9" i="145"/>
  <c r="AC9" i="145"/>
  <c r="AD9" i="145"/>
  <c r="AE9" i="145"/>
  <c r="AF9" i="145"/>
  <c r="AG9" i="145"/>
  <c r="AG10" i="145"/>
  <c r="Y11" i="145"/>
  <c r="AG11" i="145"/>
  <c r="J12" i="145"/>
  <c r="K12" i="145"/>
  <c r="L12" i="145"/>
  <c r="M12" i="145"/>
  <c r="N12" i="145"/>
  <c r="O12" i="145"/>
  <c r="P12" i="145"/>
  <c r="Q12" i="145"/>
  <c r="R12" i="145"/>
  <c r="S12" i="145"/>
  <c r="T12" i="145"/>
  <c r="U12" i="145"/>
  <c r="V12" i="145"/>
  <c r="AG12" i="145"/>
  <c r="U13" i="145"/>
  <c r="V13" i="145"/>
  <c r="W13" i="145"/>
  <c r="X13" i="145"/>
  <c r="Y13" i="145"/>
  <c r="Z13" i="145"/>
  <c r="AA13" i="145"/>
  <c r="AC13" i="145"/>
  <c r="AD13" i="145"/>
  <c r="AE13" i="145"/>
  <c r="AF13" i="145"/>
  <c r="AG13" i="145"/>
  <c r="Z14" i="145"/>
  <c r="AD14" i="145"/>
  <c r="AE14" i="145"/>
  <c r="AG14" i="145"/>
  <c r="AG15" i="145"/>
  <c r="AG16" i="145"/>
  <c r="AA17" i="145"/>
  <c r="AB17" i="145"/>
  <c r="AC17" i="145"/>
  <c r="AD17" i="145"/>
  <c r="AE17" i="145"/>
  <c r="AF17" i="145"/>
  <c r="AG17" i="145"/>
  <c r="E18" i="145"/>
  <c r="J18" i="145"/>
  <c r="N18" i="145"/>
  <c r="O18" i="145"/>
  <c r="P18" i="145"/>
  <c r="Q18" i="145"/>
  <c r="R18" i="145"/>
  <c r="S18" i="145"/>
  <c r="T18" i="145"/>
  <c r="U18" i="145"/>
  <c r="V18" i="145"/>
  <c r="W18" i="145"/>
  <c r="X18" i="145"/>
  <c r="Y18" i="145"/>
  <c r="Z18" i="145"/>
  <c r="AA18" i="145"/>
  <c r="AB18" i="145"/>
  <c r="AC18" i="145"/>
  <c r="AD18" i="145"/>
  <c r="AE18" i="145"/>
  <c r="AF18" i="145"/>
  <c r="AG18" i="145"/>
  <c r="E20" i="145"/>
  <c r="F20" i="145"/>
  <c r="G20" i="145"/>
  <c r="H20" i="145"/>
  <c r="I20" i="145"/>
  <c r="J20" i="145"/>
  <c r="K20" i="145"/>
  <c r="L20" i="145"/>
  <c r="M20" i="145"/>
  <c r="N20" i="145"/>
  <c r="O20" i="145"/>
  <c r="P20" i="145"/>
  <c r="Q20" i="145"/>
  <c r="R20" i="145"/>
  <c r="S20" i="145"/>
  <c r="T20" i="145"/>
  <c r="U20" i="145"/>
  <c r="V20" i="145"/>
  <c r="W20" i="145"/>
  <c r="X20" i="145"/>
  <c r="Y20" i="145"/>
  <c r="Z20" i="145"/>
  <c r="AA20" i="145"/>
  <c r="AC20" i="145"/>
  <c r="AD20" i="145"/>
  <c r="AE20" i="145"/>
  <c r="AF20" i="145"/>
  <c r="AG20" i="145"/>
  <c r="N23" i="145"/>
  <c r="O23" i="145"/>
  <c r="P23" i="145"/>
  <c r="Q23" i="145"/>
  <c r="R23" i="145"/>
  <c r="S23" i="145"/>
  <c r="T23" i="145"/>
  <c r="U23" i="145"/>
  <c r="V23" i="145"/>
  <c r="W23" i="145"/>
  <c r="X23" i="145"/>
  <c r="Y23" i="145"/>
  <c r="Z23" i="145"/>
  <c r="AC23" i="145"/>
  <c r="AD23" i="145"/>
  <c r="AE23" i="145"/>
  <c r="AF23" i="145"/>
  <c r="AG23" i="145"/>
  <c r="AG25" i="145"/>
  <c r="AG26" i="145"/>
  <c r="Y27" i="145"/>
  <c r="AB27" i="145"/>
  <c r="AC27" i="145"/>
  <c r="AD27" i="145"/>
  <c r="AE27" i="145"/>
  <c r="AF27" i="145"/>
  <c r="AG27" i="145"/>
  <c r="T28" i="145"/>
  <c r="U28" i="145"/>
  <c r="V28" i="145"/>
  <c r="W28" i="145"/>
  <c r="X28" i="145"/>
  <c r="Y28" i="145"/>
  <c r="AA28" i="145"/>
  <c r="AB28" i="145"/>
  <c r="AC28" i="145"/>
  <c r="AD28" i="145"/>
  <c r="AE28" i="145"/>
  <c r="AG28" i="145"/>
  <c r="Z29" i="145"/>
  <c r="AD29" i="145"/>
  <c r="AE29" i="145"/>
  <c r="AF29" i="145"/>
  <c r="AG29" i="145"/>
  <c r="J31" i="145"/>
  <c r="M31" i="145"/>
  <c r="N31" i="145"/>
  <c r="V31" i="145"/>
  <c r="W31" i="145"/>
  <c r="Z31" i="145"/>
  <c r="AA31" i="145"/>
  <c r="AB31" i="145"/>
  <c r="AC31" i="145"/>
  <c r="AD31" i="145"/>
  <c r="AE31" i="145"/>
  <c r="AF31" i="145"/>
  <c r="AG31" i="145"/>
  <c r="H32" i="145"/>
  <c r="J32" i="145"/>
  <c r="L32" i="145"/>
  <c r="N32" i="145"/>
  <c r="O32" i="145"/>
  <c r="P32" i="145"/>
  <c r="Q32" i="145"/>
  <c r="R32" i="145"/>
  <c r="S32" i="145"/>
  <c r="T32" i="145"/>
  <c r="U32" i="145"/>
  <c r="V32" i="145"/>
  <c r="W32" i="145"/>
  <c r="Y32" i="145"/>
  <c r="Z32" i="145"/>
  <c r="AA32" i="145"/>
  <c r="AB32" i="145"/>
  <c r="AC32" i="145"/>
  <c r="AD32" i="145"/>
  <c r="AE32" i="145"/>
  <c r="AF32" i="145"/>
  <c r="AG32" i="145"/>
  <c r="L33" i="145"/>
  <c r="M33" i="145"/>
  <c r="N33" i="145"/>
  <c r="O33" i="145"/>
  <c r="P33" i="145"/>
  <c r="Q33" i="145"/>
  <c r="R33" i="145"/>
  <c r="S33" i="145"/>
  <c r="T33" i="145"/>
  <c r="U33" i="145"/>
  <c r="V33" i="145"/>
  <c r="W33" i="145"/>
  <c r="X33" i="145"/>
  <c r="Y33" i="145"/>
  <c r="Z33" i="145"/>
  <c r="AA33" i="145"/>
  <c r="AD33" i="145"/>
  <c r="AE33" i="145"/>
  <c r="AF33" i="145"/>
  <c r="AG33" i="145"/>
  <c r="M34" i="145"/>
  <c r="N34" i="145"/>
  <c r="O34" i="145"/>
  <c r="P34" i="145"/>
  <c r="Q34" i="145"/>
  <c r="R34" i="145"/>
  <c r="S34" i="145"/>
  <c r="T34" i="145"/>
  <c r="U34" i="145"/>
  <c r="V34" i="145"/>
  <c r="W34" i="145"/>
  <c r="X34" i="145"/>
  <c r="Y34" i="145"/>
  <c r="Z34" i="145"/>
  <c r="AA34" i="145"/>
  <c r="AB34" i="145"/>
  <c r="AC34" i="145"/>
  <c r="AD34" i="145"/>
  <c r="AE34" i="145"/>
  <c r="AF34" i="145"/>
  <c r="AG34" i="145"/>
  <c r="AG38" i="145"/>
  <c r="AG41" i="145"/>
  <c r="AG42" i="145"/>
  <c r="J6" i="144"/>
  <c r="K6" i="144"/>
  <c r="L6" i="144"/>
  <c r="M6" i="144"/>
  <c r="N6" i="144"/>
  <c r="O6" i="144"/>
  <c r="P6" i="144"/>
  <c r="Q6" i="144"/>
  <c r="R6" i="144"/>
  <c r="S6" i="144"/>
  <c r="T6" i="144"/>
  <c r="U6" i="144"/>
  <c r="V6" i="144"/>
  <c r="W6" i="144"/>
  <c r="X6" i="144"/>
  <c r="Y6" i="144"/>
  <c r="Z6" i="144"/>
  <c r="AA6" i="144"/>
  <c r="AB6" i="144"/>
  <c r="AC6" i="144"/>
  <c r="AD6" i="144"/>
  <c r="AG6" i="144"/>
  <c r="AG7" i="144"/>
  <c r="AG8" i="144"/>
  <c r="J9" i="144"/>
  <c r="K9" i="144"/>
  <c r="L9" i="144"/>
  <c r="M9" i="144"/>
  <c r="N9" i="144"/>
  <c r="O9" i="144"/>
  <c r="P9" i="144"/>
  <c r="Q9" i="144"/>
  <c r="R9" i="144"/>
  <c r="S9" i="144"/>
  <c r="T9" i="144"/>
  <c r="U9" i="144"/>
  <c r="V9" i="144"/>
  <c r="W9" i="144"/>
  <c r="Y9" i="144"/>
  <c r="Z9" i="144"/>
  <c r="AA9" i="144"/>
  <c r="AB9" i="144"/>
  <c r="AC9" i="144"/>
  <c r="AD9" i="144"/>
  <c r="AG9" i="144"/>
  <c r="AG10" i="144"/>
  <c r="S11" i="144"/>
  <c r="T11" i="144"/>
  <c r="U11" i="144"/>
  <c r="V11" i="144"/>
  <c r="W11" i="144"/>
  <c r="AG11" i="144"/>
  <c r="Y12" i="144"/>
  <c r="AB12" i="144"/>
  <c r="AG12" i="144"/>
  <c r="AC13" i="144"/>
  <c r="AD13" i="144"/>
  <c r="AG13" i="144"/>
  <c r="AG14" i="144"/>
  <c r="AG16" i="144"/>
  <c r="AG17" i="144"/>
  <c r="J18" i="144"/>
  <c r="O18" i="144"/>
  <c r="Q18" i="144"/>
  <c r="R18" i="144"/>
  <c r="S18" i="144"/>
  <c r="T18" i="144"/>
  <c r="U18" i="144"/>
  <c r="V18" i="144"/>
  <c r="W18" i="144"/>
  <c r="X18" i="144"/>
  <c r="Y18" i="144"/>
  <c r="Z18" i="144"/>
  <c r="AA18" i="144"/>
  <c r="AB18" i="144"/>
  <c r="AC18" i="144"/>
  <c r="AD18" i="144"/>
  <c r="AG18" i="144"/>
  <c r="AG19" i="144"/>
  <c r="AG20" i="144"/>
  <c r="J21" i="144"/>
  <c r="K21" i="144"/>
  <c r="L21" i="144"/>
  <c r="M21" i="144"/>
  <c r="N21" i="144"/>
  <c r="O21" i="144"/>
  <c r="Q21" i="144"/>
  <c r="R21" i="144"/>
  <c r="S21" i="144"/>
  <c r="T21" i="144"/>
  <c r="U21" i="144"/>
  <c r="V21" i="144"/>
  <c r="W21" i="144"/>
  <c r="Y21" i="144"/>
  <c r="AA21" i="144"/>
  <c r="AB21" i="144"/>
  <c r="AG21" i="144"/>
  <c r="AG22" i="144"/>
  <c r="S23" i="144"/>
  <c r="T23" i="144"/>
  <c r="U23" i="144"/>
  <c r="V23" i="144"/>
  <c r="W23" i="144"/>
  <c r="X23" i="144"/>
  <c r="Y23" i="144"/>
  <c r="Z23" i="144"/>
  <c r="AA23" i="144"/>
  <c r="AB23" i="144"/>
  <c r="AC23" i="144"/>
  <c r="AD23" i="144"/>
  <c r="AG23" i="144"/>
  <c r="AG24" i="144"/>
  <c r="AG25" i="144"/>
  <c r="AG26" i="144"/>
  <c r="AG27" i="144"/>
  <c r="AG28" i="144"/>
  <c r="AG29" i="144"/>
  <c r="AG30" i="144"/>
  <c r="J31" i="144"/>
  <c r="K31" i="144"/>
  <c r="L31" i="144"/>
  <c r="M31" i="144"/>
  <c r="N31" i="144"/>
  <c r="AB31" i="144"/>
  <c r="AC31" i="144"/>
  <c r="AD31" i="144"/>
  <c r="AG31" i="144"/>
  <c r="AG32" i="144"/>
  <c r="AG33" i="144"/>
  <c r="C34" i="144"/>
  <c r="D34" i="144"/>
  <c r="AG34" i="144"/>
  <c r="AG35" i="144"/>
  <c r="AD36" i="144"/>
  <c r="AG36" i="144"/>
  <c r="Y37" i="144"/>
  <c r="AG37" i="144"/>
  <c r="AG38" i="144"/>
  <c r="AG39" i="144"/>
  <c r="AG40" i="144"/>
  <c r="Y41" i="144"/>
  <c r="AG41" i="144"/>
  <c r="J42" i="144"/>
  <c r="K42" i="144"/>
  <c r="L42" i="144"/>
  <c r="M42" i="144"/>
  <c r="N42" i="144"/>
  <c r="O42" i="144"/>
  <c r="P42" i="144"/>
  <c r="Q42" i="144"/>
  <c r="R42" i="144"/>
  <c r="S42" i="144"/>
  <c r="AG42" i="144"/>
  <c r="AE86" i="144"/>
  <c r="AF86" i="144"/>
  <c r="AG86" i="144"/>
  <c r="AH86" i="144"/>
  <c r="AE88" i="144"/>
  <c r="AF88" i="144"/>
  <c r="AG88" i="144"/>
  <c r="AH88" i="144"/>
  <c r="AE89" i="144"/>
  <c r="AF89" i="144"/>
  <c r="AG89" i="144"/>
  <c r="AH89" i="144"/>
  <c r="AE90" i="144"/>
  <c r="AF90" i="144"/>
  <c r="AG90" i="144"/>
  <c r="AH90" i="144"/>
  <c r="J6" i="143"/>
  <c r="K6" i="143"/>
  <c r="L6" i="143"/>
  <c r="M6" i="143"/>
  <c r="N6" i="143"/>
  <c r="O6" i="143"/>
  <c r="P6" i="143"/>
  <c r="Q6" i="143"/>
  <c r="R6" i="143"/>
  <c r="S6" i="143"/>
  <c r="T6" i="143"/>
  <c r="U6" i="143"/>
  <c r="V6" i="143"/>
  <c r="W6" i="143"/>
  <c r="X6" i="143"/>
  <c r="Y6" i="143"/>
  <c r="Z6" i="143"/>
  <c r="AA6" i="143"/>
  <c r="AB6" i="143"/>
  <c r="AC6" i="143"/>
  <c r="AD6" i="143"/>
  <c r="AE6" i="143"/>
  <c r="AG6" i="143"/>
  <c r="AG7" i="143"/>
  <c r="AG8" i="143"/>
  <c r="AG9" i="143"/>
  <c r="D10" i="143"/>
  <c r="AG10" i="143"/>
  <c r="AG11" i="143"/>
  <c r="J12" i="143"/>
  <c r="M12" i="143"/>
  <c r="O12" i="143"/>
  <c r="P12" i="143"/>
  <c r="Q12" i="143"/>
  <c r="R12" i="143"/>
  <c r="AG12" i="143"/>
  <c r="AB13" i="143"/>
  <c r="AC13" i="143"/>
  <c r="AD13" i="143"/>
  <c r="AE13" i="143"/>
  <c r="AG13" i="143"/>
  <c r="AG14" i="143"/>
  <c r="AG15" i="143"/>
  <c r="AG16" i="143"/>
  <c r="AG17" i="143"/>
  <c r="P18" i="143"/>
  <c r="Q18" i="143"/>
  <c r="R18" i="143"/>
  <c r="S18" i="143"/>
  <c r="AG18" i="143"/>
  <c r="AG19" i="143"/>
  <c r="AG20" i="143"/>
  <c r="AG21" i="143"/>
  <c r="AG22" i="143"/>
  <c r="AG23" i="143"/>
  <c r="AE24" i="143"/>
  <c r="AG24" i="143"/>
  <c r="AE25" i="143"/>
  <c r="AG25" i="143"/>
  <c r="AG26" i="143"/>
  <c r="AG27" i="143"/>
  <c r="AG28" i="143"/>
  <c r="AG29" i="143"/>
  <c r="AG30" i="143"/>
  <c r="AG31" i="143"/>
  <c r="Y32" i="143"/>
  <c r="AG32" i="143"/>
  <c r="AG33" i="143"/>
  <c r="AG34" i="143"/>
  <c r="AG35" i="143"/>
  <c r="AG36" i="143"/>
  <c r="AG37" i="143"/>
  <c r="AG38" i="143"/>
  <c r="AG39" i="143"/>
  <c r="AG40" i="143"/>
  <c r="C41" i="143"/>
  <c r="D41" i="143"/>
  <c r="E41" i="143"/>
  <c r="F41" i="143"/>
  <c r="G41" i="143"/>
  <c r="H41" i="143"/>
  <c r="I41" i="143"/>
  <c r="J41" i="143"/>
  <c r="K41" i="143"/>
  <c r="L41" i="143"/>
  <c r="M41" i="143"/>
  <c r="N41" i="143"/>
  <c r="O41" i="143"/>
  <c r="P41" i="143"/>
  <c r="Q41" i="143"/>
  <c r="R41" i="143"/>
  <c r="S41" i="143"/>
  <c r="T41" i="143"/>
  <c r="U41" i="143"/>
  <c r="V41" i="143"/>
  <c r="W41" i="143"/>
  <c r="X41" i="143"/>
  <c r="Y41" i="143"/>
  <c r="Z41" i="143"/>
  <c r="AA41" i="143"/>
  <c r="AB41" i="143"/>
  <c r="AC41" i="143"/>
  <c r="AD41" i="143"/>
  <c r="AE41" i="143"/>
  <c r="AG41" i="143"/>
  <c r="AG42" i="143"/>
  <c r="F49" i="72"/>
  <c r="C44" i="138"/>
  <c r="D44" i="138"/>
  <c r="E44" i="138"/>
  <c r="F44" i="138"/>
  <c r="G44" i="138"/>
  <c r="H44" i="138"/>
  <c r="I44" i="138"/>
  <c r="J44" i="138"/>
  <c r="K44" i="138"/>
  <c r="L44" i="138"/>
  <c r="M44" i="138"/>
  <c r="N44" i="138"/>
  <c r="O44" i="138"/>
  <c r="P44" i="138"/>
  <c r="Q44" i="138"/>
  <c r="R44" i="138"/>
  <c r="S44" i="138"/>
  <c r="T44" i="138"/>
  <c r="U44" i="138"/>
  <c r="V44" i="138"/>
  <c r="W44" i="138"/>
  <c r="X44" i="138"/>
  <c r="Y44" i="138"/>
</calcChain>
</file>

<file path=xl/sharedStrings.xml><?xml version="1.0" encoding="utf-8"?>
<sst xmlns="http://schemas.openxmlformats.org/spreadsheetml/2006/main" count="1293" uniqueCount="160">
  <si>
    <t>Passenger Transport</t>
  </si>
  <si>
    <t>Tram &amp; Metro</t>
  </si>
  <si>
    <t>Bus &amp; Coach</t>
  </si>
  <si>
    <t>passenger-km in %</t>
  </si>
  <si>
    <t>Buses and Coaches</t>
  </si>
  <si>
    <t>Notes:</t>
  </si>
  <si>
    <t>MK</t>
  </si>
  <si>
    <r>
      <t>Notes:</t>
    </r>
    <r>
      <rPr>
        <sz val="8"/>
        <rFont val="Arial"/>
        <family val="2"/>
      </rPr>
      <t xml:space="preserve"> </t>
    </r>
  </si>
  <si>
    <t>Powered 2-wheelers</t>
  </si>
  <si>
    <t>P2W</t>
  </si>
  <si>
    <t>IS</t>
  </si>
  <si>
    <t>CH</t>
  </si>
  <si>
    <t>BG</t>
  </si>
  <si>
    <t>CY</t>
  </si>
  <si>
    <t>CZ</t>
  </si>
  <si>
    <t>EE</t>
  </si>
  <si>
    <t>HU</t>
  </si>
  <si>
    <t>LV</t>
  </si>
  <si>
    <t>LT</t>
  </si>
  <si>
    <t>MT</t>
  </si>
  <si>
    <t>PL</t>
  </si>
  <si>
    <t>RO</t>
  </si>
  <si>
    <t>SK</t>
  </si>
  <si>
    <t>SI</t>
  </si>
  <si>
    <t>TR</t>
  </si>
  <si>
    <t>DK</t>
  </si>
  <si>
    <t>EL</t>
  </si>
  <si>
    <t>NL</t>
  </si>
  <si>
    <t>UK</t>
  </si>
  <si>
    <t>BE</t>
  </si>
  <si>
    <t>DE</t>
  </si>
  <si>
    <t>ES</t>
  </si>
  <si>
    <t>FR</t>
  </si>
  <si>
    <t>IE</t>
  </si>
  <si>
    <t>IT</t>
  </si>
  <si>
    <t>LU</t>
  </si>
  <si>
    <t>AT</t>
  </si>
  <si>
    <t>PT</t>
  </si>
  <si>
    <t>FI</t>
  </si>
  <si>
    <t>SE</t>
  </si>
  <si>
    <t>NO</t>
  </si>
  <si>
    <t xml:space="preserve"> </t>
  </si>
  <si>
    <t>%</t>
  </si>
  <si>
    <t>-</t>
  </si>
  <si>
    <t>HR</t>
  </si>
  <si>
    <t>Passenger Cars</t>
  </si>
  <si>
    <t>Buses &amp; Coaches</t>
  </si>
  <si>
    <t>Railways</t>
  </si>
  <si>
    <t>Sea</t>
  </si>
  <si>
    <t>Air</t>
  </si>
  <si>
    <t>Total</t>
  </si>
  <si>
    <t>Share of high speed rail transport in total passenger-kilometres in rail transport</t>
  </si>
  <si>
    <t>per year</t>
  </si>
  <si>
    <t>Modal split</t>
  </si>
  <si>
    <t>EUROPEAN UNION</t>
  </si>
  <si>
    <t>European Commission</t>
  </si>
  <si>
    <t>Performance by Mode (graph)</t>
  </si>
  <si>
    <r>
      <t xml:space="preserve">in co-operation with </t>
    </r>
    <r>
      <rPr>
        <b/>
        <sz val="10"/>
        <rFont val="Arial"/>
        <family val="2"/>
      </rPr>
      <t>Eurostat</t>
    </r>
  </si>
  <si>
    <t xml:space="preserve">Performance by Mode and Year </t>
  </si>
  <si>
    <t>Modal Split of Land Transport by Country</t>
  </si>
  <si>
    <t>Rail : High Speed Rail Transport</t>
  </si>
  <si>
    <t>Performance of Passenger Transport</t>
  </si>
  <si>
    <t>expressed in passenger-kilometres</t>
  </si>
  <si>
    <t>USA</t>
  </si>
  <si>
    <t>Performance by Mode of Transport : Passengers</t>
  </si>
  <si>
    <t>Passenger Cars *</t>
  </si>
  <si>
    <t>Motor- cycles</t>
  </si>
  <si>
    <t>Railway</t>
  </si>
  <si>
    <t>Bus</t>
  </si>
  <si>
    <t>Light and Commuter rail</t>
  </si>
  <si>
    <t>Average annual change</t>
  </si>
  <si>
    <t>% per year</t>
  </si>
  <si>
    <t>1990- 1995</t>
  </si>
  <si>
    <r>
      <t>UK:</t>
    </r>
    <r>
      <rPr>
        <sz val="8"/>
        <rFont val="Arial"/>
        <family val="2"/>
      </rPr>
      <t xml:space="preserve"> data refer to Great Britain only; include pkm by vans</t>
    </r>
  </si>
  <si>
    <t>Rail: High Speed Rail Transport</t>
  </si>
  <si>
    <t>USA: Performance by Mode of Transport: Passengers</t>
  </si>
  <si>
    <r>
      <t>Source</t>
    </r>
    <r>
      <rPr>
        <sz val="8"/>
        <rFont val="Arial"/>
        <family val="2"/>
      </rPr>
      <t>:</t>
    </r>
    <r>
      <rPr>
        <b/>
        <sz val="8"/>
        <rFont val="Arial"/>
        <family val="2"/>
      </rPr>
      <t xml:space="preserve"> </t>
    </r>
    <r>
      <rPr>
        <sz val="8"/>
        <rFont val="Arial"/>
        <family val="2"/>
      </rPr>
      <t xml:space="preserve">national statistics, International Union of Public Transport, study for DG Energy and Transport, estimates </t>
    </r>
    <r>
      <rPr>
        <i/>
        <sz val="8"/>
        <rFont val="Arial"/>
        <family val="2"/>
      </rPr>
      <t>(in italics)</t>
    </r>
  </si>
  <si>
    <r>
      <t>Source</t>
    </r>
    <r>
      <rPr>
        <sz val="8"/>
        <rFont val="Arial"/>
        <family val="2"/>
      </rPr>
      <t>: Union Internationale des Chemins de Fer, national statistics, estimates</t>
    </r>
    <r>
      <rPr>
        <i/>
        <sz val="8"/>
        <rFont val="Arial"/>
        <family val="2"/>
      </rPr>
      <t xml:space="preserve"> (in italics)</t>
    </r>
  </si>
  <si>
    <t>change %</t>
  </si>
  <si>
    <t>Pass -enger Cars</t>
  </si>
  <si>
    <t>Rail -way</t>
  </si>
  <si>
    <t>Modal Split of Passenger Transport on Land by Country</t>
  </si>
  <si>
    <r>
      <t>UK:</t>
    </r>
    <r>
      <rPr>
        <sz val="8"/>
        <rFont val="Arial"/>
        <family val="2"/>
      </rPr>
      <t xml:space="preserve"> GB data + 1.5 bln pkm throughout to account for Northern Ireland</t>
    </r>
  </si>
  <si>
    <t>2.3.1</t>
  </si>
  <si>
    <r>
      <t>Source</t>
    </r>
    <r>
      <rPr>
        <sz val="8"/>
        <rFont val="Arial"/>
        <family val="2"/>
      </rPr>
      <t xml:space="preserve">: tables 2.3.4, 2.3.5, 2.3.6, 2.3.7, estimates </t>
    </r>
  </si>
  <si>
    <t>2.3.3</t>
  </si>
  <si>
    <t>2.3.2</t>
  </si>
  <si>
    <t>2.3.4</t>
  </si>
  <si>
    <t>2.3.5</t>
  </si>
  <si>
    <t>2.3.6</t>
  </si>
  <si>
    <t>2.3.7</t>
  </si>
  <si>
    <t>2.3.8</t>
  </si>
  <si>
    <t>2.3.9</t>
  </si>
  <si>
    <t>Directorate-General for Mobility and Transport</t>
  </si>
  <si>
    <t>TRANSPORT IN FIGURES</t>
  </si>
  <si>
    <t>Chapter 2.3  :</t>
  </si>
  <si>
    <t>Part 2 :  TRANSPORT</t>
  </si>
  <si>
    <r>
      <t>Source:</t>
    </r>
    <r>
      <rPr>
        <sz val="8"/>
        <rFont val="Arial"/>
        <family val="2"/>
      </rPr>
      <t xml:space="preserve"> tables 2.3.4, 2.3.5, 2.3.6, 2.3.7</t>
    </r>
  </si>
  <si>
    <r>
      <t xml:space="preserve">Note: </t>
    </r>
    <r>
      <rPr>
        <sz val="8"/>
        <rFont val="Arial"/>
        <family val="2"/>
      </rPr>
      <t xml:space="preserve">In this table, high-speed rail transport covers all traffic with high-speed rolling stock (incl. tilting trains able to run 200 km/h). This does not necessarily require high-speed infrastructure as defined in table 2.5.4.   </t>
    </r>
  </si>
  <si>
    <t>*: It includes: light duty vehicles, short wheel base and long wheel base</t>
  </si>
  <si>
    <r>
      <t>Source</t>
    </r>
    <r>
      <rPr>
        <sz val="8"/>
        <rFont val="Arial"/>
        <family val="2"/>
      </rPr>
      <t xml:space="preserve">: table 2.3.7. </t>
    </r>
  </si>
  <si>
    <r>
      <t>Source</t>
    </r>
    <r>
      <rPr>
        <sz val="8"/>
        <rFont val="Arial"/>
        <family val="2"/>
      </rPr>
      <t>: national statistics, International Transport Forum, Eurostat, estimates</t>
    </r>
    <r>
      <rPr>
        <i/>
        <sz val="8"/>
        <rFont val="Arial"/>
        <family val="2"/>
      </rPr>
      <t xml:space="preserve"> (in italics)</t>
    </r>
  </si>
  <si>
    <r>
      <t>Source</t>
    </r>
    <r>
      <rPr>
        <sz val="8"/>
        <rFont val="Arial"/>
        <family val="2"/>
      </rPr>
      <t xml:space="preserve">: national statistics, International Transport Forum, Eurostat, study for DG Energy and Transport, estimates </t>
    </r>
    <r>
      <rPr>
        <i/>
        <sz val="8"/>
        <rFont val="Arial"/>
        <family val="2"/>
      </rPr>
      <t>(in italics)</t>
    </r>
  </si>
  <si>
    <t>ME</t>
  </si>
  <si>
    <t>RS</t>
  </si>
  <si>
    <t>billion pkm</t>
  </si>
  <si>
    <t>pkm</t>
  </si>
  <si>
    <t>Billion passenger-kilometres</t>
  </si>
  <si>
    <t>Billion pkm</t>
  </si>
  <si>
    <t>1995- 2000</t>
  </si>
  <si>
    <t>EU-28 Performance by Mode</t>
  </si>
  <si>
    <t>% under PSO (*)</t>
  </si>
  <si>
    <t>AL</t>
  </si>
  <si>
    <t>EU-28</t>
  </si>
  <si>
    <r>
      <t>FR:</t>
    </r>
    <r>
      <rPr>
        <sz val="8"/>
        <rFont val="Arial"/>
        <family val="2"/>
      </rPr>
      <t xml:space="preserve"> passenger-km include transport activity on the territory of vehicles not registered in France. Includes foreign vans.</t>
    </r>
  </si>
  <si>
    <r>
      <rPr>
        <b/>
        <sz val="8"/>
        <rFont val="Arial"/>
        <family val="2"/>
      </rPr>
      <t xml:space="preserve">CH: </t>
    </r>
    <r>
      <rPr>
        <sz val="8"/>
        <rFont val="Arial"/>
        <family val="2"/>
      </rPr>
      <t>includes activity of foreign vehicles in the country.</t>
    </r>
  </si>
  <si>
    <r>
      <rPr>
        <b/>
        <sz val="8"/>
        <rFont val="Arial"/>
        <family val="2"/>
      </rPr>
      <t>TR:</t>
    </r>
    <r>
      <rPr>
        <sz val="8"/>
        <rFont val="Arial"/>
        <family val="2"/>
      </rPr>
      <t xml:space="preserve"> excludes urban traffic.</t>
    </r>
  </si>
  <si>
    <r>
      <rPr>
        <b/>
        <sz val="8"/>
        <rFont val="Arial"/>
        <family val="2"/>
      </rPr>
      <t xml:space="preserve">ES: </t>
    </r>
    <r>
      <rPr>
        <sz val="8"/>
        <rFont val="Arial"/>
        <family val="2"/>
      </rPr>
      <t>including metro of Malaga since 2014.</t>
    </r>
  </si>
  <si>
    <r>
      <t xml:space="preserve">FR: </t>
    </r>
    <r>
      <rPr>
        <sz val="8"/>
        <rFont val="Arial"/>
        <family val="2"/>
      </rPr>
      <t>data refer to the Paris Metro, RER (Réseau Express Régional) systems, tramways d'Île-de-France (as of 2000) and metros in other French cities.</t>
    </r>
  </si>
  <si>
    <r>
      <t>PT:</t>
    </r>
    <r>
      <rPr>
        <sz val="8"/>
        <rFont val="Arial"/>
        <family val="2"/>
      </rPr>
      <t xml:space="preserve"> data refer to Lisbon, Porto and Sul do Tejo Metro systems (the latter as from 2014).</t>
    </r>
  </si>
  <si>
    <r>
      <rPr>
        <b/>
        <sz val="8"/>
        <rFont val="Arial"/>
        <family val="2"/>
      </rPr>
      <t xml:space="preserve">AT: </t>
    </r>
    <r>
      <rPr>
        <sz val="8"/>
        <rFont val="Arial"/>
        <family val="2"/>
      </rPr>
      <t>the times series includes an estimate for trolleybuses.</t>
    </r>
  </si>
  <si>
    <r>
      <t xml:space="preserve">AT: </t>
    </r>
    <r>
      <rPr>
        <sz val="8"/>
        <rFont val="Arial"/>
        <family val="2"/>
      </rPr>
      <t>it includes regional rail transport activity.</t>
    </r>
  </si>
  <si>
    <r>
      <t xml:space="preserve">PL: </t>
    </r>
    <r>
      <rPr>
        <sz val="8"/>
        <rFont val="Arial"/>
        <family val="2"/>
      </rPr>
      <t>estimated activity</t>
    </r>
  </si>
  <si>
    <r>
      <rPr>
        <b/>
        <sz val="8"/>
        <rFont val="Arial"/>
        <family val="2"/>
      </rPr>
      <t>PL:</t>
    </r>
    <r>
      <rPr>
        <sz val="8"/>
        <rFont val="Arial"/>
        <family val="2"/>
      </rPr>
      <t xml:space="preserve"> includes long-distance transport and estimated data for urban transport.</t>
    </r>
  </si>
  <si>
    <t>Public pkm</t>
  </si>
  <si>
    <t>Buses seats</t>
  </si>
  <si>
    <t>Trolleybuses seats</t>
  </si>
  <si>
    <t>Trams seats</t>
  </si>
  <si>
    <t>Weights</t>
  </si>
  <si>
    <t>pkm public bus</t>
  </si>
  <si>
    <t>Total pkm bus</t>
  </si>
  <si>
    <t>Total pkm tram</t>
  </si>
  <si>
    <r>
      <t xml:space="preserve">* Public Service Obligation (PSO) </t>
    </r>
    <r>
      <rPr>
        <sz val="8"/>
        <rFont val="Arial"/>
        <family val="2"/>
      </rPr>
      <t>means a requirement defined or 
determined by a competent authority in order to ensure public
passenger transport services in the general interest that an 
operator, if it were considering its own commercial interests,
would not assume or would not assume to the same extent
 or under the same conditions without reward.</t>
    </r>
  </si>
  <si>
    <r>
      <t xml:space="preserve">NL: </t>
    </r>
    <r>
      <rPr>
        <sz val="8"/>
        <rFont val="Arial"/>
        <family val="2"/>
      </rPr>
      <t>the time series from 2010 estimates the share of bus transport over the aggregate "bus/tram/metro" published in the OViN Travel Survey. Previous years' estimates have been retrofitted until 2010.</t>
    </r>
  </si>
  <si>
    <r>
      <t xml:space="preserve">NL: </t>
    </r>
    <r>
      <rPr>
        <sz val="8"/>
        <rFont val="Arial"/>
        <family val="2"/>
      </rPr>
      <t>the time series from 2010 estimates the share of tram &amp; metro over the aggregate "bus/tram/metro" published in the OViN Travel Survey. Previous years' estimates have been retrofitted until 2010.</t>
    </r>
  </si>
  <si>
    <r>
      <t xml:space="preserve">CS: </t>
    </r>
    <r>
      <rPr>
        <sz val="8"/>
        <rFont val="Arial"/>
        <family val="2"/>
      </rPr>
      <t>1990: 43.4</t>
    </r>
  </si>
  <si>
    <r>
      <t xml:space="preserve">DK: </t>
    </r>
    <r>
      <rPr>
        <sz val="8"/>
        <rFont val="Arial"/>
        <family val="2"/>
      </rPr>
      <t>figures exclude activity of vans with a mass higher than 2 000 kg.</t>
    </r>
  </si>
  <si>
    <r>
      <t xml:space="preserve">Air </t>
    </r>
    <r>
      <rPr>
        <sz val="8"/>
        <rFont val="Arial"/>
        <family val="2"/>
      </rPr>
      <t>and</t>
    </r>
    <r>
      <rPr>
        <b/>
        <sz val="8"/>
        <rFont val="Arial"/>
        <family val="2"/>
      </rPr>
      <t xml:space="preserve"> Sea</t>
    </r>
    <r>
      <rPr>
        <sz val="8"/>
        <rFont val="Arial"/>
        <family val="2"/>
      </rPr>
      <t>: only domestic and intra-EU-28 transport; provisional estimates.</t>
    </r>
  </si>
  <si>
    <r>
      <t>P2W</t>
    </r>
    <r>
      <rPr>
        <sz val="8"/>
        <rFont val="Arial"/>
        <family val="2"/>
      </rPr>
      <t>: Powered two-wheelers.</t>
    </r>
  </si>
  <si>
    <r>
      <t>Source :</t>
    </r>
    <r>
      <rPr>
        <sz val="8"/>
        <rFont val="Arial"/>
        <family val="2"/>
      </rPr>
      <t xml:space="preserve"> tables 2.3.4, 2.3.5, 2.3.6, 2.3.7, estimates (</t>
    </r>
    <r>
      <rPr>
        <i/>
        <sz val="8"/>
        <rFont val="Arial"/>
        <family val="2"/>
      </rPr>
      <t>in italics</t>
    </r>
    <r>
      <rPr>
        <sz val="8"/>
        <rFont val="Arial"/>
        <family val="2"/>
      </rPr>
      <t>).</t>
    </r>
  </si>
  <si>
    <r>
      <t>Source</t>
    </r>
    <r>
      <rPr>
        <sz val="8"/>
        <rFont val="Arial"/>
        <family val="2"/>
      </rPr>
      <t>: U.S. Department of Transportation, Bureau of Transportation Statistics.</t>
    </r>
  </si>
  <si>
    <t>change 16/17</t>
  </si>
  <si>
    <r>
      <t xml:space="preserve">DE: </t>
    </r>
    <r>
      <rPr>
        <sz val="8"/>
        <rFont val="Arial"/>
        <family val="2"/>
      </rPr>
      <t xml:space="preserve">includes </t>
    </r>
    <r>
      <rPr>
        <b/>
        <sz val="8"/>
        <rFont val="Arial"/>
        <family val="2"/>
      </rPr>
      <t>DE-E:</t>
    </r>
    <r>
      <rPr>
        <sz val="8"/>
        <rFont val="Arial"/>
        <family val="2"/>
      </rPr>
      <t xml:space="preserve"> 1970=24.5, 1980=56.0, 1990=90.3. In 2019: data revision back to 2015. </t>
    </r>
  </si>
  <si>
    <t>1995 -2017</t>
  </si>
  <si>
    <t>2000 -2017</t>
  </si>
  <si>
    <t>2016- 2017</t>
  </si>
  <si>
    <t>Note: passenger car and motorcycle data was revised back to 2009</t>
  </si>
  <si>
    <t>2000- 2017</t>
  </si>
  <si>
    <r>
      <rPr>
        <b/>
        <sz val="8"/>
        <rFont val="Arial"/>
        <family val="2"/>
      </rPr>
      <t xml:space="preserve">PT: </t>
    </r>
    <r>
      <rPr>
        <sz val="8"/>
        <rFont val="Arial"/>
        <family val="2"/>
      </rPr>
      <t xml:space="preserve">data revision back to 2015 </t>
    </r>
  </si>
  <si>
    <r>
      <rPr>
        <b/>
        <sz val="8"/>
        <rFont val="Arial"/>
        <family val="2"/>
      </rPr>
      <t xml:space="preserve">IE: </t>
    </r>
    <r>
      <rPr>
        <sz val="8"/>
        <rFont val="Arial"/>
        <family val="2"/>
      </rPr>
      <t xml:space="preserve"> data revision back to 2015 </t>
    </r>
  </si>
  <si>
    <t xml:space="preserve">Data is not harmonised and therefore not fully comparable. 2017 data may be provisional. Data sometimes includes activity of foreign vehicles performed within the country, therefore  EU aggregates might be affected by double-counting. </t>
  </si>
  <si>
    <r>
      <rPr>
        <b/>
        <sz val="8"/>
        <rFont val="Arial"/>
        <family val="2"/>
      </rPr>
      <t>ES:</t>
    </r>
    <r>
      <rPr>
        <sz val="8"/>
        <rFont val="Arial"/>
        <family val="2"/>
      </rPr>
      <t xml:space="preserve"> break in series between 2013 and 2014 and between 2016 and 2017 due to a change in methodology. </t>
    </r>
  </si>
  <si>
    <t xml:space="preserve">If powered two-wheelers are included, they account for 2,02 % of the total in EU-28, while the share of the other modes becomes: </t>
  </si>
  <si>
    <t>-36,1*</t>
  </si>
  <si>
    <r>
      <rPr>
        <b/>
        <sz val="8"/>
        <rFont val="Arial"/>
        <family val="2"/>
      </rPr>
      <t xml:space="preserve">*: </t>
    </r>
    <r>
      <rPr>
        <sz val="8"/>
        <rFont val="Arial"/>
        <family val="2"/>
      </rPr>
      <t>ES: the two years are not comparable due to a change in the methodology.</t>
    </r>
  </si>
  <si>
    <t>Data is not harmonised and therefore not fully comparable. 2017 data may be provisional. Data sometimes includes activity of foreign vehicles performed within the country, therefore  EU aggregates might be affected by double-counting. Generally vans are not considered in this table, but there may be exceptions.</t>
  </si>
  <si>
    <t>Data are not harmonised and therefore not fully comparable across countries. Data for 2017 are mostly provisional.</t>
  </si>
  <si>
    <r>
      <rPr>
        <b/>
        <sz val="8"/>
        <rFont val="Arial"/>
        <family val="2"/>
      </rPr>
      <t>FR:</t>
    </r>
    <r>
      <rPr>
        <sz val="8"/>
        <rFont val="Arial"/>
        <family val="2"/>
      </rPr>
      <t xml:space="preserve"> includes tram transport activity at province level, and tram transport in the ile de France until 2000. It also includes occasional bus transport in the territory of France performed by foreign buses. In 2018 revision of data from 2000 onwards following change in the methodology. </t>
    </r>
  </si>
  <si>
    <r>
      <t>Notes:</t>
    </r>
    <r>
      <rPr>
        <sz val="8"/>
        <rFont val="Arial"/>
        <family val="2"/>
      </rPr>
      <t xml:space="preserve">  </t>
    </r>
    <r>
      <rPr>
        <b/>
        <sz val="8"/>
        <rFont val="Arial"/>
        <family val="2"/>
      </rPr>
      <t>BE</t>
    </r>
    <r>
      <rPr>
        <sz val="8"/>
        <rFont val="Arial"/>
        <family val="2"/>
      </rPr>
      <t xml:space="preserve"> as of 2014, data are ITF estimates. </t>
    </r>
    <r>
      <rPr>
        <b/>
        <sz val="8"/>
        <rFont val="Arial"/>
        <family val="2"/>
      </rPr>
      <t>UK</t>
    </r>
    <r>
      <rPr>
        <sz val="8"/>
        <rFont val="Arial"/>
        <family val="2"/>
      </rPr>
      <t xml:space="preserve"> share of PSO excludes Northern Ireland. EU-28 shares of PSO estimated on the basis of the available data. </t>
    </r>
    <r>
      <rPr>
        <b/>
        <sz val="8"/>
        <rFont val="Arial"/>
        <family val="2"/>
      </rPr>
      <t>FR</t>
    </r>
    <r>
      <rPr>
        <sz val="8"/>
        <rFont val="Arial"/>
        <family val="2"/>
      </rPr>
      <t xml:space="preserve">: in 2018 the methodology has changed, data back to 2015 were revised; recalibration of time serie back to 1990; </t>
    </r>
  </si>
  <si>
    <r>
      <t>Source</t>
    </r>
    <r>
      <rPr>
        <sz val="8"/>
        <rFont val="Arial"/>
        <family val="2"/>
      </rPr>
      <t>: Eurostat, International Transport Forum, UNECE, Union Internationale des Chemins de Fer, DG MOVE Rail Market Monitoring; (</t>
    </r>
    <r>
      <rPr>
        <b/>
        <sz val="8"/>
        <rFont val="Arial"/>
        <family val="2"/>
      </rPr>
      <t>BE</t>
    </r>
    <r>
      <rPr>
        <sz val="8"/>
        <rFont val="Arial"/>
        <family val="2"/>
      </rPr>
      <t xml:space="preserve"> 2012, 2013) national statistics, estimates (</t>
    </r>
    <r>
      <rPr>
        <i/>
        <sz val="8"/>
        <rFont val="Arial"/>
        <family val="2"/>
      </rPr>
      <t>in italics</t>
    </r>
    <r>
      <rPr>
        <sz val="8"/>
        <rFont val="Arial"/>
        <family val="2"/>
      </rPr>
      <t>). Shares under PSO from Rail Market Monitoring (DG MOVE) and DG MOVE estimates, based on different volumes than Eurostat.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</si>
</sst>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4" formatCode="_(&quot;$&quot;* #,##0.00_);_(&quot;$&quot;* \(#,##0.00\);_(&quot;$&quot;* &quot;-&quot;??_);_(@_)"/>
    <numFmt numFmtId="43" formatCode="_(* #,##0.00_);_(* \(#,##0.00\);_(* &quot;-&quot;??_);_(@_)"/>
    <numFmt numFmtId="172" formatCode="#,##0.0"/>
    <numFmt numFmtId="173" formatCode="0.0"/>
    <numFmt numFmtId="174" formatCode="#\ ##0"/>
    <numFmt numFmtId="175" formatCode="0.0\ \ \ "/>
    <numFmt numFmtId="176" formatCode="0.0%"/>
    <numFmt numFmtId="177" formatCode="0.0\ "/>
    <numFmt numFmtId="178" formatCode="0.0%;\-0.0%"/>
    <numFmt numFmtId="179" formatCode="General_)"/>
    <numFmt numFmtId="180" formatCode="[&gt;0.5]#,##0;[&lt;-0.5]\-#,##0;\-"/>
    <numFmt numFmtId="181" formatCode="_-* #,##0.00\ [$€]_-;\-* #,##0.00\ [$€]_-;_-* &quot;-&quot;??\ [$€]_-;_-@_-"/>
    <numFmt numFmtId="182" formatCode="#\ ##0.0"/>
    <numFmt numFmtId="183" formatCode="###0.00_)"/>
    <numFmt numFmtId="184" formatCode="#,##0_)"/>
    <numFmt numFmtId="185" formatCode="0.000"/>
    <numFmt numFmtId="186" formatCode="0.00000"/>
    <numFmt numFmtId="187" formatCode="&quot; &quot;General"/>
    <numFmt numFmtId="188" formatCode="_-* #,##0.00\ &quot;zł&quot;_-;\-* #,##0.00\ &quot;zł&quot;_-;_-* &quot;-&quot;??\ &quot;zł&quot;_-;_-@_-"/>
    <numFmt numFmtId="189" formatCode="_-* #,##0.00,&quot;DM&quot;_-;\-* #,##0.00,&quot;DM&quot;_-;_-* \-??&quot; DM&quot;_-;_-@_-"/>
    <numFmt numFmtId="190" formatCode="#,##0.000_);[Red]\(#,##0.000\);\-_)"/>
    <numFmt numFmtId="191" formatCode="#,##0.0%;[Red]\(#,##0.0%\);\-"/>
  </numFmts>
  <fonts count="120">
    <font>
      <sz val="10"/>
      <name val="Arial"/>
    </font>
    <font>
      <sz val="10"/>
      <name val="Arial"/>
      <family val="2"/>
    </font>
    <font>
      <sz val="10"/>
      <name val="Arial"/>
      <family val="2"/>
    </font>
    <font>
      <b/>
      <sz val="14"/>
      <name val="Arial"/>
      <family val="2"/>
    </font>
    <font>
      <sz val="8"/>
      <name val="Arial"/>
      <family val="2"/>
    </font>
    <font>
      <b/>
      <sz val="8"/>
      <name val="Arial"/>
      <family val="2"/>
    </font>
    <font>
      <sz val="8"/>
      <name val="Arial"/>
      <family val="2"/>
    </font>
    <font>
      <b/>
      <sz val="12"/>
      <name val="Arial"/>
      <family val="2"/>
    </font>
    <font>
      <b/>
      <sz val="8"/>
      <name val="Arial"/>
      <family val="2"/>
    </font>
    <font>
      <sz val="10"/>
      <name val="Times"/>
      <family val="1"/>
    </font>
    <font>
      <b/>
      <sz val="18"/>
      <name val="Arial"/>
      <family val="2"/>
    </font>
    <font>
      <sz val="12"/>
      <name val="Arial"/>
      <family val="2"/>
    </font>
    <font>
      <b/>
      <sz val="10"/>
      <name val="Arial"/>
      <family val="2"/>
    </font>
    <font>
      <b/>
      <sz val="8"/>
      <name val="Times"/>
      <family val="1"/>
    </font>
    <font>
      <b/>
      <sz val="10"/>
      <name val="Times"/>
      <family val="1"/>
    </font>
    <font>
      <b/>
      <i/>
      <sz val="10"/>
      <name val="Times"/>
      <family val="1"/>
    </font>
    <font>
      <b/>
      <sz val="9"/>
      <name val="Arial"/>
      <family val="2"/>
    </font>
    <font>
      <sz val="8"/>
      <name val="Times"/>
      <family val="1"/>
    </font>
    <font>
      <i/>
      <sz val="8"/>
      <name val="Times"/>
      <family val="1"/>
    </font>
    <font>
      <sz val="9"/>
      <name val="Arial"/>
      <family val="2"/>
    </font>
    <font>
      <i/>
      <sz val="8"/>
      <name val="Arial"/>
      <family val="2"/>
    </font>
    <font>
      <b/>
      <i/>
      <sz val="8"/>
      <name val="Arial"/>
      <family val="2"/>
    </font>
    <font>
      <b/>
      <sz val="10"/>
      <color indexed="18"/>
      <name val="Arial"/>
      <family val="2"/>
    </font>
    <font>
      <b/>
      <sz val="10"/>
      <color indexed="8"/>
      <name val="Arial"/>
      <family val="2"/>
    </font>
    <font>
      <b/>
      <sz val="10"/>
      <name val="Arial"/>
      <family val="2"/>
    </font>
    <font>
      <b/>
      <sz val="12"/>
      <name val="Arial"/>
      <family val="2"/>
    </font>
    <font>
      <sz val="10"/>
      <name val="Helvetica"/>
      <family val="2"/>
    </font>
    <font>
      <sz val="12"/>
      <name val="Arial"/>
      <family val="2"/>
    </font>
    <font>
      <sz val="14"/>
      <name val="Arial"/>
      <family val="2"/>
    </font>
    <font>
      <b/>
      <sz val="10"/>
      <name val="Times"/>
      <family val="1"/>
    </font>
    <font>
      <b/>
      <sz val="7"/>
      <name val="Arial"/>
      <family val="2"/>
    </font>
    <font>
      <i/>
      <sz val="8"/>
      <name val="Arial"/>
      <family val="2"/>
    </font>
    <font>
      <sz val="7"/>
      <name val="Arial"/>
      <family val="2"/>
    </font>
    <font>
      <sz val="8"/>
      <name val="Helvetica"/>
      <family val="2"/>
    </font>
    <font>
      <sz val="8"/>
      <name val="Helv"/>
      <family val="2"/>
    </font>
    <font>
      <sz val="11"/>
      <name val="Arial"/>
      <family val="2"/>
    </font>
    <font>
      <sz val="10"/>
      <name val="Times New Roman"/>
      <family val="1"/>
    </font>
    <font>
      <sz val="16"/>
      <name val="Helvetica"/>
      <family val="2"/>
    </font>
    <font>
      <i/>
      <sz val="12"/>
      <name val="Times New Roman"/>
      <family val="1"/>
    </font>
    <font>
      <sz val="10"/>
      <name val="Arial"/>
      <family val="2"/>
    </font>
    <font>
      <sz val="9"/>
      <name val="Verdana"/>
      <family val="2"/>
    </font>
    <font>
      <i/>
      <sz val="9"/>
      <color indexed="60"/>
      <name val="Verdana"/>
      <family val="2"/>
    </font>
    <font>
      <b/>
      <sz val="9"/>
      <name val="Verdana"/>
      <family val="2"/>
    </font>
    <font>
      <sz val="10"/>
      <name val="Times New Roman"/>
      <family val="1"/>
    </font>
    <font>
      <u/>
      <sz val="10"/>
      <color indexed="12"/>
      <name val="Times New Roman"/>
      <family val="1"/>
    </font>
    <font>
      <sz val="11"/>
      <name val="Arial"/>
      <family val="2"/>
    </font>
    <font>
      <sz val="12"/>
      <name val="Helv"/>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u/>
      <sz val="8"/>
      <color indexed="12"/>
      <name val="Arial"/>
      <family val="2"/>
    </font>
    <font>
      <u/>
      <sz val="10"/>
      <color indexed="36"/>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name val="Arial"/>
      <family val="2"/>
    </font>
    <font>
      <sz val="10"/>
      <color indexed="24"/>
      <name val="Arial"/>
      <family val="2"/>
    </font>
    <font>
      <sz val="12"/>
      <color indexed="24"/>
      <name val="Arial"/>
      <family val="2"/>
    </font>
    <font>
      <b/>
      <sz val="12"/>
      <name val="Calibri"/>
      <family val="2"/>
    </font>
    <font>
      <sz val="10"/>
      <name val="Calibri"/>
      <family val="2"/>
    </font>
    <font>
      <b/>
      <sz val="12"/>
      <name val="Times New Roman"/>
      <family val="1"/>
    </font>
    <font>
      <sz val="10"/>
      <color indexed="56"/>
      <name val="Arial"/>
      <family val="2"/>
    </font>
    <font>
      <i/>
      <sz val="8"/>
      <color indexed="21"/>
      <name val="Arial"/>
      <family val="2"/>
    </font>
    <font>
      <sz val="11"/>
      <color theme="1"/>
      <name val="Calibri"/>
      <family val="2"/>
      <scheme val="minor"/>
    </font>
    <font>
      <sz val="11"/>
      <color theme="0"/>
      <name val="Calibri"/>
      <family val="2"/>
      <scheme val="minor"/>
    </font>
    <font>
      <b/>
      <sz val="13"/>
      <color theme="0"/>
      <name val="Calibri"/>
      <family val="2"/>
    </font>
    <font>
      <sz val="11"/>
      <color rgb="FF9C0006"/>
      <name val="Calibri"/>
      <family val="2"/>
      <scheme val="minor"/>
    </font>
    <font>
      <b/>
      <sz val="11"/>
      <color rgb="FFFA7D00"/>
      <name val="Calibri"/>
      <family val="2"/>
      <scheme val="minor"/>
    </font>
    <font>
      <b/>
      <sz val="11"/>
      <color theme="0"/>
      <name val="Calibri"/>
      <family val="2"/>
      <scheme val="minor"/>
    </font>
    <font>
      <sz val="11"/>
      <color rgb="FF000000"/>
      <name val="Calibri"/>
      <family val="2"/>
      <charset val="1"/>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6"/>
      <color rgb="FF000000"/>
      <name val="Helvetica"/>
      <family val="2"/>
    </font>
    <font>
      <u/>
      <sz val="8"/>
      <color rgb="FF0000FF"/>
      <name val="Times New Roman"/>
      <family val="1"/>
    </font>
    <font>
      <u/>
      <sz val="7"/>
      <color rgb="FF0000FF"/>
      <name val="Arial"/>
      <family val="2"/>
    </font>
    <font>
      <u/>
      <sz val="11"/>
      <color rgb="FF0563C1"/>
      <name val="Calibri"/>
      <family val="2"/>
      <charset val="1"/>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font>
    <font>
      <sz val="10"/>
      <color rgb="FF000000"/>
      <name val="Times New Roman"/>
      <family val="1"/>
    </font>
    <font>
      <sz val="11"/>
      <color theme="1"/>
      <name val="Czcionka tekstu podstawowego"/>
      <family val="2"/>
      <charset val="238"/>
    </font>
    <font>
      <sz val="10"/>
      <color theme="1"/>
      <name val="Arial"/>
      <family val="2"/>
    </font>
    <font>
      <sz val="8"/>
      <color rgb="FF000000"/>
      <name val="Arial"/>
      <family val="2"/>
    </font>
    <font>
      <b/>
      <sz val="11"/>
      <color rgb="FF3F3F3F"/>
      <name val="Calibri"/>
      <family val="2"/>
      <scheme val="minor"/>
    </font>
    <font>
      <sz val="10"/>
      <color rgb="FF000000"/>
      <name val="Arial"/>
      <family val="2"/>
    </font>
    <font>
      <i/>
      <sz val="12"/>
      <color rgb="FF000000"/>
      <name val="Times New Roman"/>
      <family val="1"/>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s>
  <fills count="77">
    <fill>
      <patternFill patternType="none"/>
    </fill>
    <fill>
      <patternFill patternType="gray125"/>
    </fill>
    <fill>
      <patternFill patternType="solid">
        <fgColor indexed="47"/>
      </patternFill>
    </fill>
    <fill>
      <patternFill patternType="solid">
        <fgColor indexed="31"/>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9"/>
        <bgColor indexed="40"/>
      </patternFill>
    </fill>
    <fill>
      <patternFill patternType="solid">
        <fgColor indexed="22"/>
        <bgColor indexed="9"/>
      </patternFill>
    </fill>
    <fill>
      <patternFill patternType="solid">
        <fgColor indexed="22"/>
        <bgColor indexed="55"/>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lightGray">
        <fgColor indexed="9"/>
      </patternFill>
    </fill>
    <fill>
      <patternFill patternType="gray0625">
        <fgColor indexed="9"/>
      </patternFill>
    </fill>
    <fill>
      <patternFill patternType="solid">
        <fgColor indexed="42"/>
        <bgColor indexed="64"/>
      </patternFill>
    </fill>
    <fill>
      <patternFill patternType="solid">
        <fgColor indexed="41"/>
        <bgColor indexed="64"/>
      </patternFill>
    </fill>
    <fill>
      <patternFill patternType="solid">
        <fgColor indexed="34"/>
        <bgColor indexed="64"/>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57626E"/>
        <bgColor indexed="64"/>
      </patternFill>
    </fill>
    <fill>
      <patternFill patternType="solid">
        <fgColor rgb="FFA2A5AD"/>
        <bgColor indexed="64"/>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CC"/>
        <bgColor indexed="64"/>
      </patternFill>
    </fill>
    <fill>
      <patternFill patternType="solid">
        <fgColor rgb="FF00B0F0"/>
        <bgColor indexed="64"/>
      </patternFill>
    </fill>
    <fill>
      <patternFill patternType="solid">
        <fgColor theme="0"/>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style="thin">
        <color indexed="30"/>
      </left>
      <right style="thin">
        <color indexed="30"/>
      </right>
      <top style="thin">
        <color indexed="30"/>
      </top>
      <bottom style="thin">
        <color indexed="30"/>
      </bottom>
      <diagonal/>
    </border>
    <border>
      <left style="thin">
        <color indexed="56"/>
      </left>
      <right style="thin">
        <color indexed="56"/>
      </right>
      <top style="thin">
        <color indexed="56"/>
      </top>
      <bottom style="thin">
        <color indexed="56"/>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ck">
        <color indexed="64"/>
      </top>
      <bottom/>
      <diagonal/>
    </border>
    <border>
      <left style="thin">
        <color indexed="64"/>
      </left>
      <right style="thin">
        <color indexed="64"/>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bottom/>
      <diagonal/>
    </border>
    <border>
      <left/>
      <right style="thick">
        <color indexed="64"/>
      </right>
      <top/>
      <bottom/>
      <diagonal/>
    </border>
    <border>
      <left/>
      <right style="thin">
        <color indexed="64"/>
      </right>
      <top/>
      <bottom style="thin">
        <color indexed="64"/>
      </bottom>
      <diagonal/>
    </border>
    <border>
      <left style="thin">
        <color indexed="64"/>
      </left>
      <right/>
      <top style="thick">
        <color indexed="64"/>
      </top>
      <bottom/>
      <diagonal/>
    </border>
    <border>
      <left/>
      <right style="thin">
        <color indexed="64"/>
      </right>
      <top style="thick">
        <color indexed="64"/>
      </top>
      <bottom/>
      <diagonal/>
    </border>
    <border>
      <left style="thin">
        <color indexed="64"/>
      </left>
      <right/>
      <top/>
      <bottom style="thin">
        <color indexed="64"/>
      </bottom>
      <diagonal/>
    </border>
    <border>
      <left style="thick">
        <color indexed="64"/>
      </left>
      <right/>
      <top style="thin">
        <color indexed="64"/>
      </top>
      <bottom/>
      <diagonal/>
    </border>
    <border>
      <left/>
      <right/>
      <top/>
      <bottom style="thick">
        <color indexed="64"/>
      </bottom>
      <diagonal/>
    </border>
    <border>
      <left style="thin">
        <color indexed="64"/>
      </left>
      <right/>
      <top/>
      <bottom style="thick">
        <color indexed="64"/>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90">
    <xf numFmtId="0" fontId="0" fillId="0" borderId="0"/>
    <xf numFmtId="0" fontId="39" fillId="2" borderId="0" applyNumberFormat="0" applyFont="0" applyBorder="0" applyAlignment="0" applyProtection="0"/>
    <xf numFmtId="0" fontId="88" fillId="41" borderId="0" applyNumberFormat="0" applyBorder="0" applyAlignment="0" applyProtection="0"/>
    <xf numFmtId="0" fontId="61" fillId="3" borderId="0" applyNumberFormat="0" applyBorder="0" applyAlignment="0" applyProtection="0"/>
    <xf numFmtId="0" fontId="88" fillId="41" borderId="0" applyNumberFormat="0" applyBorder="0" applyAlignment="0" applyProtection="0"/>
    <xf numFmtId="0" fontId="88" fillId="42" borderId="0" applyNumberFormat="0" applyBorder="0" applyAlignment="0" applyProtection="0"/>
    <xf numFmtId="0" fontId="61" fillId="4" borderId="0" applyNumberFormat="0" applyBorder="0" applyAlignment="0" applyProtection="0"/>
    <xf numFmtId="0" fontId="88" fillId="42" borderId="0" applyNumberFormat="0" applyBorder="0" applyAlignment="0" applyProtection="0"/>
    <xf numFmtId="0" fontId="88" fillId="43" borderId="0" applyNumberFormat="0" applyBorder="0" applyAlignment="0" applyProtection="0"/>
    <xf numFmtId="0" fontId="61" fillId="6" borderId="0" applyNumberFormat="0" applyBorder="0" applyAlignment="0" applyProtection="0"/>
    <xf numFmtId="0" fontId="88" fillId="43" borderId="0" applyNumberFormat="0" applyBorder="0" applyAlignment="0" applyProtection="0"/>
    <xf numFmtId="0" fontId="88" fillId="44" borderId="0" applyNumberFormat="0" applyBorder="0" applyAlignment="0" applyProtection="0"/>
    <xf numFmtId="0" fontId="61" fillId="7" borderId="0" applyNumberFormat="0" applyBorder="0" applyAlignment="0" applyProtection="0"/>
    <xf numFmtId="0" fontId="88" fillId="44" borderId="0" applyNumberFormat="0" applyBorder="0" applyAlignment="0" applyProtection="0"/>
    <xf numFmtId="0" fontId="88" fillId="45" borderId="0" applyNumberFormat="0" applyBorder="0" applyAlignment="0" applyProtection="0"/>
    <xf numFmtId="0" fontId="61" fillId="8" borderId="0" applyNumberFormat="0" applyBorder="0" applyAlignment="0" applyProtection="0"/>
    <xf numFmtId="0" fontId="88" fillId="45" borderId="0" applyNumberFormat="0" applyBorder="0" applyAlignment="0" applyProtection="0"/>
    <xf numFmtId="0" fontId="88" fillId="46" borderId="0" applyNumberFormat="0" applyBorder="0" applyAlignment="0" applyProtection="0"/>
    <xf numFmtId="0" fontId="61" fillId="2" borderId="0" applyNumberFormat="0" applyBorder="0" applyAlignment="0" applyProtection="0"/>
    <xf numFmtId="0" fontId="88" fillId="46" borderId="0" applyNumberFormat="0" applyBorder="0" applyAlignment="0" applyProtection="0"/>
    <xf numFmtId="0" fontId="88" fillId="47" borderId="0" applyNumberFormat="0" applyBorder="0" applyAlignment="0" applyProtection="0"/>
    <xf numFmtId="0" fontId="61" fillId="10" borderId="0" applyNumberFormat="0" applyBorder="0" applyAlignment="0" applyProtection="0"/>
    <xf numFmtId="0" fontId="88" fillId="47" borderId="0" applyNumberFormat="0" applyBorder="0" applyAlignment="0" applyProtection="0"/>
    <xf numFmtId="0" fontId="88" fillId="48" borderId="0" applyNumberFormat="0" applyBorder="0" applyAlignment="0" applyProtection="0"/>
    <xf numFmtId="0" fontId="61" fillId="11" borderId="0" applyNumberFormat="0" applyBorder="0" applyAlignment="0" applyProtection="0"/>
    <xf numFmtId="0" fontId="88" fillId="48" borderId="0" applyNumberFormat="0" applyBorder="0" applyAlignment="0" applyProtection="0"/>
    <xf numFmtId="0" fontId="88" fillId="49" borderId="0" applyNumberFormat="0" applyBorder="0" applyAlignment="0" applyProtection="0"/>
    <xf numFmtId="0" fontId="61" fillId="13" borderId="0" applyNumberFormat="0" applyBorder="0" applyAlignment="0" applyProtection="0"/>
    <xf numFmtId="0" fontId="88" fillId="49" borderId="0" applyNumberFormat="0" applyBorder="0" applyAlignment="0" applyProtection="0"/>
    <xf numFmtId="0" fontId="88" fillId="50" borderId="0" applyNumberFormat="0" applyBorder="0" applyAlignment="0" applyProtection="0"/>
    <xf numFmtId="0" fontId="61" fillId="7" borderId="0" applyNumberFormat="0" applyBorder="0" applyAlignment="0" applyProtection="0"/>
    <xf numFmtId="0" fontId="88" fillId="50" borderId="0" applyNumberFormat="0" applyBorder="0" applyAlignment="0" applyProtection="0"/>
    <xf numFmtId="0" fontId="88" fillId="51" borderId="0" applyNumberFormat="0" applyBorder="0" applyAlignment="0" applyProtection="0"/>
    <xf numFmtId="0" fontId="61" fillId="10" borderId="0" applyNumberFormat="0" applyBorder="0" applyAlignment="0" applyProtection="0"/>
    <xf numFmtId="0" fontId="88" fillId="51" borderId="0" applyNumberFormat="0" applyBorder="0" applyAlignment="0" applyProtection="0"/>
    <xf numFmtId="0" fontId="88" fillId="52" borderId="0" applyNumberFormat="0" applyBorder="0" applyAlignment="0" applyProtection="0"/>
    <xf numFmtId="0" fontId="61" fillId="14" borderId="0" applyNumberFormat="0" applyBorder="0" applyAlignment="0" applyProtection="0"/>
    <xf numFmtId="0" fontId="88" fillId="52" borderId="0" applyNumberFormat="0" applyBorder="0" applyAlignment="0" applyProtection="0"/>
    <xf numFmtId="0" fontId="89" fillId="53" borderId="0" applyNumberFormat="0" applyBorder="0" applyAlignment="0" applyProtection="0"/>
    <xf numFmtId="0" fontId="63" fillId="16" borderId="0" applyNumberFormat="0" applyBorder="0" applyAlignment="0" applyProtection="0"/>
    <xf numFmtId="0" fontId="89" fillId="54" borderId="0" applyNumberFormat="0" applyBorder="0" applyAlignment="0" applyProtection="0"/>
    <xf numFmtId="0" fontId="63" fillId="11" borderId="0" applyNumberFormat="0" applyBorder="0" applyAlignment="0" applyProtection="0"/>
    <xf numFmtId="0" fontId="89" fillId="55" borderId="0" applyNumberFormat="0" applyBorder="0" applyAlignment="0" applyProtection="0"/>
    <xf numFmtId="0" fontId="63" fillId="13" borderId="0" applyNumberFormat="0" applyBorder="0" applyAlignment="0" applyProtection="0"/>
    <xf numFmtId="0" fontId="89" fillId="56" borderId="0" applyNumberFormat="0" applyBorder="0" applyAlignment="0" applyProtection="0"/>
    <xf numFmtId="0" fontId="63" fillId="17" borderId="0" applyNumberFormat="0" applyBorder="0" applyAlignment="0" applyProtection="0"/>
    <xf numFmtId="0" fontId="89" fillId="57" borderId="0" applyNumberFormat="0" applyBorder="0" applyAlignment="0" applyProtection="0"/>
    <xf numFmtId="0" fontId="63" fillId="15" borderId="0" applyNumberFormat="0" applyBorder="0" applyAlignment="0" applyProtection="0"/>
    <xf numFmtId="0" fontId="89" fillId="58" borderId="0" applyNumberFormat="0" applyBorder="0" applyAlignment="0" applyProtection="0"/>
    <xf numFmtId="0" fontId="63" fillId="18" borderId="0" applyNumberFormat="0" applyBorder="0" applyAlignment="0" applyProtection="0"/>
    <xf numFmtId="0" fontId="90" fillId="59" borderId="0" applyProtection="0">
      <alignment vertical="center"/>
    </xf>
    <xf numFmtId="0" fontId="83" fillId="60" borderId="0" applyProtection="0">
      <alignment vertical="center"/>
    </xf>
    <xf numFmtId="0" fontId="89" fillId="61" borderId="0" applyNumberFormat="0" applyBorder="0" applyAlignment="0" applyProtection="0"/>
    <xf numFmtId="0" fontId="63" fillId="19" borderId="0" applyNumberFormat="0" applyBorder="0" applyAlignment="0" applyProtection="0"/>
    <xf numFmtId="0" fontId="89" fillId="62" borderId="0" applyNumberFormat="0" applyBorder="0" applyAlignment="0" applyProtection="0"/>
    <xf numFmtId="0" fontId="63" fillId="20" borderId="0" applyNumberFormat="0" applyBorder="0" applyAlignment="0" applyProtection="0"/>
    <xf numFmtId="0" fontId="89" fillId="63" borderId="0" applyNumberFormat="0" applyBorder="0" applyAlignment="0" applyProtection="0"/>
    <xf numFmtId="0" fontId="63" fillId="21" borderId="0" applyNumberFormat="0" applyBorder="0" applyAlignment="0" applyProtection="0"/>
    <xf numFmtId="0" fontId="89" fillId="64" borderId="0" applyNumberFormat="0" applyBorder="0" applyAlignment="0" applyProtection="0"/>
    <xf numFmtId="0" fontId="63" fillId="17" borderId="0" applyNumberFormat="0" applyBorder="0" applyAlignment="0" applyProtection="0"/>
    <xf numFmtId="0" fontId="89" fillId="65" borderId="0" applyNumberFormat="0" applyBorder="0" applyAlignment="0" applyProtection="0"/>
    <xf numFmtId="0" fontId="63" fillId="15" borderId="0" applyNumberFormat="0" applyBorder="0" applyAlignment="0" applyProtection="0"/>
    <xf numFmtId="0" fontId="89" fillId="66" borderId="0" applyNumberFormat="0" applyBorder="0" applyAlignment="0" applyProtection="0"/>
    <xf numFmtId="0" fontId="63" fillId="22" borderId="0" applyNumberFormat="0" applyBorder="0" applyAlignment="0" applyProtection="0"/>
    <xf numFmtId="0" fontId="91" fillId="67" borderId="0" applyNumberFormat="0" applyBorder="0" applyAlignment="0" applyProtection="0"/>
    <xf numFmtId="0" fontId="64" fillId="4" borderId="0" applyNumberFormat="0" applyBorder="0" applyAlignment="0" applyProtection="0"/>
    <xf numFmtId="190" fontId="84" fillId="0" borderId="0">
      <alignment vertical="center"/>
    </xf>
    <xf numFmtId="191" fontId="84" fillId="0" borderId="0">
      <alignment horizontal="right" vertical="center"/>
    </xf>
    <xf numFmtId="0" fontId="92" fillId="68" borderId="43" applyNumberFormat="0" applyAlignment="0" applyProtection="0"/>
    <xf numFmtId="0" fontId="65" fillId="9" borderId="1" applyNumberFormat="0" applyAlignment="0" applyProtection="0"/>
    <xf numFmtId="0" fontId="93" fillId="69" borderId="44" applyNumberFormat="0" applyAlignment="0" applyProtection="0"/>
    <xf numFmtId="0" fontId="66" fillId="23" borderId="2" applyNumberFormat="0" applyAlignment="0" applyProtection="0"/>
    <xf numFmtId="0" fontId="46" fillId="0" borderId="0">
      <alignment horizontal="center" vertical="center" wrapText="1"/>
    </xf>
    <xf numFmtId="43" fontId="1" fillId="0" borderId="0" applyFont="0" applyFill="0" applyBorder="0" applyAlignment="0" applyProtection="0"/>
    <xf numFmtId="43" fontId="88"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3" fontId="88" fillId="0" borderId="0" applyFont="0" applyFill="0" applyBorder="0" applyAlignment="0" applyProtection="0"/>
    <xf numFmtId="49" fontId="1" fillId="0" borderId="0">
      <alignment vertical="top" wrapText="1"/>
    </xf>
    <xf numFmtId="0" fontId="47" fillId="0" borderId="0">
      <alignment horizontal="left" vertical="center" wrapText="1"/>
    </xf>
    <xf numFmtId="44" fontId="88" fillId="0" borderId="0" applyFont="0" applyFill="0" applyBorder="0" applyAlignment="0" applyProtection="0"/>
    <xf numFmtId="44" fontId="88" fillId="0" borderId="0" applyFont="0" applyFill="0" applyBorder="0" applyAlignment="0" applyProtection="0"/>
    <xf numFmtId="44" fontId="1" fillId="0" borderId="0" applyFont="0" applyFill="0" applyBorder="0" applyAlignment="0" applyProtection="0"/>
    <xf numFmtId="188" fontId="94" fillId="0" borderId="0" applyFont="0" applyFill="0" applyBorder="0" applyAlignment="0" applyProtection="0"/>
    <xf numFmtId="183" fontId="48" fillId="0" borderId="3" applyNumberFormat="0" applyFill="0">
      <alignment horizontal="right"/>
    </xf>
    <xf numFmtId="183" fontId="57" fillId="0" borderId="3" applyNumberFormat="0" applyFill="0">
      <alignment horizontal="right"/>
    </xf>
    <xf numFmtId="183" fontId="57" fillId="0" borderId="3" applyNumberFormat="0" applyFill="0">
      <alignment horizontal="right"/>
    </xf>
    <xf numFmtId="183" fontId="48" fillId="0" borderId="3" applyNumberFormat="0" applyFill="0">
      <alignment horizontal="right"/>
    </xf>
    <xf numFmtId="184" fontId="49" fillId="0" borderId="3">
      <alignment horizontal="right" vertical="center"/>
    </xf>
    <xf numFmtId="184" fontId="49" fillId="0" borderId="3">
      <alignment horizontal="right" vertical="center"/>
    </xf>
    <xf numFmtId="49" fontId="50" fillId="0" borderId="3">
      <alignment horizontal="left" vertical="center"/>
    </xf>
    <xf numFmtId="49" fontId="50" fillId="0" borderId="3">
      <alignment horizontal="left" vertical="center"/>
    </xf>
    <xf numFmtId="183" fontId="48" fillId="0" borderId="3" applyNumberFormat="0" applyFill="0">
      <alignment horizontal="right"/>
    </xf>
    <xf numFmtId="3" fontId="86" fillId="0" borderId="4">
      <alignment horizontal="right" vertical="top"/>
    </xf>
    <xf numFmtId="172" fontId="86" fillId="0" borderId="5"/>
    <xf numFmtId="4" fontId="86" fillId="0" borderId="5"/>
    <xf numFmtId="0" fontId="12" fillId="24" borderId="6">
      <alignment horizontal="center" vertical="top" wrapText="1"/>
    </xf>
    <xf numFmtId="0" fontId="87" fillId="0" borderId="0">
      <alignment vertical="top" wrapText="1"/>
    </xf>
    <xf numFmtId="181" fontId="43" fillId="0" borderId="0" applyFont="0" applyFill="0" applyBorder="0" applyAlignment="0" applyProtection="0"/>
    <xf numFmtId="0" fontId="95" fillId="0" borderId="0" applyNumberFormat="0" applyFill="0" applyBorder="0" applyAlignment="0" applyProtection="0"/>
    <xf numFmtId="0" fontId="67" fillId="0" borderId="0" applyNumberFormat="0" applyFill="0" applyBorder="0" applyAlignment="0" applyProtection="0"/>
    <xf numFmtId="189" fontId="94" fillId="0" borderId="0" applyBorder="0" applyProtection="0"/>
    <xf numFmtId="2" fontId="82" fillId="0" borderId="0" applyFill="0" applyBorder="0" applyAlignment="0" applyProtection="0"/>
    <xf numFmtId="0" fontId="60" fillId="0" borderId="0" applyNumberFormat="0" applyFill="0" applyBorder="0" applyAlignment="0" applyProtection="0">
      <alignment vertical="top"/>
      <protection locked="0"/>
    </xf>
    <xf numFmtId="0" fontId="96" fillId="70" borderId="0" applyNumberFormat="0" applyBorder="0" applyAlignment="0" applyProtection="0"/>
    <xf numFmtId="0" fontId="68" fillId="6" borderId="0" applyNumberFormat="0" applyBorder="0" applyAlignment="0" applyProtection="0"/>
    <xf numFmtId="0" fontId="37" fillId="0" borderId="0">
      <alignment horizontal="left"/>
    </xf>
    <xf numFmtId="0" fontId="97" fillId="0" borderId="45" applyNumberFormat="0" applyFill="0" applyAlignment="0" applyProtection="0"/>
    <xf numFmtId="0" fontId="69" fillId="0" borderId="7" applyNumberFormat="0" applyFill="0" applyAlignment="0" applyProtection="0"/>
    <xf numFmtId="0" fontId="98" fillId="0" borderId="46" applyNumberFormat="0" applyFill="0" applyAlignment="0" applyProtection="0"/>
    <xf numFmtId="0" fontId="70" fillId="0" borderId="8" applyNumberFormat="0" applyFill="0" applyAlignment="0" applyProtection="0"/>
    <xf numFmtId="0" fontId="99" fillId="0" borderId="47" applyNumberFormat="0" applyFill="0" applyAlignment="0" applyProtection="0"/>
    <xf numFmtId="0" fontId="71" fillId="0" borderId="9" applyNumberFormat="0" applyFill="0" applyAlignment="0" applyProtection="0"/>
    <xf numFmtId="0" fontId="99" fillId="0" borderId="0" applyNumberFormat="0" applyFill="0" applyBorder="0" applyAlignment="0" applyProtection="0"/>
    <xf numFmtId="0" fontId="71" fillId="0" borderId="0" applyNumberFormat="0" applyFill="0" applyBorder="0" applyAlignment="0" applyProtection="0"/>
    <xf numFmtId="0" fontId="100" fillId="0" borderId="0" applyBorder="0" applyProtection="0">
      <alignment horizontal="left"/>
    </xf>
    <xf numFmtId="0" fontId="51" fillId="0" borderId="3">
      <alignment horizontal="left"/>
    </xf>
    <xf numFmtId="0" fontId="56" fillId="0" borderId="3">
      <alignment horizontal="left"/>
    </xf>
    <xf numFmtId="0" fontId="56" fillId="0" borderId="3">
      <alignment horizontal="left"/>
    </xf>
    <xf numFmtId="0" fontId="51" fillId="0" borderId="3">
      <alignment horizontal="left"/>
    </xf>
    <xf numFmtId="0" fontId="52" fillId="0" borderId="10">
      <alignment horizontal="right" vertical="center"/>
    </xf>
    <xf numFmtId="0" fontId="53" fillId="0" borderId="3">
      <alignment horizontal="left" vertical="center"/>
    </xf>
    <xf numFmtId="0" fontId="53" fillId="0" borderId="3">
      <alignment horizontal="left" vertical="center"/>
    </xf>
    <xf numFmtId="0" fontId="48" fillId="0" borderId="3">
      <alignment horizontal="left" vertical="center"/>
    </xf>
    <xf numFmtId="0" fontId="48" fillId="0" borderId="3">
      <alignment horizontal="left" vertical="center"/>
    </xf>
    <xf numFmtId="0" fontId="51" fillId="0" borderId="3">
      <alignment horizontal="left"/>
    </xf>
    <xf numFmtId="0" fontId="51" fillId="25" borderId="0">
      <alignment horizontal="centerContinuous" wrapText="1"/>
    </xf>
    <xf numFmtId="49" fontId="51" fillId="25" borderId="11">
      <alignment horizontal="left" vertical="center"/>
    </xf>
    <xf numFmtId="49" fontId="51" fillId="25" borderId="11">
      <alignment horizontal="left" vertical="center"/>
    </xf>
    <xf numFmtId="0" fontId="51" fillId="25" borderId="0">
      <alignment horizontal="centerContinuous" vertical="center" wrapText="1"/>
    </xf>
    <xf numFmtId="0" fontId="59"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101" fillId="0" borderId="0" applyFill="0" applyBorder="0" applyAlignment="0" applyProtection="0"/>
    <xf numFmtId="0" fontId="102" fillId="0" borderId="0" applyFill="0" applyBorder="0" applyAlignment="0" applyProtection="0"/>
    <xf numFmtId="0" fontId="103" fillId="0" borderId="0" applyBorder="0" applyProtection="0"/>
    <xf numFmtId="0" fontId="104" fillId="0" borderId="0" applyNumberFormat="0" applyFill="0" applyBorder="0" applyAlignment="0" applyProtection="0"/>
    <xf numFmtId="0" fontId="105" fillId="71" borderId="43" applyNumberFormat="0" applyAlignment="0" applyProtection="0"/>
    <xf numFmtId="0" fontId="72" fillId="2" borderId="1" applyNumberFormat="0" applyAlignment="0" applyProtection="0"/>
    <xf numFmtId="0" fontId="85" fillId="0" borderId="0"/>
    <xf numFmtId="0" fontId="106" fillId="0" borderId="48" applyNumberFormat="0" applyFill="0" applyAlignment="0" applyProtection="0"/>
    <xf numFmtId="0" fontId="73" fillId="0" borderId="12" applyNumberFormat="0" applyFill="0" applyAlignment="0" applyProtection="0"/>
    <xf numFmtId="0" fontId="107" fillId="72" borderId="0" applyNumberFormat="0" applyBorder="0" applyAlignment="0" applyProtection="0"/>
    <xf numFmtId="0" fontId="74" fillId="12" borderId="0" applyNumberFormat="0" applyBorder="0" applyAlignment="0" applyProtection="0"/>
    <xf numFmtId="0" fontId="108" fillId="0" borderId="0" applyNumberFormat="0" applyBorder="0" applyAlignment="0"/>
    <xf numFmtId="0" fontId="45" fillId="0" borderId="0"/>
    <xf numFmtId="0" fontId="88" fillId="0" borderId="0"/>
    <xf numFmtId="187" fontId="109" fillId="0" borderId="0"/>
    <xf numFmtId="0" fontId="94" fillId="0" borderId="0"/>
    <xf numFmtId="0" fontId="110" fillId="0" borderId="0"/>
    <xf numFmtId="0" fontId="88" fillId="0" borderId="0"/>
    <xf numFmtId="0" fontId="88" fillId="0" borderId="0"/>
    <xf numFmtId="0" fontId="88" fillId="0" borderId="0"/>
    <xf numFmtId="0" fontId="88" fillId="0" borderId="0"/>
    <xf numFmtId="0" fontId="111" fillId="0" borderId="0"/>
    <xf numFmtId="0" fontId="1" fillId="0" borderId="0"/>
    <xf numFmtId="0" fontId="4" fillId="0" borderId="0"/>
    <xf numFmtId="0" fontId="62" fillId="0" borderId="0"/>
    <xf numFmtId="0" fontId="112" fillId="0" borderId="0" applyBorder="0" applyProtection="0"/>
    <xf numFmtId="0" fontId="1" fillId="0" borderId="0">
      <alignment vertical="top" wrapText="1"/>
    </xf>
    <xf numFmtId="0" fontId="35" fillId="0" borderId="0"/>
    <xf numFmtId="0" fontId="1"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1" fillId="0" borderId="0"/>
    <xf numFmtId="0" fontId="112" fillId="0" borderId="0" applyBorder="0" applyProtection="0"/>
    <xf numFmtId="0" fontId="1" fillId="0" borderId="0"/>
    <xf numFmtId="0" fontId="4"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1" fillId="0" borderId="0"/>
    <xf numFmtId="0" fontId="88" fillId="0" borderId="0"/>
    <xf numFmtId="0" fontId="1" fillId="0" borderId="0"/>
    <xf numFmtId="0" fontId="1" fillId="0" borderId="0"/>
    <xf numFmtId="0" fontId="1" fillId="0" borderId="0">
      <alignment wrapText="1"/>
    </xf>
    <xf numFmtId="179" fontId="36" fillId="0" borderId="0"/>
    <xf numFmtId="0" fontId="88" fillId="0" borderId="0"/>
    <xf numFmtId="0" fontId="88" fillId="0" borderId="0"/>
    <xf numFmtId="0" fontId="88" fillId="0" borderId="0"/>
    <xf numFmtId="0" fontId="1" fillId="0" borderId="0"/>
    <xf numFmtId="0" fontId="43" fillId="0" borderId="0"/>
    <xf numFmtId="0" fontId="88" fillId="0" borderId="0"/>
    <xf numFmtId="0" fontId="88" fillId="0" borderId="0"/>
    <xf numFmtId="0" fontId="1" fillId="0" borderId="0"/>
    <xf numFmtId="0" fontId="88" fillId="0" borderId="0"/>
    <xf numFmtId="0" fontId="1" fillId="0" borderId="0"/>
    <xf numFmtId="0" fontId="1" fillId="0" borderId="0"/>
    <xf numFmtId="0" fontId="80" fillId="0" borderId="0"/>
    <xf numFmtId="0" fontId="88" fillId="73" borderId="49" applyNumberFormat="0" applyFont="0" applyAlignment="0" applyProtection="0"/>
    <xf numFmtId="0" fontId="1" fillId="5" borderId="13" applyNumberFormat="0" applyFont="0" applyAlignment="0" applyProtection="0"/>
    <xf numFmtId="0" fontId="88" fillId="73" borderId="49" applyNumberFormat="0" applyFont="0" applyAlignment="0" applyProtection="0"/>
    <xf numFmtId="0" fontId="113" fillId="68" borderId="50" applyNumberFormat="0" applyAlignment="0" applyProtection="0"/>
    <xf numFmtId="0" fontId="75" fillId="9" borderId="14" applyNumberFormat="0" applyAlignment="0" applyProtection="0"/>
    <xf numFmtId="9" fontId="1"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4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8" fillId="0" borderId="0" applyFont="0" applyFill="0" applyBorder="0" applyAlignment="0" applyProtection="0"/>
    <xf numFmtId="9" fontId="109" fillId="0" borderId="0" applyFont="0" applyFill="0" applyBorder="0" applyAlignment="0" applyProtection="0"/>
    <xf numFmtId="9" fontId="88" fillId="0" borderId="0" applyFont="0" applyFill="0" applyBorder="0" applyAlignment="0" applyProtection="0"/>
    <xf numFmtId="9" fontId="88"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180" fontId="36" fillId="0" borderId="0" applyFill="0" applyBorder="0" applyAlignment="0" applyProtection="0"/>
    <xf numFmtId="0" fontId="1" fillId="0" borderId="0"/>
    <xf numFmtId="0" fontId="114" fillId="0" borderId="0" applyBorder="0" applyProtection="0"/>
    <xf numFmtId="3" fontId="49" fillId="0" borderId="0">
      <alignment horizontal="left" vertical="center"/>
    </xf>
    <xf numFmtId="0" fontId="46" fillId="0" borderId="0">
      <alignment horizontal="left" vertical="center"/>
    </xf>
    <xf numFmtId="0" fontId="114" fillId="0" borderId="0" applyBorder="0" applyProtection="0"/>
    <xf numFmtId="0" fontId="38" fillId="0" borderId="0"/>
    <xf numFmtId="0" fontId="115" fillId="0" borderId="0" applyBorder="0" applyProtection="0"/>
    <xf numFmtId="0" fontId="54" fillId="0" borderId="0">
      <alignment horizontal="right"/>
    </xf>
    <xf numFmtId="49" fontId="54" fillId="0" borderId="0">
      <alignment horizontal="center"/>
    </xf>
    <xf numFmtId="0" fontId="50" fillId="0" borderId="0">
      <alignment horizontal="right"/>
    </xf>
    <xf numFmtId="0" fontId="58" fillId="0" borderId="0">
      <alignment horizontal="right"/>
    </xf>
    <xf numFmtId="0" fontId="54" fillId="0" borderId="0">
      <alignment horizontal="left"/>
    </xf>
    <xf numFmtId="0" fontId="34" fillId="0" borderId="0">
      <alignment horizontal="left"/>
    </xf>
    <xf numFmtId="0" fontId="1" fillId="0" borderId="0"/>
    <xf numFmtId="0" fontId="1" fillId="0" borderId="0"/>
    <xf numFmtId="0" fontId="1" fillId="0" borderId="0"/>
    <xf numFmtId="0" fontId="1" fillId="0" borderId="0"/>
    <xf numFmtId="0" fontId="81" fillId="0" borderId="0"/>
    <xf numFmtId="49" fontId="49" fillId="0" borderId="0">
      <alignment horizontal="left" vertical="center"/>
    </xf>
    <xf numFmtId="49" fontId="50" fillId="0" borderId="3">
      <alignment horizontal="left"/>
    </xf>
    <xf numFmtId="49" fontId="50" fillId="0" borderId="3">
      <alignment horizontal="left"/>
    </xf>
    <xf numFmtId="183" fontId="49" fillId="0" borderId="0" applyNumberFormat="0">
      <alignment horizontal="right"/>
    </xf>
    <xf numFmtId="0" fontId="52" fillId="26" borderId="0">
      <alignment horizontal="centerContinuous" vertical="center" wrapText="1"/>
    </xf>
    <xf numFmtId="0" fontId="52" fillId="0" borderId="15">
      <alignment horizontal="left" vertical="center"/>
    </xf>
    <xf numFmtId="0" fontId="55" fillId="0" borderId="0">
      <alignment horizontal="left" vertical="top"/>
    </xf>
    <xf numFmtId="172" fontId="40" fillId="27" borderId="16">
      <alignment vertical="center"/>
    </xf>
    <xf numFmtId="176" fontId="41" fillId="27" borderId="16">
      <alignment vertical="center"/>
    </xf>
    <xf numFmtId="172" fontId="42" fillId="28" borderId="16">
      <alignment vertical="center"/>
    </xf>
    <xf numFmtId="0" fontId="1" fillId="29" borderId="17" applyBorder="0">
      <alignment horizontal="left" vertical="center"/>
    </xf>
    <xf numFmtId="49" fontId="1" fillId="30" borderId="18">
      <alignment vertical="center" wrapText="1"/>
    </xf>
    <xf numFmtId="0" fontId="1" fillId="31" borderId="19">
      <alignment horizontal="left" vertical="center" wrapText="1"/>
    </xf>
    <xf numFmtId="0" fontId="16" fillId="32" borderId="18">
      <alignment horizontal="left" vertical="center" wrapText="1"/>
    </xf>
    <xf numFmtId="0" fontId="1" fillId="33" borderId="18">
      <alignment horizontal="left" vertical="center" wrapText="1"/>
    </xf>
    <xf numFmtId="0" fontId="1" fillId="34" borderId="18">
      <alignment horizontal="left" vertical="center" wrapText="1"/>
    </xf>
    <xf numFmtId="0" fontId="116" fillId="0" borderId="0" applyNumberFormat="0" applyFill="0" applyBorder="0" applyAlignment="0" applyProtection="0"/>
    <xf numFmtId="0" fontId="76" fillId="0" borderId="0" applyNumberFormat="0" applyFill="0" applyBorder="0" applyAlignment="0" applyProtection="0"/>
    <xf numFmtId="0" fontId="117" fillId="0" borderId="0" applyNumberFormat="0" applyFill="0" applyBorder="0" applyAlignment="0" applyProtection="0"/>
    <xf numFmtId="0" fontId="51" fillId="0" borderId="0">
      <alignment horizontal="left"/>
    </xf>
    <xf numFmtId="0" fontId="47" fillId="0" borderId="0">
      <alignment horizontal="left"/>
    </xf>
    <xf numFmtId="0" fontId="48" fillId="0" borderId="0">
      <alignment horizontal="left"/>
    </xf>
    <xf numFmtId="0" fontId="55" fillId="0" borderId="0">
      <alignment horizontal="left" vertical="top"/>
    </xf>
    <xf numFmtId="0" fontId="47" fillId="0" borderId="0">
      <alignment horizontal="left"/>
    </xf>
    <xf numFmtId="0" fontId="48" fillId="0" borderId="0">
      <alignment horizontal="left"/>
    </xf>
    <xf numFmtId="0" fontId="22" fillId="35" borderId="0" applyNumberFormat="0" applyBorder="0">
      <protection locked="0"/>
    </xf>
    <xf numFmtId="0" fontId="118" fillId="0" borderId="51" applyNumberFormat="0" applyFill="0" applyAlignment="0" applyProtection="0"/>
    <xf numFmtId="0" fontId="77" fillId="0" borderId="20" applyNumberFormat="0" applyFill="0" applyAlignment="0" applyProtection="0"/>
    <xf numFmtId="0" fontId="23" fillId="36" borderId="0" applyNumberFormat="0" applyBorder="0">
      <protection locked="0"/>
    </xf>
    <xf numFmtId="0" fontId="119" fillId="0" borderId="0" applyNumberFormat="0" applyFill="0" applyBorder="0" applyAlignment="0" applyProtection="0"/>
    <xf numFmtId="0" fontId="78" fillId="0" borderId="0" applyNumberFormat="0" applyFill="0" applyBorder="0" applyAlignment="0" applyProtection="0"/>
    <xf numFmtId="49" fontId="49" fillId="0" borderId="3">
      <alignment horizontal="left"/>
    </xf>
    <xf numFmtId="49" fontId="49" fillId="0" borderId="3">
      <alignment horizontal="left"/>
    </xf>
    <xf numFmtId="0" fontId="52" fillId="0" borderId="10">
      <alignment horizontal="left"/>
    </xf>
    <xf numFmtId="0" fontId="51" fillId="0" borderId="0">
      <alignment horizontal="left" vertical="center"/>
    </xf>
    <xf numFmtId="49" fontId="54" fillId="0" borderId="3">
      <alignment horizontal="left"/>
    </xf>
  </cellStyleXfs>
  <cellXfs count="593">
    <xf numFmtId="0" fontId="0" fillId="0" borderId="0" xfId="0"/>
    <xf numFmtId="0" fontId="0" fillId="0" borderId="0" xfId="0" applyBorder="1"/>
    <xf numFmtId="0" fontId="4" fillId="0" borderId="0" xfId="0" applyFont="1"/>
    <xf numFmtId="0" fontId="0" fillId="0" borderId="0" xfId="0" applyFill="1" applyBorder="1"/>
    <xf numFmtId="0" fontId="9"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left"/>
    </xf>
    <xf numFmtId="0" fontId="13" fillId="0" borderId="0" xfId="0" applyFont="1"/>
    <xf numFmtId="0" fontId="8" fillId="0" borderId="0" xfId="0" applyFont="1"/>
    <xf numFmtId="0" fontId="17" fillId="0" borderId="0" xfId="0" applyFont="1" applyAlignment="1">
      <alignment horizontal="left" vertical="center"/>
    </xf>
    <xf numFmtId="0" fontId="18" fillId="0" borderId="0" xfId="0" applyFont="1"/>
    <xf numFmtId="0" fontId="0" fillId="0" borderId="0" xfId="0" applyAlignment="1">
      <alignment horizontal="center"/>
    </xf>
    <xf numFmtId="0" fontId="0" fillId="0" borderId="0" xfId="0" applyFill="1"/>
    <xf numFmtId="0" fontId="5" fillId="0" borderId="17" xfId="0" applyFont="1" applyFill="1" applyBorder="1" applyAlignment="1">
      <alignment horizontal="center" vertical="center"/>
    </xf>
    <xf numFmtId="0" fontId="5" fillId="0" borderId="21" xfId="0" applyFont="1" applyFill="1" applyBorder="1" applyAlignment="1">
      <alignment horizontal="center" vertical="center"/>
    </xf>
    <xf numFmtId="0" fontId="7" fillId="0" borderId="0" xfId="0" quotePrefix="1" applyFont="1" applyAlignment="1">
      <alignment horizontal="right" vertical="top"/>
    </xf>
    <xf numFmtId="0" fontId="0" fillId="0" borderId="0" xfId="0" applyAlignment="1">
      <alignment vertical="top"/>
    </xf>
    <xf numFmtId="0" fontId="24" fillId="0" borderId="0" xfId="0" applyFont="1" applyAlignment="1">
      <alignment horizontal="center"/>
    </xf>
    <xf numFmtId="0" fontId="0" fillId="0" borderId="0" xfId="0" applyAlignment="1"/>
    <xf numFmtId="0" fontId="0" fillId="0" borderId="0" xfId="0" applyAlignment="1">
      <alignment vertical="center"/>
    </xf>
    <xf numFmtId="0" fontId="6" fillId="0" borderId="0" xfId="0" applyFont="1" applyAlignment="1">
      <alignment vertical="center"/>
    </xf>
    <xf numFmtId="0" fontId="0" fillId="0" borderId="0" xfId="0" applyBorder="1" applyAlignment="1">
      <alignment vertical="center"/>
    </xf>
    <xf numFmtId="0" fontId="6" fillId="0" borderId="0" xfId="0" applyFont="1" applyFill="1" applyBorder="1" applyAlignment="1">
      <alignment horizontal="center" vertical="center"/>
    </xf>
    <xf numFmtId="0" fontId="26" fillId="0" borderId="0" xfId="0" applyFont="1" applyAlignment="1">
      <alignment vertical="center"/>
    </xf>
    <xf numFmtId="0" fontId="24" fillId="0" borderId="0" xfId="0" applyFont="1" applyFill="1" applyBorder="1" applyAlignment="1">
      <alignment horizontal="center"/>
    </xf>
    <xf numFmtId="0" fontId="8" fillId="0" borderId="0" xfId="0" applyFont="1" applyFill="1" applyBorder="1" applyAlignment="1">
      <alignment horizontal="center"/>
    </xf>
    <xf numFmtId="0" fontId="27" fillId="0" borderId="0" xfId="0" applyFont="1"/>
    <xf numFmtId="0" fontId="25" fillId="0" borderId="0" xfId="0" quotePrefix="1" applyFont="1" applyBorder="1" applyAlignment="1">
      <alignment horizontal="right" vertical="top"/>
    </xf>
    <xf numFmtId="0" fontId="7" fillId="0" borderId="0" xfId="0" applyFont="1" applyAlignment="1">
      <alignment horizontal="center"/>
    </xf>
    <xf numFmtId="0" fontId="7" fillId="0" borderId="0" xfId="0" applyFont="1" applyBorder="1" applyAlignment="1">
      <alignment horizontal="right"/>
    </xf>
    <xf numFmtId="0" fontId="24" fillId="0" borderId="0" xfId="0" applyFont="1" applyBorder="1" applyAlignment="1">
      <alignment horizontal="center"/>
    </xf>
    <xf numFmtId="0" fontId="0" fillId="0" borderId="0" xfId="0" applyBorder="1" applyAlignment="1"/>
    <xf numFmtId="0" fontId="26" fillId="0" borderId="0" xfId="0" applyFont="1" applyBorder="1" applyAlignment="1">
      <alignment vertical="center"/>
    </xf>
    <xf numFmtId="0" fontId="5" fillId="0" borderId="0" xfId="0" applyFont="1" applyBorder="1"/>
    <xf numFmtId="0" fontId="5" fillId="0" borderId="0" xfId="0" applyFont="1"/>
    <xf numFmtId="0" fontId="8" fillId="0" borderId="0" xfId="0" applyFont="1" applyFill="1" applyBorder="1" applyAlignment="1">
      <alignment horizontal="left"/>
    </xf>
    <xf numFmtId="0" fontId="27" fillId="0" borderId="0" xfId="0" applyFont="1" applyAlignment="1">
      <alignment vertical="top"/>
    </xf>
    <xf numFmtId="2" fontId="6" fillId="0" borderId="0" xfId="0" applyNumberFormat="1" applyFont="1" applyFill="1" applyBorder="1" applyAlignment="1">
      <alignment horizontal="right" vertical="center"/>
    </xf>
    <xf numFmtId="0" fontId="11" fillId="0" borderId="0" xfId="0" applyFont="1" applyAlignment="1"/>
    <xf numFmtId="0" fontId="28" fillId="0" borderId="0" xfId="0" applyFont="1" applyAlignment="1"/>
    <xf numFmtId="0" fontId="8" fillId="0" borderId="22" xfId="0" applyFont="1" applyBorder="1" applyAlignment="1">
      <alignment horizontal="left" vertical="center"/>
    </xf>
    <xf numFmtId="0" fontId="20" fillId="0" borderId="0" xfId="0" applyFont="1" applyFill="1" applyBorder="1" applyAlignment="1">
      <alignment horizontal="center" vertical="center"/>
    </xf>
    <xf numFmtId="1" fontId="8" fillId="0" borderId="0" xfId="0" applyNumberFormat="1" applyFont="1" applyFill="1" applyBorder="1" applyAlignment="1">
      <alignment horizontal="center" vertical="center"/>
    </xf>
    <xf numFmtId="0" fontId="21" fillId="0" borderId="0" xfId="0" applyFont="1" applyFill="1" applyBorder="1" applyAlignment="1">
      <alignment horizontal="center" vertical="center"/>
    </xf>
    <xf numFmtId="2" fontId="20" fillId="0" borderId="0" xfId="0" applyNumberFormat="1" applyFont="1" applyFill="1" applyBorder="1" applyAlignment="1">
      <alignment horizontal="right" vertical="center"/>
    </xf>
    <xf numFmtId="0" fontId="2" fillId="0" borderId="0" xfId="0" applyFont="1" applyBorder="1" applyAlignment="1">
      <alignment horizontal="center" vertical="center"/>
    </xf>
    <xf numFmtId="17" fontId="3" fillId="0" borderId="0" xfId="0" quotePrefix="1" applyNumberFormat="1" applyFont="1" applyBorder="1" applyAlignment="1">
      <alignment horizontal="center" vertical="center" wrapText="1"/>
    </xf>
    <xf numFmtId="49" fontId="2" fillId="0" borderId="0" xfId="0" applyNumberFormat="1" applyFont="1" applyAlignment="1">
      <alignment horizontal="left" vertical="center"/>
    </xf>
    <xf numFmtId="175" fontId="2" fillId="0" borderId="0" xfId="0" quotePrefix="1" applyNumberFormat="1" applyFont="1" applyAlignment="1">
      <alignment horizontal="left" vertical="center"/>
    </xf>
    <xf numFmtId="0" fontId="2" fillId="0" borderId="0" xfId="0" applyFont="1" applyAlignment="1">
      <alignment horizontal="left" vertical="center" wrapText="1"/>
    </xf>
    <xf numFmtId="0" fontId="29" fillId="0" borderId="0" xfId="0" applyFont="1" applyAlignment="1">
      <alignment horizontal="left" vertical="center"/>
    </xf>
    <xf numFmtId="0" fontId="2" fillId="0" borderId="0" xfId="0" applyFont="1" applyAlignment="1">
      <alignment horizontal="left" vertical="center"/>
    </xf>
    <xf numFmtId="0" fontId="8" fillId="0" borderId="0" xfId="0" applyFont="1" applyBorder="1" applyAlignment="1">
      <alignment horizontal="left" wrapText="1"/>
    </xf>
    <xf numFmtId="0" fontId="8" fillId="37" borderId="21" xfId="0" applyFont="1" applyFill="1" applyBorder="1" applyAlignment="1">
      <alignment horizontal="center" vertical="center"/>
    </xf>
    <xf numFmtId="0" fontId="8" fillId="38" borderId="18" xfId="0" applyFont="1" applyFill="1" applyBorder="1" applyAlignment="1">
      <alignment horizontal="center" vertical="center"/>
    </xf>
    <xf numFmtId="0" fontId="8" fillId="38" borderId="18" xfId="0" applyFont="1" applyFill="1" applyBorder="1" applyAlignment="1">
      <alignment horizontal="center" vertical="center" wrapText="1"/>
    </xf>
    <xf numFmtId="1" fontId="8" fillId="37" borderId="17" xfId="0" applyNumberFormat="1" applyFont="1" applyFill="1" applyBorder="1" applyAlignment="1">
      <alignment horizontal="center" vertical="center"/>
    </xf>
    <xf numFmtId="1" fontId="8" fillId="37" borderId="21" xfId="0" applyNumberFormat="1" applyFont="1" applyFill="1" applyBorder="1" applyAlignment="1">
      <alignment horizontal="center" vertical="center"/>
    </xf>
    <xf numFmtId="0" fontId="7" fillId="0" borderId="0" xfId="0" quotePrefix="1" applyFont="1" applyBorder="1" applyAlignment="1">
      <alignment horizontal="right" vertical="top"/>
    </xf>
    <xf numFmtId="173" fontId="6" fillId="0" borderId="23" xfId="0" applyNumberFormat="1" applyFont="1" applyFill="1" applyBorder="1" applyAlignment="1">
      <alignment horizontal="center" vertical="center"/>
    </xf>
    <xf numFmtId="173" fontId="6" fillId="0" borderId="0" xfId="0" applyNumberFormat="1" applyFont="1" applyFill="1" applyBorder="1" applyAlignment="1">
      <alignment horizontal="center" vertical="center"/>
    </xf>
    <xf numFmtId="173" fontId="6" fillId="0" borderId="22" xfId="0" applyNumberFormat="1" applyFont="1" applyFill="1" applyBorder="1" applyAlignment="1">
      <alignment horizontal="center" vertical="center"/>
    </xf>
    <xf numFmtId="173" fontId="8" fillId="0" borderId="22" xfId="0" applyNumberFormat="1" applyFont="1" applyFill="1" applyBorder="1" applyAlignment="1">
      <alignment horizontal="center" vertical="center"/>
    </xf>
    <xf numFmtId="0" fontId="29" fillId="0" borderId="0" xfId="0" applyFont="1"/>
    <xf numFmtId="0" fontId="11" fillId="0" borderId="0" xfId="0" applyFont="1" applyBorder="1" applyAlignment="1">
      <alignment vertical="center"/>
    </xf>
    <xf numFmtId="0" fontId="11" fillId="0" borderId="0" xfId="0" applyFont="1" applyBorder="1"/>
    <xf numFmtId="0" fontId="30" fillId="37" borderId="17" xfId="0" applyFont="1" applyFill="1" applyBorder="1" applyAlignment="1">
      <alignment horizontal="center" vertical="center"/>
    </xf>
    <xf numFmtId="0" fontId="8" fillId="0" borderId="0" xfId="0" applyFont="1" applyFill="1" applyBorder="1" applyAlignment="1">
      <alignment horizontal="center" vertical="center" textRotation="90"/>
    </xf>
    <xf numFmtId="0" fontId="30" fillId="37" borderId="21" xfId="0" applyFont="1" applyFill="1" applyBorder="1" applyAlignment="1">
      <alignment horizontal="center" vertical="center"/>
    </xf>
    <xf numFmtId="0" fontId="30" fillId="37" borderId="23" xfId="0" applyFont="1" applyFill="1" applyBorder="1" applyAlignment="1">
      <alignment horizontal="center" vertical="center"/>
    </xf>
    <xf numFmtId="0" fontId="8" fillId="0" borderId="0" xfId="0" applyFont="1" applyFill="1" applyBorder="1"/>
    <xf numFmtId="0" fontId="6" fillId="0" borderId="0" xfId="0" applyFont="1" applyFill="1" applyBorder="1"/>
    <xf numFmtId="0" fontId="31" fillId="0" borderId="0" xfId="0" applyFont="1" applyFill="1" applyBorder="1"/>
    <xf numFmtId="0" fontId="5" fillId="0" borderId="0" xfId="0" applyFont="1" applyFill="1" applyBorder="1"/>
    <xf numFmtId="0" fontId="32" fillId="0" borderId="0" xfId="0" applyFont="1"/>
    <xf numFmtId="0" fontId="0" fillId="0" borderId="0" xfId="0" applyFill="1" applyBorder="1" applyAlignment="1">
      <alignment vertical="center"/>
    </xf>
    <xf numFmtId="0" fontId="0" fillId="0" borderId="0" xfId="0" applyFill="1" applyBorder="1" applyAlignment="1"/>
    <xf numFmtId="0" fontId="5" fillId="37" borderId="21" xfId="0" applyFont="1" applyFill="1" applyBorder="1" applyAlignment="1">
      <alignment horizontal="center" vertical="center"/>
    </xf>
    <xf numFmtId="0" fontId="6" fillId="39" borderId="18" xfId="0" applyFont="1" applyFill="1" applyBorder="1" applyAlignment="1">
      <alignment horizontal="left" vertical="top" wrapText="1"/>
    </xf>
    <xf numFmtId="0" fontId="8" fillId="39" borderId="18" xfId="0" applyFont="1" applyFill="1" applyBorder="1" applyAlignment="1">
      <alignment horizontal="center"/>
    </xf>
    <xf numFmtId="0" fontId="7" fillId="0" borderId="0" xfId="0" quotePrefix="1" applyFont="1" applyBorder="1" applyAlignment="1">
      <alignment horizontal="left" vertical="top"/>
    </xf>
    <xf numFmtId="2" fontId="4" fillId="0" borderId="0" xfId="0" applyNumberFormat="1" applyFont="1" applyBorder="1" applyAlignment="1">
      <alignment vertical="center"/>
    </xf>
    <xf numFmtId="0" fontId="30" fillId="0" borderId="23" xfId="0" applyFont="1" applyFill="1" applyBorder="1" applyAlignment="1">
      <alignment horizontal="center" vertical="center" wrapText="1"/>
    </xf>
    <xf numFmtId="177" fontId="6" fillId="0" borderId="23" xfId="0" applyNumberFormat="1" applyFont="1" applyFill="1" applyBorder="1" applyAlignment="1">
      <alignment horizontal="center" vertical="center"/>
    </xf>
    <xf numFmtId="177" fontId="6" fillId="0" borderId="0" xfId="0" applyNumberFormat="1" applyFont="1" applyFill="1" applyBorder="1" applyAlignment="1">
      <alignment horizontal="center" vertical="center"/>
    </xf>
    <xf numFmtId="177" fontId="6" fillId="0" borderId="22" xfId="0" applyNumberFormat="1" applyFont="1" applyFill="1" applyBorder="1" applyAlignment="1">
      <alignment horizontal="center" vertical="center"/>
    </xf>
    <xf numFmtId="0" fontId="8" fillId="0" borderId="0" xfId="0" applyNumberFormat="1" applyFont="1" applyAlignment="1" applyProtection="1">
      <alignment horizontal="left" vertical="center"/>
      <protection locked="0"/>
    </xf>
    <xf numFmtId="172" fontId="20" fillId="0" borderId="0" xfId="0" applyNumberFormat="1" applyFont="1" applyBorder="1" applyAlignment="1">
      <alignment horizontal="center" vertical="center"/>
    </xf>
    <xf numFmtId="0" fontId="8" fillId="0" borderId="0" xfId="0" applyFont="1" applyAlignment="1">
      <alignment horizontal="left" vertical="center"/>
    </xf>
    <xf numFmtId="0" fontId="8" fillId="39" borderId="19" xfId="0" applyFont="1" applyFill="1" applyBorder="1" applyAlignment="1">
      <alignment horizontal="center" vertical="center"/>
    </xf>
    <xf numFmtId="0" fontId="8" fillId="39" borderId="24" xfId="0" applyFont="1" applyFill="1" applyBorder="1" applyAlignment="1">
      <alignment horizontal="center" vertical="center"/>
    </xf>
    <xf numFmtId="0" fontId="8" fillId="37" borderId="17" xfId="0" applyFont="1" applyFill="1" applyBorder="1" applyAlignment="1">
      <alignment horizontal="center" vertical="center"/>
    </xf>
    <xf numFmtId="173" fontId="6" fillId="0" borderId="19" xfId="0" applyNumberFormat="1" applyFont="1" applyFill="1" applyBorder="1" applyAlignment="1">
      <alignment horizontal="right" vertical="center"/>
    </xf>
    <xf numFmtId="173" fontId="6" fillId="0" borderId="24" xfId="0" applyNumberFormat="1" applyFont="1" applyFill="1" applyBorder="1" applyAlignment="1">
      <alignment horizontal="right" vertical="center"/>
    </xf>
    <xf numFmtId="173" fontId="6" fillId="0" borderId="24" xfId="0" applyNumberFormat="1" applyFont="1" applyBorder="1" applyAlignment="1">
      <alignment vertical="center"/>
    </xf>
    <xf numFmtId="173" fontId="6" fillId="0" borderId="19" xfId="0" applyNumberFormat="1" applyFont="1" applyBorder="1" applyAlignment="1">
      <alignment horizontal="right" vertical="center"/>
    </xf>
    <xf numFmtId="173" fontId="6" fillId="0" borderId="24" xfId="0" applyNumberFormat="1" applyFont="1" applyBorder="1" applyAlignment="1">
      <alignment horizontal="right" vertical="center"/>
    </xf>
    <xf numFmtId="173" fontId="4" fillId="0" borderId="19" xfId="0" applyNumberFormat="1" applyFont="1" applyBorder="1" applyAlignment="1">
      <alignment vertical="center"/>
    </xf>
    <xf numFmtId="0" fontId="8" fillId="0" borderId="0" xfId="0" applyNumberFormat="1" applyFont="1" applyAlignment="1" applyProtection="1">
      <alignment horizontal="left"/>
      <protection locked="0"/>
    </xf>
    <xf numFmtId="2" fontId="6" fillId="0" borderId="0" xfId="0" quotePrefix="1" applyNumberFormat="1" applyFont="1" applyFill="1" applyBorder="1" applyAlignment="1">
      <alignment horizontal="right" vertical="center"/>
    </xf>
    <xf numFmtId="2" fontId="6" fillId="0" borderId="25" xfId="0" applyNumberFormat="1" applyFont="1" applyFill="1" applyBorder="1" applyAlignment="1">
      <alignment horizontal="right" vertical="center"/>
    </xf>
    <xf numFmtId="2" fontId="6" fillId="0" borderId="23" xfId="0" applyNumberFormat="1" applyFont="1" applyFill="1" applyBorder="1" applyAlignment="1">
      <alignment horizontal="right" vertical="center"/>
    </xf>
    <xf numFmtId="0" fontId="30" fillId="38" borderId="18" xfId="0" applyFont="1" applyFill="1" applyBorder="1" applyAlignment="1">
      <alignment horizontal="center" vertical="center" wrapText="1"/>
    </xf>
    <xf numFmtId="176" fontId="4" fillId="0" borderId="21" xfId="0" applyNumberFormat="1" applyFont="1" applyBorder="1" applyAlignment="1">
      <alignment horizontal="right" vertical="center"/>
    </xf>
    <xf numFmtId="0" fontId="8" fillId="38" borderId="19" xfId="0" applyFont="1" applyFill="1" applyBorder="1" applyAlignment="1">
      <alignment horizontal="center" vertical="center" wrapText="1"/>
    </xf>
    <xf numFmtId="2" fontId="8" fillId="0" borderId="17" xfId="0" applyNumberFormat="1" applyFont="1" applyFill="1" applyBorder="1" applyAlignment="1">
      <alignment horizontal="right" vertical="center"/>
    </xf>
    <xf numFmtId="2" fontId="8" fillId="0" borderId="21" xfId="0" applyNumberFormat="1" applyFont="1" applyFill="1" applyBorder="1" applyAlignment="1">
      <alignment horizontal="right" vertical="center"/>
    </xf>
    <xf numFmtId="2" fontId="21" fillId="0" borderId="21" xfId="0" applyNumberFormat="1" applyFont="1" applyFill="1" applyBorder="1" applyAlignment="1">
      <alignment horizontal="right" vertical="center"/>
    </xf>
    <xf numFmtId="2" fontId="6" fillId="0" borderId="23" xfId="0" quotePrefix="1" applyNumberFormat="1" applyFont="1" applyFill="1" applyBorder="1" applyAlignment="1">
      <alignment horizontal="right" vertical="center"/>
    </xf>
    <xf numFmtId="173" fontId="4" fillId="0" borderId="0" xfId="0" applyNumberFormat="1" applyFont="1" applyAlignment="1">
      <alignment horizontal="center" vertical="center"/>
    </xf>
    <xf numFmtId="173" fontId="4" fillId="0" borderId="17" xfId="0" applyNumberFormat="1" applyFont="1" applyBorder="1" applyAlignment="1">
      <alignment horizontal="center" vertical="center"/>
    </xf>
    <xf numFmtId="173" fontId="4" fillId="0" borderId="22" xfId="0" applyNumberFormat="1" applyFont="1" applyBorder="1" applyAlignment="1">
      <alignment horizontal="center" vertical="center"/>
    </xf>
    <xf numFmtId="173" fontId="4" fillId="0" borderId="21" xfId="0" applyNumberFormat="1" applyFont="1" applyBorder="1" applyAlignment="1">
      <alignment horizontal="center" vertical="center"/>
    </xf>
    <xf numFmtId="2" fontId="6" fillId="0" borderId="25" xfId="0" quotePrefix="1" applyNumberFormat="1" applyFont="1" applyFill="1" applyBorder="1" applyAlignment="1">
      <alignment horizontal="right" vertical="center"/>
    </xf>
    <xf numFmtId="2" fontId="6" fillId="0" borderId="26" xfId="0" quotePrefix="1" applyNumberFormat="1" applyFont="1" applyFill="1" applyBorder="1" applyAlignment="1">
      <alignment horizontal="right" vertical="center"/>
    </xf>
    <xf numFmtId="0" fontId="0" fillId="0" borderId="17" xfId="0" applyBorder="1" applyAlignment="1">
      <alignment vertical="center"/>
    </xf>
    <xf numFmtId="173" fontId="0" fillId="0" borderId="0" xfId="0" applyNumberFormat="1"/>
    <xf numFmtId="173" fontId="20" fillId="0" borderId="0" xfId="0" applyNumberFormat="1" applyFont="1" applyBorder="1" applyAlignment="1">
      <alignment horizontal="right" vertical="center"/>
    </xf>
    <xf numFmtId="173" fontId="20" fillId="0" borderId="0" xfId="0" applyNumberFormat="1" applyFont="1" applyFill="1" applyBorder="1" applyAlignment="1">
      <alignment horizontal="right" vertical="center"/>
    </xf>
    <xf numFmtId="173" fontId="20" fillId="37" borderId="0" xfId="0" applyNumberFormat="1" applyFont="1" applyFill="1" applyBorder="1" applyAlignment="1">
      <alignment horizontal="right" vertical="center"/>
    </xf>
    <xf numFmtId="173" fontId="20" fillId="0" borderId="0" xfId="0" applyNumberFormat="1" applyFont="1" applyBorder="1"/>
    <xf numFmtId="173" fontId="20" fillId="40" borderId="0" xfId="0" applyNumberFormat="1" applyFont="1" applyFill="1" applyBorder="1" applyAlignment="1">
      <alignment horizontal="right" vertical="center"/>
    </xf>
    <xf numFmtId="174" fontId="20" fillId="0" borderId="25" xfId="0" applyNumberFormat="1" applyFont="1" applyBorder="1" applyAlignment="1">
      <alignment horizontal="center" vertical="center"/>
    </xf>
    <xf numFmtId="174" fontId="20" fillId="0" borderId="0" xfId="0" applyNumberFormat="1" applyFont="1" applyBorder="1" applyAlignment="1">
      <alignment horizontal="center" vertical="center"/>
    </xf>
    <xf numFmtId="178" fontId="33" fillId="0" borderId="25" xfId="0" applyNumberFormat="1" applyFont="1" applyFill="1" applyBorder="1" applyAlignment="1">
      <alignment horizontal="right" vertical="center"/>
    </xf>
    <xf numFmtId="178" fontId="33" fillId="0" borderId="0" xfId="0" applyNumberFormat="1" applyFont="1" applyFill="1" applyBorder="1" applyAlignment="1">
      <alignment horizontal="right" vertical="center"/>
    </xf>
    <xf numFmtId="178" fontId="33" fillId="0" borderId="24" xfId="0" applyNumberFormat="1" applyFont="1" applyFill="1" applyBorder="1" applyAlignment="1">
      <alignment horizontal="right" vertical="center"/>
    </xf>
    <xf numFmtId="0" fontId="8" fillId="37" borderId="21" xfId="0" applyFont="1" applyFill="1" applyBorder="1" applyAlignment="1">
      <alignment horizontal="center" vertical="center" wrapText="1"/>
    </xf>
    <xf numFmtId="173" fontId="20" fillId="0" borderId="25" xfId="0" applyNumberFormat="1" applyFont="1" applyBorder="1"/>
    <xf numFmtId="173" fontId="20" fillId="0" borderId="27" xfId="0" applyNumberFormat="1" applyFont="1" applyBorder="1"/>
    <xf numFmtId="173" fontId="20" fillId="0" borderId="22" xfId="0" applyNumberFormat="1" applyFont="1" applyBorder="1"/>
    <xf numFmtId="173" fontId="8" fillId="0" borderId="0" xfId="0" applyNumberFormat="1" applyFont="1" applyAlignment="1" applyProtection="1">
      <alignment horizontal="left" vertical="center"/>
      <protection locked="0"/>
    </xf>
    <xf numFmtId="0" fontId="5" fillId="37" borderId="18" xfId="0" applyFont="1" applyFill="1" applyBorder="1" applyAlignment="1">
      <alignment horizontal="center"/>
    </xf>
    <xf numFmtId="173" fontId="21" fillId="37" borderId="24" xfId="0" applyNumberFormat="1" applyFont="1" applyFill="1" applyBorder="1" applyAlignment="1">
      <alignment horizontal="center"/>
    </xf>
    <xf numFmtId="0" fontId="5" fillId="37" borderId="18" xfId="0" applyFont="1" applyFill="1" applyBorder="1" applyAlignment="1">
      <alignment horizontal="center" vertical="center"/>
    </xf>
    <xf numFmtId="177" fontId="6" fillId="0" borderId="26" xfId="0" applyNumberFormat="1" applyFont="1" applyFill="1" applyBorder="1" applyAlignment="1">
      <alignment horizontal="center" vertical="center"/>
    </xf>
    <xf numFmtId="177" fontId="6" fillId="0" borderId="25" xfId="0" applyNumberFormat="1" applyFont="1" applyFill="1" applyBorder="1" applyAlignment="1">
      <alignment horizontal="center" vertical="center"/>
    </xf>
    <xf numFmtId="177" fontId="6" fillId="0" borderId="27" xfId="0" applyNumberFormat="1" applyFont="1" applyFill="1" applyBorder="1" applyAlignment="1">
      <alignment horizontal="center" vertical="center"/>
    </xf>
    <xf numFmtId="173" fontId="4" fillId="0" borderId="0" xfId="0" applyNumberFormat="1" applyFont="1" applyBorder="1" applyAlignment="1">
      <alignment horizontal="center" vertical="center"/>
    </xf>
    <xf numFmtId="173" fontId="0" fillId="0" borderId="0" xfId="0" applyNumberFormat="1" applyBorder="1"/>
    <xf numFmtId="173" fontId="6" fillId="0" borderId="28" xfId="0" applyNumberFormat="1" applyFont="1" applyBorder="1" applyAlignment="1">
      <alignment vertical="center"/>
    </xf>
    <xf numFmtId="173" fontId="8" fillId="0" borderId="21" xfId="0" applyNumberFormat="1" applyFont="1" applyFill="1" applyBorder="1" applyAlignment="1">
      <alignment horizontal="center" vertical="center"/>
    </xf>
    <xf numFmtId="173" fontId="4" fillId="0" borderId="0" xfId="0" applyNumberFormat="1" applyFont="1" applyFill="1" applyBorder="1" applyAlignment="1">
      <alignment horizontal="right" vertical="center"/>
    </xf>
    <xf numFmtId="2" fontId="6" fillId="0" borderId="29" xfId="0" applyNumberFormat="1" applyFont="1" applyFill="1" applyBorder="1" applyAlignment="1">
      <alignment horizontal="right" vertical="center"/>
    </xf>
    <xf numFmtId="173" fontId="4" fillId="0" borderId="29" xfId="0" applyNumberFormat="1" applyFont="1" applyBorder="1" applyAlignment="1">
      <alignment horizontal="center" vertical="center"/>
    </xf>
    <xf numFmtId="173" fontId="20" fillId="0" borderId="0" xfId="0" applyNumberFormat="1" applyFont="1" applyBorder="1" applyAlignment="1">
      <alignment horizontal="center" vertical="center"/>
    </xf>
    <xf numFmtId="173" fontId="20" fillId="0" borderId="22" xfId="0" applyNumberFormat="1" applyFont="1" applyBorder="1" applyAlignment="1">
      <alignment horizontal="center" vertical="center"/>
    </xf>
    <xf numFmtId="173" fontId="20" fillId="0" borderId="21" xfId="0" applyNumberFormat="1" applyFont="1" applyBorder="1" applyAlignment="1">
      <alignment horizontal="center" vertical="center"/>
    </xf>
    <xf numFmtId="0" fontId="5" fillId="37" borderId="18" xfId="0" applyFont="1" applyFill="1" applyBorder="1" applyAlignment="1">
      <alignment horizontal="center" vertical="center" wrapText="1"/>
    </xf>
    <xf numFmtId="0" fontId="5" fillId="37" borderId="17" xfId="0" applyFont="1" applyFill="1" applyBorder="1" applyAlignment="1">
      <alignment horizontal="center" vertical="center" wrapText="1"/>
    </xf>
    <xf numFmtId="0" fontId="5" fillId="38" borderId="24" xfId="0" applyFont="1" applyFill="1" applyBorder="1" applyAlignment="1">
      <alignment horizontal="center" vertical="center" wrapText="1"/>
    </xf>
    <xf numFmtId="173" fontId="20" fillId="0" borderId="25" xfId="0" applyNumberFormat="1" applyFont="1" applyFill="1" applyBorder="1" applyAlignment="1">
      <alignment horizontal="right" vertical="center"/>
    </xf>
    <xf numFmtId="0" fontId="5" fillId="74" borderId="21" xfId="0" applyFont="1" applyFill="1" applyBorder="1" applyAlignment="1">
      <alignment horizontal="center" vertical="center"/>
    </xf>
    <xf numFmtId="173" fontId="20" fillId="74" borderId="0" xfId="0" applyNumberFormat="1" applyFont="1" applyFill="1" applyBorder="1" applyAlignment="1">
      <alignment horizontal="right" vertical="center"/>
    </xf>
    <xf numFmtId="173" fontId="4" fillId="0" borderId="0" xfId="0" applyNumberFormat="1" applyFont="1" applyFill="1" applyBorder="1" applyAlignment="1">
      <alignment horizontal="center" vertical="center"/>
    </xf>
    <xf numFmtId="173" fontId="20" fillId="0" borderId="0" xfId="0" applyNumberFormat="1" applyFont="1" applyFill="1" applyBorder="1" applyAlignment="1">
      <alignment horizontal="center" vertical="center"/>
    </xf>
    <xf numFmtId="0" fontId="5" fillId="0" borderId="0" xfId="0" applyNumberFormat="1" applyFont="1" applyAlignment="1" applyProtection="1">
      <alignment horizontal="left" vertical="top"/>
      <protection locked="0"/>
    </xf>
    <xf numFmtId="173" fontId="20" fillId="0" borderId="23" xfId="0" applyNumberFormat="1" applyFont="1" applyBorder="1"/>
    <xf numFmtId="173" fontId="4" fillId="0" borderId="0" xfId="0" applyNumberFormat="1" applyFont="1" applyBorder="1"/>
    <xf numFmtId="173" fontId="20" fillId="37" borderId="0" xfId="0" applyNumberFormat="1" applyFont="1" applyFill="1" applyBorder="1" applyAlignment="1">
      <alignment horizontal="right"/>
    </xf>
    <xf numFmtId="0" fontId="5" fillId="39" borderId="24" xfId="0" applyFont="1" applyFill="1" applyBorder="1" applyAlignment="1">
      <alignment horizontal="center" vertical="center"/>
    </xf>
    <xf numFmtId="0" fontId="5" fillId="38" borderId="19" xfId="0" applyFont="1" applyFill="1" applyBorder="1" applyAlignment="1">
      <alignment horizontal="center" vertical="center"/>
    </xf>
    <xf numFmtId="0" fontId="5" fillId="38" borderId="18" xfId="0" applyFont="1" applyFill="1" applyBorder="1" applyAlignment="1">
      <alignment horizontal="center" vertical="center"/>
    </xf>
    <xf numFmtId="0" fontId="1" fillId="0" borderId="0" xfId="158"/>
    <xf numFmtId="0" fontId="4" fillId="0" borderId="0" xfId="158" applyFont="1"/>
    <xf numFmtId="9" fontId="4" fillId="0" borderId="0" xfId="158" applyNumberFormat="1" applyFont="1" applyAlignment="1">
      <alignment horizontal="center"/>
    </xf>
    <xf numFmtId="0" fontId="5" fillId="0" borderId="0" xfId="158" applyFont="1" applyBorder="1" applyAlignment="1">
      <alignment vertical="top"/>
    </xf>
    <xf numFmtId="0" fontId="5" fillId="0" borderId="0" xfId="158" applyFont="1" applyAlignment="1">
      <alignment vertical="top"/>
    </xf>
    <xf numFmtId="0" fontId="4" fillId="0" borderId="0" xfId="158" applyFont="1" applyAlignment="1">
      <alignment vertical="top"/>
    </xf>
    <xf numFmtId="173" fontId="16" fillId="0" borderId="0" xfId="158" applyNumberFormat="1" applyFont="1" applyBorder="1" applyAlignment="1">
      <alignment horizontal="left" vertical="center"/>
    </xf>
    <xf numFmtId="0" fontId="16" fillId="0" borderId="0" xfId="158" applyFont="1" applyBorder="1" applyAlignment="1">
      <alignment horizontal="left" vertical="center"/>
    </xf>
    <xf numFmtId="0" fontId="4" fillId="0" borderId="0" xfId="158" applyFont="1" applyBorder="1" applyAlignment="1">
      <alignment horizontal="left" vertical="center"/>
    </xf>
    <xf numFmtId="0" fontId="4" fillId="0" borderId="0" xfId="158" applyFont="1" applyAlignment="1">
      <alignment vertical="center"/>
    </xf>
    <xf numFmtId="0" fontId="4" fillId="0" borderId="0" xfId="158" applyFont="1" applyBorder="1" applyAlignment="1">
      <alignment vertical="center"/>
    </xf>
    <xf numFmtId="0" fontId="4" fillId="0" borderId="0" xfId="158" quotePrefix="1" applyFont="1" applyBorder="1" applyAlignment="1">
      <alignment horizontal="left" vertical="center"/>
    </xf>
    <xf numFmtId="0" fontId="5" fillId="0" borderId="0" xfId="158" applyFont="1" applyAlignment="1">
      <alignment horizontal="left"/>
    </xf>
    <xf numFmtId="0" fontId="5" fillId="0" borderId="0" xfId="158" applyFont="1" applyBorder="1" applyAlignment="1">
      <alignment horizontal="left" wrapText="1"/>
    </xf>
    <xf numFmtId="0" fontId="5" fillId="0" borderId="25" xfId="158" applyFont="1" applyBorder="1" applyAlignment="1">
      <alignment horizontal="left" wrapText="1"/>
    </xf>
    <xf numFmtId="0" fontId="5" fillId="0" borderId="0" xfId="158" applyFont="1" applyBorder="1"/>
    <xf numFmtId="0" fontId="4" fillId="0" borderId="0" xfId="158" applyFont="1" applyAlignment="1">
      <alignment horizontal="center"/>
    </xf>
    <xf numFmtId="173" fontId="4" fillId="0" borderId="0" xfId="158" applyNumberFormat="1" applyFont="1"/>
    <xf numFmtId="0" fontId="5" fillId="74" borderId="30" xfId="158" applyFont="1" applyFill="1" applyBorder="1" applyAlignment="1">
      <alignment horizontal="center" vertical="center"/>
    </xf>
    <xf numFmtId="173" fontId="4" fillId="74" borderId="30" xfId="158" applyNumberFormat="1" applyFont="1" applyFill="1" applyBorder="1" applyAlignment="1">
      <alignment horizontal="right" vertical="center"/>
    </xf>
    <xf numFmtId="173" fontId="4" fillId="74" borderId="11" xfId="158" applyNumberFormat="1" applyFont="1" applyFill="1" applyBorder="1" applyAlignment="1">
      <alignment horizontal="right" vertical="center"/>
    </xf>
    <xf numFmtId="173" fontId="4" fillId="74" borderId="31" xfId="158" applyNumberFormat="1" applyFont="1" applyFill="1" applyBorder="1" applyAlignment="1">
      <alignment horizontal="right" vertical="center"/>
    </xf>
    <xf numFmtId="2" fontId="4" fillId="74" borderId="30" xfId="158" applyNumberFormat="1" applyFont="1" applyFill="1" applyBorder="1" applyAlignment="1">
      <alignment horizontal="right" vertical="center"/>
    </xf>
    <xf numFmtId="0" fontId="5" fillId="0" borderId="21" xfId="158" applyFont="1" applyFill="1" applyBorder="1" applyAlignment="1">
      <alignment horizontal="center" vertical="center"/>
    </xf>
    <xf numFmtId="173" fontId="4" fillId="0" borderId="21" xfId="158" applyNumberFormat="1" applyFont="1" applyFill="1" applyBorder="1" applyAlignment="1">
      <alignment horizontal="right" vertical="center"/>
    </xf>
    <xf numFmtId="173" fontId="4" fillId="0" borderId="0" xfId="158" applyNumberFormat="1" applyFont="1" applyFill="1" applyBorder="1" applyAlignment="1">
      <alignment horizontal="right" vertical="center"/>
    </xf>
    <xf numFmtId="2" fontId="4" fillId="0" borderId="21" xfId="158" applyNumberFormat="1" applyFont="1" applyFill="1" applyBorder="1" applyAlignment="1">
      <alignment horizontal="right" vertical="center"/>
    </xf>
    <xf numFmtId="0" fontId="5" fillId="74" borderId="21" xfId="158" applyFont="1" applyFill="1" applyBorder="1" applyAlignment="1">
      <alignment horizontal="center" vertical="center"/>
    </xf>
    <xf numFmtId="173" fontId="4" fillId="74" borderId="25" xfId="158" applyNumberFormat="1" applyFont="1" applyFill="1" applyBorder="1" applyAlignment="1">
      <alignment horizontal="right" vertical="center"/>
    </xf>
    <xf numFmtId="173" fontId="4" fillId="74" borderId="0" xfId="158" applyNumberFormat="1" applyFont="1" applyFill="1" applyBorder="1" applyAlignment="1">
      <alignment horizontal="right" vertical="center"/>
    </xf>
    <xf numFmtId="2" fontId="4" fillId="74" borderId="17" xfId="158" applyNumberFormat="1" applyFont="1" applyFill="1" applyBorder="1" applyAlignment="1">
      <alignment horizontal="right" vertical="center"/>
    </xf>
    <xf numFmtId="0" fontId="5" fillId="0" borderId="30" xfId="158" applyFont="1" applyFill="1" applyBorder="1" applyAlignment="1">
      <alignment horizontal="center" vertical="center"/>
    </xf>
    <xf numFmtId="173" fontId="4" fillId="0" borderId="30" xfId="158" applyNumberFormat="1" applyFont="1" applyFill="1" applyBorder="1" applyAlignment="1">
      <alignment horizontal="right" vertical="center"/>
    </xf>
    <xf numFmtId="173" fontId="4" fillId="0" borderId="11" xfId="158" applyNumberFormat="1" applyFont="1" applyFill="1" applyBorder="1" applyAlignment="1">
      <alignment horizontal="right" vertical="center"/>
    </xf>
    <xf numFmtId="173" fontId="4" fillId="0" borderId="31" xfId="158" applyNumberFormat="1" applyFont="1" applyFill="1" applyBorder="1" applyAlignment="1">
      <alignment horizontal="right" vertical="center"/>
    </xf>
    <xf numFmtId="173" fontId="20" fillId="0" borderId="11" xfId="158" applyNumberFormat="1" applyFont="1" applyFill="1" applyBorder="1" applyAlignment="1">
      <alignment horizontal="right" vertical="center"/>
    </xf>
    <xf numFmtId="2" fontId="4" fillId="0" borderId="30" xfId="158" applyNumberFormat="1" applyFont="1" applyFill="1" applyBorder="1" applyAlignment="1">
      <alignment horizontal="right" vertical="center"/>
    </xf>
    <xf numFmtId="0" fontId="4" fillId="0" borderId="0" xfId="158" applyFont="1" applyFill="1"/>
    <xf numFmtId="173" fontId="20" fillId="74" borderId="21" xfId="158" applyNumberFormat="1" applyFont="1" applyFill="1" applyBorder="1" applyAlignment="1">
      <alignment horizontal="right" vertical="center"/>
    </xf>
    <xf numFmtId="173" fontId="20" fillId="74" borderId="0" xfId="158" applyNumberFormat="1" applyFont="1" applyFill="1" applyBorder="1" applyAlignment="1">
      <alignment horizontal="right" vertical="center"/>
    </xf>
    <xf numFmtId="173" fontId="20" fillId="74" borderId="0" xfId="158" applyNumberFormat="1" applyFont="1" applyFill="1" applyBorder="1"/>
    <xf numFmtId="2" fontId="4" fillId="74" borderId="21" xfId="158" applyNumberFormat="1" applyFont="1" applyFill="1" applyBorder="1" applyAlignment="1">
      <alignment horizontal="right" vertical="center"/>
    </xf>
    <xf numFmtId="0" fontId="4" fillId="0" borderId="0" xfId="158" applyFont="1" applyFill="1" applyAlignment="1">
      <alignment horizontal="center"/>
    </xf>
    <xf numFmtId="173" fontId="20" fillId="0" borderId="21" xfId="158" applyNumberFormat="1" applyFont="1" applyFill="1" applyBorder="1" applyAlignment="1">
      <alignment horizontal="right" vertical="center"/>
    </xf>
    <xf numFmtId="173" fontId="20" fillId="0" borderId="0" xfId="158" applyNumberFormat="1" applyFont="1" applyFill="1" applyBorder="1" applyAlignment="1">
      <alignment horizontal="right" vertical="center"/>
    </xf>
    <xf numFmtId="173" fontId="20" fillId="0" borderId="0" xfId="158" applyNumberFormat="1" applyFont="1" applyFill="1" applyBorder="1"/>
    <xf numFmtId="0" fontId="5" fillId="0" borderId="17" xfId="158" applyFont="1" applyFill="1" applyBorder="1" applyAlignment="1">
      <alignment horizontal="center" vertical="center"/>
    </xf>
    <xf numFmtId="173" fontId="4" fillId="0" borderId="25" xfId="158" applyNumberFormat="1" applyFont="1" applyFill="1" applyBorder="1" applyAlignment="1">
      <alignment horizontal="right" vertical="center"/>
    </xf>
    <xf numFmtId="2" fontId="4" fillId="0" borderId="17" xfId="158" applyNumberFormat="1" applyFont="1" applyFill="1" applyBorder="1" applyAlignment="1">
      <alignment horizontal="right" vertical="center"/>
    </xf>
    <xf numFmtId="173" fontId="4" fillId="74" borderId="21" xfId="158" applyNumberFormat="1" applyFont="1" applyFill="1" applyBorder="1" applyAlignment="1">
      <alignment horizontal="right" vertical="center"/>
    </xf>
    <xf numFmtId="173" fontId="4" fillId="74" borderId="32" xfId="158" applyNumberFormat="1" applyFont="1" applyFill="1" applyBorder="1" applyAlignment="1">
      <alignment horizontal="right" vertical="center"/>
    </xf>
    <xf numFmtId="173" fontId="4" fillId="0" borderId="33" xfId="158" applyNumberFormat="1" applyFont="1" applyFill="1" applyBorder="1" applyAlignment="1">
      <alignment horizontal="right" vertical="center"/>
    </xf>
    <xf numFmtId="2" fontId="4" fillId="0" borderId="34" xfId="158" applyNumberFormat="1" applyFont="1" applyFill="1" applyBorder="1" applyAlignment="1">
      <alignment horizontal="right" vertical="center"/>
    </xf>
    <xf numFmtId="173" fontId="4" fillId="0" borderId="0" xfId="158" quotePrefix="1" applyNumberFormat="1" applyFont="1" applyFill="1" applyBorder="1" applyAlignment="1">
      <alignment horizontal="right" vertical="center"/>
    </xf>
    <xf numFmtId="2" fontId="4" fillId="0" borderId="21" xfId="158" quotePrefix="1" applyNumberFormat="1" applyFont="1" applyFill="1" applyBorder="1" applyAlignment="1">
      <alignment horizontal="right" vertical="center"/>
    </xf>
    <xf numFmtId="173" fontId="4" fillId="74" borderId="0" xfId="158" applyNumberFormat="1" applyFont="1" applyFill="1" applyBorder="1"/>
    <xf numFmtId="2" fontId="20" fillId="0" borderId="21" xfId="158" applyNumberFormat="1" applyFont="1" applyFill="1" applyBorder="1" applyAlignment="1">
      <alignment horizontal="right" vertical="center"/>
    </xf>
    <xf numFmtId="2" fontId="20" fillId="74" borderId="21" xfId="158" applyNumberFormat="1" applyFont="1" applyFill="1" applyBorder="1" applyAlignment="1">
      <alignment horizontal="right" vertical="center"/>
    </xf>
    <xf numFmtId="0" fontId="5" fillId="0" borderId="0" xfId="158" applyFont="1"/>
    <xf numFmtId="173" fontId="4" fillId="0" borderId="34" xfId="158" applyNumberFormat="1" applyFont="1" applyFill="1" applyBorder="1" applyAlignment="1">
      <alignment horizontal="right" vertical="center"/>
    </xf>
    <xf numFmtId="173" fontId="4" fillId="74" borderId="33" xfId="158" applyNumberFormat="1" applyFont="1" applyFill="1" applyBorder="1" applyAlignment="1">
      <alignment horizontal="right" vertical="center"/>
    </xf>
    <xf numFmtId="173" fontId="4" fillId="74" borderId="34" xfId="158" applyNumberFormat="1" applyFont="1" applyFill="1" applyBorder="1" applyAlignment="1">
      <alignment horizontal="right" vertical="center"/>
    </xf>
    <xf numFmtId="173" fontId="4" fillId="74" borderId="23" xfId="158" applyNumberFormat="1" applyFont="1" applyFill="1" applyBorder="1" applyAlignment="1">
      <alignment horizontal="right" vertical="center"/>
    </xf>
    <xf numFmtId="173" fontId="4" fillId="0" borderId="21" xfId="158" applyNumberFormat="1" applyFont="1" applyBorder="1" applyAlignment="1">
      <alignment horizontal="right" vertical="center"/>
    </xf>
    <xf numFmtId="173" fontId="4" fillId="0" borderId="0" xfId="158" applyNumberFormat="1" applyFont="1" applyBorder="1" applyAlignment="1">
      <alignment horizontal="right" vertical="center"/>
    </xf>
    <xf numFmtId="173" fontId="20" fillId="0" borderId="0" xfId="158" applyNumberFormat="1" applyFont="1" applyBorder="1" applyAlignment="1">
      <alignment horizontal="right" vertical="center"/>
    </xf>
    <xf numFmtId="173" fontId="4" fillId="0" borderId="23" xfId="158" applyNumberFormat="1" applyFont="1" applyBorder="1" applyAlignment="1">
      <alignment horizontal="right" vertical="center"/>
    </xf>
    <xf numFmtId="2" fontId="4" fillId="0" borderId="21" xfId="158" applyNumberFormat="1" applyFont="1" applyBorder="1" applyAlignment="1">
      <alignment horizontal="right" vertical="center"/>
    </xf>
    <xf numFmtId="173" fontId="20" fillId="0" borderId="0" xfId="158" applyNumberFormat="1" applyFont="1" applyFill="1"/>
    <xf numFmtId="173" fontId="20" fillId="0" borderId="0" xfId="158" applyNumberFormat="1" applyFont="1" applyBorder="1"/>
    <xf numFmtId="2" fontId="20" fillId="0" borderId="21" xfId="158" applyNumberFormat="1" applyFont="1" applyBorder="1"/>
    <xf numFmtId="173" fontId="4" fillId="40" borderId="21" xfId="158" applyNumberFormat="1" applyFont="1" applyFill="1" applyBorder="1" applyAlignment="1">
      <alignment horizontal="right" vertical="center"/>
    </xf>
    <xf numFmtId="173" fontId="4" fillId="40" borderId="0" xfId="158" applyNumberFormat="1" applyFont="1" applyFill="1" applyBorder="1" applyAlignment="1">
      <alignment horizontal="right" vertical="center"/>
    </xf>
    <xf numFmtId="173" fontId="4" fillId="40" borderId="33" xfId="158" applyNumberFormat="1" applyFont="1" applyFill="1" applyBorder="1" applyAlignment="1">
      <alignment horizontal="right" vertical="center"/>
    </xf>
    <xf numFmtId="0" fontId="1" fillId="0" borderId="0" xfId="158" applyFill="1" applyBorder="1"/>
    <xf numFmtId="0" fontId="5" fillId="38" borderId="30" xfId="158" applyFont="1" applyFill="1" applyBorder="1" applyAlignment="1">
      <alignment horizontal="center" vertical="top"/>
    </xf>
    <xf numFmtId="1" fontId="5" fillId="38" borderId="0" xfId="158" applyNumberFormat="1" applyFont="1" applyFill="1" applyBorder="1" applyAlignment="1">
      <alignment horizontal="center" vertical="center"/>
    </xf>
    <xf numFmtId="1" fontId="5" fillId="38" borderId="11" xfId="158" applyNumberFormat="1" applyFont="1" applyFill="1" applyBorder="1" applyAlignment="1">
      <alignment horizontal="center" vertical="center"/>
    </xf>
    <xf numFmtId="1" fontId="5" fillId="38" borderId="30" xfId="158" applyNumberFormat="1" applyFont="1" applyFill="1" applyBorder="1" applyAlignment="1">
      <alignment horizontal="center" vertical="center"/>
    </xf>
    <xf numFmtId="0" fontId="1" fillId="0" borderId="35" xfId="158" applyFill="1" applyBorder="1"/>
    <xf numFmtId="0" fontId="30" fillId="38" borderId="17" xfId="158" applyFont="1" applyFill="1" applyBorder="1" applyAlignment="1">
      <alignment horizontal="center" wrapText="1"/>
    </xf>
    <xf numFmtId="1" fontId="5" fillId="38" borderId="25" xfId="158" applyNumberFormat="1" applyFont="1" applyFill="1" applyBorder="1" applyAlignment="1">
      <alignment horizontal="center"/>
    </xf>
    <xf numFmtId="1" fontId="5" fillId="38" borderId="17" xfId="158" applyNumberFormat="1" applyFont="1" applyFill="1" applyBorder="1" applyAlignment="1">
      <alignment horizontal="center"/>
    </xf>
    <xf numFmtId="0" fontId="1" fillId="0" borderId="22" xfId="158" applyFill="1" applyBorder="1"/>
    <xf numFmtId="0" fontId="12" fillId="0" borderId="0" xfId="158" applyFont="1"/>
    <xf numFmtId="0" fontId="4" fillId="0" borderId="0" xfId="158" applyFont="1" applyBorder="1" applyAlignment="1">
      <alignment horizontal="right" vertical="center"/>
    </xf>
    <xf numFmtId="9" fontId="4" fillId="0" borderId="0" xfId="158" applyNumberFormat="1" applyFont="1" applyAlignment="1">
      <alignment horizontal="center" vertical="top"/>
    </xf>
    <xf numFmtId="0" fontId="7" fillId="0" borderId="0" xfId="158" quotePrefix="1" applyFont="1" applyBorder="1" applyAlignment="1">
      <alignment horizontal="right" vertical="top"/>
    </xf>
    <xf numFmtId="0" fontId="7" fillId="0" borderId="0" xfId="158" quotePrefix="1" applyFont="1" applyBorder="1" applyAlignment="1">
      <alignment horizontal="right"/>
    </xf>
    <xf numFmtId="0" fontId="11" fillId="0" borderId="0" xfId="158" quotePrefix="1" applyFont="1" applyFill="1" applyBorder="1" applyAlignment="1">
      <alignment horizontal="right"/>
    </xf>
    <xf numFmtId="0" fontId="11" fillId="0" borderId="0" xfId="158" applyFont="1" applyBorder="1" applyAlignment="1">
      <alignment vertical="top"/>
    </xf>
    <xf numFmtId="0" fontId="1" fillId="0" borderId="0" xfId="158" applyAlignment="1">
      <alignment horizontal="left" vertical="top" wrapText="1"/>
    </xf>
    <xf numFmtId="0" fontId="12" fillId="0" borderId="0" xfId="158" applyFont="1" applyAlignment="1">
      <alignment horizontal="left" vertical="top" wrapText="1"/>
    </xf>
    <xf numFmtId="49" fontId="4" fillId="0" borderId="0" xfId="158" applyNumberFormat="1" applyFont="1" applyAlignment="1">
      <alignment vertical="top"/>
    </xf>
    <xf numFmtId="49" fontId="5" fillId="0" borderId="0" xfId="158" applyNumberFormat="1" applyFont="1" applyAlignment="1">
      <alignment vertical="top"/>
    </xf>
    <xf numFmtId="0" fontId="4" fillId="0" borderId="0" xfId="158" applyFont="1" applyAlignment="1"/>
    <xf numFmtId="0" fontId="5" fillId="0" borderId="0" xfId="158" applyFont="1" applyBorder="1" applyAlignment="1">
      <alignment horizontal="center"/>
    </xf>
    <xf numFmtId="0" fontId="20" fillId="0" borderId="0" xfId="158" applyFont="1" applyBorder="1" applyAlignment="1">
      <alignment horizontal="left" vertical="center"/>
    </xf>
    <xf numFmtId="0" fontId="5" fillId="0" borderId="0" xfId="158" quotePrefix="1" applyFont="1" applyBorder="1" applyAlignment="1">
      <alignment horizontal="left" vertical="center"/>
    </xf>
    <xf numFmtId="0" fontId="5" fillId="0" borderId="0" xfId="158" applyFont="1" applyBorder="1" applyAlignment="1">
      <alignment horizontal="left"/>
    </xf>
    <xf numFmtId="49" fontId="5" fillId="0" borderId="25" xfId="158" applyNumberFormat="1" applyFont="1" applyBorder="1" applyAlignment="1">
      <alignment horizontal="left" wrapText="1"/>
    </xf>
    <xf numFmtId="49" fontId="5" fillId="0" borderId="25" xfId="158" applyNumberFormat="1" applyFont="1" applyBorder="1" applyAlignment="1">
      <alignment horizontal="left"/>
    </xf>
    <xf numFmtId="173" fontId="4" fillId="74" borderId="0" xfId="158" quotePrefix="1" applyNumberFormat="1" applyFont="1" applyFill="1" applyBorder="1" applyAlignment="1">
      <alignment horizontal="right" vertical="center"/>
    </xf>
    <xf numFmtId="2" fontId="4" fillId="74" borderId="21" xfId="158" quotePrefix="1" applyNumberFormat="1" applyFont="1" applyFill="1" applyBorder="1" applyAlignment="1">
      <alignment horizontal="right" vertical="center"/>
    </xf>
    <xf numFmtId="0" fontId="4" fillId="0" borderId="0" xfId="158" applyFont="1" applyAlignment="1">
      <alignment horizontal="left"/>
    </xf>
    <xf numFmtId="173" fontId="20" fillId="74" borderId="30" xfId="158" applyNumberFormat="1" applyFont="1" applyFill="1" applyBorder="1" applyAlignment="1">
      <alignment horizontal="right" vertical="center"/>
    </xf>
    <xf numFmtId="173" fontId="20" fillId="74" borderId="11" xfId="158" applyNumberFormat="1" applyFont="1" applyFill="1" applyBorder="1" applyAlignment="1">
      <alignment horizontal="right" vertical="center"/>
    </xf>
    <xf numFmtId="173" fontId="20" fillId="74" borderId="32" xfId="158" applyNumberFormat="1" applyFont="1" applyFill="1" applyBorder="1" applyAlignment="1">
      <alignment horizontal="right" vertical="center"/>
    </xf>
    <xf numFmtId="2" fontId="20" fillId="74" borderId="30" xfId="158" applyNumberFormat="1" applyFont="1" applyFill="1" applyBorder="1" applyAlignment="1">
      <alignment horizontal="right" vertical="center"/>
    </xf>
    <xf numFmtId="173" fontId="20" fillId="74" borderId="33" xfId="158" applyNumberFormat="1" applyFont="1" applyFill="1" applyBorder="1" applyAlignment="1">
      <alignment horizontal="right" vertical="center"/>
    </xf>
    <xf numFmtId="0" fontId="4" fillId="74" borderId="0" xfId="158" applyFont="1" applyFill="1" applyAlignment="1">
      <alignment horizontal="center"/>
    </xf>
    <xf numFmtId="173" fontId="20" fillId="0" borderId="33" xfId="158" applyNumberFormat="1" applyFont="1" applyBorder="1" applyAlignment="1">
      <alignment horizontal="right" vertical="center"/>
    </xf>
    <xf numFmtId="2" fontId="4" fillId="40" borderId="34" xfId="158" applyNumberFormat="1" applyFont="1" applyFill="1" applyBorder="1" applyAlignment="1">
      <alignment horizontal="right" vertical="center"/>
    </xf>
    <xf numFmtId="2" fontId="4" fillId="40" borderId="21" xfId="158" applyNumberFormat="1" applyFont="1" applyFill="1" applyBorder="1" applyAlignment="1">
      <alignment horizontal="right" vertical="center"/>
    </xf>
    <xf numFmtId="173" fontId="4" fillId="40" borderId="34" xfId="158" applyNumberFormat="1" applyFont="1" applyFill="1" applyBorder="1" applyAlignment="1">
      <alignment horizontal="right" vertical="center"/>
    </xf>
    <xf numFmtId="173" fontId="4" fillId="40" borderId="0" xfId="158" quotePrefix="1" applyNumberFormat="1" applyFont="1" applyFill="1" applyBorder="1" applyAlignment="1">
      <alignment horizontal="right" vertical="center"/>
    </xf>
    <xf numFmtId="2" fontId="4" fillId="40" borderId="21" xfId="158" quotePrefix="1" applyNumberFormat="1" applyFont="1" applyFill="1" applyBorder="1" applyAlignment="1">
      <alignment horizontal="right" vertical="center"/>
    </xf>
    <xf numFmtId="1" fontId="5" fillId="0" borderId="0" xfId="158" applyNumberFormat="1" applyFont="1" applyFill="1" applyBorder="1" applyAlignment="1">
      <alignment horizontal="center" vertical="center"/>
    </xf>
    <xf numFmtId="0" fontId="5" fillId="38" borderId="21" xfId="158" applyFont="1" applyFill="1" applyBorder="1" applyAlignment="1">
      <alignment horizontal="center" vertical="top"/>
    </xf>
    <xf numFmtId="1" fontId="5" fillId="38" borderId="21" xfId="158" applyNumberFormat="1" applyFont="1" applyFill="1" applyBorder="1" applyAlignment="1">
      <alignment horizontal="center" vertical="center"/>
    </xf>
    <xf numFmtId="0" fontId="5" fillId="0" borderId="0" xfId="158" applyFont="1" applyBorder="1" applyAlignment="1">
      <alignment horizontal="center" vertical="top"/>
    </xf>
    <xf numFmtId="0" fontId="5" fillId="0" borderId="0" xfId="158" applyFont="1" applyBorder="1" applyAlignment="1">
      <alignment horizontal="left" vertical="top"/>
    </xf>
    <xf numFmtId="0" fontId="4" fillId="0" borderId="0" xfId="158" applyFont="1" applyAlignment="1">
      <alignment horizontal="left" vertical="top" wrapText="1"/>
    </xf>
    <xf numFmtId="0" fontId="4" fillId="0" borderId="0" xfId="158" applyFont="1" applyBorder="1" applyAlignment="1"/>
    <xf numFmtId="173" fontId="4" fillId="0" borderId="22" xfId="158" applyNumberFormat="1" applyFont="1" applyFill="1" applyBorder="1" applyAlignment="1">
      <alignment horizontal="right" vertical="center"/>
    </xf>
    <xf numFmtId="173" fontId="4" fillId="74" borderId="17" xfId="158" applyNumberFormat="1" applyFont="1" applyFill="1" applyBorder="1" applyAlignment="1">
      <alignment horizontal="center" vertical="center"/>
    </xf>
    <xf numFmtId="173" fontId="4" fillId="74" borderId="25" xfId="158" applyNumberFormat="1" applyFont="1" applyFill="1" applyBorder="1" applyAlignment="1">
      <alignment horizontal="center" vertical="center"/>
    </xf>
    <xf numFmtId="2" fontId="4" fillId="74" borderId="17" xfId="158" applyNumberFormat="1" applyFont="1" applyFill="1" applyBorder="1" applyAlignment="1">
      <alignment horizontal="center" vertical="center"/>
    </xf>
    <xf numFmtId="173" fontId="4" fillId="0" borderId="30" xfId="158" applyNumberFormat="1" applyFont="1" applyFill="1" applyBorder="1" applyAlignment="1">
      <alignment horizontal="center" vertical="center"/>
    </xf>
    <xf numFmtId="173" fontId="20" fillId="74" borderId="21" xfId="158" applyNumberFormat="1" applyFont="1" applyFill="1" applyBorder="1" applyAlignment="1">
      <alignment horizontal="center" vertical="center"/>
    </xf>
    <xf numFmtId="173" fontId="20" fillId="74" borderId="0" xfId="158" applyNumberFormat="1" applyFont="1" applyFill="1" applyBorder="1" applyAlignment="1">
      <alignment horizontal="center" vertical="center"/>
    </xf>
    <xf numFmtId="173" fontId="4" fillId="74" borderId="0" xfId="158" applyNumberFormat="1" applyFont="1" applyFill="1" applyBorder="1" applyAlignment="1">
      <alignment horizontal="center" vertical="center"/>
    </xf>
    <xf numFmtId="2" fontId="4" fillId="74" borderId="21" xfId="158" applyNumberFormat="1" applyFont="1" applyFill="1" applyBorder="1" applyAlignment="1">
      <alignment horizontal="center" vertical="center"/>
    </xf>
    <xf numFmtId="173" fontId="4" fillId="0" borderId="21" xfId="158" applyNumberFormat="1" applyFont="1" applyFill="1" applyBorder="1" applyAlignment="1">
      <alignment horizontal="center" vertical="center"/>
    </xf>
    <xf numFmtId="173" fontId="4" fillId="0" borderId="0" xfId="158" applyNumberFormat="1" applyFont="1" applyFill="1" applyBorder="1" applyAlignment="1">
      <alignment horizontal="center" vertical="center"/>
    </xf>
    <xf numFmtId="2" fontId="4" fillId="0" borderId="21" xfId="158" applyNumberFormat="1" applyFont="1" applyFill="1" applyBorder="1" applyAlignment="1">
      <alignment horizontal="center" vertical="center"/>
    </xf>
    <xf numFmtId="173" fontId="4" fillId="74" borderId="0" xfId="158" applyNumberFormat="1" applyFont="1" applyFill="1" applyBorder="1" applyAlignment="1">
      <alignment horizontal="right" vertical="center" wrapText="1"/>
    </xf>
    <xf numFmtId="173" fontId="4" fillId="74" borderId="21" xfId="158" applyNumberFormat="1" applyFont="1" applyFill="1" applyBorder="1" applyAlignment="1">
      <alignment horizontal="center" vertical="center"/>
    </xf>
    <xf numFmtId="173" fontId="20" fillId="74" borderId="34" xfId="158" applyNumberFormat="1" applyFont="1" applyFill="1" applyBorder="1" applyAlignment="1">
      <alignment horizontal="right" vertical="center"/>
    </xf>
    <xf numFmtId="173" fontId="4" fillId="0" borderId="23" xfId="158" applyNumberFormat="1" applyFont="1" applyFill="1" applyBorder="1" applyAlignment="1">
      <alignment horizontal="right" vertical="center"/>
    </xf>
    <xf numFmtId="2" fontId="4" fillId="0" borderId="23" xfId="158" applyNumberFormat="1" applyFont="1" applyFill="1" applyBorder="1" applyAlignment="1">
      <alignment horizontal="right" vertical="center"/>
    </xf>
    <xf numFmtId="2" fontId="4" fillId="37" borderId="23" xfId="158" applyNumberFormat="1" applyFont="1" applyFill="1" applyBorder="1" applyAlignment="1">
      <alignment horizontal="right" vertical="center"/>
    </xf>
    <xf numFmtId="173" fontId="4" fillId="0" borderId="0" xfId="158" applyNumberFormat="1" applyFont="1" applyBorder="1" applyAlignment="1">
      <alignment horizontal="center" vertical="center"/>
    </xf>
    <xf numFmtId="2" fontId="4" fillId="0" borderId="21" xfId="158" applyNumberFormat="1" applyFont="1" applyBorder="1" applyAlignment="1">
      <alignment horizontal="center" vertical="center"/>
    </xf>
    <xf numFmtId="173" fontId="20" fillId="40" borderId="0" xfId="158" applyNumberFormat="1" applyFont="1" applyFill="1" applyBorder="1" applyAlignment="1">
      <alignment horizontal="right" vertical="center"/>
    </xf>
    <xf numFmtId="2" fontId="20" fillId="40" borderId="21" xfId="158" applyNumberFormat="1" applyFont="1" applyFill="1" applyBorder="1" applyAlignment="1">
      <alignment horizontal="right" vertical="center"/>
    </xf>
    <xf numFmtId="0" fontId="4" fillId="0" borderId="0" xfId="158" applyFont="1" applyAlignment="1">
      <alignment horizontal="center" vertical="top"/>
    </xf>
    <xf numFmtId="49" fontId="5" fillId="0" borderId="0" xfId="158" applyNumberFormat="1" applyFont="1" applyBorder="1" applyAlignment="1">
      <alignment horizontal="left" wrapText="1"/>
    </xf>
    <xf numFmtId="49" fontId="5" fillId="0" borderId="0" xfId="158" applyNumberFormat="1" applyFont="1" applyBorder="1" applyAlignment="1">
      <alignment horizontal="left"/>
    </xf>
    <xf numFmtId="173" fontId="4" fillId="75" borderId="22" xfId="158" applyNumberFormat="1" applyFont="1" applyFill="1" applyBorder="1" applyAlignment="1">
      <alignment horizontal="center" vertical="center"/>
    </xf>
    <xf numFmtId="173" fontId="4" fillId="75" borderId="0" xfId="158" applyNumberFormat="1" applyFont="1" applyFill="1" applyBorder="1" applyAlignment="1">
      <alignment horizontal="center" vertical="center"/>
    </xf>
    <xf numFmtId="173" fontId="4" fillId="75" borderId="25" xfId="158" applyNumberFormat="1" applyFont="1" applyFill="1" applyBorder="1" applyAlignment="1">
      <alignment horizontal="center" vertical="center"/>
    </xf>
    <xf numFmtId="173" fontId="4" fillId="75" borderId="22" xfId="158" applyNumberFormat="1" applyFont="1" applyFill="1" applyBorder="1" applyAlignment="1">
      <alignment horizontal="right" vertical="center"/>
    </xf>
    <xf numFmtId="173" fontId="4" fillId="75" borderId="0" xfId="158" applyNumberFormat="1" applyFont="1" applyFill="1" applyBorder="1" applyAlignment="1">
      <alignment horizontal="right" vertical="center"/>
    </xf>
    <xf numFmtId="173" fontId="4" fillId="75" borderId="11" xfId="158" applyNumberFormat="1" applyFont="1" applyFill="1" applyBorder="1" applyAlignment="1">
      <alignment horizontal="center" vertical="center"/>
    </xf>
    <xf numFmtId="173" fontId="20" fillId="75" borderId="0" xfId="158" applyNumberFormat="1" applyFont="1" applyFill="1" applyBorder="1" applyAlignment="1">
      <alignment horizontal="center" vertical="center"/>
    </xf>
    <xf numFmtId="1" fontId="5" fillId="75" borderId="11" xfId="158" applyNumberFormat="1" applyFont="1" applyFill="1" applyBorder="1" applyAlignment="1">
      <alignment horizontal="center" wrapText="1"/>
    </xf>
    <xf numFmtId="1" fontId="5" fillId="75" borderId="25" xfId="158" applyNumberFormat="1" applyFont="1" applyFill="1" applyBorder="1" applyAlignment="1">
      <alignment horizontal="center" wrapText="1"/>
    </xf>
    <xf numFmtId="0" fontId="11" fillId="0" borderId="0" xfId="158" applyFont="1"/>
    <xf numFmtId="173" fontId="5" fillId="0" borderId="0" xfId="158" applyNumberFormat="1" applyFont="1" applyBorder="1" applyAlignment="1">
      <alignment horizontal="center" vertical="top"/>
    </xf>
    <xf numFmtId="0" fontId="5" fillId="74" borderId="17" xfId="0" applyFont="1" applyFill="1" applyBorder="1" applyAlignment="1">
      <alignment horizontal="center" vertical="center"/>
    </xf>
    <xf numFmtId="173" fontId="20" fillId="74" borderId="25" xfId="0" applyNumberFormat="1" applyFont="1" applyFill="1" applyBorder="1" applyAlignment="1">
      <alignment horizontal="right" vertical="center"/>
    </xf>
    <xf numFmtId="2" fontId="4" fillId="0" borderId="17" xfId="158" applyNumberFormat="1" applyFont="1" applyFill="1" applyBorder="1" applyAlignment="1">
      <alignment horizontal="center" vertical="center"/>
    </xf>
    <xf numFmtId="173" fontId="4" fillId="0" borderId="25" xfId="158" applyNumberFormat="1" applyFont="1" applyFill="1" applyBorder="1" applyAlignment="1">
      <alignment horizontal="center" vertical="center"/>
    </xf>
    <xf numFmtId="173" fontId="4" fillId="0" borderId="17" xfId="158" applyNumberFormat="1" applyFont="1" applyFill="1" applyBorder="1" applyAlignment="1">
      <alignment horizontal="center" vertical="center"/>
    </xf>
    <xf numFmtId="182" fontId="6" fillId="0" borderId="26" xfId="0" applyNumberFormat="1" applyFont="1" applyFill="1" applyBorder="1" applyAlignment="1">
      <alignment horizontal="center" vertical="center"/>
    </xf>
    <xf numFmtId="182" fontId="6" fillId="0" borderId="25" xfId="0" applyNumberFormat="1" applyFont="1" applyFill="1" applyBorder="1" applyAlignment="1">
      <alignment horizontal="center" vertical="center"/>
    </xf>
    <xf numFmtId="182" fontId="6" fillId="0" borderId="27" xfId="0" applyNumberFormat="1" applyFont="1" applyFill="1" applyBorder="1" applyAlignment="1">
      <alignment horizontal="center" vertical="center"/>
    </xf>
    <xf numFmtId="182" fontId="8" fillId="0" borderId="17" xfId="0" applyNumberFormat="1" applyFont="1" applyFill="1" applyBorder="1" applyAlignment="1">
      <alignment horizontal="center" vertical="center"/>
    </xf>
    <xf numFmtId="182" fontId="6" fillId="0" borderId="23" xfId="0" applyNumberFormat="1" applyFont="1" applyFill="1" applyBorder="1" applyAlignment="1">
      <alignment horizontal="center" vertical="center"/>
    </xf>
    <xf numFmtId="182" fontId="6" fillId="0" borderId="0" xfId="0" applyNumberFormat="1" applyFont="1" applyFill="1" applyBorder="1" applyAlignment="1">
      <alignment horizontal="center" vertical="center"/>
    </xf>
    <xf numFmtId="182" fontId="6" fillId="0" borderId="22" xfId="0" applyNumberFormat="1" applyFont="1" applyFill="1" applyBorder="1" applyAlignment="1">
      <alignment horizontal="center" vertical="center"/>
    </xf>
    <xf numFmtId="182" fontId="8" fillId="0" borderId="21" xfId="0" applyNumberFormat="1" applyFont="1" applyFill="1" applyBorder="1" applyAlignment="1">
      <alignment horizontal="center" vertical="center"/>
    </xf>
    <xf numFmtId="182" fontId="6" fillId="0" borderId="36" xfId="0" applyNumberFormat="1" applyFont="1" applyFill="1" applyBorder="1" applyAlignment="1">
      <alignment horizontal="center" vertical="center"/>
    </xf>
    <xf numFmtId="182" fontId="6" fillId="0" borderId="29" xfId="0" applyNumberFormat="1" applyFont="1" applyFill="1" applyBorder="1" applyAlignment="1">
      <alignment horizontal="center" vertical="center"/>
    </xf>
    <xf numFmtId="2" fontId="4" fillId="0" borderId="0" xfId="0" applyNumberFormat="1" applyFont="1" applyFill="1" applyBorder="1" applyAlignment="1">
      <alignment horizontal="right" vertical="center"/>
    </xf>
    <xf numFmtId="173" fontId="4" fillId="0" borderId="0" xfId="158" applyNumberFormat="1" applyFont="1" applyBorder="1" applyAlignment="1">
      <alignment vertical="top"/>
    </xf>
    <xf numFmtId="2" fontId="6" fillId="0" borderId="37" xfId="0" applyNumberFormat="1" applyFont="1" applyFill="1" applyBorder="1" applyAlignment="1">
      <alignment horizontal="right" vertical="center"/>
    </xf>
    <xf numFmtId="173" fontId="4" fillId="0" borderId="37" xfId="0" applyNumberFormat="1" applyFont="1" applyBorder="1" applyAlignment="1">
      <alignment horizontal="center" vertical="center"/>
    </xf>
    <xf numFmtId="173" fontId="4" fillId="74" borderId="25" xfId="158" applyNumberFormat="1" applyFont="1" applyFill="1" applyBorder="1" applyAlignment="1">
      <alignment horizontal="right" vertical="center"/>
    </xf>
    <xf numFmtId="173" fontId="4" fillId="74" borderId="11" xfId="158" applyNumberFormat="1" applyFont="1" applyFill="1" applyBorder="1" applyAlignment="1">
      <alignment horizontal="right" vertical="center"/>
    </xf>
    <xf numFmtId="173" fontId="20" fillId="74" borderId="11" xfId="158" applyNumberFormat="1" applyFont="1" applyFill="1" applyBorder="1" applyAlignment="1">
      <alignment horizontal="right" vertical="center"/>
    </xf>
    <xf numFmtId="185" fontId="4" fillId="0" borderId="0" xfId="158" applyNumberFormat="1" applyFont="1" applyAlignment="1">
      <alignment vertical="top"/>
    </xf>
    <xf numFmtId="185" fontId="4" fillId="0" borderId="0" xfId="158" applyNumberFormat="1" applyFont="1"/>
    <xf numFmtId="186" fontId="4" fillId="0" borderId="0" xfId="158" applyNumberFormat="1" applyFont="1"/>
    <xf numFmtId="1" fontId="4" fillId="0" borderId="0" xfId="158" applyNumberFormat="1" applyFont="1"/>
    <xf numFmtId="173" fontId="4" fillId="74" borderId="25" xfId="158" applyNumberFormat="1" applyFont="1" applyFill="1" applyBorder="1" applyAlignment="1">
      <alignment horizontal="center" vertical="center"/>
    </xf>
    <xf numFmtId="173" fontId="4" fillId="0" borderId="33" xfId="158" applyNumberFormat="1" applyFont="1" applyBorder="1" applyAlignment="1">
      <alignment horizontal="right" vertical="center"/>
    </xf>
    <xf numFmtId="173" fontId="20" fillId="74" borderId="22" xfId="158" applyNumberFormat="1" applyFont="1" applyFill="1" applyBorder="1" applyAlignment="1">
      <alignment horizontal="right" vertical="center"/>
    </xf>
    <xf numFmtId="173" fontId="4" fillId="75" borderId="11" xfId="158" applyNumberFormat="1" applyFont="1" applyFill="1" applyBorder="1" applyAlignment="1">
      <alignment horizontal="center" vertical="center"/>
    </xf>
    <xf numFmtId="1" fontId="5" fillId="75" borderId="0" xfId="158" applyNumberFormat="1" applyFont="1" applyFill="1" applyBorder="1" applyAlignment="1">
      <alignment horizontal="center" wrapText="1"/>
    </xf>
    <xf numFmtId="173" fontId="4" fillId="75" borderId="33" xfId="158" applyNumberFormat="1" applyFont="1" applyFill="1" applyBorder="1" applyAlignment="1">
      <alignment horizontal="center" vertical="center"/>
    </xf>
    <xf numFmtId="182" fontId="4" fillId="0" borderId="0" xfId="0" applyNumberFormat="1" applyFont="1" applyFill="1" applyBorder="1" applyAlignment="1">
      <alignment horizontal="center" vertical="center"/>
    </xf>
    <xf numFmtId="173" fontId="20" fillId="0" borderId="0" xfId="158" applyNumberFormat="1" applyFont="1" applyBorder="1" applyAlignment="1">
      <alignment vertical="top"/>
    </xf>
    <xf numFmtId="173" fontId="4" fillId="74" borderId="17" xfId="158" applyNumberFormat="1" applyFont="1" applyFill="1" applyBorder="1" applyAlignment="1">
      <alignment horizontal="right" vertical="center"/>
    </xf>
    <xf numFmtId="2" fontId="20" fillId="0" borderId="23" xfId="0" applyNumberFormat="1" applyFont="1" applyFill="1" applyBorder="1" applyAlignment="1">
      <alignment horizontal="right" vertical="center"/>
    </xf>
    <xf numFmtId="173" fontId="20" fillId="0" borderId="25" xfId="158" applyNumberFormat="1" applyFont="1" applyFill="1" applyBorder="1" applyAlignment="1">
      <alignment horizontal="right" vertical="center"/>
    </xf>
    <xf numFmtId="185" fontId="4" fillId="0" borderId="0" xfId="158" applyNumberFormat="1" applyFont="1" applyBorder="1" applyAlignment="1">
      <alignment horizontal="right" vertical="center"/>
    </xf>
    <xf numFmtId="0" fontId="4" fillId="0" borderId="0" xfId="158" applyFont="1" applyBorder="1"/>
    <xf numFmtId="173" fontId="4" fillId="0" borderId="22" xfId="158" applyNumberFormat="1" applyFont="1" applyBorder="1" applyAlignment="1">
      <alignment horizontal="right" vertical="center"/>
    </xf>
    <xf numFmtId="173" fontId="20" fillId="0" borderId="22" xfId="158" applyNumberFormat="1" applyFont="1" applyBorder="1" applyAlignment="1">
      <alignment horizontal="right" vertical="center"/>
    </xf>
    <xf numFmtId="173" fontId="4" fillId="37" borderId="22" xfId="158" applyNumberFormat="1" applyFont="1" applyFill="1" applyBorder="1" applyAlignment="1">
      <alignment horizontal="right" vertical="center"/>
    </xf>
    <xf numFmtId="173" fontId="4" fillId="40" borderId="22" xfId="158" applyNumberFormat="1" applyFont="1" applyFill="1" applyBorder="1" applyAlignment="1">
      <alignment horizontal="right" vertical="center"/>
    </xf>
    <xf numFmtId="173" fontId="4" fillId="74" borderId="22" xfId="158" applyNumberFormat="1" applyFont="1" applyFill="1" applyBorder="1" applyAlignment="1">
      <alignment horizontal="right" vertical="center"/>
    </xf>
    <xf numFmtId="173" fontId="20" fillId="0" borderId="22" xfId="158" applyNumberFormat="1" applyFont="1" applyFill="1" applyBorder="1" applyAlignment="1">
      <alignment horizontal="right" vertical="center"/>
    </xf>
    <xf numFmtId="173" fontId="20" fillId="0" borderId="22" xfId="158" applyNumberFormat="1" applyFont="1" applyBorder="1" applyAlignment="1">
      <alignment vertical="top"/>
    </xf>
    <xf numFmtId="173" fontId="4" fillId="37" borderId="21" xfId="158" applyNumberFormat="1" applyFont="1" applyFill="1" applyBorder="1" applyAlignment="1">
      <alignment horizontal="right"/>
    </xf>
    <xf numFmtId="186" fontId="4" fillId="0" borderId="0" xfId="158" applyNumberFormat="1" applyFont="1" applyAlignment="1">
      <alignment horizontal="left" vertical="top" wrapText="1"/>
    </xf>
    <xf numFmtId="173" fontId="20" fillId="0" borderId="33" xfId="158" applyNumberFormat="1" applyFont="1" applyFill="1" applyBorder="1"/>
    <xf numFmtId="173" fontId="20" fillId="0" borderId="33" xfId="158" applyNumberFormat="1" applyFont="1" applyFill="1" applyBorder="1" applyAlignment="1">
      <alignment horizontal="right" vertical="center"/>
    </xf>
    <xf numFmtId="173" fontId="21" fillId="0" borderId="22" xfId="0" applyNumberFormat="1" applyFont="1" applyFill="1" applyBorder="1" applyAlignment="1">
      <alignment horizontal="center" vertical="center"/>
    </xf>
    <xf numFmtId="173" fontId="4" fillId="0" borderId="22" xfId="0" applyNumberFormat="1" applyFont="1" applyFill="1" applyBorder="1" applyAlignment="1">
      <alignment horizontal="center" vertical="center"/>
    </xf>
    <xf numFmtId="0" fontId="5" fillId="37" borderId="30" xfId="0" applyFont="1" applyFill="1" applyBorder="1" applyAlignment="1">
      <alignment horizontal="center" vertical="center"/>
    </xf>
    <xf numFmtId="173" fontId="20" fillId="0" borderId="38" xfId="0" applyNumberFormat="1" applyFont="1" applyBorder="1"/>
    <xf numFmtId="173" fontId="20" fillId="0" borderId="35" xfId="0" applyNumberFormat="1" applyFont="1" applyBorder="1"/>
    <xf numFmtId="0" fontId="5" fillId="39" borderId="25" xfId="0" applyFont="1" applyFill="1" applyBorder="1" applyAlignment="1">
      <alignment horizontal="center" vertical="center"/>
    </xf>
    <xf numFmtId="1" fontId="8" fillId="37" borderId="23" xfId="0" applyNumberFormat="1" applyFont="1" applyFill="1" applyBorder="1" applyAlignment="1">
      <alignment horizontal="center" vertical="center"/>
    </xf>
    <xf numFmtId="1" fontId="8" fillId="37" borderId="38" xfId="0" applyNumberFormat="1" applyFont="1" applyFill="1" applyBorder="1" applyAlignment="1">
      <alignment horizontal="center" vertical="center"/>
    </xf>
    <xf numFmtId="2" fontId="21" fillId="0" borderId="30" xfId="0" applyNumberFormat="1" applyFont="1" applyFill="1" applyBorder="1" applyAlignment="1">
      <alignment horizontal="right" vertical="center"/>
    </xf>
    <xf numFmtId="173" fontId="20" fillId="0" borderId="23" xfId="0" applyNumberFormat="1" applyFont="1" applyBorder="1" applyAlignment="1">
      <alignment horizontal="center" vertical="center"/>
    </xf>
    <xf numFmtId="173" fontId="20" fillId="0" borderId="35" xfId="0" applyNumberFormat="1" applyFont="1" applyBorder="1" applyAlignment="1">
      <alignment horizontal="center" vertical="center"/>
    </xf>
    <xf numFmtId="173" fontId="4" fillId="0" borderId="11" xfId="0" applyNumberFormat="1" applyFont="1" applyBorder="1" applyAlignment="1">
      <alignment horizontal="center" vertical="center"/>
    </xf>
    <xf numFmtId="2" fontId="6" fillId="0" borderId="11" xfId="0" applyNumberFormat="1" applyFont="1" applyFill="1" applyBorder="1" applyAlignment="1">
      <alignment horizontal="right" vertical="center"/>
    </xf>
    <xf numFmtId="2" fontId="4" fillId="0" borderId="25" xfId="0" quotePrefix="1" applyNumberFormat="1" applyFont="1" applyFill="1" applyBorder="1" applyAlignment="1">
      <alignment horizontal="right" vertical="center"/>
    </xf>
    <xf numFmtId="2" fontId="4" fillId="0" borderId="0" xfId="0" quotePrefix="1" applyNumberFormat="1" applyFont="1" applyFill="1" applyBorder="1" applyAlignment="1">
      <alignment horizontal="right" vertical="center"/>
    </xf>
    <xf numFmtId="173" fontId="4" fillId="74" borderId="11" xfId="158" applyNumberFormat="1" applyFont="1" applyFill="1" applyBorder="1" applyAlignment="1">
      <alignment horizontal="right" vertical="center"/>
    </xf>
    <xf numFmtId="173" fontId="4" fillId="75" borderId="35" xfId="158" applyNumberFormat="1" applyFont="1" applyFill="1" applyBorder="1" applyAlignment="1">
      <alignment horizontal="center" vertical="center"/>
    </xf>
    <xf numFmtId="173" fontId="4" fillId="75" borderId="35" xfId="158" applyNumberFormat="1" applyFont="1" applyFill="1" applyBorder="1" applyAlignment="1">
      <alignment horizontal="right" vertical="center"/>
    </xf>
    <xf numFmtId="173" fontId="4" fillId="75" borderId="11" xfId="158" applyNumberFormat="1" applyFont="1" applyFill="1" applyBorder="1" applyAlignment="1">
      <alignment horizontal="center" vertical="center"/>
    </xf>
    <xf numFmtId="0" fontId="5" fillId="37" borderId="18" xfId="158" applyFont="1" applyFill="1" applyBorder="1" applyAlignment="1">
      <alignment horizontal="center" vertical="center"/>
    </xf>
    <xf numFmtId="173" fontId="5" fillId="37" borderId="19" xfId="158" applyNumberFormat="1" applyFont="1" applyFill="1" applyBorder="1" applyAlignment="1">
      <alignment horizontal="right" vertical="center"/>
    </xf>
    <xf numFmtId="173" fontId="21" fillId="37" borderId="24" xfId="158" applyNumberFormat="1" applyFont="1" applyFill="1" applyBorder="1" applyAlignment="1">
      <alignment horizontal="right" vertical="center"/>
    </xf>
    <xf numFmtId="173" fontId="5" fillId="37" borderId="24" xfId="158" applyNumberFormat="1" applyFont="1" applyFill="1" applyBorder="1" applyAlignment="1">
      <alignment horizontal="right" vertical="center"/>
    </xf>
    <xf numFmtId="173" fontId="21" fillId="75" borderId="24" xfId="158" applyNumberFormat="1" applyFont="1" applyFill="1" applyBorder="1" applyAlignment="1">
      <alignment horizontal="center" vertical="center"/>
    </xf>
    <xf numFmtId="173" fontId="21" fillId="75" borderId="28" xfId="158" applyNumberFormat="1" applyFont="1" applyFill="1" applyBorder="1" applyAlignment="1">
      <alignment horizontal="center" vertical="center"/>
    </xf>
    <xf numFmtId="173" fontId="5" fillId="37" borderId="18" xfId="158" applyNumberFormat="1" applyFont="1" applyFill="1" applyBorder="1" applyAlignment="1">
      <alignment horizontal="right" vertical="center"/>
    </xf>
    <xf numFmtId="173" fontId="4" fillId="74" borderId="38" xfId="158" applyNumberFormat="1" applyFont="1" applyFill="1" applyBorder="1" applyAlignment="1">
      <alignment horizontal="right" vertical="center"/>
    </xf>
    <xf numFmtId="173" fontId="4" fillId="74" borderId="30" xfId="158" applyNumberFormat="1" applyFont="1" applyFill="1" applyBorder="1" applyAlignment="1">
      <alignment horizontal="right" vertical="center"/>
    </xf>
    <xf numFmtId="173" fontId="4" fillId="0" borderId="21" xfId="158" quotePrefix="1" applyNumberFormat="1" applyFont="1" applyFill="1" applyBorder="1" applyAlignment="1">
      <alignment horizontal="right" vertical="center"/>
    </xf>
    <xf numFmtId="173" fontId="4" fillId="74" borderId="21" xfId="158" quotePrefix="1" applyNumberFormat="1" applyFont="1" applyFill="1" applyBorder="1" applyAlignment="1">
      <alignment horizontal="right" vertical="center"/>
    </xf>
    <xf numFmtId="2" fontId="4" fillId="0" borderId="22" xfId="0" applyNumberFormat="1" applyFont="1" applyFill="1" applyBorder="1" applyAlignment="1">
      <alignment horizontal="right" vertical="center"/>
    </xf>
    <xf numFmtId="173" fontId="20" fillId="0" borderId="11" xfId="0" applyNumberFormat="1" applyFont="1" applyBorder="1" applyAlignment="1">
      <alignment horizontal="center" vertical="center"/>
    </xf>
    <xf numFmtId="173" fontId="4" fillId="0" borderId="23" xfId="0" applyNumberFormat="1" applyFont="1" applyBorder="1" applyAlignment="1">
      <alignment horizontal="center" vertical="center"/>
    </xf>
    <xf numFmtId="173" fontId="4" fillId="0" borderId="38" xfId="0" applyNumberFormat="1" applyFont="1" applyBorder="1" applyAlignment="1">
      <alignment horizontal="center" vertical="center"/>
    </xf>
    <xf numFmtId="173" fontId="4" fillId="0" borderId="35" xfId="0" applyNumberFormat="1" applyFont="1" applyBorder="1" applyAlignment="1">
      <alignment horizontal="center" vertical="center"/>
    </xf>
    <xf numFmtId="173" fontId="20" fillId="74" borderId="35" xfId="158" applyNumberFormat="1" applyFont="1" applyFill="1" applyBorder="1" applyAlignment="1">
      <alignment horizontal="right" vertical="center"/>
    </xf>
    <xf numFmtId="173" fontId="4" fillId="74" borderId="35" xfId="158" applyNumberFormat="1" applyFont="1" applyFill="1" applyBorder="1" applyAlignment="1">
      <alignment horizontal="right" vertical="center"/>
    </xf>
    <xf numFmtId="173" fontId="20" fillId="74" borderId="11" xfId="158" applyNumberFormat="1" applyFont="1" applyFill="1" applyBorder="1" applyAlignment="1">
      <alignment horizontal="right" vertical="center"/>
    </xf>
    <xf numFmtId="173" fontId="4" fillId="0" borderId="33" xfId="158" applyNumberFormat="1" applyFont="1" applyBorder="1"/>
    <xf numFmtId="2" fontId="21" fillId="37" borderId="18" xfId="158" applyNumberFormat="1" applyFont="1" applyFill="1" applyBorder="1" applyAlignment="1">
      <alignment vertical="center"/>
    </xf>
    <xf numFmtId="182" fontId="21" fillId="37" borderId="19" xfId="158" applyNumberFormat="1" applyFont="1" applyFill="1" applyBorder="1" applyAlignment="1">
      <alignment vertical="center"/>
    </xf>
    <xf numFmtId="182" fontId="21" fillId="37" borderId="24" xfId="158" applyNumberFormat="1" applyFont="1" applyFill="1" applyBorder="1" applyAlignment="1">
      <alignment vertical="center"/>
    </xf>
    <xf numFmtId="182" fontId="21" fillId="37" borderId="24" xfId="158" applyNumberFormat="1" applyFont="1" applyFill="1" applyBorder="1" applyAlignment="1">
      <alignment horizontal="right"/>
    </xf>
    <xf numFmtId="173" fontId="21" fillId="37" borderId="18" xfId="158" applyNumberFormat="1" applyFont="1" applyFill="1" applyBorder="1" applyAlignment="1">
      <alignment horizontal="right"/>
    </xf>
    <xf numFmtId="173" fontId="4" fillId="37" borderId="18" xfId="158" applyNumberFormat="1" applyFont="1" applyFill="1" applyBorder="1" applyAlignment="1">
      <alignment horizontal="right"/>
    </xf>
    <xf numFmtId="173" fontId="5" fillId="37" borderId="24" xfId="158" applyNumberFormat="1" applyFont="1" applyFill="1" applyBorder="1" applyAlignment="1">
      <alignment horizontal="right"/>
    </xf>
    <xf numFmtId="173" fontId="21" fillId="37" borderId="24" xfId="158" applyNumberFormat="1" applyFont="1" applyFill="1" applyBorder="1" applyAlignment="1">
      <alignment horizontal="right"/>
    </xf>
    <xf numFmtId="173" fontId="5" fillId="37" borderId="18" xfId="158" applyNumberFormat="1" applyFont="1" applyFill="1" applyBorder="1" applyAlignment="1">
      <alignment horizontal="right"/>
    </xf>
    <xf numFmtId="173" fontId="20" fillId="74" borderId="0" xfId="158" applyNumberFormat="1" applyFont="1" applyFill="1" applyBorder="1" applyAlignment="1">
      <alignment horizontal="right" vertical="center" wrapText="1"/>
    </xf>
    <xf numFmtId="173" fontId="21" fillId="37" borderId="24" xfId="0" applyNumberFormat="1" applyFont="1" applyFill="1" applyBorder="1" applyAlignment="1">
      <alignment horizontal="right"/>
    </xf>
    <xf numFmtId="174" fontId="20" fillId="0" borderId="22" xfId="0" applyNumberFormat="1" applyFont="1" applyBorder="1" applyAlignment="1">
      <alignment horizontal="center" vertical="center"/>
    </xf>
    <xf numFmtId="173" fontId="20" fillId="0" borderId="11" xfId="0" applyNumberFormat="1" applyFont="1" applyBorder="1"/>
    <xf numFmtId="173" fontId="4" fillId="0" borderId="11" xfId="0" applyNumberFormat="1" applyFont="1" applyBorder="1"/>
    <xf numFmtId="0" fontId="5" fillId="0" borderId="0" xfId="0" applyFont="1" applyAlignment="1">
      <alignment vertical="top"/>
    </xf>
    <xf numFmtId="0" fontId="5" fillId="0" borderId="0" xfId="0" applyFont="1" applyFill="1" applyBorder="1" applyAlignment="1">
      <alignment horizontal="left"/>
    </xf>
    <xf numFmtId="182" fontId="4" fillId="0" borderId="22" xfId="0" applyNumberFormat="1" applyFont="1" applyFill="1" applyBorder="1" applyAlignment="1">
      <alignment horizontal="center" vertical="center"/>
    </xf>
    <xf numFmtId="0" fontId="30" fillId="37" borderId="38" xfId="0" applyFont="1" applyFill="1" applyBorder="1" applyAlignment="1">
      <alignment horizontal="center" vertical="center"/>
    </xf>
    <xf numFmtId="182" fontId="6" fillId="0" borderId="38" xfId="0" applyNumberFormat="1" applyFont="1" applyFill="1" applyBorder="1" applyAlignment="1">
      <alignment horizontal="center" vertical="center"/>
    </xf>
    <xf numFmtId="182" fontId="4" fillId="0" borderId="35" xfId="0" applyNumberFormat="1" applyFont="1" applyFill="1" applyBorder="1" applyAlignment="1">
      <alignment horizontal="center" vertical="center"/>
    </xf>
    <xf numFmtId="182" fontId="4" fillId="0" borderId="11" xfId="0" applyNumberFormat="1" applyFont="1" applyFill="1" applyBorder="1" applyAlignment="1">
      <alignment horizontal="center" vertical="center"/>
    </xf>
    <xf numFmtId="182" fontId="5" fillId="0" borderId="21" xfId="0" applyNumberFormat="1" applyFont="1" applyFill="1" applyBorder="1" applyAlignment="1">
      <alignment horizontal="center" vertical="center"/>
    </xf>
    <xf numFmtId="182" fontId="5" fillId="0" borderId="30" xfId="0" applyNumberFormat="1" applyFont="1" applyFill="1" applyBorder="1" applyAlignment="1">
      <alignment horizontal="center" vertical="center"/>
    </xf>
    <xf numFmtId="173" fontId="4" fillId="0" borderId="39" xfId="158" applyNumberFormat="1" applyFont="1" applyBorder="1" applyAlignment="1">
      <alignment horizontal="right" vertical="center"/>
    </xf>
    <xf numFmtId="49" fontId="5" fillId="0" borderId="0" xfId="158" applyNumberFormat="1" applyFont="1" applyAlignment="1">
      <alignment vertical="top" wrapText="1"/>
    </xf>
    <xf numFmtId="173" fontId="4" fillId="76" borderId="0" xfId="158" applyNumberFormat="1" applyFont="1" applyFill="1" applyBorder="1" applyAlignment="1">
      <alignment horizontal="right" vertical="center"/>
    </xf>
    <xf numFmtId="0" fontId="5" fillId="74" borderId="30" xfId="0" applyFont="1" applyFill="1" applyBorder="1" applyAlignment="1">
      <alignment horizontal="center" vertical="center"/>
    </xf>
    <xf numFmtId="0" fontId="5" fillId="0" borderId="30" xfId="0" applyFont="1" applyFill="1" applyBorder="1" applyAlignment="1">
      <alignment horizontal="center" vertical="center"/>
    </xf>
    <xf numFmtId="173" fontId="20" fillId="0" borderId="35" xfId="158" applyNumberFormat="1" applyFont="1" applyFill="1" applyBorder="1" applyAlignment="1">
      <alignment horizontal="right" vertical="center"/>
    </xf>
    <xf numFmtId="1" fontId="4" fillId="74" borderId="0" xfId="158" applyNumberFormat="1" applyFont="1" applyFill="1"/>
    <xf numFmtId="173" fontId="20" fillId="74" borderId="27" xfId="158" applyNumberFormat="1" applyFont="1" applyFill="1" applyBorder="1" applyAlignment="1">
      <alignment horizontal="right" vertical="center"/>
    </xf>
    <xf numFmtId="0" fontId="4" fillId="0" borderId="38" xfId="158" applyFont="1" applyBorder="1" applyAlignment="1">
      <alignment horizontal="right" vertical="center"/>
    </xf>
    <xf numFmtId="0" fontId="5" fillId="74" borderId="30" xfId="158" applyFont="1" applyFill="1" applyBorder="1" applyAlignment="1">
      <alignment horizontal="center" vertical="center"/>
    </xf>
    <xf numFmtId="173" fontId="4" fillId="75" borderId="11" xfId="158" applyNumberFormat="1" applyFont="1" applyFill="1" applyBorder="1" applyAlignment="1">
      <alignment horizontal="right" vertical="center"/>
    </xf>
    <xf numFmtId="0" fontId="11" fillId="0" borderId="0" xfId="0" applyFont="1" applyAlignment="1">
      <alignment vertical="top"/>
    </xf>
    <xf numFmtId="0" fontId="11" fillId="0" borderId="0" xfId="0" applyFont="1"/>
    <xf numFmtId="0" fontId="5" fillId="38" borderId="19" xfId="0" applyFont="1" applyFill="1" applyBorder="1" applyAlignment="1">
      <alignment horizontal="center" vertical="center" wrapText="1"/>
    </xf>
    <xf numFmtId="0" fontId="5" fillId="38" borderId="28" xfId="0" applyFont="1" applyFill="1" applyBorder="1" applyAlignment="1">
      <alignment horizontal="center" vertical="center" wrapText="1"/>
    </xf>
    <xf numFmtId="0" fontId="5" fillId="0" borderId="0" xfId="0" applyFont="1" applyFill="1" applyBorder="1" applyAlignment="1">
      <alignment horizontal="center" vertical="center" wrapText="1"/>
    </xf>
    <xf numFmtId="173" fontId="20" fillId="0" borderId="11" xfId="0" applyNumberFormat="1" applyFont="1" applyFill="1" applyBorder="1" applyAlignment="1">
      <alignment horizontal="right" vertical="center"/>
    </xf>
    <xf numFmtId="173" fontId="20" fillId="74" borderId="11" xfId="0" applyNumberFormat="1" applyFont="1" applyFill="1" applyBorder="1" applyAlignment="1">
      <alignment horizontal="right" vertical="center"/>
    </xf>
    <xf numFmtId="0" fontId="5" fillId="0" borderId="0" xfId="0" applyFont="1" applyAlignment="1"/>
    <xf numFmtId="0" fontId="5" fillId="0" borderId="0" xfId="0" applyFont="1" applyAlignment="1">
      <alignment horizontal="left"/>
    </xf>
    <xf numFmtId="0" fontId="5" fillId="0" borderId="0" xfId="0" applyFont="1" applyAlignment="1">
      <alignment horizontal="left" vertical="center"/>
    </xf>
    <xf numFmtId="174" fontId="20" fillId="76" borderId="11" xfId="0" applyNumberFormat="1" applyFont="1" applyFill="1" applyBorder="1" applyAlignment="1">
      <alignment horizontal="center" vertical="center"/>
    </xf>
    <xf numFmtId="178" fontId="33" fillId="0" borderId="27" xfId="0" applyNumberFormat="1" applyFont="1" applyFill="1" applyBorder="1" applyAlignment="1">
      <alignment horizontal="right" vertical="center"/>
    </xf>
    <xf numFmtId="178" fontId="33" fillId="0" borderId="22" xfId="0" applyNumberFormat="1" applyFont="1" applyFill="1" applyBorder="1" applyAlignment="1">
      <alignment horizontal="right" vertical="center"/>
    </xf>
    <xf numFmtId="178" fontId="33" fillId="0" borderId="28" xfId="0" applyNumberFormat="1" applyFont="1" applyFill="1" applyBorder="1" applyAlignment="1">
      <alignment horizontal="right" vertical="center"/>
    </xf>
    <xf numFmtId="2" fontId="20" fillId="0" borderId="35" xfId="0" applyNumberFormat="1" applyFont="1" applyFill="1" applyBorder="1" applyAlignment="1">
      <alignment horizontal="right" vertical="center"/>
    </xf>
    <xf numFmtId="2" fontId="6" fillId="0" borderId="40" xfId="0" applyNumberFormat="1" applyFont="1" applyFill="1" applyBorder="1" applyAlignment="1">
      <alignment horizontal="right" vertical="center"/>
    </xf>
    <xf numFmtId="182" fontId="6" fillId="0" borderId="41" xfId="0" applyNumberFormat="1" applyFont="1" applyFill="1" applyBorder="1" applyAlignment="1">
      <alignment horizontal="center" vertical="center"/>
    </xf>
    <xf numFmtId="182" fontId="6" fillId="0" borderId="40" xfId="0" applyNumberFormat="1" applyFont="1" applyFill="1" applyBorder="1" applyAlignment="1">
      <alignment horizontal="center" vertical="center"/>
    </xf>
    <xf numFmtId="182" fontId="6" fillId="0" borderId="11" xfId="0" applyNumberFormat="1" applyFont="1" applyFill="1" applyBorder="1" applyAlignment="1">
      <alignment horizontal="center" vertical="center"/>
    </xf>
    <xf numFmtId="0" fontId="8" fillId="0" borderId="25" xfId="0" applyFont="1" applyFill="1" applyBorder="1"/>
    <xf numFmtId="173" fontId="6" fillId="0" borderId="38" xfId="0" applyNumberFormat="1" applyFont="1" applyFill="1" applyBorder="1" applyAlignment="1">
      <alignment horizontal="center" vertical="center"/>
    </xf>
    <xf numFmtId="173" fontId="6" fillId="0" borderId="11" xfId="0" applyNumberFormat="1" applyFont="1" applyFill="1" applyBorder="1" applyAlignment="1">
      <alignment horizontal="center" vertical="center"/>
    </xf>
    <xf numFmtId="173" fontId="6" fillId="0" borderId="19" xfId="0" applyNumberFormat="1" applyFont="1" applyFill="1" applyBorder="1" applyAlignment="1">
      <alignment horizontal="center" vertical="center"/>
    </xf>
    <xf numFmtId="0" fontId="30" fillId="37" borderId="19" xfId="0" applyFont="1" applyFill="1" applyBorder="1" applyAlignment="1">
      <alignment horizontal="center" vertical="center" wrapText="1"/>
    </xf>
    <xf numFmtId="173" fontId="6" fillId="0" borderId="24" xfId="0" applyNumberFormat="1" applyFont="1" applyFill="1" applyBorder="1" applyAlignment="1">
      <alignment horizontal="center" vertical="center"/>
    </xf>
    <xf numFmtId="173" fontId="6" fillId="0" borderId="28" xfId="0" applyNumberFormat="1" applyFont="1" applyFill="1" applyBorder="1" applyAlignment="1">
      <alignment horizontal="center" vertical="center"/>
    </xf>
    <xf numFmtId="0" fontId="30" fillId="37" borderId="38" xfId="0" applyFont="1" applyFill="1" applyBorder="1" applyAlignment="1">
      <alignment horizontal="center" vertical="center" wrapText="1"/>
    </xf>
    <xf numFmtId="173" fontId="6" fillId="0" borderId="35" xfId="0" applyNumberFormat="1" applyFont="1" applyFill="1" applyBorder="1" applyAlignment="1">
      <alignment horizontal="center" vertical="center"/>
    </xf>
    <xf numFmtId="173" fontId="21" fillId="0" borderId="30" xfId="0" applyNumberFormat="1" applyFont="1" applyFill="1" applyBorder="1" applyAlignment="1">
      <alignment horizontal="center" vertical="center"/>
    </xf>
    <xf numFmtId="173" fontId="21" fillId="0" borderId="35" xfId="0" applyNumberFormat="1" applyFont="1" applyFill="1" applyBorder="1" applyAlignment="1">
      <alignment horizontal="center" vertical="center"/>
    </xf>
    <xf numFmtId="0" fontId="30" fillId="37" borderId="30" xfId="0" applyFont="1" applyFill="1" applyBorder="1" applyAlignment="1">
      <alignment horizontal="center" vertical="center"/>
    </xf>
    <xf numFmtId="177" fontId="6" fillId="0" borderId="38" xfId="0" applyNumberFormat="1" applyFont="1" applyFill="1" applyBorder="1" applyAlignment="1">
      <alignment horizontal="center" vertical="center"/>
    </xf>
    <xf numFmtId="177" fontId="6" fillId="0" borderId="11" xfId="0" applyNumberFormat="1" applyFont="1" applyFill="1" applyBorder="1" applyAlignment="1">
      <alignment horizontal="center" vertical="center"/>
    </xf>
    <xf numFmtId="177" fontId="6" fillId="0" borderId="35" xfId="0" applyNumberFormat="1" applyFont="1" applyFill="1" applyBorder="1" applyAlignment="1">
      <alignment horizontal="center" vertical="center"/>
    </xf>
    <xf numFmtId="173" fontId="24" fillId="0" borderId="0" xfId="0" applyNumberFormat="1" applyFont="1" applyFill="1" applyBorder="1" applyAlignment="1">
      <alignment horizontal="center"/>
    </xf>
    <xf numFmtId="0" fontId="4" fillId="0" borderId="0" xfId="158" applyFont="1" applyAlignment="1">
      <alignment horizontal="center" vertical="center" wrapText="1"/>
    </xf>
    <xf numFmtId="173" fontId="4" fillId="0" borderId="34" xfId="158" applyNumberFormat="1" applyFont="1" applyBorder="1" applyAlignment="1">
      <alignment horizontal="right" vertical="center"/>
    </xf>
    <xf numFmtId="0" fontId="4" fillId="0" borderId="0" xfId="158" quotePrefix="1" applyFont="1"/>
    <xf numFmtId="49" fontId="4" fillId="0" borderId="21" xfId="158" applyNumberFormat="1" applyFont="1" applyBorder="1" applyAlignment="1">
      <alignment horizontal="right" vertical="center"/>
    </xf>
    <xf numFmtId="1" fontId="8" fillId="37" borderId="30" xfId="0" applyNumberFormat="1" applyFont="1" applyFill="1" applyBorder="1" applyAlignment="1">
      <alignment horizontal="center" vertical="center"/>
    </xf>
    <xf numFmtId="2" fontId="4" fillId="0" borderId="38" xfId="0" applyNumberFormat="1" applyFont="1" applyFill="1" applyBorder="1" applyAlignment="1">
      <alignment horizontal="right" vertical="center"/>
    </xf>
    <xf numFmtId="2" fontId="4" fillId="0" borderId="11" xfId="0" applyNumberFormat="1" applyFont="1" applyFill="1" applyBorder="1" applyAlignment="1">
      <alignment horizontal="right" vertical="center"/>
    </xf>
    <xf numFmtId="176" fontId="4" fillId="0" borderId="30" xfId="0" applyNumberFormat="1" applyFont="1" applyBorder="1" applyAlignment="1">
      <alignment horizontal="right" vertical="center"/>
    </xf>
    <xf numFmtId="0" fontId="0" fillId="0" borderId="23" xfId="0" applyBorder="1"/>
    <xf numFmtId="2" fontId="20" fillId="0" borderId="11" xfId="0" applyNumberFormat="1" applyFont="1" applyFill="1" applyBorder="1" applyAlignment="1">
      <alignment horizontal="right" vertical="center"/>
    </xf>
    <xf numFmtId="173" fontId="5" fillId="0" borderId="0" xfId="158" applyNumberFormat="1" applyFont="1" applyFill="1" applyBorder="1" applyAlignment="1">
      <alignment horizontal="center" vertical="center"/>
    </xf>
    <xf numFmtId="173" fontId="5" fillId="74" borderId="0" xfId="158" applyNumberFormat="1" applyFont="1" applyFill="1" applyBorder="1" applyAlignment="1">
      <alignment horizontal="center" vertical="center"/>
    </xf>
    <xf numFmtId="0" fontId="30" fillId="38" borderId="17" xfId="158" applyFont="1" applyFill="1" applyBorder="1" applyAlignment="1">
      <alignment horizontal="center" vertical="center" wrapText="1"/>
    </xf>
    <xf numFmtId="0" fontId="5" fillId="38" borderId="21" xfId="158" applyFont="1" applyFill="1" applyBorder="1" applyAlignment="1">
      <alignment horizontal="center" vertical="center"/>
    </xf>
    <xf numFmtId="0" fontId="5" fillId="0" borderId="0" xfId="158" applyFont="1" applyAlignment="1">
      <alignment horizontal="center" vertical="center"/>
    </xf>
    <xf numFmtId="0" fontId="12" fillId="0" borderId="0" xfId="158" applyFont="1" applyAlignment="1">
      <alignment horizontal="center" vertical="center"/>
    </xf>
    <xf numFmtId="173" fontId="5" fillId="37" borderId="18" xfId="158" applyNumberFormat="1" applyFont="1" applyFill="1" applyBorder="1" applyAlignment="1">
      <alignment horizontal="center" vertical="center"/>
    </xf>
    <xf numFmtId="173" fontId="5" fillId="40" borderId="0" xfId="158" applyNumberFormat="1" applyFont="1" applyFill="1" applyBorder="1" applyAlignment="1">
      <alignment horizontal="center" vertical="center"/>
    </xf>
    <xf numFmtId="173" fontId="5" fillId="37" borderId="38" xfId="158" applyNumberFormat="1" applyFont="1" applyFill="1" applyBorder="1" applyAlignment="1">
      <alignment horizontal="center" vertical="center"/>
    </xf>
    <xf numFmtId="173" fontId="5" fillId="40" borderId="35" xfId="158" applyNumberFormat="1" applyFont="1" applyFill="1" applyBorder="1" applyAlignment="1">
      <alignment horizontal="center" vertical="center"/>
    </xf>
    <xf numFmtId="173" fontId="5" fillId="37" borderId="35" xfId="158" applyNumberFormat="1" applyFont="1" applyFill="1" applyBorder="1" applyAlignment="1">
      <alignment horizontal="center" vertical="center"/>
    </xf>
    <xf numFmtId="49" fontId="5" fillId="0" borderId="0" xfId="158" applyNumberFormat="1" applyFont="1" applyBorder="1" applyAlignment="1">
      <alignment horizontal="center" vertical="center" wrapText="1"/>
    </xf>
    <xf numFmtId="174" fontId="24" fillId="0" borderId="0" xfId="0" applyNumberFormat="1" applyFont="1" applyAlignment="1">
      <alignment horizontal="center"/>
    </xf>
    <xf numFmtId="174" fontId="21" fillId="0" borderId="21" xfId="0" applyNumberFormat="1" applyFont="1" applyBorder="1" applyAlignment="1">
      <alignment horizontal="center" vertical="center"/>
    </xf>
    <xf numFmtId="174" fontId="21" fillId="0" borderId="22" xfId="0" applyNumberFormat="1" applyFont="1" applyBorder="1" applyAlignment="1">
      <alignment horizontal="center" vertical="center"/>
    </xf>
    <xf numFmtId="174" fontId="20" fillId="0" borderId="27" xfId="0" applyNumberFormat="1" applyFont="1" applyBorder="1" applyAlignment="1">
      <alignment horizontal="center" vertical="center"/>
    </xf>
    <xf numFmtId="174" fontId="20" fillId="0" borderId="35" xfId="0" applyNumberFormat="1" applyFont="1" applyBorder="1" applyAlignment="1">
      <alignment horizontal="center" vertical="center"/>
    </xf>
    <xf numFmtId="0" fontId="0" fillId="0" borderId="22" xfId="0" applyBorder="1" applyAlignment="1">
      <alignment vertical="center"/>
    </xf>
    <xf numFmtId="173" fontId="4" fillId="75" borderId="21" xfId="158" applyNumberFormat="1" applyFont="1" applyFill="1" applyBorder="1" applyAlignment="1">
      <alignment horizontal="center" vertical="center"/>
    </xf>
    <xf numFmtId="1" fontId="5" fillId="75" borderId="27" xfId="158" applyNumberFormat="1" applyFont="1" applyFill="1" applyBorder="1" applyAlignment="1">
      <alignment horizontal="center" wrapText="1"/>
    </xf>
    <xf numFmtId="1" fontId="5" fillId="75" borderId="35" xfId="158" applyNumberFormat="1" applyFont="1" applyFill="1" applyBorder="1" applyAlignment="1">
      <alignment horizontal="center" wrapText="1"/>
    </xf>
    <xf numFmtId="173" fontId="4" fillId="0" borderId="24" xfId="0" applyNumberFormat="1" applyFont="1" applyBorder="1" applyAlignment="1">
      <alignment vertical="center"/>
    </xf>
    <xf numFmtId="173" fontId="4" fillId="0" borderId="28" xfId="0" applyNumberFormat="1" applyFont="1" applyBorder="1" applyAlignment="1">
      <alignment vertical="center"/>
    </xf>
    <xf numFmtId="0" fontId="5" fillId="39" borderId="22" xfId="0" applyFont="1" applyFill="1" applyBorder="1" applyAlignment="1">
      <alignment horizontal="center" vertical="center"/>
    </xf>
    <xf numFmtId="0" fontId="0" fillId="0" borderId="11" xfId="0" applyBorder="1"/>
    <xf numFmtId="0" fontId="0" fillId="0" borderId="22" xfId="0" applyBorder="1"/>
    <xf numFmtId="0" fontId="4" fillId="0" borderId="42" xfId="158" applyFont="1" applyFill="1" applyBorder="1"/>
    <xf numFmtId="0" fontId="4" fillId="0" borderId="0" xfId="158" applyFont="1" applyFill="1" applyBorder="1"/>
    <xf numFmtId="0" fontId="5" fillId="38" borderId="24" xfId="0" applyFont="1" applyFill="1" applyBorder="1" applyAlignment="1">
      <alignment vertical="center" wrapText="1"/>
    </xf>
    <xf numFmtId="173" fontId="20" fillId="0" borderId="0" xfId="0" applyNumberFormat="1" applyFont="1" applyBorder="1" applyAlignment="1">
      <alignment vertical="center"/>
    </xf>
    <xf numFmtId="173" fontId="20" fillId="37" borderId="0" xfId="0" applyNumberFormat="1" applyFont="1" applyFill="1" applyBorder="1" applyAlignment="1">
      <alignment vertical="center"/>
    </xf>
    <xf numFmtId="173" fontId="20" fillId="0" borderId="0" xfId="0" applyNumberFormat="1" applyFont="1" applyFill="1" applyBorder="1" applyAlignment="1">
      <alignment vertical="center"/>
    </xf>
    <xf numFmtId="173" fontId="20" fillId="74" borderId="0" xfId="0" applyNumberFormat="1" applyFont="1" applyFill="1" applyBorder="1" applyAlignment="1">
      <alignment vertical="center"/>
    </xf>
    <xf numFmtId="173" fontId="20" fillId="0" borderId="25" xfId="0" applyNumberFormat="1" applyFont="1" applyFill="1" applyBorder="1" applyAlignment="1">
      <alignment vertical="center"/>
    </xf>
    <xf numFmtId="173" fontId="20" fillId="0" borderId="11" xfId="0" applyNumberFormat="1" applyFont="1" applyFill="1" applyBorder="1" applyAlignment="1">
      <alignment vertical="center"/>
    </xf>
    <xf numFmtId="173" fontId="20" fillId="74" borderId="11" xfId="0" applyNumberFormat="1" applyFont="1" applyFill="1" applyBorder="1" applyAlignment="1">
      <alignment vertical="center"/>
    </xf>
    <xf numFmtId="0" fontId="5" fillId="0" borderId="0" xfId="0" applyFont="1" applyAlignment="1">
      <alignment vertical="center"/>
    </xf>
    <xf numFmtId="0" fontId="11" fillId="0" borderId="0" xfId="0" applyFont="1" applyAlignment="1">
      <alignment vertical="center"/>
    </xf>
    <xf numFmtId="173" fontId="21" fillId="37" borderId="24" xfId="0" applyNumberFormat="1" applyFont="1" applyFill="1" applyBorder="1" applyAlignment="1">
      <alignment vertical="center"/>
    </xf>
    <xf numFmtId="0" fontId="12" fillId="0" borderId="0" xfId="158" applyFont="1" applyAlignment="1">
      <alignment horizontal="center"/>
    </xf>
    <xf numFmtId="173" fontId="21" fillId="37" borderId="18" xfId="158" applyNumberFormat="1" applyFont="1" applyFill="1" applyBorder="1" applyAlignment="1">
      <alignment horizontal="center"/>
    </xf>
    <xf numFmtId="173" fontId="4" fillId="0" borderId="21" xfId="158" applyNumberFormat="1" applyFont="1" applyBorder="1" applyAlignment="1">
      <alignment horizontal="center" vertical="center"/>
    </xf>
    <xf numFmtId="173" fontId="4" fillId="40" borderId="21" xfId="158" applyNumberFormat="1" applyFont="1" applyFill="1" applyBorder="1" applyAlignment="1">
      <alignment horizontal="center" vertical="center"/>
    </xf>
    <xf numFmtId="173" fontId="4" fillId="37" borderId="21" xfId="158" applyNumberFormat="1" applyFont="1" applyFill="1" applyBorder="1" applyAlignment="1">
      <alignment horizontal="center"/>
    </xf>
    <xf numFmtId="173" fontId="20" fillId="0" borderId="21" xfId="158" applyNumberFormat="1" applyFont="1" applyFill="1" applyBorder="1" applyAlignment="1">
      <alignment horizontal="center" vertical="center"/>
    </xf>
    <xf numFmtId="173" fontId="4" fillId="74" borderId="30" xfId="158" applyNumberFormat="1" applyFont="1" applyFill="1" applyBorder="1" applyAlignment="1">
      <alignment horizontal="center" vertical="center"/>
    </xf>
    <xf numFmtId="173" fontId="16" fillId="0" borderId="0" xfId="158" applyNumberFormat="1" applyFont="1" applyBorder="1" applyAlignment="1">
      <alignment horizontal="center" vertical="center"/>
    </xf>
    <xf numFmtId="173" fontId="21" fillId="37" borderId="18" xfId="158" applyNumberFormat="1" applyFont="1" applyFill="1" applyBorder="1" applyAlignment="1">
      <alignment horizontal="center" vertical="center"/>
    </xf>
    <xf numFmtId="173" fontId="20" fillId="0" borderId="21" xfId="158" applyNumberFormat="1" applyFont="1" applyBorder="1" applyAlignment="1">
      <alignment horizontal="center" vertical="center"/>
    </xf>
    <xf numFmtId="173" fontId="4" fillId="0" borderId="0" xfId="158" applyNumberFormat="1" applyFont="1" applyAlignment="1">
      <alignment horizontal="center"/>
    </xf>
    <xf numFmtId="173" fontId="4" fillId="74" borderId="35" xfId="158" applyNumberFormat="1" applyFont="1" applyFill="1" applyBorder="1" applyAlignment="1">
      <alignment horizontal="center" vertical="center"/>
    </xf>
    <xf numFmtId="186" fontId="4" fillId="0" borderId="0" xfId="158" applyNumberFormat="1" applyFont="1" applyAlignment="1">
      <alignment horizontal="center" vertical="top" wrapText="1"/>
    </xf>
    <xf numFmtId="0" fontId="3" fillId="0" borderId="0" xfId="0" applyFont="1" applyAlignment="1">
      <alignment horizontal="center" vertical="top" wrapText="1"/>
    </xf>
    <xf numFmtId="0" fontId="3" fillId="0" borderId="0" xfId="0" applyNumberFormat="1" applyFont="1" applyBorder="1" applyAlignment="1">
      <alignment horizontal="center" vertical="center" wrapText="1"/>
    </xf>
    <xf numFmtId="0" fontId="3" fillId="0" borderId="0" xfId="0" quotePrefix="1" applyNumberFormat="1" applyFont="1" applyBorder="1" applyAlignment="1">
      <alignment horizontal="center" vertical="center" wrapText="1"/>
    </xf>
    <xf numFmtId="0" fontId="3"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center" vertical="center" wrapText="1"/>
    </xf>
    <xf numFmtId="0" fontId="2" fillId="0" borderId="0" xfId="0" applyFont="1" applyBorder="1" applyAlignment="1">
      <alignment horizontal="center" vertical="center"/>
    </xf>
    <xf numFmtId="0" fontId="10" fillId="0" borderId="0" xfId="0" applyFont="1" applyAlignment="1">
      <alignment horizontal="center" vertical="center" wrapText="1"/>
    </xf>
    <xf numFmtId="0" fontId="0" fillId="0" borderId="0" xfId="0" applyAlignment="1">
      <alignment horizontal="center"/>
    </xf>
    <xf numFmtId="0" fontId="8" fillId="37" borderId="17" xfId="0" applyFont="1" applyFill="1" applyBorder="1" applyAlignment="1">
      <alignment horizontal="center" vertical="center" wrapText="1"/>
    </xf>
    <xf numFmtId="0" fontId="8" fillId="37" borderId="30" xfId="0" applyFont="1" applyFill="1" applyBorder="1" applyAlignment="1">
      <alignment horizontal="center" vertical="center" wrapText="1"/>
    </xf>
    <xf numFmtId="0" fontId="7" fillId="0" borderId="0" xfId="0" applyFont="1" applyAlignment="1">
      <alignment horizontal="center" vertical="center" wrapText="1"/>
    </xf>
    <xf numFmtId="0" fontId="25" fillId="0" borderId="0" xfId="0" applyFont="1" applyAlignment="1">
      <alignment horizontal="center" vertical="center" wrapText="1"/>
    </xf>
    <xf numFmtId="0" fontId="19" fillId="0" borderId="0" xfId="0" applyFont="1" applyBorder="1" applyAlignment="1">
      <alignment horizontal="center" vertical="center"/>
    </xf>
    <xf numFmtId="0" fontId="5" fillId="37" borderId="17"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2" fillId="0" borderId="0" xfId="0" applyFont="1" applyAlignment="1">
      <alignment horizontal="center" vertical="center"/>
    </xf>
    <xf numFmtId="0" fontId="1" fillId="0" borderId="0" xfId="0" applyFont="1" applyAlignment="1">
      <alignment horizontal="center" vertical="center"/>
    </xf>
    <xf numFmtId="0" fontId="4" fillId="0" borderId="11" xfId="0" applyFont="1" applyBorder="1" applyAlignment="1">
      <alignment vertical="top" wrapText="1"/>
    </xf>
    <xf numFmtId="0" fontId="7" fillId="0" borderId="0" xfId="158" applyFont="1" applyBorder="1" applyAlignment="1">
      <alignment horizontal="center" vertical="top"/>
    </xf>
    <xf numFmtId="49" fontId="5" fillId="0" borderId="0" xfId="158" applyNumberFormat="1" applyFont="1" applyAlignment="1">
      <alignment vertical="top" wrapText="1"/>
    </xf>
    <xf numFmtId="49" fontId="5" fillId="0" borderId="25" xfId="158" applyNumberFormat="1" applyFont="1" applyBorder="1" applyAlignment="1">
      <alignment horizontal="left" wrapText="1"/>
    </xf>
    <xf numFmtId="0" fontId="7" fillId="0" borderId="0" xfId="158" applyFont="1" applyFill="1" applyBorder="1" applyAlignment="1">
      <alignment horizontal="center" vertical="top"/>
    </xf>
    <xf numFmtId="49" fontId="5" fillId="0" borderId="0" xfId="158" applyNumberFormat="1" applyFont="1" applyBorder="1" applyAlignment="1">
      <alignment horizontal="left" wrapText="1"/>
    </xf>
    <xf numFmtId="1" fontId="12" fillId="0" borderId="0" xfId="0" applyNumberFormat="1" applyFont="1" applyFill="1" applyBorder="1" applyAlignment="1">
      <alignment horizontal="center" vertical="top" wrapText="1"/>
    </xf>
    <xf numFmtId="1" fontId="12" fillId="0" borderId="0" xfId="0" quotePrefix="1" applyNumberFormat="1" applyFont="1" applyFill="1" applyBorder="1" applyAlignment="1">
      <alignment horizontal="center" vertical="center" wrapText="1"/>
    </xf>
    <xf numFmtId="0" fontId="5" fillId="0" borderId="0" xfId="0" applyFont="1" applyBorder="1" applyAlignment="1">
      <alignment horizontal="left" wrapText="1"/>
    </xf>
    <xf numFmtId="0" fontId="8" fillId="0" borderId="0" xfId="0" applyFont="1" applyBorder="1" applyAlignment="1">
      <alignment horizontal="left" wrapText="1"/>
    </xf>
    <xf numFmtId="0" fontId="7" fillId="0" borderId="0" xfId="0" quotePrefix="1" applyFont="1" applyBorder="1" applyAlignment="1">
      <alignment horizontal="left" vertical="top"/>
    </xf>
    <xf numFmtId="0" fontId="7" fillId="0" borderId="0" xfId="0" applyFont="1" applyAlignment="1">
      <alignment horizontal="center" vertical="top"/>
    </xf>
    <xf numFmtId="0" fontId="4" fillId="0" borderId="0" xfId="0" applyFont="1" applyBorder="1" applyAlignment="1">
      <alignment horizontal="center"/>
    </xf>
    <xf numFmtId="0" fontId="6" fillId="0" borderId="0" xfId="0" applyFont="1" applyBorder="1" applyAlignment="1">
      <alignment horizontal="center"/>
    </xf>
    <xf numFmtId="0" fontId="8" fillId="0" borderId="0" xfId="0" applyFont="1" applyAlignment="1">
      <alignment wrapText="1"/>
    </xf>
    <xf numFmtId="0" fontId="0" fillId="0" borderId="0" xfId="0" applyAlignment="1">
      <alignment wrapText="1"/>
    </xf>
    <xf numFmtId="0" fontId="5" fillId="0" borderId="0" xfId="0" applyFont="1" applyFill="1" applyBorder="1" applyAlignment="1">
      <alignment horizontal="left" vertical="top" wrapText="1"/>
    </xf>
    <xf numFmtId="0" fontId="4" fillId="0" borderId="0" xfId="0" applyFont="1" applyFill="1" applyBorder="1" applyAlignment="1">
      <alignment horizontal="center" vertical="center"/>
    </xf>
    <xf numFmtId="0" fontId="8" fillId="38" borderId="17" xfId="0" applyFont="1" applyFill="1" applyBorder="1" applyAlignment="1">
      <alignment horizontal="center" vertical="center" wrapText="1"/>
    </xf>
    <xf numFmtId="0" fontId="8" fillId="38" borderId="30" xfId="0" applyFont="1" applyFill="1" applyBorder="1" applyAlignment="1">
      <alignment horizontal="center" vertical="center" wrapText="1"/>
    </xf>
    <xf numFmtId="0" fontId="8" fillId="38" borderId="17" xfId="0" applyFont="1" applyFill="1" applyBorder="1" applyAlignment="1">
      <alignment horizontal="center" vertical="center"/>
    </xf>
    <xf numFmtId="0" fontId="8" fillId="38" borderId="30" xfId="0" applyFont="1" applyFill="1" applyBorder="1" applyAlignment="1">
      <alignment horizontal="center" vertical="center"/>
    </xf>
    <xf numFmtId="0" fontId="1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8" fillId="0" borderId="0" xfId="0" applyFont="1" applyFill="1" applyBorder="1" applyAlignment="1">
      <alignment horizontal="center" vertical="center" textRotation="90"/>
    </xf>
    <xf numFmtId="0" fontId="6" fillId="0" borderId="0" xfId="0" applyFont="1" applyFill="1" applyBorder="1" applyAlignment="1">
      <alignment vertical="top" wrapText="1"/>
    </xf>
    <xf numFmtId="0" fontId="8" fillId="0" borderId="0" xfId="0" applyFont="1" applyFill="1" applyBorder="1" applyAlignment="1">
      <alignment vertical="top" wrapText="1"/>
    </xf>
    <xf numFmtId="0" fontId="7" fillId="0" borderId="0" xfId="0" applyFont="1" applyFill="1" applyAlignment="1">
      <alignment horizontal="center" vertical="top" wrapText="1"/>
    </xf>
    <xf numFmtId="0" fontId="12" fillId="0" borderId="0" xfId="0" applyFont="1" applyFill="1" applyAlignment="1">
      <alignment horizontal="center" vertical="center" wrapText="1"/>
    </xf>
    <xf numFmtId="0" fontId="6" fillId="0" borderId="0" xfId="0" applyFont="1" applyFill="1" applyBorder="1" applyAlignment="1">
      <alignment horizontal="center" vertical="center"/>
    </xf>
  </cellXfs>
  <cellStyles count="290">
    <cellStyle name="€ : (passage a l'EURO)" xfId="1"/>
    <cellStyle name="20% - Accent1" xfId="2" builtinId="30" customBuiltin="1"/>
    <cellStyle name="20% - Accent1 2" xfId="3"/>
    <cellStyle name="20% - Accent1 3" xfId="4"/>
    <cellStyle name="20% - Accent2" xfId="5" builtinId="34" customBuiltin="1"/>
    <cellStyle name="20% - Accent2 2" xfId="6"/>
    <cellStyle name="20% - Accent2 3" xfId="7"/>
    <cellStyle name="20% - Accent3" xfId="8" builtinId="38" customBuiltin="1"/>
    <cellStyle name="20% - Accent3 2" xfId="9"/>
    <cellStyle name="20% - Accent3 3" xfId="10"/>
    <cellStyle name="20% - Accent4" xfId="11" builtinId="42" customBuiltin="1"/>
    <cellStyle name="20% - Accent4 2" xfId="12"/>
    <cellStyle name="20% - Accent4 3" xfId="13"/>
    <cellStyle name="20% - Accent5" xfId="14" builtinId="46" customBuiltin="1"/>
    <cellStyle name="20% - Accent5 2" xfId="15"/>
    <cellStyle name="20% - Accent5 3" xfId="16"/>
    <cellStyle name="20% - Accent6" xfId="17" builtinId="50" customBuiltin="1"/>
    <cellStyle name="20% - Accent6 2" xfId="18"/>
    <cellStyle name="20% - Accent6 3" xfId="19"/>
    <cellStyle name="40% - Accent1" xfId="20" builtinId="31" customBuiltin="1"/>
    <cellStyle name="40% - Accent1 2" xfId="21"/>
    <cellStyle name="40% - Accent1 3" xfId="22"/>
    <cellStyle name="40% - Accent2" xfId="23" builtinId="35" customBuiltin="1"/>
    <cellStyle name="40% - Accent2 2" xfId="24"/>
    <cellStyle name="40% - Accent2 3" xfId="25"/>
    <cellStyle name="40% - Accent3" xfId="26" builtinId="39" customBuiltin="1"/>
    <cellStyle name="40% - Accent3 2" xfId="27"/>
    <cellStyle name="40% - Accent3 3" xfId="28"/>
    <cellStyle name="40% - Accent4" xfId="29" builtinId="43" customBuiltin="1"/>
    <cellStyle name="40% - Accent4 2" xfId="30"/>
    <cellStyle name="40% - Accent4 3" xfId="31"/>
    <cellStyle name="40% - Accent5" xfId="32" builtinId="47" customBuiltin="1"/>
    <cellStyle name="40% - Accent5 2" xfId="33"/>
    <cellStyle name="40% - Accent5 3" xfId="34"/>
    <cellStyle name="40% - Accent6" xfId="35" builtinId="51" customBuiltin="1"/>
    <cellStyle name="40% - Accent6 2" xfId="36"/>
    <cellStyle name="40% - Accent6 3" xfId="37"/>
    <cellStyle name="60% - Accent1" xfId="38" builtinId="32" customBuiltin="1"/>
    <cellStyle name="60% - Accent1 2" xfId="39"/>
    <cellStyle name="60% - Accent2" xfId="40" builtinId="36" customBuiltin="1"/>
    <cellStyle name="60% - Accent2 2" xfId="41"/>
    <cellStyle name="60% - Accent3" xfId="42" builtinId="40" customBuiltin="1"/>
    <cellStyle name="60% - Accent3 2" xfId="43"/>
    <cellStyle name="60% - Accent4" xfId="44" builtinId="44" customBuiltin="1"/>
    <cellStyle name="60% - Accent4 2" xfId="45"/>
    <cellStyle name="60% - Accent5" xfId="46" builtinId="48" customBuiltin="1"/>
    <cellStyle name="60% - Accent5 2" xfId="47"/>
    <cellStyle name="60% - Accent6" xfId="48" builtinId="52" customBuiltin="1"/>
    <cellStyle name="60% - Accent6 2" xfId="49"/>
    <cellStyle name="A2.Heading1" xfId="50"/>
    <cellStyle name="A2.Heading2" xfId="51"/>
    <cellStyle name="Accent1" xfId="52" builtinId="29" customBuiltin="1"/>
    <cellStyle name="Accent1 2" xfId="53"/>
    <cellStyle name="Accent2" xfId="54" builtinId="33" customBuiltin="1"/>
    <cellStyle name="Accent2 2" xfId="55"/>
    <cellStyle name="Accent3" xfId="56" builtinId="37" customBuiltin="1"/>
    <cellStyle name="Accent3 2" xfId="57"/>
    <cellStyle name="Accent4" xfId="58" builtinId="41" customBuiltin="1"/>
    <cellStyle name="Accent4 2" xfId="59"/>
    <cellStyle name="Accent5" xfId="60" builtinId="45" customBuiltin="1"/>
    <cellStyle name="Accent5 2" xfId="61"/>
    <cellStyle name="Accent6" xfId="62" builtinId="49" customBuiltin="1"/>
    <cellStyle name="Accent6 2" xfId="63"/>
    <cellStyle name="Bad" xfId="64" builtinId="27" customBuiltin="1"/>
    <cellStyle name="Bad 2" xfId="65"/>
    <cellStyle name="C1.general" xfId="66"/>
    <cellStyle name="C1.percentage" xfId="67"/>
    <cellStyle name="Calculation" xfId="68" builtinId="22" customBuiltin="1"/>
    <cellStyle name="Calculation 2" xfId="69"/>
    <cellStyle name="Check Cell" xfId="70" builtinId="23" customBuiltin="1"/>
    <cellStyle name="Check Cell 2" xfId="71"/>
    <cellStyle name="Column heading" xfId="72"/>
    <cellStyle name="Comma 2" xfId="73"/>
    <cellStyle name="Comma 2 2" xfId="74"/>
    <cellStyle name="Comma 3" xfId="75"/>
    <cellStyle name="Comma 4" xfId="76"/>
    <cellStyle name="Comma 5" xfId="77"/>
    <cellStyle name="Comma 6" xfId="78"/>
    <cellStyle name="Comma 6 2" xfId="79"/>
    <cellStyle name="Comma 7" xfId="80"/>
    <cellStyle name="contenu_unite" xfId="81"/>
    <cellStyle name="Corner heading" xfId="82"/>
    <cellStyle name="Currency 2" xfId="83"/>
    <cellStyle name="Currency 3" xfId="84"/>
    <cellStyle name="Currency 3 2" xfId="85"/>
    <cellStyle name="Currency 4" xfId="86"/>
    <cellStyle name="Data" xfId="87"/>
    <cellStyle name="Data 2" xfId="88"/>
    <cellStyle name="Data 2 2" xfId="89"/>
    <cellStyle name="Data 3" xfId="90"/>
    <cellStyle name="Data no deci" xfId="91"/>
    <cellStyle name="Data no deci 2" xfId="92"/>
    <cellStyle name="Data Superscript" xfId="93"/>
    <cellStyle name="Data Superscript 2" xfId="94"/>
    <cellStyle name="Data_1-1A-Regular" xfId="95"/>
    <cellStyle name="donn_normal" xfId="96"/>
    <cellStyle name="donnnormal1" xfId="97"/>
    <cellStyle name="donnnormal2" xfId="98"/>
    <cellStyle name="ent_col_ser" xfId="99"/>
    <cellStyle name="entete_source" xfId="100"/>
    <cellStyle name="Euro" xfId="101"/>
    <cellStyle name="Explanatory Text" xfId="102" builtinId="53" customBuiltin="1"/>
    <cellStyle name="Explanatory Text 2" xfId="103"/>
    <cellStyle name="Explanatory Text 3" xfId="104"/>
    <cellStyle name="FEST" xfId="105"/>
    <cellStyle name="Följde hyperlänken" xfId="106"/>
    <cellStyle name="Good" xfId="107" builtinId="26" customBuiltin="1"/>
    <cellStyle name="Good 2" xfId="108"/>
    <cellStyle name="Heading" xfId="109"/>
    <cellStyle name="Heading 1" xfId="110" builtinId="16" customBuiltin="1"/>
    <cellStyle name="Heading 1 2" xfId="111"/>
    <cellStyle name="Heading 2" xfId="112" builtinId="17" customBuiltin="1"/>
    <cellStyle name="Heading 2 2" xfId="113"/>
    <cellStyle name="Heading 3" xfId="114" builtinId="18" customBuiltin="1"/>
    <cellStyle name="Heading 3 2" xfId="115"/>
    <cellStyle name="Heading 4" xfId="116" builtinId="19" customBuiltin="1"/>
    <cellStyle name="Heading 4 2" xfId="117"/>
    <cellStyle name="Heading 5" xfId="118"/>
    <cellStyle name="Hed Side" xfId="119"/>
    <cellStyle name="Hed Side 2" xfId="120"/>
    <cellStyle name="Hed Side 2 2" xfId="121"/>
    <cellStyle name="Hed Side 3" xfId="122"/>
    <cellStyle name="Hed Side bold" xfId="123"/>
    <cellStyle name="Hed Side Indent" xfId="124"/>
    <cellStyle name="Hed Side Indent 2" xfId="125"/>
    <cellStyle name="Hed Side Regular" xfId="126"/>
    <cellStyle name="Hed Side Regular 2" xfId="127"/>
    <cellStyle name="Hed Side_1-1A-Regular" xfId="128"/>
    <cellStyle name="Hed Top" xfId="129"/>
    <cellStyle name="Hed Top - SECTION" xfId="130"/>
    <cellStyle name="Hed Top - SECTION 2" xfId="131"/>
    <cellStyle name="Hed Top_3-new4" xfId="132"/>
    <cellStyle name="Hyperlänk 2" xfId="133"/>
    <cellStyle name="Hyperlink 2" xfId="134"/>
    <cellStyle name="Hyperlink 2 2" xfId="135"/>
    <cellStyle name="Hyperlink 2 3" xfId="136"/>
    <cellStyle name="Hyperlink 3" xfId="137"/>
    <cellStyle name="Hyperlink 4" xfId="138"/>
    <cellStyle name="Hyperlink 5" xfId="139"/>
    <cellStyle name="Input" xfId="140" builtinId="20" customBuiltin="1"/>
    <cellStyle name="Input 2" xfId="141"/>
    <cellStyle name="ligne_titre_0" xfId="142"/>
    <cellStyle name="Linked Cell" xfId="143" builtinId="24" customBuiltin="1"/>
    <cellStyle name="Linked Cell 2" xfId="144"/>
    <cellStyle name="Neutral" xfId="145" builtinId="28" customBuiltin="1"/>
    <cellStyle name="Neutral 2" xfId="146"/>
    <cellStyle name="Normal" xfId="0" builtinId="0"/>
    <cellStyle name="Normal 10" xfId="147"/>
    <cellStyle name="Normal 11" xfId="148"/>
    <cellStyle name="Normal 11 2" xfId="149"/>
    <cellStyle name="Normal 12" xfId="150"/>
    <cellStyle name="Normal 13" xfId="151"/>
    <cellStyle name="Normal 14" xfId="152"/>
    <cellStyle name="Normal 15" xfId="153"/>
    <cellStyle name="Normal 16" xfId="154"/>
    <cellStyle name="Normal 17" xfId="155"/>
    <cellStyle name="Normal 18" xfId="156"/>
    <cellStyle name="Normal 2" xfId="157"/>
    <cellStyle name="Normal 2 2" xfId="158"/>
    <cellStyle name="Normal 2 3" xfId="159"/>
    <cellStyle name="Normal 2 3 2" xfId="160"/>
    <cellStyle name="Normal 2 4" xfId="161"/>
    <cellStyle name="Normal 2 5" xfId="162"/>
    <cellStyle name="Normal 3" xfId="163"/>
    <cellStyle name="Normal 3 2" xfId="164"/>
    <cellStyle name="Normal 3 2 2" xfId="165"/>
    <cellStyle name="Normal 3 2 2 2" xfId="166"/>
    <cellStyle name="Normal 3 2 3" xfId="167"/>
    <cellStyle name="Normal 3 3" xfId="168"/>
    <cellStyle name="Normal 3 3 2" xfId="169"/>
    <cellStyle name="Normal 3 3 2 2" xfId="170"/>
    <cellStyle name="Normal 3 3 3" xfId="171"/>
    <cellStyle name="Normal 3 4" xfId="172"/>
    <cellStyle name="Normal 3 4 2" xfId="173"/>
    <cellStyle name="Normal 3 5" xfId="174"/>
    <cellStyle name="Normal 3 6" xfId="175"/>
    <cellStyle name="Normal 3 7" xfId="176"/>
    <cellStyle name="Normal 3 8" xfId="177"/>
    <cellStyle name="Normal 4" xfId="178"/>
    <cellStyle name="Normal 4 2" xfId="179"/>
    <cellStyle name="Normal 4 2 2" xfId="180"/>
    <cellStyle name="Normal 4 2 2 2" xfId="181"/>
    <cellStyle name="Normal 4 2 3" xfId="182"/>
    <cellStyle name="Normal 4 2 4" xfId="183"/>
    <cellStyle name="Normal 4 3" xfId="184"/>
    <cellStyle name="Normal 4 3 2" xfId="185"/>
    <cellStyle name="Normal 4 3 2 2" xfId="186"/>
    <cellStyle name="Normal 4 3 3" xfId="187"/>
    <cellStyle name="Normal 4 4" xfId="188"/>
    <cellStyle name="Normal 4 4 2" xfId="189"/>
    <cellStyle name="Normal 4 5" xfId="190"/>
    <cellStyle name="Normal 4 6" xfId="191"/>
    <cellStyle name="Normal 4 7" xfId="192"/>
    <cellStyle name="Normal 4 8" xfId="193"/>
    <cellStyle name="Normal 4 9" xfId="194"/>
    <cellStyle name="Normal 5" xfId="195"/>
    <cellStyle name="Normal 5 2" xfId="196"/>
    <cellStyle name="Normal 5 2 2" xfId="197"/>
    <cellStyle name="Normal 5 3" xfId="198"/>
    <cellStyle name="Normal 5 4" xfId="199"/>
    <cellStyle name="Normal 5 5" xfId="200"/>
    <cellStyle name="Normal 6" xfId="201"/>
    <cellStyle name="Normal 6 2" xfId="202"/>
    <cellStyle name="Normal 6 3" xfId="203"/>
    <cellStyle name="Normal 6 4" xfId="204"/>
    <cellStyle name="Normal 7" xfId="205"/>
    <cellStyle name="Normal 7 2" xfId="206"/>
    <cellStyle name="Normal 7 2 2" xfId="207"/>
    <cellStyle name="Normal 7 3" xfId="208"/>
    <cellStyle name="Normal 7 4" xfId="209"/>
    <cellStyle name="Normal 8" xfId="210"/>
    <cellStyle name="Normal 8 2" xfId="211"/>
    <cellStyle name="Normal 8 3" xfId="212"/>
    <cellStyle name="Normal 8 4" xfId="213"/>
    <cellStyle name="Normal 9" xfId="214"/>
    <cellStyle name="Normal 9 2" xfId="215"/>
    <cellStyle name="Normalny 2" xfId="216"/>
    <cellStyle name="Normalny 3" xfId="217"/>
    <cellStyle name="Note 2" xfId="218"/>
    <cellStyle name="Note 2 2" xfId="219"/>
    <cellStyle name="Note 3" xfId="220"/>
    <cellStyle name="Output" xfId="221" builtinId="21" customBuiltin="1"/>
    <cellStyle name="Output 2" xfId="222"/>
    <cellStyle name="Percent 2" xfId="223"/>
    <cellStyle name="Percent 2 2" xfId="224"/>
    <cellStyle name="Percent 2 3" xfId="225"/>
    <cellStyle name="Percent 3" xfId="226"/>
    <cellStyle name="Percent 3 2" xfId="227"/>
    <cellStyle name="Percent 3 3" xfId="228"/>
    <cellStyle name="Percent 4" xfId="229"/>
    <cellStyle name="Percent 5" xfId="230"/>
    <cellStyle name="Percent 6" xfId="231"/>
    <cellStyle name="Percent 7" xfId="232"/>
    <cellStyle name="Procent 2" xfId="233"/>
    <cellStyle name="Procent 3" xfId="234"/>
    <cellStyle name="Publication_style" xfId="235"/>
    <cellStyle name="Refdb standard" xfId="236"/>
    <cellStyle name="Refdb standard 2" xfId="237"/>
    <cellStyle name="Reference" xfId="238"/>
    <cellStyle name="Row heading" xfId="239"/>
    <cellStyle name="Row_Headings" xfId="240"/>
    <cellStyle name="Source" xfId="241"/>
    <cellStyle name="Source 2" xfId="242"/>
    <cellStyle name="Source Hed" xfId="243"/>
    <cellStyle name="Source Letter" xfId="244"/>
    <cellStyle name="Source Superscript" xfId="245"/>
    <cellStyle name="Source Superscript 2" xfId="246"/>
    <cellStyle name="Source Text" xfId="247"/>
    <cellStyle name="Source Text 2" xfId="248"/>
    <cellStyle name="Standard 2" xfId="249"/>
    <cellStyle name="Standard 2 2" xfId="250"/>
    <cellStyle name="Standard 3" xfId="251"/>
    <cellStyle name="Standard 5" xfId="252"/>
    <cellStyle name="Standard_02" xfId="253"/>
    <cellStyle name="State" xfId="254"/>
    <cellStyle name="Superscript" xfId="255"/>
    <cellStyle name="Superscript 2" xfId="256"/>
    <cellStyle name="Table Data" xfId="257"/>
    <cellStyle name="Table Head Top" xfId="258"/>
    <cellStyle name="Table Hed Side" xfId="259"/>
    <cellStyle name="Table Title" xfId="260"/>
    <cellStyle name="tableau | cellule | normal | decimal 1" xfId="261"/>
    <cellStyle name="tableau | cellule | normal | pourcentage | decimal 1" xfId="262"/>
    <cellStyle name="tableau | cellule | total | decimal 1" xfId="263"/>
    <cellStyle name="tableau | coin superieur gauche" xfId="264"/>
    <cellStyle name="tableau | entete-colonne | series" xfId="265"/>
    <cellStyle name="tableau | entete-ligne | normal" xfId="266"/>
    <cellStyle name="tableau | entete-ligne | total" xfId="267"/>
    <cellStyle name="tableau | ligne-titre | niveau1" xfId="268"/>
    <cellStyle name="tableau | ligne-titre | niveau2" xfId="269"/>
    <cellStyle name="Title" xfId="270" builtinId="15" customBuiltin="1"/>
    <cellStyle name="Title 2" xfId="271"/>
    <cellStyle name="Title 3" xfId="272"/>
    <cellStyle name="Title Text" xfId="273"/>
    <cellStyle name="Title Text 1" xfId="274"/>
    <cellStyle name="Title Text 2" xfId="275"/>
    <cellStyle name="Title-1" xfId="276"/>
    <cellStyle name="Title-2" xfId="277"/>
    <cellStyle name="Title-3" xfId="278"/>
    <cellStyle name="Titre ligne" xfId="279"/>
    <cellStyle name="Total" xfId="280" builtinId="25" customBuiltin="1"/>
    <cellStyle name="Total 2" xfId="281"/>
    <cellStyle name="Total intermediaire" xfId="282"/>
    <cellStyle name="Warning Text" xfId="283" builtinId="11" customBuiltin="1"/>
    <cellStyle name="Warning Text 2" xfId="284"/>
    <cellStyle name="Wrap" xfId="285"/>
    <cellStyle name="Wrap 2" xfId="286"/>
    <cellStyle name="Wrap Bold" xfId="287"/>
    <cellStyle name="Wrap Title" xfId="288"/>
    <cellStyle name="Wrap_NTS99-~11" xfId="28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A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A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00FFFF"/>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sz="1200" b="1" i="0" u="none" strike="noStrike" baseline="0">
                <a:solidFill>
                  <a:srgbClr val="000000"/>
                </a:solidFill>
                <a:latin typeface="Arial"/>
                <a:cs typeface="Arial"/>
              </a:rPr>
              <a:t>EU-28 Performance by Mode for Passenger Transport</a:t>
            </a:r>
            <a:endParaRPr lang="en-US" sz="1000" b="1" i="0" u="none" strike="noStrike" baseline="0">
              <a:solidFill>
                <a:srgbClr val="000000"/>
              </a:solidFill>
              <a:latin typeface="Arial"/>
              <a:cs typeface="Arial"/>
            </a:endParaRPr>
          </a:p>
          <a:p>
            <a:pPr>
              <a:defRPr sz="1000" b="0" i="0" u="none" strike="noStrike" baseline="0">
                <a:solidFill>
                  <a:srgbClr val="000000"/>
                </a:solidFill>
                <a:latin typeface="Arial"/>
                <a:ea typeface="Arial"/>
                <a:cs typeface="Arial"/>
              </a:defRPr>
            </a:pPr>
            <a:r>
              <a:rPr lang="en-US" sz="1000" b="1" i="0" u="none" strike="noStrike" baseline="0">
                <a:solidFill>
                  <a:srgbClr val="000000"/>
                </a:solidFill>
                <a:latin typeface="Arial"/>
                <a:cs typeface="Arial"/>
              </a:rPr>
              <a:t>1995 - 2017</a:t>
            </a:r>
          </a:p>
          <a:p>
            <a:pPr>
              <a:defRPr sz="1000" b="0"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 billion passenger-kilometres</a:t>
            </a:r>
          </a:p>
        </c:rich>
      </c:tx>
      <c:layout>
        <c:manualLayout>
          <c:xMode val="edge"/>
          <c:yMode val="edge"/>
          <c:x val="0.16640016797900262"/>
          <c:y val="9.9206349206349201E-3"/>
        </c:manualLayout>
      </c:layout>
      <c:overlay val="0"/>
      <c:spPr>
        <a:noFill/>
        <a:ln w="25400">
          <a:noFill/>
        </a:ln>
      </c:spPr>
    </c:title>
    <c:autoTitleDeleted val="0"/>
    <c:plotArea>
      <c:layout>
        <c:manualLayout>
          <c:layoutTarget val="inner"/>
          <c:xMode val="edge"/>
          <c:yMode val="edge"/>
          <c:x val="8.9600070000054682E-2"/>
          <c:y val="0.14880981214698843"/>
          <c:w val="0.8256006450005039"/>
          <c:h val="0.70436644416241201"/>
        </c:manualLayout>
      </c:layout>
      <c:lineChart>
        <c:grouping val="standard"/>
        <c:varyColors val="0"/>
        <c:ser>
          <c:idx val="1"/>
          <c:order val="0"/>
          <c:tx>
            <c:strRef>
              <c:f>passeng_graph!$B$37</c:f>
              <c:strCache>
                <c:ptCount val="1"/>
                <c:pt idx="0">
                  <c:v>Passenger Cars</c:v>
                </c:pt>
              </c:strCache>
            </c:strRef>
          </c:tx>
          <c:spPr>
            <a:ln w="25400">
              <a:solidFill>
                <a:srgbClr val="993300"/>
              </a:solidFill>
              <a:prstDash val="solid"/>
            </a:ln>
          </c:spPr>
          <c:marker>
            <c:symbol val="square"/>
            <c:size val="6"/>
            <c:spPr>
              <a:noFill/>
              <a:ln>
                <a:solidFill>
                  <a:srgbClr val="993300"/>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passeng_graph!$C$37:$Y$37</c:f>
              <c:numCache>
                <c:formatCode>0.0</c:formatCode>
                <c:ptCount val="23"/>
                <c:pt idx="0">
                  <c:v>3904.3968448239566</c:v>
                </c:pt>
                <c:pt idx="1">
                  <c:v>3967.9604456235629</c:v>
                </c:pt>
                <c:pt idx="2">
                  <c:v>4047.0311598397266</c:v>
                </c:pt>
                <c:pt idx="3">
                  <c:v>4144.9820585420912</c:v>
                </c:pt>
                <c:pt idx="4">
                  <c:v>4254.7803595390469</c:v>
                </c:pt>
                <c:pt idx="5">
                  <c:v>4300.8566861559848</c:v>
                </c:pt>
                <c:pt idx="6">
                  <c:v>4387.3788534340165</c:v>
                </c:pt>
                <c:pt idx="7">
                  <c:v>4463.5014769520039</c:v>
                </c:pt>
                <c:pt idx="8">
                  <c:v>4494.9430671775235</c:v>
                </c:pt>
                <c:pt idx="9">
                  <c:v>4551.8979489057519</c:v>
                </c:pt>
                <c:pt idx="10">
                  <c:v>4508.2963686694829</c:v>
                </c:pt>
                <c:pt idx="11">
                  <c:v>4549.418913551448</c:v>
                </c:pt>
                <c:pt idx="12">
                  <c:v>4596.5889305980709</c:v>
                </c:pt>
                <c:pt idx="13">
                  <c:v>4602.442319059387</c:v>
                </c:pt>
                <c:pt idx="14">
                  <c:v>4675.1744874633623</c:v>
                </c:pt>
                <c:pt idx="15">
                  <c:v>4625.6376098525552</c:v>
                </c:pt>
                <c:pt idx="16">
                  <c:v>4592.8814681537378</c:v>
                </c:pt>
                <c:pt idx="17">
                  <c:v>4498.2731855008014</c:v>
                </c:pt>
                <c:pt idx="18">
                  <c:v>4549.6450207312373</c:v>
                </c:pt>
                <c:pt idx="19">
                  <c:v>4615.1988158271706</c:v>
                </c:pt>
                <c:pt idx="20">
                  <c:v>4711.7868878429317</c:v>
                </c:pt>
                <c:pt idx="21">
                  <c:v>4826.6906715658197</c:v>
                </c:pt>
                <c:pt idx="22">
                  <c:v>4901.4169593840743</c:v>
                </c:pt>
              </c:numCache>
            </c:numRef>
          </c:val>
          <c:smooth val="0"/>
          <c:extLst>
            <c:ext xmlns:c16="http://schemas.microsoft.com/office/drawing/2014/chart" uri="{C3380CC4-5D6E-409C-BE32-E72D297353CC}">
              <c16:uniqueId val="{00000000-C56C-4A4A-A7D6-8067F4DCD4AA}"/>
            </c:ext>
          </c:extLst>
        </c:ser>
        <c:dLbls>
          <c:showLegendKey val="0"/>
          <c:showVal val="0"/>
          <c:showCatName val="0"/>
          <c:showSerName val="0"/>
          <c:showPercent val="0"/>
          <c:showBubbleSize val="0"/>
        </c:dLbls>
        <c:marker val="1"/>
        <c:smooth val="0"/>
        <c:axId val="372206200"/>
        <c:axId val="1"/>
      </c:lineChart>
      <c:lineChart>
        <c:grouping val="standard"/>
        <c:varyColors val="0"/>
        <c:ser>
          <c:idx val="0"/>
          <c:order val="1"/>
          <c:tx>
            <c:strRef>
              <c:f>passeng_graph!$B$38</c:f>
              <c:strCache>
                <c:ptCount val="1"/>
                <c:pt idx="0">
                  <c:v>Powered 2-wheelers</c:v>
                </c:pt>
              </c:strCache>
            </c:strRef>
          </c:tx>
          <c:spPr>
            <a:ln w="25400">
              <a:solidFill>
                <a:srgbClr val="000000"/>
              </a:solidFill>
              <a:prstDash val="solid"/>
            </a:ln>
          </c:spPr>
          <c:marker>
            <c:symbol val="circle"/>
            <c:size val="7"/>
            <c:spPr>
              <a:solidFill>
                <a:srgbClr val="000000"/>
              </a:solidFill>
              <a:ln>
                <a:solidFill>
                  <a:srgbClr val="000000"/>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passeng_graph!$C$38:$Y$38</c:f>
              <c:numCache>
                <c:formatCode>0.0</c:formatCode>
                <c:ptCount val="23"/>
                <c:pt idx="0">
                  <c:v>112.64489335150509</c:v>
                </c:pt>
                <c:pt idx="1">
                  <c:v>114.36749571172734</c:v>
                </c:pt>
                <c:pt idx="2">
                  <c:v>118.61705125541111</c:v>
                </c:pt>
                <c:pt idx="3">
                  <c:v>122.87241527179086</c:v>
                </c:pt>
                <c:pt idx="4">
                  <c:v>126.83120594398916</c:v>
                </c:pt>
                <c:pt idx="5">
                  <c:v>104.67205966075467</c:v>
                </c:pt>
                <c:pt idx="6">
                  <c:v>108.91900136330536</c:v>
                </c:pt>
                <c:pt idx="7">
                  <c:v>110.54182437883776</c:v>
                </c:pt>
                <c:pt idx="8">
                  <c:v>114.09979176109505</c:v>
                </c:pt>
                <c:pt idx="9">
                  <c:v>117.0701096643725</c:v>
                </c:pt>
                <c:pt idx="10">
                  <c:v>120.82613066490492</c:v>
                </c:pt>
                <c:pt idx="11">
                  <c:v>119.85102451313769</c:v>
                </c:pt>
                <c:pt idx="12">
                  <c:v>116.2463730122309</c:v>
                </c:pt>
                <c:pt idx="13">
                  <c:v>120.5472165950099</c:v>
                </c:pt>
                <c:pt idx="14">
                  <c:v>118.34501907526933</c:v>
                </c:pt>
                <c:pt idx="15">
                  <c:v>119.43510887476812</c:v>
                </c:pt>
                <c:pt idx="16">
                  <c:v>122.82324366584049</c:v>
                </c:pt>
                <c:pt idx="17">
                  <c:v>122.88121162023123</c:v>
                </c:pt>
                <c:pt idx="18">
                  <c:v>122.36651215039869</c:v>
                </c:pt>
                <c:pt idx="19">
                  <c:v>125.26082196549956</c:v>
                </c:pt>
                <c:pt idx="20">
                  <c:v>125.10289734645143</c:v>
                </c:pt>
                <c:pt idx="21">
                  <c:v>126.3827751576292</c:v>
                </c:pt>
                <c:pt idx="22">
                  <c:v>123.3</c:v>
                </c:pt>
              </c:numCache>
            </c:numRef>
          </c:val>
          <c:smooth val="0"/>
          <c:extLst>
            <c:ext xmlns:c16="http://schemas.microsoft.com/office/drawing/2014/chart" uri="{C3380CC4-5D6E-409C-BE32-E72D297353CC}">
              <c16:uniqueId val="{00000001-C56C-4A4A-A7D6-8067F4DCD4AA}"/>
            </c:ext>
          </c:extLst>
        </c:ser>
        <c:ser>
          <c:idx val="3"/>
          <c:order val="2"/>
          <c:tx>
            <c:strRef>
              <c:f>passeng_graph!$B$39</c:f>
              <c:strCache>
                <c:ptCount val="1"/>
                <c:pt idx="0">
                  <c:v>Buses &amp; Coaches</c:v>
                </c:pt>
              </c:strCache>
            </c:strRef>
          </c:tx>
          <c:spPr>
            <a:ln w="25400">
              <a:solidFill>
                <a:srgbClr val="FF0000"/>
              </a:solidFill>
              <a:prstDash val="solid"/>
            </a:ln>
          </c:spPr>
          <c:marker>
            <c:symbol val="x"/>
            <c:size val="3"/>
            <c:spPr>
              <a:solidFill>
                <a:srgbClr val="FF0000"/>
              </a:solidFill>
              <a:ln>
                <a:solidFill>
                  <a:srgbClr val="FF0000"/>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passeng_graph!$C$39:$Y$39</c:f>
              <c:numCache>
                <c:formatCode>0.0</c:formatCode>
                <c:ptCount val="23"/>
                <c:pt idx="0">
                  <c:v>514.72846579480574</c:v>
                </c:pt>
                <c:pt idx="1">
                  <c:v>519.30747234028092</c:v>
                </c:pt>
                <c:pt idx="2">
                  <c:v>522.47757183000931</c:v>
                </c:pt>
                <c:pt idx="3">
                  <c:v>525.55527690223153</c:v>
                </c:pt>
                <c:pt idx="4">
                  <c:v>527.72532653214671</c:v>
                </c:pt>
                <c:pt idx="5">
                  <c:v>545.04704495570309</c:v>
                </c:pt>
                <c:pt idx="6">
                  <c:v>544.18681321773101</c:v>
                </c:pt>
                <c:pt idx="7">
                  <c:v>535.57387469503192</c:v>
                </c:pt>
                <c:pt idx="8">
                  <c:v>542.28560489281517</c:v>
                </c:pt>
                <c:pt idx="9">
                  <c:v>543.3761824960219</c:v>
                </c:pt>
                <c:pt idx="10">
                  <c:v>542.16653981971581</c:v>
                </c:pt>
                <c:pt idx="11">
                  <c:v>539.95892713117416</c:v>
                </c:pt>
                <c:pt idx="12">
                  <c:v>550.62201918636208</c:v>
                </c:pt>
                <c:pt idx="13">
                  <c:v>559.41163872840866</c:v>
                </c:pt>
                <c:pt idx="14">
                  <c:v>536.31399539891061</c:v>
                </c:pt>
                <c:pt idx="15">
                  <c:v>529.74113953938001</c:v>
                </c:pt>
                <c:pt idx="16">
                  <c:v>530.75431050174018</c:v>
                </c:pt>
                <c:pt idx="17">
                  <c:v>526.49562412745126</c:v>
                </c:pt>
                <c:pt idx="18">
                  <c:v>523.29028807610769</c:v>
                </c:pt>
                <c:pt idx="19">
                  <c:v>517.72413137194428</c:v>
                </c:pt>
                <c:pt idx="20">
                  <c:v>527.71153405611983</c:v>
                </c:pt>
                <c:pt idx="21">
                  <c:v>526.9346175086439</c:v>
                </c:pt>
                <c:pt idx="22">
                  <c:v>510.4</c:v>
                </c:pt>
              </c:numCache>
            </c:numRef>
          </c:val>
          <c:smooth val="0"/>
          <c:extLst>
            <c:ext xmlns:c16="http://schemas.microsoft.com/office/drawing/2014/chart" uri="{C3380CC4-5D6E-409C-BE32-E72D297353CC}">
              <c16:uniqueId val="{00000002-C56C-4A4A-A7D6-8067F4DCD4AA}"/>
            </c:ext>
          </c:extLst>
        </c:ser>
        <c:ser>
          <c:idx val="5"/>
          <c:order val="3"/>
          <c:tx>
            <c:strRef>
              <c:f>passeng_graph!$B$40</c:f>
              <c:strCache>
                <c:ptCount val="1"/>
                <c:pt idx="0">
                  <c:v>Railways</c:v>
                </c:pt>
              </c:strCache>
            </c:strRef>
          </c:tx>
          <c:spPr>
            <a:ln w="25400">
              <a:solidFill>
                <a:srgbClr val="339966"/>
              </a:solidFill>
              <a:prstDash val="solid"/>
            </a:ln>
          </c:spPr>
          <c:marker>
            <c:symbol val="triangle"/>
            <c:size val="7"/>
            <c:spPr>
              <a:solidFill>
                <a:srgbClr val="339966"/>
              </a:solidFill>
              <a:ln>
                <a:solidFill>
                  <a:srgbClr val="339966"/>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passeng_graph!$C$40:$Y$40</c:f>
              <c:numCache>
                <c:formatCode>0.0</c:formatCode>
                <c:ptCount val="23"/>
                <c:pt idx="0">
                  <c:v>342.92070000000007</c:v>
                </c:pt>
                <c:pt idx="1">
                  <c:v>347.81880000000012</c:v>
                </c:pt>
                <c:pt idx="2">
                  <c:v>348.03559999999993</c:v>
                </c:pt>
                <c:pt idx="3">
                  <c:v>348.1452000000001</c:v>
                </c:pt>
                <c:pt idx="4">
                  <c:v>355.20069999999998</c:v>
                </c:pt>
                <c:pt idx="5">
                  <c:v>376.99288502490822</c:v>
                </c:pt>
                <c:pt idx="6">
                  <c:v>379.27528030944148</c:v>
                </c:pt>
                <c:pt idx="7">
                  <c:v>371.8311026138046</c:v>
                </c:pt>
                <c:pt idx="8">
                  <c:v>367.94294756335341</c:v>
                </c:pt>
                <c:pt idx="9">
                  <c:v>375.42099999999999</c:v>
                </c:pt>
                <c:pt idx="10">
                  <c:v>384.46600000000007</c:v>
                </c:pt>
                <c:pt idx="11">
                  <c:v>396.67600000000004</c:v>
                </c:pt>
                <c:pt idx="12">
                  <c:v>403.83000000000004</c:v>
                </c:pt>
                <c:pt idx="13">
                  <c:v>419.58782500000007</c:v>
                </c:pt>
                <c:pt idx="14">
                  <c:v>412.01500000000004</c:v>
                </c:pt>
                <c:pt idx="15">
                  <c:v>414.11799999999994</c:v>
                </c:pt>
                <c:pt idx="16">
                  <c:v>422.51200000000006</c:v>
                </c:pt>
                <c:pt idx="17">
                  <c:v>428.07900000000006</c:v>
                </c:pt>
                <c:pt idx="18">
                  <c:v>433.74399999999991</c:v>
                </c:pt>
                <c:pt idx="19">
                  <c:v>440.98699999999997</c:v>
                </c:pt>
                <c:pt idx="20">
                  <c:v>448.25299999999999</c:v>
                </c:pt>
                <c:pt idx="21">
                  <c:v>454.61426499999999</c:v>
                </c:pt>
                <c:pt idx="22">
                  <c:v>469.73400000000004</c:v>
                </c:pt>
              </c:numCache>
            </c:numRef>
          </c:val>
          <c:smooth val="0"/>
          <c:extLst>
            <c:ext xmlns:c16="http://schemas.microsoft.com/office/drawing/2014/chart" uri="{C3380CC4-5D6E-409C-BE32-E72D297353CC}">
              <c16:uniqueId val="{00000003-C56C-4A4A-A7D6-8067F4DCD4AA}"/>
            </c:ext>
          </c:extLst>
        </c:ser>
        <c:ser>
          <c:idx val="6"/>
          <c:order val="4"/>
          <c:tx>
            <c:strRef>
              <c:f>passeng_graph!$B$41</c:f>
              <c:strCache>
                <c:ptCount val="1"/>
                <c:pt idx="0">
                  <c:v>Tram &amp; Metro</c:v>
                </c:pt>
              </c:strCache>
            </c:strRef>
          </c:tx>
          <c:spPr>
            <a:ln w="25400">
              <a:solidFill>
                <a:srgbClr val="FF9900"/>
              </a:solidFill>
              <a:prstDash val="solid"/>
            </a:ln>
          </c:spPr>
          <c:marker>
            <c:symbol val="star"/>
            <c:size val="7"/>
            <c:spPr>
              <a:noFill/>
              <a:ln>
                <a:solidFill>
                  <a:srgbClr val="FF9900"/>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passeng_graph!$C$41:$Y$41</c:f>
              <c:numCache>
                <c:formatCode>0.0</c:formatCode>
                <c:ptCount val="23"/>
                <c:pt idx="0">
                  <c:v>73.71903011209119</c:v>
                </c:pt>
                <c:pt idx="1">
                  <c:v>74.889541085276733</c:v>
                </c:pt>
                <c:pt idx="2">
                  <c:v>75.670544027807438</c:v>
                </c:pt>
                <c:pt idx="3">
                  <c:v>76.852621980725374</c:v>
                </c:pt>
                <c:pt idx="4">
                  <c:v>78.515096820778538</c:v>
                </c:pt>
                <c:pt idx="5">
                  <c:v>80.092482669744101</c:v>
                </c:pt>
                <c:pt idx="6">
                  <c:v>80.89515498490023</c:v>
                </c:pt>
                <c:pt idx="7">
                  <c:v>81.671392689150167</c:v>
                </c:pt>
                <c:pt idx="8">
                  <c:v>82.090069795556118</c:v>
                </c:pt>
                <c:pt idx="9">
                  <c:v>85.340137436244092</c:v>
                </c:pt>
                <c:pt idx="10">
                  <c:v>86.085197458878724</c:v>
                </c:pt>
                <c:pt idx="11">
                  <c:v>87.859128160907815</c:v>
                </c:pt>
                <c:pt idx="12">
                  <c:v>89.972419987898519</c:v>
                </c:pt>
                <c:pt idx="13">
                  <c:v>93.543548124482044</c:v>
                </c:pt>
                <c:pt idx="14">
                  <c:v>93.457982411954532</c:v>
                </c:pt>
                <c:pt idx="15">
                  <c:v>96.121432668023445</c:v>
                </c:pt>
                <c:pt idx="16">
                  <c:v>97.346018609899204</c:v>
                </c:pt>
                <c:pt idx="17">
                  <c:v>98.922469833189481</c:v>
                </c:pt>
                <c:pt idx="18">
                  <c:v>99.364662948261511</c:v>
                </c:pt>
                <c:pt idx="19">
                  <c:v>100.67064467596639</c:v>
                </c:pt>
                <c:pt idx="20">
                  <c:v>102.14946262726792</c:v>
                </c:pt>
                <c:pt idx="21">
                  <c:v>105.41386957178889</c:v>
                </c:pt>
                <c:pt idx="22">
                  <c:v>107.17376713665031</c:v>
                </c:pt>
              </c:numCache>
            </c:numRef>
          </c:val>
          <c:smooth val="0"/>
          <c:extLst>
            <c:ext xmlns:c16="http://schemas.microsoft.com/office/drawing/2014/chart" uri="{C3380CC4-5D6E-409C-BE32-E72D297353CC}">
              <c16:uniqueId val="{00000004-C56C-4A4A-A7D6-8067F4DCD4AA}"/>
            </c:ext>
          </c:extLst>
        </c:ser>
        <c:ser>
          <c:idx val="2"/>
          <c:order val="5"/>
          <c:tx>
            <c:strRef>
              <c:f>passeng_graph!$B$42</c:f>
              <c:strCache>
                <c:ptCount val="1"/>
                <c:pt idx="0">
                  <c:v>Air</c:v>
                </c:pt>
              </c:strCache>
            </c:strRef>
          </c:tx>
          <c:spPr>
            <a:ln w="25400">
              <a:solidFill>
                <a:srgbClr val="00FF00"/>
              </a:solidFill>
              <a:prstDash val="solid"/>
            </a:ln>
          </c:spPr>
          <c:marker>
            <c:symbol val="diamond"/>
            <c:size val="7"/>
            <c:spPr>
              <a:solidFill>
                <a:srgbClr val="00FF00"/>
              </a:solidFill>
              <a:ln>
                <a:solidFill>
                  <a:srgbClr val="00FF00"/>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passeng_graph!$C$42:$Y$42</c:f>
              <c:numCache>
                <c:formatCode>0.0</c:formatCode>
                <c:ptCount val="23"/>
                <c:pt idx="0">
                  <c:v>347.90300000000002</c:v>
                </c:pt>
                <c:pt idx="1">
                  <c:v>368.01300000000003</c:v>
                </c:pt>
                <c:pt idx="2">
                  <c:v>392.14500000000004</c:v>
                </c:pt>
                <c:pt idx="3">
                  <c:v>411.24950000000001</c:v>
                </c:pt>
                <c:pt idx="4">
                  <c:v>427.33750000000003</c:v>
                </c:pt>
                <c:pt idx="5">
                  <c:v>459.51350000000002</c:v>
                </c:pt>
                <c:pt idx="6">
                  <c:v>455.49150000000003</c:v>
                </c:pt>
                <c:pt idx="7">
                  <c:v>447.44750000000005</c:v>
                </c:pt>
                <c:pt idx="8">
                  <c:v>465.54650000000004</c:v>
                </c:pt>
                <c:pt idx="9">
                  <c:v>495.71150000000006</c:v>
                </c:pt>
                <c:pt idx="10">
                  <c:v>529.89850000000001</c:v>
                </c:pt>
                <c:pt idx="11">
                  <c:v>552.01949999999999</c:v>
                </c:pt>
                <c:pt idx="12">
                  <c:v>575.14600000000007</c:v>
                </c:pt>
                <c:pt idx="13">
                  <c:v>563.41174870726695</c:v>
                </c:pt>
                <c:pt idx="14">
                  <c:v>524.43500734758595</c:v>
                </c:pt>
                <c:pt idx="15">
                  <c:v>534.70850518759801</c:v>
                </c:pt>
                <c:pt idx="16">
                  <c:v>576.83250591457499</c:v>
                </c:pt>
                <c:pt idx="17">
                  <c:v>570.13396886220096</c:v>
                </c:pt>
                <c:pt idx="18">
                  <c:v>579.59540158929997</c:v>
                </c:pt>
                <c:pt idx="19">
                  <c:v>609.55503370251404</c:v>
                </c:pt>
                <c:pt idx="20">
                  <c:v>639.60196617284601</c:v>
                </c:pt>
                <c:pt idx="21">
                  <c:v>713.48886891791699</c:v>
                </c:pt>
                <c:pt idx="22">
                  <c:v>776.9</c:v>
                </c:pt>
              </c:numCache>
            </c:numRef>
          </c:val>
          <c:smooth val="0"/>
          <c:extLst>
            <c:ext xmlns:c16="http://schemas.microsoft.com/office/drawing/2014/chart" uri="{C3380CC4-5D6E-409C-BE32-E72D297353CC}">
              <c16:uniqueId val="{00000005-C56C-4A4A-A7D6-8067F4DCD4AA}"/>
            </c:ext>
          </c:extLst>
        </c:ser>
        <c:ser>
          <c:idx val="4"/>
          <c:order val="6"/>
          <c:tx>
            <c:strRef>
              <c:f>passeng_graph!$B$43</c:f>
              <c:strCache>
                <c:ptCount val="1"/>
                <c:pt idx="0">
                  <c:v>Sea</c:v>
                </c:pt>
              </c:strCache>
            </c:strRef>
          </c:tx>
          <c:spPr>
            <a:ln w="25400">
              <a:solidFill>
                <a:srgbClr val="0000FF"/>
              </a:solidFill>
              <a:prstDash val="solid"/>
            </a:ln>
          </c:spPr>
          <c:marker>
            <c:symbol val="triangle"/>
            <c:size val="3"/>
            <c:spPr>
              <a:solidFill>
                <a:srgbClr val="0000FF"/>
              </a:solidFill>
              <a:ln>
                <a:solidFill>
                  <a:srgbClr val="0000FF"/>
                </a:solidFill>
                <a:prstDash val="solid"/>
              </a:ln>
            </c:spPr>
          </c:marker>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passeng_graph!$C$43:$Y$43</c:f>
              <c:numCache>
                <c:formatCode>0.0</c:formatCode>
                <c:ptCount val="23"/>
                <c:pt idx="0">
                  <c:v>30.863906357469897</c:v>
                </c:pt>
                <c:pt idx="1">
                  <c:v>30.585853147042243</c:v>
                </c:pt>
                <c:pt idx="2">
                  <c:v>30.307799936614586</c:v>
                </c:pt>
                <c:pt idx="3">
                  <c:v>29.960233423580018</c:v>
                </c:pt>
                <c:pt idx="4">
                  <c:v>29.612666910545446</c:v>
                </c:pt>
                <c:pt idx="5">
                  <c:v>28.98704718708322</c:v>
                </c:pt>
                <c:pt idx="6">
                  <c:v>29.195587094903964</c:v>
                </c:pt>
                <c:pt idx="7">
                  <c:v>30.109013087791631</c:v>
                </c:pt>
                <c:pt idx="8">
                  <c:v>29.970021776784698</c:v>
                </c:pt>
                <c:pt idx="9">
                  <c:v>29.618143971961665</c:v>
                </c:pt>
                <c:pt idx="10">
                  <c:v>28.890360804005201</c:v>
                </c:pt>
                <c:pt idx="11">
                  <c:v>28.208877470755901</c:v>
                </c:pt>
                <c:pt idx="12">
                  <c:v>27.966081296916901</c:v>
                </c:pt>
                <c:pt idx="13">
                  <c:v>31.8688773749607</c:v>
                </c:pt>
                <c:pt idx="14">
                  <c:v>26.659507521239199</c:v>
                </c:pt>
                <c:pt idx="15">
                  <c:v>24.734701904423002</c:v>
                </c:pt>
                <c:pt idx="16">
                  <c:v>22.435889464550701</c:v>
                </c:pt>
                <c:pt idx="17">
                  <c:v>20.7245939721202</c:v>
                </c:pt>
                <c:pt idx="18">
                  <c:v>21.041720136157998</c:v>
                </c:pt>
                <c:pt idx="19">
                  <c:v>21.596005636699601</c:v>
                </c:pt>
                <c:pt idx="20">
                  <c:v>21.6587392469416</c:v>
                </c:pt>
                <c:pt idx="21">
                  <c:v>25.047278419770699</c:v>
                </c:pt>
                <c:pt idx="22">
                  <c:v>24.327999999999999</c:v>
                </c:pt>
              </c:numCache>
            </c:numRef>
          </c:val>
          <c:smooth val="0"/>
          <c:extLst>
            <c:ext xmlns:c16="http://schemas.microsoft.com/office/drawing/2014/chart" uri="{C3380CC4-5D6E-409C-BE32-E72D297353CC}">
              <c16:uniqueId val="{00000006-C56C-4A4A-A7D6-8067F4DCD4AA}"/>
            </c:ext>
          </c:extLst>
        </c:ser>
        <c:ser>
          <c:idx val="7"/>
          <c:order val="7"/>
          <c:tx>
            <c:strRef>
              <c:f>passeng_graph!$B$44</c:f>
              <c:strCache>
                <c:ptCount val="1"/>
                <c:pt idx="0">
                  <c:v>Total</c:v>
                </c:pt>
              </c:strCache>
            </c:strRef>
          </c:tx>
          <c:cat>
            <c:numRef>
              <c:f>passeng_graph!$C$36:$Y$36</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cat>
          <c:val>
            <c:numRef>
              <c:f>passeng_graph!$C$44:$Y$44</c:f>
              <c:numCache>
                <c:formatCode>0.0</c:formatCode>
                <c:ptCount val="23"/>
                <c:pt idx="0">
                  <c:v>5327.1768404398281</c:v>
                </c:pt>
                <c:pt idx="1">
                  <c:v>5422.9426079078894</c:v>
                </c:pt>
                <c:pt idx="2">
                  <c:v>5534.2847268895684</c:v>
                </c:pt>
                <c:pt idx="3">
                  <c:v>5659.6173061204181</c:v>
                </c:pt>
                <c:pt idx="4">
                  <c:v>5800.0028557465066</c:v>
                </c:pt>
                <c:pt idx="5">
                  <c:v>5896.1617056541781</c:v>
                </c:pt>
                <c:pt idx="6">
                  <c:v>5985.3421904042989</c:v>
                </c:pt>
                <c:pt idx="7">
                  <c:v>6040.6761844166203</c:v>
                </c:pt>
                <c:pt idx="8">
                  <c:v>6096.8780029671279</c:v>
                </c:pt>
                <c:pt idx="9">
                  <c:v>6198.4350224743521</c:v>
                </c:pt>
                <c:pt idx="10">
                  <c:v>6200.6290974169879</c:v>
                </c:pt>
                <c:pt idx="11">
                  <c:v>6273.9923708274246</c:v>
                </c:pt>
                <c:pt idx="12">
                  <c:v>6360.3718240814787</c:v>
                </c:pt>
                <c:pt idx="13">
                  <c:v>6390.8131735895158</c:v>
                </c:pt>
                <c:pt idx="14">
                  <c:v>6386.4009992183219</c:v>
                </c:pt>
                <c:pt idx="15">
                  <c:v>6344.4964980267487</c:v>
                </c:pt>
                <c:pt idx="16">
                  <c:v>6365.5854363103435</c:v>
                </c:pt>
                <c:pt idx="17">
                  <c:v>6265.5100539159948</c:v>
                </c:pt>
                <c:pt idx="18">
                  <c:v>6329.0476056314637</c:v>
                </c:pt>
                <c:pt idx="19">
                  <c:v>6430.9924531797942</c:v>
                </c:pt>
                <c:pt idx="20">
                  <c:v>6576.2644872925584</c:v>
                </c:pt>
                <c:pt idx="21">
                  <c:v>6778.5723461415701</c:v>
                </c:pt>
                <c:pt idx="22">
                  <c:v>6913.2527265207245</c:v>
                </c:pt>
              </c:numCache>
            </c:numRef>
          </c:val>
          <c:smooth val="0"/>
          <c:extLst>
            <c:ext xmlns:c16="http://schemas.microsoft.com/office/drawing/2014/chart" uri="{C3380CC4-5D6E-409C-BE32-E72D297353CC}">
              <c16:uniqueId val="{00000007-C56C-4A4A-A7D6-8067F4DCD4AA}"/>
            </c:ext>
          </c:extLst>
        </c:ser>
        <c:dLbls>
          <c:showLegendKey val="0"/>
          <c:showVal val="0"/>
          <c:showCatName val="0"/>
          <c:showSerName val="0"/>
          <c:showPercent val="0"/>
          <c:showBubbleSize val="0"/>
        </c:dLbls>
        <c:marker val="1"/>
        <c:smooth val="0"/>
        <c:axId val="3"/>
        <c:axId val="4"/>
      </c:lineChart>
      <c:catAx>
        <c:axId val="37220620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max val="5500"/>
          <c:min val="0"/>
        </c:scaling>
        <c:delete val="0"/>
        <c:axPos val="l"/>
        <c:title>
          <c:tx>
            <c:rich>
              <a:bodyPr/>
              <a:lstStyle/>
              <a:p>
                <a:pPr>
                  <a:defRPr sz="800" b="1" i="0" u="none" strike="noStrike" baseline="0">
                    <a:solidFill>
                      <a:srgbClr val="000000"/>
                    </a:solidFill>
                    <a:latin typeface="Arial"/>
                    <a:ea typeface="Arial"/>
                    <a:cs typeface="Arial"/>
                  </a:defRPr>
                </a:pPr>
                <a:r>
                  <a:rPr lang="en-US"/>
                  <a:t>Passenger Cars scale</a:t>
                </a:r>
              </a:p>
            </c:rich>
          </c:tx>
          <c:layout>
            <c:manualLayout>
              <c:xMode val="edge"/>
              <c:yMode val="edge"/>
              <c:x val="8.0000000000000002E-3"/>
              <c:y val="0.37896908719743361"/>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72206200"/>
        <c:crosses val="autoZero"/>
        <c:crossBetween val="midCat"/>
        <c:majorUnit val="500"/>
      </c:valAx>
      <c:catAx>
        <c:axId val="3"/>
        <c:scaling>
          <c:orientation val="minMax"/>
        </c:scaling>
        <c:delete val="1"/>
        <c:axPos val="b"/>
        <c:numFmt formatCode="General" sourceLinked="1"/>
        <c:majorTickMark val="out"/>
        <c:minorTickMark val="none"/>
        <c:tickLblPos val="nextTo"/>
        <c:crossAx val="4"/>
        <c:crosses val="autoZero"/>
        <c:auto val="0"/>
        <c:lblAlgn val="ctr"/>
        <c:lblOffset val="100"/>
        <c:noMultiLvlLbl val="0"/>
      </c:catAx>
      <c:valAx>
        <c:axId val="4"/>
        <c:scaling>
          <c:orientation val="minMax"/>
          <c:max val="1000"/>
        </c:scaling>
        <c:delete val="0"/>
        <c:axPos val="r"/>
        <c:title>
          <c:tx>
            <c:rich>
              <a:bodyPr/>
              <a:lstStyle/>
              <a:p>
                <a:pPr>
                  <a:defRPr sz="800" b="1" i="0" u="none" strike="noStrike" baseline="0">
                    <a:solidFill>
                      <a:srgbClr val="000000"/>
                    </a:solidFill>
                    <a:latin typeface="Arial"/>
                    <a:ea typeface="Arial"/>
                    <a:cs typeface="Arial"/>
                  </a:defRPr>
                </a:pPr>
                <a:r>
                  <a:rPr lang="en-US"/>
                  <a:t>Scale for other modes</a:t>
                </a:r>
              </a:p>
            </c:rich>
          </c:tx>
          <c:layout>
            <c:manualLayout>
              <c:xMode val="edge"/>
              <c:yMode val="edge"/>
              <c:x val="0.95840067191601042"/>
              <c:y val="0.37103237095363079"/>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legend>
      <c:legendPos val="b"/>
      <c:legendEntry>
        <c:idx val="7"/>
        <c:delete val="1"/>
      </c:legendEntry>
      <c:layout>
        <c:manualLayout>
          <c:xMode val="edge"/>
          <c:yMode val="edge"/>
          <c:x val="3.6799999999999999E-2"/>
          <c:y val="0.91468441444819393"/>
          <c:w val="0.77679000524934394"/>
          <c:h val="7.0808232304295338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CFFCC"/>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0.98425196850393704" l="0.74803149606299213" r="0.74803149606299213" t="0.98425196850393704"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19050</xdr:rowOff>
    </xdr:from>
    <xdr:to>
      <xdr:col>13</xdr:col>
      <xdr:colOff>400050</xdr:colOff>
      <xdr:row>30</xdr:row>
      <xdr:rowOff>123825</xdr:rowOff>
    </xdr:to>
    <xdr:graphicFrame macro="">
      <xdr:nvGraphicFramePr>
        <xdr:cNvPr id="1027" name="Chart 1">
          <a:extLst>
            <a:ext uri="{FF2B5EF4-FFF2-40B4-BE49-F238E27FC236}">
              <a16:creationId xmlns:a16="http://schemas.microsoft.com/office/drawing/2014/main" id="{6774EE04-904A-4899-922A-1A8837A26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1"/>
  <dimension ref="B1:E59"/>
  <sheetViews>
    <sheetView zoomScale="85" zoomScaleNormal="85" workbookViewId="0">
      <selection activeCell="B7" sqref="B7:E7"/>
    </sheetView>
  </sheetViews>
  <sheetFormatPr defaultRowHeight="12.75"/>
  <cols>
    <col min="1" max="1" width="0.85546875" style="4" customWidth="1"/>
    <col min="2" max="2" width="7.7109375" style="6" customWidth="1"/>
    <col min="3" max="3" width="2" style="8" customWidth="1"/>
    <col min="4" max="4" width="51.5703125" style="4" customWidth="1"/>
    <col min="5" max="5" width="12.140625" style="4" customWidth="1"/>
    <col min="6" max="16384" width="9.140625" style="4"/>
  </cols>
  <sheetData>
    <row r="1" spans="2:5" ht="20.100000000000001" customHeight="1">
      <c r="B1" s="547" t="s">
        <v>54</v>
      </c>
      <c r="C1" s="547"/>
      <c r="D1" s="547"/>
      <c r="E1" s="547"/>
    </row>
    <row r="2" spans="2:5" ht="20.100000000000001" customHeight="1">
      <c r="B2" s="548" t="s">
        <v>55</v>
      </c>
      <c r="C2" s="548"/>
      <c r="D2" s="548"/>
      <c r="E2" s="548"/>
    </row>
    <row r="3" spans="2:5" ht="20.100000000000001" customHeight="1">
      <c r="B3" s="549" t="s">
        <v>93</v>
      </c>
      <c r="C3" s="549"/>
      <c r="D3" s="549"/>
      <c r="E3" s="549"/>
    </row>
    <row r="4" spans="2:5" ht="20.100000000000001" customHeight="1">
      <c r="B4" s="550" t="s">
        <v>57</v>
      </c>
      <c r="C4" s="550"/>
      <c r="D4" s="550"/>
      <c r="E4" s="550"/>
    </row>
    <row r="5" spans="2:5" ht="20.100000000000001" customHeight="1">
      <c r="B5" s="46"/>
      <c r="C5" s="46"/>
      <c r="D5" s="46"/>
      <c r="E5" s="46"/>
    </row>
    <row r="6" spans="2:5" ht="20.100000000000001" customHeight="1"/>
    <row r="7" spans="2:5" ht="20.100000000000001" customHeight="1">
      <c r="B7" s="547" t="s">
        <v>94</v>
      </c>
      <c r="C7" s="547"/>
      <c r="D7" s="547"/>
      <c r="E7" s="547"/>
    </row>
    <row r="8" spans="2:5" ht="20.100000000000001" customHeight="1">
      <c r="B8" s="545">
        <v>2019</v>
      </c>
      <c r="C8" s="546"/>
      <c r="D8" s="546"/>
      <c r="E8" s="546"/>
    </row>
    <row r="9" spans="2:5" ht="20.100000000000001" customHeight="1">
      <c r="B9" s="47"/>
      <c r="C9" s="47"/>
      <c r="D9" s="47"/>
      <c r="E9" s="47"/>
    </row>
    <row r="10" spans="2:5" ht="20.100000000000001" customHeight="1">
      <c r="B10" s="551" t="s">
        <v>96</v>
      </c>
      <c r="C10" s="551"/>
      <c r="D10" s="551"/>
      <c r="E10" s="551"/>
    </row>
    <row r="11" spans="2:5" ht="20.100000000000001" customHeight="1">
      <c r="B11" s="5"/>
      <c r="E11" s="5"/>
    </row>
    <row r="12" spans="2:5" ht="20.100000000000001" customHeight="1">
      <c r="B12" s="544" t="s">
        <v>95</v>
      </c>
      <c r="C12" s="544"/>
      <c r="D12" s="544"/>
      <c r="E12" s="544"/>
    </row>
    <row r="13" spans="2:5" customFormat="1" ht="20.100000000000001" customHeight="1">
      <c r="B13" s="544" t="s">
        <v>61</v>
      </c>
      <c r="C13" s="544"/>
      <c r="D13" s="544"/>
      <c r="E13" s="544"/>
    </row>
    <row r="14" spans="2:5" customFormat="1" ht="20.100000000000001" customHeight="1">
      <c r="B14" s="544" t="s">
        <v>62</v>
      </c>
      <c r="C14" s="544"/>
      <c r="D14" s="544"/>
      <c r="E14" s="544"/>
    </row>
    <row r="15" spans="2:5" ht="20.100000000000001" customHeight="1">
      <c r="B15" s="5"/>
      <c r="D15"/>
      <c r="E15" s="5"/>
    </row>
    <row r="16" spans="2:5" ht="20.100000000000001" customHeight="1">
      <c r="B16" s="5"/>
      <c r="E16" s="5"/>
    </row>
    <row r="17" spans="2:5" customFormat="1" ht="15" customHeight="1">
      <c r="B17" s="48" t="s">
        <v>83</v>
      </c>
      <c r="C17" s="49"/>
      <c r="D17" s="50" t="s">
        <v>56</v>
      </c>
      <c r="E17" s="5"/>
    </row>
    <row r="18" spans="2:5" customFormat="1" ht="15" customHeight="1">
      <c r="B18" s="48" t="s">
        <v>86</v>
      </c>
      <c r="C18" s="49"/>
      <c r="D18" s="50" t="s">
        <v>58</v>
      </c>
      <c r="E18" s="5"/>
    </row>
    <row r="19" spans="2:5" customFormat="1" ht="15" customHeight="1">
      <c r="B19" s="48" t="s">
        <v>85</v>
      </c>
      <c r="C19" s="49"/>
      <c r="D19" s="50" t="s">
        <v>59</v>
      </c>
      <c r="E19" s="5"/>
    </row>
    <row r="20" spans="2:5" ht="15" customHeight="1">
      <c r="B20" s="48" t="s">
        <v>87</v>
      </c>
      <c r="C20" s="49"/>
      <c r="D20" s="52" t="s">
        <v>45</v>
      </c>
      <c r="E20" s="5"/>
    </row>
    <row r="21" spans="2:5" ht="15" customHeight="1">
      <c r="B21" s="48" t="s">
        <v>88</v>
      </c>
      <c r="C21" s="49"/>
      <c r="D21" s="52" t="s">
        <v>46</v>
      </c>
      <c r="E21" s="5"/>
    </row>
    <row r="22" spans="2:5" customFormat="1" ht="15" customHeight="1">
      <c r="B22" s="48" t="s">
        <v>89</v>
      </c>
      <c r="C22" s="51"/>
      <c r="D22" s="52" t="s">
        <v>1</v>
      </c>
    </row>
    <row r="23" spans="2:5" ht="15" customHeight="1">
      <c r="B23" s="48" t="s">
        <v>90</v>
      </c>
      <c r="C23" s="51"/>
      <c r="D23" s="52" t="s">
        <v>47</v>
      </c>
      <c r="E23"/>
    </row>
    <row r="24" spans="2:5" ht="15" customHeight="1">
      <c r="B24" s="48" t="s">
        <v>91</v>
      </c>
      <c r="C24" s="51"/>
      <c r="D24" s="50" t="s">
        <v>74</v>
      </c>
      <c r="E24" s="5"/>
    </row>
    <row r="25" spans="2:5" ht="15" customHeight="1">
      <c r="B25" s="48" t="s">
        <v>92</v>
      </c>
      <c r="C25" s="64"/>
      <c r="D25" s="50" t="s">
        <v>75</v>
      </c>
      <c r="E25" s="5"/>
    </row>
    <row r="26" spans="2:5">
      <c r="B26" s="5"/>
      <c r="E26" s="5"/>
    </row>
    <row r="27" spans="2:5">
      <c r="B27" s="5"/>
      <c r="E27" s="5"/>
    </row>
    <row r="28" spans="2:5">
      <c r="C28"/>
    </row>
    <row r="29" spans="2:5">
      <c r="B29"/>
      <c r="C29"/>
      <c r="D29"/>
      <c r="E29"/>
    </row>
    <row r="30" spans="2:5" ht="13.5">
      <c r="B30" s="7"/>
      <c r="E30"/>
    </row>
    <row r="31" spans="2:5">
      <c r="B31" s="5"/>
      <c r="E31" s="5"/>
    </row>
    <row r="32" spans="2:5">
      <c r="B32" s="5"/>
      <c r="E32" s="5"/>
    </row>
    <row r="33" spans="2:5">
      <c r="B33" s="5"/>
      <c r="E33" s="5"/>
    </row>
    <row r="34" spans="2:5">
      <c r="B34" s="5"/>
      <c r="E34" s="5"/>
    </row>
    <row r="35" spans="2:5">
      <c r="B35" s="5"/>
      <c r="E35" s="5"/>
    </row>
    <row r="36" spans="2:5">
      <c r="B36" s="5"/>
      <c r="E36" s="5"/>
    </row>
    <row r="37" spans="2:5">
      <c r="B37" s="5"/>
      <c r="E37" s="5"/>
    </row>
    <row r="39" spans="2:5" ht="13.5">
      <c r="B39" s="7"/>
      <c r="E39"/>
    </row>
    <row r="40" spans="2:5">
      <c r="B40" s="5"/>
      <c r="E40" s="5"/>
    </row>
    <row r="41" spans="2:5">
      <c r="B41" s="5"/>
      <c r="E41" s="5"/>
    </row>
    <row r="42" spans="2:5">
      <c r="B42" s="5"/>
      <c r="E42" s="5"/>
    </row>
    <row r="49" spans="3:5">
      <c r="C49" s="10"/>
      <c r="D49" s="11"/>
    </row>
    <row r="56" spans="3:5" customFormat="1"/>
    <row r="59" spans="3:5">
      <c r="C59"/>
      <c r="D59"/>
      <c r="E59"/>
    </row>
  </sheetData>
  <mergeCells count="10">
    <mergeCell ref="B12:E12"/>
    <mergeCell ref="B13:E13"/>
    <mergeCell ref="B14:E14"/>
    <mergeCell ref="B8:E8"/>
    <mergeCell ref="B1:E1"/>
    <mergeCell ref="B2:E2"/>
    <mergeCell ref="B3:E3"/>
    <mergeCell ref="B4:E4"/>
    <mergeCell ref="B7:E7"/>
    <mergeCell ref="B10:E10"/>
  </mergeCells>
  <phoneticPr fontId="4"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74"/>
  <sheetViews>
    <sheetView topLeftCell="A4" workbookViewId="0">
      <selection activeCell="C30" sqref="C30"/>
    </sheetView>
  </sheetViews>
  <sheetFormatPr defaultRowHeight="12.75"/>
  <cols>
    <col min="1" max="1" width="2.5703125" customWidth="1"/>
    <col min="2" max="2" width="6.140625" customWidth="1"/>
    <col min="3" max="3" width="9.7109375" customWidth="1"/>
    <col min="4" max="6" width="8.7109375" customWidth="1"/>
    <col min="7" max="7" width="9.28515625" customWidth="1"/>
    <col min="8" max="8" width="8.7109375" customWidth="1"/>
    <col min="9" max="9" width="9.42578125" customWidth="1"/>
  </cols>
  <sheetData>
    <row r="1" spans="2:19" ht="14.25" customHeight="1">
      <c r="B1" s="65"/>
      <c r="C1" s="65"/>
      <c r="D1" s="65"/>
      <c r="E1" s="65"/>
      <c r="F1" s="65"/>
      <c r="G1" s="65"/>
      <c r="H1" s="66"/>
      <c r="I1" s="59" t="s">
        <v>92</v>
      </c>
    </row>
    <row r="2" spans="2:19" s="17" customFormat="1" ht="30" customHeight="1">
      <c r="B2" s="590" t="s">
        <v>63</v>
      </c>
      <c r="C2" s="590"/>
      <c r="D2" s="590"/>
      <c r="E2" s="590"/>
      <c r="F2" s="590"/>
      <c r="G2" s="590"/>
      <c r="H2" s="590"/>
      <c r="I2" s="590"/>
    </row>
    <row r="3" spans="2:19" ht="15" customHeight="1">
      <c r="B3" s="591" t="s">
        <v>64</v>
      </c>
      <c r="C3" s="591"/>
      <c r="D3" s="591"/>
      <c r="E3" s="591"/>
      <c r="F3" s="591"/>
      <c r="G3" s="591"/>
      <c r="H3" s="591"/>
      <c r="I3" s="591"/>
    </row>
    <row r="4" spans="2:19" ht="12" customHeight="1">
      <c r="B4" s="580" t="s">
        <v>108</v>
      </c>
      <c r="C4" s="592"/>
      <c r="D4" s="592"/>
      <c r="E4" s="592"/>
      <c r="F4" s="592"/>
      <c r="G4" s="592"/>
      <c r="H4" s="592"/>
      <c r="I4" s="592"/>
      <c r="L4" s="585" t="s">
        <v>53</v>
      </c>
      <c r="M4" s="585"/>
      <c r="N4" s="585"/>
      <c r="O4" s="585"/>
      <c r="P4" s="585"/>
      <c r="Q4" s="585"/>
      <c r="R4" s="585"/>
      <c r="S4" s="585"/>
    </row>
    <row r="5" spans="2:19" ht="12.75" customHeight="1">
      <c r="B5" s="26"/>
      <c r="C5" s="581" t="s">
        <v>65</v>
      </c>
      <c r="D5" s="581" t="s">
        <v>66</v>
      </c>
      <c r="E5" s="583" t="s">
        <v>67</v>
      </c>
      <c r="F5" s="583" t="s">
        <v>68</v>
      </c>
      <c r="G5" s="581" t="s">
        <v>69</v>
      </c>
      <c r="H5" s="583" t="s">
        <v>49</v>
      </c>
      <c r="I5" s="583" t="s">
        <v>50</v>
      </c>
      <c r="L5" s="586" t="s">
        <v>42</v>
      </c>
      <c r="M5" s="586"/>
      <c r="N5" s="586"/>
      <c r="O5" s="586"/>
      <c r="P5" s="586"/>
      <c r="Q5" s="586"/>
      <c r="R5" s="586"/>
      <c r="S5" s="586"/>
    </row>
    <row r="6" spans="2:19" ht="22.5" customHeight="1">
      <c r="B6" s="26"/>
      <c r="C6" s="582"/>
      <c r="D6" s="582"/>
      <c r="E6" s="584"/>
      <c r="F6" s="584"/>
      <c r="G6" s="582"/>
      <c r="H6" s="584"/>
      <c r="I6" s="584"/>
      <c r="L6" s="26"/>
      <c r="M6" s="581" t="s">
        <v>65</v>
      </c>
      <c r="N6" s="581" t="s">
        <v>66</v>
      </c>
      <c r="O6" s="583" t="s">
        <v>67</v>
      </c>
      <c r="P6" s="583" t="s">
        <v>68</v>
      </c>
      <c r="Q6" s="581" t="s">
        <v>69</v>
      </c>
      <c r="R6" s="583" t="s">
        <v>49</v>
      </c>
      <c r="S6" s="587"/>
    </row>
    <row r="7" spans="2:19" ht="15" customHeight="1">
      <c r="B7" s="67">
        <v>1990</v>
      </c>
      <c r="C7" s="329">
        <v>5280.4901498342397</v>
      </c>
      <c r="D7" s="330">
        <v>19.994650790400001</v>
      </c>
      <c r="E7" s="330">
        <v>28.215019008000002</v>
      </c>
      <c r="F7" s="330">
        <v>195.681746304</v>
      </c>
      <c r="G7" s="330">
        <v>12.316309632000001</v>
      </c>
      <c r="H7" s="331">
        <v>556.62855684479996</v>
      </c>
      <c r="I7" s="332">
        <f t="shared" ref="I7:I26" si="0">SUM(C7:H7)</f>
        <v>6093.3264324134398</v>
      </c>
      <c r="L7" s="26"/>
      <c r="M7" s="582"/>
      <c r="N7" s="582"/>
      <c r="O7" s="584"/>
      <c r="P7" s="584"/>
      <c r="Q7" s="582"/>
      <c r="R7" s="584"/>
      <c r="S7" s="587"/>
    </row>
    <row r="8" spans="2:19" ht="18.75" customHeight="1">
      <c r="B8" s="69">
        <v>1995</v>
      </c>
      <c r="C8" s="333">
        <v>5701.9589003520005</v>
      </c>
      <c r="D8" s="334">
        <v>17.343900288</v>
      </c>
      <c r="E8" s="334">
        <v>25.916875776000001</v>
      </c>
      <c r="F8" s="334">
        <v>219.33910310400003</v>
      </c>
      <c r="G8" s="334">
        <v>14.651467776</v>
      </c>
      <c r="H8" s="335">
        <v>650.03280011366417</v>
      </c>
      <c r="I8" s="336">
        <f t="shared" si="0"/>
        <v>6629.2430474096645</v>
      </c>
      <c r="L8" s="67">
        <v>1990</v>
      </c>
      <c r="M8" s="136">
        <f t="shared" ref="M8:M31" si="1">100*(C7/$I7)</f>
        <v>86.660220954923432</v>
      </c>
      <c r="N8" s="137">
        <f t="shared" ref="N8:R23" si="2">100*(D7/$I7)</f>
        <v>0.328140154842821</v>
      </c>
      <c r="O8" s="137">
        <f t="shared" si="2"/>
        <v>0.4630478823177806</v>
      </c>
      <c r="P8" s="137">
        <f t="shared" si="2"/>
        <v>3.2114108520933868</v>
      </c>
      <c r="Q8" s="137">
        <f t="shared" si="2"/>
        <v>0.20212784869826461</v>
      </c>
      <c r="R8" s="138">
        <f t="shared" si="2"/>
        <v>9.1350523071243206</v>
      </c>
      <c r="S8" s="68"/>
    </row>
    <row r="9" spans="2:19" ht="22.5" customHeight="1">
      <c r="B9" s="69">
        <v>1996</v>
      </c>
      <c r="C9" s="333">
        <v>5850.5560692480003</v>
      </c>
      <c r="D9" s="334">
        <v>17.561161728000002</v>
      </c>
      <c r="E9" s="334">
        <v>26.683278058483204</v>
      </c>
      <c r="F9" s="334">
        <v>224.2140695296128</v>
      </c>
      <c r="G9" s="334">
        <v>14.9759861999616</v>
      </c>
      <c r="H9" s="335">
        <v>699.50408456332798</v>
      </c>
      <c r="I9" s="336">
        <f t="shared" si="0"/>
        <v>6833.4946493273856</v>
      </c>
      <c r="L9" s="69">
        <v>1995</v>
      </c>
      <c r="M9" s="84">
        <f t="shared" si="1"/>
        <v>86.01221677307494</v>
      </c>
      <c r="N9" s="85">
        <f t="shared" si="2"/>
        <v>0.26162715960123112</v>
      </c>
      <c r="O9" s="85">
        <f t="shared" si="2"/>
        <v>0.39094773853746184</v>
      </c>
      <c r="P9" s="85">
        <f t="shared" si="2"/>
        <v>3.308659850534601</v>
      </c>
      <c r="Q9" s="85">
        <f t="shared" si="2"/>
        <v>0.22101268080259887</v>
      </c>
      <c r="R9" s="86">
        <f t="shared" si="2"/>
        <v>9.8055357974491599</v>
      </c>
      <c r="S9" s="68"/>
    </row>
    <row r="10" spans="2:19" ht="21" customHeight="1">
      <c r="B10" s="69">
        <v>1997</v>
      </c>
      <c r="C10" s="333">
        <v>6021.7468185600001</v>
      </c>
      <c r="D10" s="334">
        <v>17.846015615999999</v>
      </c>
      <c r="E10" s="334">
        <v>27.716231159654402</v>
      </c>
      <c r="F10" s="334">
        <v>233.7558807997037</v>
      </c>
      <c r="G10" s="334">
        <v>14.582578245016322</v>
      </c>
      <c r="H10" s="335">
        <v>725.28795449510415</v>
      </c>
      <c r="I10" s="336">
        <f t="shared" si="0"/>
        <v>7040.935478875479</v>
      </c>
      <c r="L10" s="69">
        <v>1996</v>
      </c>
      <c r="M10" s="84">
        <f t="shared" si="1"/>
        <v>85.615872543689846</v>
      </c>
      <c r="N10" s="85">
        <f t="shared" si="2"/>
        <v>0.25698654391612835</v>
      </c>
      <c r="O10" s="85">
        <f t="shared" si="2"/>
        <v>0.39047777788352572</v>
      </c>
      <c r="P10" s="85">
        <f t="shared" si="2"/>
        <v>3.2811040475707696</v>
      </c>
      <c r="Q10" s="85">
        <f t="shared" si="2"/>
        <v>0.21915560000380879</v>
      </c>
      <c r="R10" s="86">
        <f t="shared" si="2"/>
        <v>10.236403486935918</v>
      </c>
      <c r="S10" s="68"/>
    </row>
    <row r="11" spans="2:19" ht="12.75" customHeight="1">
      <c r="B11" s="69">
        <v>1998</v>
      </c>
      <c r="C11" s="333">
        <v>6186.937933440001</v>
      </c>
      <c r="D11" s="334">
        <v>18.203289984000001</v>
      </c>
      <c r="E11" s="334">
        <v>28.305757559616769</v>
      </c>
      <c r="F11" s="334">
        <v>239.37337062962612</v>
      </c>
      <c r="G11" s="334">
        <v>15.79991311900109</v>
      </c>
      <c r="H11" s="335">
        <v>744.72957675072007</v>
      </c>
      <c r="I11" s="336">
        <f t="shared" si="0"/>
        <v>7233.3498414829646</v>
      </c>
      <c r="L11" s="69">
        <v>1997</v>
      </c>
      <c r="M11" s="84">
        <f t="shared" si="1"/>
        <v>85.524811818354351</v>
      </c>
      <c r="N11" s="85">
        <f t="shared" si="2"/>
        <v>0.25346085998859658</v>
      </c>
      <c r="O11" s="85">
        <f t="shared" si="2"/>
        <v>0.39364415769480982</v>
      </c>
      <c r="P11" s="85">
        <f t="shared" si="2"/>
        <v>3.3199548767493785</v>
      </c>
      <c r="Q11" s="85">
        <f t="shared" si="2"/>
        <v>0.20711137445823227</v>
      </c>
      <c r="R11" s="86">
        <f t="shared" si="2"/>
        <v>10.301016912754628</v>
      </c>
      <c r="S11" s="68"/>
    </row>
    <row r="12" spans="2:19" ht="12.75" customHeight="1" thickBot="1">
      <c r="B12" s="70">
        <v>1999</v>
      </c>
      <c r="C12" s="333">
        <v>6320.6905132800002</v>
      </c>
      <c r="D12" s="334">
        <v>18.735982847999999</v>
      </c>
      <c r="E12" s="334">
        <v>29.34165086629287</v>
      </c>
      <c r="F12" s="334">
        <v>261.72939412338053</v>
      </c>
      <c r="G12" s="334">
        <v>16.01970877368576</v>
      </c>
      <c r="H12" s="335">
        <v>785.26263543552011</v>
      </c>
      <c r="I12" s="336">
        <f t="shared" si="0"/>
        <v>7431.7798853268796</v>
      </c>
      <c r="L12" s="69">
        <v>1998</v>
      </c>
      <c r="M12" s="84">
        <f t="shared" si="1"/>
        <v>85.533508941571796</v>
      </c>
      <c r="N12" s="85">
        <f t="shared" si="2"/>
        <v>0.25165781253389519</v>
      </c>
      <c r="O12" s="85">
        <f t="shared" si="2"/>
        <v>0.39132294413971808</v>
      </c>
      <c r="P12" s="85">
        <f t="shared" si="2"/>
        <v>3.3093017187808291</v>
      </c>
      <c r="Q12" s="85">
        <f t="shared" si="2"/>
        <v>0.21843148009224214</v>
      </c>
      <c r="R12" s="86">
        <f t="shared" si="2"/>
        <v>10.295777102881523</v>
      </c>
    </row>
    <row r="13" spans="2:19" ht="12.75" customHeight="1" thickTop="1">
      <c r="B13" s="70">
        <v>2000</v>
      </c>
      <c r="C13" s="337">
        <v>6372.1836777083063</v>
      </c>
      <c r="D13" s="338">
        <v>24.885070523583629</v>
      </c>
      <c r="E13" s="334">
        <v>31.127146408828796</v>
      </c>
      <c r="F13" s="338">
        <v>505.47695196535153</v>
      </c>
      <c r="G13" s="334">
        <v>17.283235676458752</v>
      </c>
      <c r="H13" s="335">
        <v>834.60261672691195</v>
      </c>
      <c r="I13" s="336">
        <f t="shared" si="0"/>
        <v>7785.5586990094407</v>
      </c>
      <c r="L13" s="70">
        <v>1999</v>
      </c>
      <c r="M13" s="84">
        <f t="shared" si="1"/>
        <v>85.049484925669205</v>
      </c>
      <c r="N13" s="85">
        <f t="shared" si="2"/>
        <v>0.25210626710018491</v>
      </c>
      <c r="O13" s="85">
        <f t="shared" si="2"/>
        <v>0.3948132388073588</v>
      </c>
      <c r="P13" s="85">
        <f t="shared" si="2"/>
        <v>3.5217592307884753</v>
      </c>
      <c r="Q13" s="85">
        <f t="shared" si="2"/>
        <v>0.21555682515994146</v>
      </c>
      <c r="R13" s="86">
        <f t="shared" si="2"/>
        <v>10.566279512474837</v>
      </c>
    </row>
    <row r="14" spans="2:19" ht="12.75" customHeight="1">
      <c r="B14" s="70">
        <v>2001</v>
      </c>
      <c r="C14" s="333">
        <v>6481.2387394498746</v>
      </c>
      <c r="D14" s="334">
        <v>22.728754903041427</v>
      </c>
      <c r="E14" s="334">
        <v>31.763769898848775</v>
      </c>
      <c r="F14" s="334">
        <v>443.24298759236666</v>
      </c>
      <c r="G14" s="334">
        <v>17.65590302713882</v>
      </c>
      <c r="H14" s="335">
        <v>782.95558126579203</v>
      </c>
      <c r="I14" s="336">
        <f t="shared" si="0"/>
        <v>7779.5857361370627</v>
      </c>
      <c r="L14" s="69">
        <v>2000</v>
      </c>
      <c r="M14" s="84">
        <f t="shared" si="1"/>
        <v>81.846196580844506</v>
      </c>
      <c r="N14" s="85">
        <f t="shared" si="2"/>
        <v>0.31963114640378687</v>
      </c>
      <c r="O14" s="85">
        <f t="shared" si="2"/>
        <v>0.39980620032816805</v>
      </c>
      <c r="P14" s="85">
        <f t="shared" si="2"/>
        <v>6.4924942641516976</v>
      </c>
      <c r="Q14" s="85">
        <f t="shared" si="2"/>
        <v>0.22199094945694395</v>
      </c>
      <c r="R14" s="86">
        <f t="shared" si="2"/>
        <v>10.719880858814907</v>
      </c>
      <c r="S14" s="1"/>
    </row>
    <row r="15" spans="2:19" ht="12.75" customHeight="1">
      <c r="B15" s="70">
        <v>2002</v>
      </c>
      <c r="C15" s="333">
        <v>6626.440066457998</v>
      </c>
      <c r="D15" s="334">
        <v>22.831654508056062</v>
      </c>
      <c r="E15" s="334">
        <v>30.788721081702143</v>
      </c>
      <c r="F15" s="334">
        <v>455.32583778822084</v>
      </c>
      <c r="G15" s="334">
        <v>17.59254593158656</v>
      </c>
      <c r="H15" s="335">
        <v>778.23366216710406</v>
      </c>
      <c r="I15" s="336">
        <f t="shared" si="0"/>
        <v>7931.2124879346684</v>
      </c>
      <c r="L15" s="69">
        <v>2001</v>
      </c>
      <c r="M15" s="84">
        <f t="shared" si="1"/>
        <v>83.310846609013922</v>
      </c>
      <c r="N15" s="85">
        <f t="shared" si="2"/>
        <v>0.29215893588605585</v>
      </c>
      <c r="O15" s="85">
        <f t="shared" si="2"/>
        <v>0.40829641803807681</v>
      </c>
      <c r="P15" s="85">
        <f t="shared" si="2"/>
        <v>5.6975140145760266</v>
      </c>
      <c r="Q15" s="85">
        <f t="shared" si="2"/>
        <v>0.22695171216026497</v>
      </c>
      <c r="R15" s="86">
        <f t="shared" si="2"/>
        <v>10.064232310325652</v>
      </c>
      <c r="S15" s="76"/>
    </row>
    <row r="16" spans="2:19" ht="12.75" customHeight="1">
      <c r="B16" s="70">
        <v>2003</v>
      </c>
      <c r="C16" s="333">
        <v>6688.9502334589106</v>
      </c>
      <c r="D16" s="334">
        <v>23.266748527352291</v>
      </c>
      <c r="E16" s="334">
        <v>31.038014883756674</v>
      </c>
      <c r="F16" s="334">
        <v>456.85279000457354</v>
      </c>
      <c r="G16" s="334">
        <v>17.753342758424065</v>
      </c>
      <c r="H16" s="335">
        <v>813.64641162008377</v>
      </c>
      <c r="I16" s="336">
        <f t="shared" si="0"/>
        <v>8031.5075412531014</v>
      </c>
      <c r="L16" s="69">
        <v>2002</v>
      </c>
      <c r="M16" s="84">
        <f t="shared" si="1"/>
        <v>83.548890873097264</v>
      </c>
      <c r="N16" s="85">
        <f t="shared" si="2"/>
        <v>0.28787092191501168</v>
      </c>
      <c r="O16" s="85">
        <f t="shared" si="2"/>
        <v>0.38819690089679715</v>
      </c>
      <c r="P16" s="85">
        <f t="shared" si="2"/>
        <v>5.740936060922385</v>
      </c>
      <c r="Q16" s="85">
        <f t="shared" si="2"/>
        <v>0.22181407897404293</v>
      </c>
      <c r="R16" s="86">
        <f t="shared" si="2"/>
        <v>9.8122911641944981</v>
      </c>
      <c r="S16" s="76"/>
    </row>
    <row r="17" spans="2:19" ht="12.75" customHeight="1">
      <c r="B17" s="70">
        <v>2004</v>
      </c>
      <c r="C17" s="333">
        <v>6884.4806461510834</v>
      </c>
      <c r="D17" s="334">
        <v>30.607388387317819</v>
      </c>
      <c r="E17" s="334">
        <v>31.969881822928901</v>
      </c>
      <c r="F17" s="334">
        <v>461.6996210083197</v>
      </c>
      <c r="G17" s="334">
        <v>18.171870032055171</v>
      </c>
      <c r="H17" s="335">
        <v>898.28163731930351</v>
      </c>
      <c r="I17" s="336">
        <f t="shared" si="0"/>
        <v>8325.2110447210089</v>
      </c>
      <c r="L17" s="69">
        <v>2003</v>
      </c>
      <c r="M17" s="84">
        <f t="shared" si="1"/>
        <v>83.283869175266673</v>
      </c>
      <c r="N17" s="85">
        <f t="shared" si="2"/>
        <v>0.28969341568621798</v>
      </c>
      <c r="O17" s="85">
        <f t="shared" si="2"/>
        <v>0.38645316242726235</v>
      </c>
      <c r="P17" s="85">
        <f t="shared" si="2"/>
        <v>5.6882570010423459</v>
      </c>
      <c r="Q17" s="85">
        <f t="shared" si="2"/>
        <v>0.22104620667086033</v>
      </c>
      <c r="R17" s="86">
        <f t="shared" si="2"/>
        <v>10.130681038906626</v>
      </c>
      <c r="S17" s="76"/>
    </row>
    <row r="18" spans="2:19" ht="12.75" customHeight="1">
      <c r="B18" s="70">
        <v>2005</v>
      </c>
      <c r="C18" s="333">
        <v>6952.3540534159229</v>
      </c>
      <c r="D18" s="334">
        <v>28.15017241567654</v>
      </c>
      <c r="E18" s="334">
        <v>31.863280678834176</v>
      </c>
      <c r="F18" s="334">
        <v>449.06583666606952</v>
      </c>
      <c r="G18" s="334">
        <v>17.975917190145026</v>
      </c>
      <c r="H18" s="335">
        <v>939.46730578239067</v>
      </c>
      <c r="I18" s="336">
        <f t="shared" si="0"/>
        <v>8418.8765661490397</v>
      </c>
      <c r="L18" s="69">
        <v>2004</v>
      </c>
      <c r="M18" s="84">
        <f t="shared" si="1"/>
        <v>82.694367856494296</v>
      </c>
      <c r="N18" s="85">
        <f t="shared" si="2"/>
        <v>0.36764699684971797</v>
      </c>
      <c r="O18" s="85">
        <f t="shared" si="2"/>
        <v>0.38401286947795643</v>
      </c>
      <c r="P18" s="85">
        <f t="shared" si="2"/>
        <v>5.5458008034653012</v>
      </c>
      <c r="Q18" s="85">
        <f t="shared" si="2"/>
        <v>0.218275187673205</v>
      </c>
      <c r="R18" s="86">
        <f t="shared" si="2"/>
        <v>10.789896286039513</v>
      </c>
      <c r="S18" s="76"/>
    </row>
    <row r="19" spans="2:19" ht="12.75" customHeight="1">
      <c r="B19" s="70">
        <v>2006</v>
      </c>
      <c r="C19" s="333">
        <v>6972.4258527475095</v>
      </c>
      <c r="D19" s="334">
        <v>39.153999290151461</v>
      </c>
      <c r="E19" s="334">
        <v>32.398135356926595</v>
      </c>
      <c r="F19" s="334">
        <v>479.25453844616959</v>
      </c>
      <c r="G19" s="334">
        <v>19.673661797843334</v>
      </c>
      <c r="H19" s="335">
        <v>947.02628097093782</v>
      </c>
      <c r="I19" s="336">
        <f t="shared" si="0"/>
        <v>8489.9324686095388</v>
      </c>
      <c r="L19" s="69">
        <v>2005</v>
      </c>
      <c r="M19" s="84">
        <f t="shared" si="1"/>
        <v>82.580543838476387</v>
      </c>
      <c r="N19" s="85">
        <f t="shared" si="2"/>
        <v>0.33436970116492615</v>
      </c>
      <c r="O19" s="85">
        <f t="shared" si="2"/>
        <v>0.37847425875028678</v>
      </c>
      <c r="P19" s="85">
        <f t="shared" si="2"/>
        <v>5.3340351665410042</v>
      </c>
      <c r="Q19" s="85">
        <f t="shared" si="2"/>
        <v>0.21351919165109653</v>
      </c>
      <c r="R19" s="86">
        <f t="shared" si="2"/>
        <v>11.159057843416292</v>
      </c>
      <c r="S19" s="76"/>
    </row>
    <row r="20" spans="2:19" ht="12.75" customHeight="1">
      <c r="B20" s="70">
        <v>2007</v>
      </c>
      <c r="C20" s="333">
        <v>6987.746520530769</v>
      </c>
      <c r="D20" s="334">
        <v>43.730951230767076</v>
      </c>
      <c r="E20" s="334">
        <v>35.280365167986048</v>
      </c>
      <c r="F20" s="334">
        <v>495.53042293127697</v>
      </c>
      <c r="G20" s="334">
        <v>21.029485214707201</v>
      </c>
      <c r="H20" s="335">
        <v>977.75841067145063</v>
      </c>
      <c r="I20" s="336">
        <f t="shared" si="0"/>
        <v>8561.0761557469577</v>
      </c>
      <c r="L20" s="69">
        <v>2006</v>
      </c>
      <c r="M20" s="84">
        <f t="shared" si="1"/>
        <v>82.125810523548694</v>
      </c>
      <c r="N20" s="85">
        <f t="shared" si="2"/>
        <v>0.46118151628317966</v>
      </c>
      <c r="O20" s="85">
        <f t="shared" si="2"/>
        <v>0.38160651426515629</v>
      </c>
      <c r="P20" s="85">
        <f t="shared" si="2"/>
        <v>5.6449746828747243</v>
      </c>
      <c r="Q20" s="85">
        <f t="shared" si="2"/>
        <v>0.23172930845544687</v>
      </c>
      <c r="R20" s="86">
        <f t="shared" si="2"/>
        <v>11.154697454572798</v>
      </c>
      <c r="S20" s="76"/>
    </row>
    <row r="21" spans="2:19" ht="12.75" customHeight="1" thickBot="1">
      <c r="B21" s="70">
        <v>2008</v>
      </c>
      <c r="C21" s="463">
        <v>6837.7527222190893</v>
      </c>
      <c r="D21" s="464">
        <v>42.53431488319994</v>
      </c>
      <c r="E21" s="334">
        <v>37.060658890675199</v>
      </c>
      <c r="F21" s="334">
        <v>506.04016889005499</v>
      </c>
      <c r="G21" s="334">
        <v>21.103427812262403</v>
      </c>
      <c r="H21" s="335">
        <v>938.69906738485372</v>
      </c>
      <c r="I21" s="336">
        <f t="shared" si="0"/>
        <v>8383.1903600801343</v>
      </c>
      <c r="L21" s="69">
        <v>2007</v>
      </c>
      <c r="M21" s="84">
        <f t="shared" si="1"/>
        <v>81.62229132654042</v>
      </c>
      <c r="N21" s="85">
        <f t="shared" si="2"/>
        <v>0.51081137972836466</v>
      </c>
      <c r="O21" s="85">
        <f t="shared" si="2"/>
        <v>0.41210198958810473</v>
      </c>
      <c r="P21" s="85">
        <f t="shared" si="2"/>
        <v>5.7881791251048824</v>
      </c>
      <c r="Q21" s="85">
        <f t="shared" si="2"/>
        <v>0.2456406745148545</v>
      </c>
      <c r="R21" s="86">
        <f t="shared" si="2"/>
        <v>11.420975504523364</v>
      </c>
      <c r="S21" s="77"/>
    </row>
    <row r="22" spans="2:19" ht="12.75" customHeight="1" thickTop="1">
      <c r="B22" s="69">
        <v>2009</v>
      </c>
      <c r="C22" s="333">
        <v>7089.5755849090729</v>
      </c>
      <c r="D22" s="334">
        <v>38.885428366040003</v>
      </c>
      <c r="E22" s="334">
        <v>36.563017920409699</v>
      </c>
      <c r="F22" s="334">
        <v>491.14355613029801</v>
      </c>
      <c r="G22" s="334">
        <v>21.445372166385027</v>
      </c>
      <c r="H22" s="335">
        <v>887.92590525063326</v>
      </c>
      <c r="I22" s="336">
        <f>SUM(C22:H22)</f>
        <v>8565.538864742839</v>
      </c>
      <c r="L22" s="69">
        <v>2008</v>
      </c>
      <c r="M22" s="84">
        <f t="shared" si="1"/>
        <v>81.565041810093504</v>
      </c>
      <c r="N22" s="85">
        <f t="shared" si="2"/>
        <v>0.50737622618882483</v>
      </c>
      <c r="O22" s="85">
        <f t="shared" si="2"/>
        <v>0.44208299345263752</v>
      </c>
      <c r="P22" s="85">
        <f t="shared" si="2"/>
        <v>6.0363673870483092</v>
      </c>
      <c r="Q22" s="85">
        <f t="shared" si="2"/>
        <v>0.25173504245775802</v>
      </c>
      <c r="R22" s="86">
        <f t="shared" si="2"/>
        <v>11.197396540758985</v>
      </c>
      <c r="S22" s="77"/>
    </row>
    <row r="23" spans="2:19" ht="12.75" customHeight="1">
      <c r="B23" s="69">
        <v>2010</v>
      </c>
      <c r="C23" s="333">
        <v>7131.7296716572646</v>
      </c>
      <c r="D23" s="334">
        <v>34.573079491961693</v>
      </c>
      <c r="E23" s="334">
        <v>36.735922793281503</v>
      </c>
      <c r="F23" s="334">
        <v>470.04579648429097</v>
      </c>
      <c r="G23" s="334">
        <v>20.835343856840829</v>
      </c>
      <c r="H23" s="335">
        <v>908.78798719286897</v>
      </c>
      <c r="I23" s="336">
        <f>SUM(C23:H23)</f>
        <v>8602.7078014765084</v>
      </c>
      <c r="L23" s="69">
        <v>2009</v>
      </c>
      <c r="M23" s="84">
        <f t="shared" si="1"/>
        <v>82.768588139748303</v>
      </c>
      <c r="N23" s="85">
        <f t="shared" si="2"/>
        <v>0.45397527207656246</v>
      </c>
      <c r="O23" s="85">
        <f t="shared" si="2"/>
        <v>0.42686185303424479</v>
      </c>
      <c r="P23" s="85">
        <f t="shared" si="2"/>
        <v>5.7339481366656964</v>
      </c>
      <c r="Q23" s="85">
        <f t="shared" si="2"/>
        <v>0.25036804461488926</v>
      </c>
      <c r="R23" s="86">
        <f t="shared" si="2"/>
        <v>10.366258553860304</v>
      </c>
      <c r="S23" s="77"/>
    </row>
    <row r="24" spans="2:19" ht="15" customHeight="1">
      <c r="B24" s="69">
        <v>2011</v>
      </c>
      <c r="C24" s="333">
        <v>7140.3176271041402</v>
      </c>
      <c r="D24" s="334">
        <v>34.627856513031887</v>
      </c>
      <c r="E24" s="334">
        <v>38.438300076320999</v>
      </c>
      <c r="F24" s="334">
        <v>471.33827612158001</v>
      </c>
      <c r="G24" s="334">
        <v>22.012058910796419</v>
      </c>
      <c r="H24" s="335">
        <v>926.35931077272005</v>
      </c>
      <c r="I24" s="336">
        <f t="shared" si="0"/>
        <v>8633.0934294985891</v>
      </c>
      <c r="L24" s="69">
        <v>2010</v>
      </c>
      <c r="M24" s="84">
        <f t="shared" si="1"/>
        <v>82.900986947775039</v>
      </c>
      <c r="N24" s="85">
        <f t="shared" ref="N24:R31" si="3">100*(D23/$I23)</f>
        <v>0.4018860141457764</v>
      </c>
      <c r="O24" s="85">
        <f t="shared" si="3"/>
        <v>0.42702743881381633</v>
      </c>
      <c r="P24" s="85">
        <f t="shared" si="3"/>
        <v>5.463928420347087</v>
      </c>
      <c r="Q24" s="85">
        <f t="shared" si="3"/>
        <v>0.24219518246644151</v>
      </c>
      <c r="R24" s="86">
        <f t="shared" si="3"/>
        <v>10.56397599645185</v>
      </c>
      <c r="S24" s="77"/>
    </row>
    <row r="25" spans="2:19" ht="15" customHeight="1">
      <c r="B25" s="69">
        <v>2012</v>
      </c>
      <c r="C25" s="334">
        <v>7179.4569118116206</v>
      </c>
      <c r="D25" s="334">
        <v>39.937345750121111</v>
      </c>
      <c r="E25" s="334">
        <v>39.056952786331401</v>
      </c>
      <c r="F25" s="334">
        <v>504.560165698746</v>
      </c>
      <c r="G25" s="334">
        <v>21.902334620626942</v>
      </c>
      <c r="H25" s="334">
        <v>934.22646158381303</v>
      </c>
      <c r="I25" s="336">
        <f t="shared" si="0"/>
        <v>8719.1401722512601</v>
      </c>
      <c r="L25" s="69">
        <v>2011</v>
      </c>
      <c r="M25" s="84">
        <f t="shared" si="1"/>
        <v>82.708680097289886</v>
      </c>
      <c r="N25" s="85">
        <f t="shared" si="3"/>
        <v>0.40110600905477606</v>
      </c>
      <c r="O25" s="85">
        <f t="shared" si="3"/>
        <v>0.4452436474853893</v>
      </c>
      <c r="P25" s="85">
        <f t="shared" si="3"/>
        <v>5.4596684255849111</v>
      </c>
      <c r="Q25" s="85">
        <f t="shared" si="3"/>
        <v>0.25497301854261162</v>
      </c>
      <c r="R25" s="86">
        <f t="shared" si="3"/>
        <v>10.730328802042434</v>
      </c>
    </row>
    <row r="26" spans="2:19" ht="15" customHeight="1">
      <c r="B26" s="69">
        <v>2013</v>
      </c>
      <c r="C26" s="334">
        <v>7218.2292555860677</v>
      </c>
      <c r="D26" s="334">
        <v>38.034099208994583</v>
      </c>
      <c r="E26" s="334">
        <f>28.976+11.721</f>
        <v>40.697000000000003</v>
      </c>
      <c r="F26" s="334">
        <v>517.71779237095996</v>
      </c>
      <c r="G26" s="334">
        <v>23.013916104655873</v>
      </c>
      <c r="H26" s="334">
        <v>949.01788842789801</v>
      </c>
      <c r="I26" s="336">
        <f t="shared" si="0"/>
        <v>8786.7099516985763</v>
      </c>
      <c r="L26" s="69">
        <v>2012</v>
      </c>
      <c r="M26" s="84">
        <f t="shared" si="1"/>
        <v>82.341340659487329</v>
      </c>
      <c r="N26" s="85">
        <f t="shared" si="3"/>
        <v>0.45804224913394631</v>
      </c>
      <c r="O26" s="85">
        <f t="shared" si="3"/>
        <v>0.44794500391942887</v>
      </c>
      <c r="P26" s="85">
        <f t="shared" si="3"/>
        <v>5.7868110356169424</v>
      </c>
      <c r="Q26" s="85">
        <f t="shared" si="3"/>
        <v>0.25119833134844322</v>
      </c>
      <c r="R26" s="86">
        <f t="shared" si="3"/>
        <v>10.714662720493896</v>
      </c>
    </row>
    <row r="27" spans="2:19" ht="15" customHeight="1">
      <c r="B27" s="70">
        <v>2014</v>
      </c>
      <c r="C27" s="333">
        <v>7305.0212711271806</v>
      </c>
      <c r="D27" s="334">
        <v>37.293607548791009</v>
      </c>
      <c r="E27" s="334">
        <v>40.255697099401303</v>
      </c>
      <c r="F27" s="334">
        <v>546.10594302166203</v>
      </c>
      <c r="G27" s="334">
        <v>22.972368011788799</v>
      </c>
      <c r="H27" s="335">
        <v>978.11366646502097</v>
      </c>
      <c r="I27" s="336">
        <f>SUM(C27:H27)</f>
        <v>8929.7625532738439</v>
      </c>
      <c r="L27" s="69">
        <v>2013</v>
      </c>
      <c r="M27" s="84">
        <f t="shared" si="1"/>
        <v>82.149397160773447</v>
      </c>
      <c r="N27" s="85">
        <f t="shared" si="3"/>
        <v>0.43285939126330375</v>
      </c>
      <c r="O27" s="85">
        <f t="shared" si="3"/>
        <v>0.46316539664693024</v>
      </c>
      <c r="P27" s="85">
        <f t="shared" si="3"/>
        <v>5.8920551061421902</v>
      </c>
      <c r="Q27" s="85">
        <f t="shared" si="3"/>
        <v>0.2619173300491956</v>
      </c>
      <c r="R27" s="86">
        <f t="shared" si="3"/>
        <v>10.800605615124937</v>
      </c>
    </row>
    <row r="28" spans="2:19" ht="15" customHeight="1">
      <c r="B28" s="70">
        <v>2015</v>
      </c>
      <c r="C28" s="333">
        <v>7494.9605384583256</v>
      </c>
      <c r="D28" s="334">
        <v>36.615041722073279</v>
      </c>
      <c r="E28" s="334">
        <v>40.131160257386902</v>
      </c>
      <c r="F28" s="356">
        <v>553.96895901737105</v>
      </c>
      <c r="G28" s="356">
        <v>23.180190365984298</v>
      </c>
      <c r="H28" s="429">
        <v>1033.04663045084</v>
      </c>
      <c r="I28" s="434">
        <f>SUM(C28:H28)</f>
        <v>9181.9025202719822</v>
      </c>
      <c r="L28" s="70">
        <v>2014</v>
      </c>
      <c r="M28" s="84">
        <f t="shared" si="1"/>
        <v>81.805324918174918</v>
      </c>
      <c r="N28" s="85">
        <f t="shared" si="3"/>
        <v>0.41763268985375612</v>
      </c>
      <c r="O28" s="85">
        <f t="shared" si="3"/>
        <v>0.4508036676142379</v>
      </c>
      <c r="P28" s="85">
        <f t="shared" si="3"/>
        <v>6.1155707082205426</v>
      </c>
      <c r="Q28" s="85">
        <f t="shared" si="3"/>
        <v>0.25725620221969542</v>
      </c>
      <c r="R28" s="86">
        <f t="shared" si="3"/>
        <v>10.95341181391686</v>
      </c>
    </row>
    <row r="29" spans="2:19" ht="17.25" customHeight="1">
      <c r="B29" s="70">
        <v>2016</v>
      </c>
      <c r="C29" s="333">
        <v>7684.6625702408001</v>
      </c>
      <c r="D29" s="334">
        <v>38.18186657478568</v>
      </c>
      <c r="E29" s="334">
        <v>40.224117999428401</v>
      </c>
      <c r="F29" s="356">
        <v>558.06361026905495</v>
      </c>
      <c r="G29" s="356">
        <v>23.519027289276298</v>
      </c>
      <c r="H29" s="429">
        <v>1078.96358219794</v>
      </c>
      <c r="I29" s="434">
        <f>SUM(C29:H29)</f>
        <v>9423.6147745712842</v>
      </c>
      <c r="L29" s="70">
        <v>2015</v>
      </c>
      <c r="M29" s="84">
        <f t="shared" si="1"/>
        <v>81.627533312522175</v>
      </c>
      <c r="N29" s="85">
        <f t="shared" si="3"/>
        <v>0.39877401923222205</v>
      </c>
      <c r="O29" s="85">
        <f t="shared" si="3"/>
        <v>0.43706802777294296</v>
      </c>
      <c r="P29" s="85">
        <f t="shared" si="3"/>
        <v>6.0332698783755072</v>
      </c>
      <c r="Q29" s="85">
        <f t="shared" si="3"/>
        <v>0.25245519994147864</v>
      </c>
      <c r="R29" s="86">
        <f t="shared" si="3"/>
        <v>11.250899562155659</v>
      </c>
    </row>
    <row r="30" spans="2:19" ht="12.75" customHeight="1">
      <c r="B30" s="430">
        <v>2017</v>
      </c>
      <c r="C30" s="431">
        <v>7750.9590108457733</v>
      </c>
      <c r="D30" s="465">
        <v>37.62907308141753</v>
      </c>
      <c r="E30" s="465">
        <v>38.993000000000002</v>
      </c>
      <c r="F30" s="433">
        <v>587.99199999999996</v>
      </c>
      <c r="G30" s="433">
        <v>24.327000000000002</v>
      </c>
      <c r="H30" s="432">
        <v>1116.5920000000001</v>
      </c>
      <c r="I30" s="435">
        <f>SUM(C30:H30)</f>
        <v>9556.4920839271908</v>
      </c>
      <c r="L30" s="70">
        <v>2016</v>
      </c>
      <c r="M30" s="84">
        <f t="shared" si="1"/>
        <v>81.546866611919683</v>
      </c>
      <c r="N30" s="85">
        <f t="shared" si="3"/>
        <v>0.40517219228671963</v>
      </c>
      <c r="O30" s="85">
        <f t="shared" si="3"/>
        <v>0.42684382757208311</v>
      </c>
      <c r="P30" s="85">
        <f t="shared" si="3"/>
        <v>5.9219696859313036</v>
      </c>
      <c r="Q30" s="85">
        <f t="shared" si="3"/>
        <v>0.24957543205968188</v>
      </c>
      <c r="R30" s="86">
        <f t="shared" si="3"/>
        <v>11.449572250230551</v>
      </c>
    </row>
    <row r="31" spans="2:19" ht="15" customHeight="1">
      <c r="B31" s="428" t="s">
        <v>140</v>
      </c>
      <c r="C31" s="71"/>
      <c r="D31" s="71"/>
      <c r="E31" s="466"/>
      <c r="F31" s="71"/>
      <c r="G31" s="72"/>
      <c r="H31" s="72"/>
      <c r="I31" s="72"/>
      <c r="L31" s="477">
        <v>2017</v>
      </c>
      <c r="M31" s="478">
        <f t="shared" si="1"/>
        <v>81.106738150099076</v>
      </c>
      <c r="N31" s="479">
        <f t="shared" si="3"/>
        <v>0.3937540339169523</v>
      </c>
      <c r="O31" s="479">
        <f t="shared" si="3"/>
        <v>0.40802628890972753</v>
      </c>
      <c r="P31" s="479">
        <f t="shared" si="3"/>
        <v>6.152801622563242</v>
      </c>
      <c r="Q31" s="479">
        <f t="shared" si="3"/>
        <v>0.25455993461151855</v>
      </c>
      <c r="R31" s="480">
        <f t="shared" si="3"/>
        <v>11.684119969899482</v>
      </c>
    </row>
    <row r="32" spans="2:19" ht="15.75" customHeight="1">
      <c r="B32" s="579" t="s">
        <v>146</v>
      </c>
      <c r="C32" s="579"/>
      <c r="D32" s="579"/>
      <c r="E32" s="579"/>
      <c r="F32" s="579"/>
      <c r="G32" s="579"/>
      <c r="H32" s="579"/>
      <c r="I32" s="579"/>
    </row>
    <row r="33" spans="1:9" ht="12" customHeight="1">
      <c r="B33" s="588" t="s">
        <v>99</v>
      </c>
      <c r="C33" s="588"/>
      <c r="D33" s="588"/>
      <c r="E33" s="588"/>
      <c r="F33" s="588"/>
      <c r="G33" s="588"/>
      <c r="H33" s="588"/>
      <c r="I33" s="588"/>
    </row>
    <row r="34" spans="1:9" ht="12.75" customHeight="1">
      <c r="B34" s="589"/>
      <c r="C34" s="588"/>
      <c r="D34" s="588"/>
      <c r="E34" s="588"/>
      <c r="F34" s="588"/>
      <c r="G34" s="588"/>
      <c r="H34" s="588"/>
      <c r="I34" s="588"/>
    </row>
    <row r="35" spans="1:9" ht="23.25" customHeight="1">
      <c r="B35" s="73"/>
      <c r="C35" s="72"/>
      <c r="D35" s="72"/>
      <c r="E35" s="74"/>
      <c r="F35" s="74"/>
      <c r="G35" s="74"/>
      <c r="H35" s="74"/>
      <c r="I35" s="74"/>
    </row>
    <row r="36" spans="1:9" ht="9.9499999999999993" customHeight="1">
      <c r="B36" s="585" t="s">
        <v>70</v>
      </c>
      <c r="C36" s="585"/>
      <c r="D36" s="585"/>
      <c r="E36" s="585"/>
      <c r="F36" s="585"/>
      <c r="G36" s="585"/>
      <c r="H36" s="585"/>
      <c r="I36" s="585"/>
    </row>
    <row r="37" spans="1:9" ht="9.9499999999999993" customHeight="1">
      <c r="B37" s="580" t="s">
        <v>71</v>
      </c>
      <c r="C37" s="580"/>
      <c r="D37" s="580"/>
      <c r="E37" s="580"/>
      <c r="F37" s="580"/>
      <c r="G37" s="580"/>
      <c r="H37" s="580"/>
      <c r="I37" s="580"/>
    </row>
    <row r="38" spans="1:9" ht="9.9499999999999993" customHeight="1">
      <c r="B38" s="26"/>
      <c r="C38" s="581" t="s">
        <v>65</v>
      </c>
      <c r="D38" s="581" t="s">
        <v>66</v>
      </c>
      <c r="E38" s="583" t="s">
        <v>67</v>
      </c>
      <c r="F38" s="583" t="s">
        <v>68</v>
      </c>
      <c r="G38" s="581" t="s">
        <v>69</v>
      </c>
      <c r="H38" s="583" t="s">
        <v>49</v>
      </c>
      <c r="I38" s="583" t="s">
        <v>50</v>
      </c>
    </row>
    <row r="39" spans="1:9" ht="9.9499999999999993" customHeight="1">
      <c r="B39" s="26"/>
      <c r="C39" s="582"/>
      <c r="D39" s="582"/>
      <c r="E39" s="584"/>
      <c r="F39" s="584"/>
      <c r="G39" s="582"/>
      <c r="H39" s="584"/>
      <c r="I39" s="584"/>
    </row>
    <row r="40" spans="1:9" ht="9.9499999999999993" customHeight="1">
      <c r="B40" s="67">
        <v>2001</v>
      </c>
      <c r="C40" s="60">
        <f t="shared" ref="C40:I40" si="4">100*(C14/C13-1)</f>
        <v>1.7114237011571776</v>
      </c>
      <c r="D40" s="61">
        <f t="shared" si="4"/>
        <v>-8.6650974868592741</v>
      </c>
      <c r="E40" s="61">
        <f t="shared" si="4"/>
        <v>2.0452356334193622</v>
      </c>
      <c r="F40" s="61">
        <f t="shared" si="4"/>
        <v>-12.311929185101755</v>
      </c>
      <c r="G40" s="61">
        <f t="shared" si="4"/>
        <v>2.1562360061297525</v>
      </c>
      <c r="H40" s="62">
        <f t="shared" si="4"/>
        <v>-6.1882187314084565</v>
      </c>
      <c r="I40" s="63">
        <f t="shared" si="4"/>
        <v>-7.671848743672216E-2</v>
      </c>
    </row>
    <row r="41" spans="1:9" ht="9.9499999999999993" customHeight="1">
      <c r="B41" s="69">
        <v>2001</v>
      </c>
      <c r="C41" s="60">
        <f t="shared" ref="C41:I54" si="5">100*(C14/C13-1)</f>
        <v>1.7114237011571776</v>
      </c>
      <c r="D41" s="61">
        <f t="shared" si="5"/>
        <v>-8.6650974868592741</v>
      </c>
      <c r="E41" s="61">
        <f t="shared" si="5"/>
        <v>2.0452356334193622</v>
      </c>
      <c r="F41" s="61">
        <f t="shared" si="5"/>
        <v>-12.311929185101755</v>
      </c>
      <c r="G41" s="61">
        <f t="shared" si="5"/>
        <v>2.1562360061297525</v>
      </c>
      <c r="H41" s="62">
        <f t="shared" si="5"/>
        <v>-6.1882187314084565</v>
      </c>
      <c r="I41" s="63">
        <f t="shared" si="5"/>
        <v>-7.671848743672216E-2</v>
      </c>
    </row>
    <row r="42" spans="1:9" ht="9.9499999999999993" customHeight="1">
      <c r="A42" s="75"/>
      <c r="B42" s="69">
        <v>2002</v>
      </c>
      <c r="C42" s="60">
        <f t="shared" si="5"/>
        <v>2.2403329493838164</v>
      </c>
      <c r="D42" s="61">
        <f t="shared" si="5"/>
        <v>0.45272873702757455</v>
      </c>
      <c r="E42" s="61">
        <f t="shared" si="5"/>
        <v>-3.069688579950236</v>
      </c>
      <c r="F42" s="61">
        <f t="shared" si="5"/>
        <v>2.7260104579401201</v>
      </c>
      <c r="G42" s="61">
        <f t="shared" si="5"/>
        <v>-0.35884369921421744</v>
      </c>
      <c r="H42" s="62">
        <f t="shared" si="5"/>
        <v>-0.60308901445649266</v>
      </c>
      <c r="I42" s="63">
        <f t="shared" si="5"/>
        <v>1.9490337524436852</v>
      </c>
    </row>
    <row r="43" spans="1:9" ht="9.9499999999999993" customHeight="1">
      <c r="A43" s="75"/>
      <c r="B43" s="69">
        <v>2003</v>
      </c>
      <c r="C43" s="60">
        <f t="shared" si="5"/>
        <v>0.94334463715033401</v>
      </c>
      <c r="D43" s="61">
        <f t="shared" si="5"/>
        <v>1.9056613665151101</v>
      </c>
      <c r="E43" s="61">
        <f t="shared" si="5"/>
        <v>0.80969196931888199</v>
      </c>
      <c r="F43" s="61">
        <f t="shared" si="5"/>
        <v>0.33535373783530886</v>
      </c>
      <c r="G43" s="61">
        <f t="shared" si="5"/>
        <v>0.91400543993351846</v>
      </c>
      <c r="H43" s="62">
        <f t="shared" si="5"/>
        <v>4.5504006283110021</v>
      </c>
      <c r="I43" s="63">
        <f t="shared" si="5"/>
        <v>1.2645614207286382</v>
      </c>
    </row>
    <row r="44" spans="1:9" ht="9.9499999999999993" customHeight="1">
      <c r="A44" s="75"/>
      <c r="B44" s="69">
        <v>2004</v>
      </c>
      <c r="C44" s="60">
        <f t="shared" si="5"/>
        <v>2.923185341013701</v>
      </c>
      <c r="D44" s="61">
        <f t="shared" si="5"/>
        <v>31.549917047222564</v>
      </c>
      <c r="E44" s="61">
        <f t="shared" si="5"/>
        <v>3.0023406543950859</v>
      </c>
      <c r="F44" s="61">
        <f t="shared" si="5"/>
        <v>1.0609174573931401</v>
      </c>
      <c r="G44" s="61">
        <f t="shared" si="5"/>
        <v>2.3574561665718585</v>
      </c>
      <c r="H44" s="62">
        <f t="shared" si="5"/>
        <v>10.401966319829171</v>
      </c>
      <c r="I44" s="63">
        <f t="shared" si="5"/>
        <v>3.6568913365184086</v>
      </c>
    </row>
    <row r="45" spans="1:9" ht="16.5" customHeight="1">
      <c r="A45" s="75"/>
      <c r="B45" s="69">
        <v>2005</v>
      </c>
      <c r="C45" s="60">
        <f t="shared" si="5"/>
        <v>0.98589001485225314</v>
      </c>
      <c r="D45" s="61">
        <f t="shared" si="5"/>
        <v>-8.0281791459849821</v>
      </c>
      <c r="E45" s="61">
        <f t="shared" si="5"/>
        <v>-0.3334424089683985</v>
      </c>
      <c r="F45" s="61">
        <f t="shared" si="5"/>
        <v>-2.7363644602217518</v>
      </c>
      <c r="G45" s="61">
        <f t="shared" si="5"/>
        <v>-1.078330637212821</v>
      </c>
      <c r="H45" s="62">
        <f t="shared" si="5"/>
        <v>4.5849393722436016</v>
      </c>
      <c r="I45" s="63">
        <f t="shared" si="5"/>
        <v>1.1250828468477581</v>
      </c>
    </row>
    <row r="46" spans="1:9" ht="20.100000000000001" customHeight="1">
      <c r="A46" s="75"/>
      <c r="B46" s="69">
        <v>2006</v>
      </c>
      <c r="C46" s="60">
        <f t="shared" si="5"/>
        <v>0.28870507999696482</v>
      </c>
      <c r="D46" s="61">
        <f t="shared" si="5"/>
        <v>39.089731714563158</v>
      </c>
      <c r="E46" s="61">
        <f t="shared" si="5"/>
        <v>1.6785926204005319</v>
      </c>
      <c r="F46" s="61">
        <f t="shared" si="5"/>
        <v>6.7225558738169378</v>
      </c>
      <c r="G46" s="61">
        <f t="shared" si="5"/>
        <v>9.4445506715455263</v>
      </c>
      <c r="H46" s="62">
        <f t="shared" si="5"/>
        <v>0.80460226151797265</v>
      </c>
      <c r="I46" s="63">
        <f t="shared" si="5"/>
        <v>0.844006939669395</v>
      </c>
    </row>
    <row r="47" spans="1:9" ht="20.100000000000001" customHeight="1">
      <c r="A47" s="75"/>
      <c r="B47" s="69">
        <v>2007</v>
      </c>
      <c r="C47" s="60">
        <f t="shared" si="5"/>
        <v>0.21973224393949664</v>
      </c>
      <c r="D47" s="61">
        <f t="shared" si="5"/>
        <v>11.689615425229039</v>
      </c>
      <c r="E47" s="61">
        <f t="shared" si="5"/>
        <v>8.8962830092110359</v>
      </c>
      <c r="F47" s="61">
        <f t="shared" si="5"/>
        <v>3.3960835379622578</v>
      </c>
      <c r="G47" s="61">
        <f t="shared" si="5"/>
        <v>6.891566149685957</v>
      </c>
      <c r="H47" s="62">
        <f t="shared" si="5"/>
        <v>3.2451189917353407</v>
      </c>
      <c r="I47" s="63">
        <f t="shared" si="5"/>
        <v>0.83797706754986656</v>
      </c>
    </row>
    <row r="48" spans="1:9" ht="20.100000000000001" customHeight="1">
      <c r="A48" s="75"/>
      <c r="B48" s="69">
        <v>2008</v>
      </c>
      <c r="C48" s="60">
        <f t="shared" si="5"/>
        <v>-2.1465260348380033</v>
      </c>
      <c r="D48" s="61">
        <f t="shared" si="5"/>
        <v>-2.7363602068761761</v>
      </c>
      <c r="E48" s="61">
        <f t="shared" si="5"/>
        <v>5.0461317909050951</v>
      </c>
      <c r="F48" s="61">
        <f t="shared" si="5"/>
        <v>2.1209083181226829</v>
      </c>
      <c r="G48" s="61">
        <f t="shared" si="5"/>
        <v>0.35161392112199596</v>
      </c>
      <c r="H48" s="62">
        <f t="shared" si="5"/>
        <v>-3.9947846891722372</v>
      </c>
      <c r="I48" s="63">
        <f t="shared" si="5"/>
        <v>-2.0778438648441533</v>
      </c>
    </row>
    <row r="49" spans="1:13" ht="20.100000000000001" customHeight="1">
      <c r="A49" s="75"/>
      <c r="B49" s="69">
        <v>2009</v>
      </c>
      <c r="C49" s="60">
        <f t="shared" si="5"/>
        <v>3.6828307913459923</v>
      </c>
      <c r="D49" s="61">
        <f t="shared" si="5"/>
        <v>-8.5786888237881609</v>
      </c>
      <c r="E49" s="61">
        <f t="shared" si="5"/>
        <v>-1.342774211687614</v>
      </c>
      <c r="F49" s="61">
        <f t="shared" si="5"/>
        <v>-2.9437609256259489</v>
      </c>
      <c r="G49" s="61">
        <f t="shared" si="5"/>
        <v>1.6203261250474776</v>
      </c>
      <c r="H49" s="61">
        <f t="shared" si="5"/>
        <v>-5.4088859676478362</v>
      </c>
      <c r="I49" s="142">
        <f t="shared" si="5"/>
        <v>2.1751683646721087</v>
      </c>
    </row>
    <row r="50" spans="1:13" ht="20.100000000000001" customHeight="1">
      <c r="A50" s="75"/>
      <c r="B50" s="69">
        <v>2010</v>
      </c>
      <c r="C50" s="60">
        <f t="shared" si="5"/>
        <v>0.59459252875335711</v>
      </c>
      <c r="D50" s="61">
        <f t="shared" si="5"/>
        <v>-11.089883936689338</v>
      </c>
      <c r="E50" s="61">
        <f t="shared" si="5"/>
        <v>0.47289551767357718</v>
      </c>
      <c r="F50" s="61">
        <f t="shared" si="5"/>
        <v>-4.2956401204233501</v>
      </c>
      <c r="G50" s="61">
        <f t="shared" si="5"/>
        <v>-2.8445685381967789</v>
      </c>
      <c r="H50" s="62">
        <f t="shared" si="5"/>
        <v>2.3495295968808394</v>
      </c>
      <c r="I50" s="63">
        <f t="shared" si="5"/>
        <v>0.4339357665711141</v>
      </c>
      <c r="K50" s="1"/>
    </row>
    <row r="51" spans="1:13" ht="20.100000000000001" customHeight="1">
      <c r="A51" s="75"/>
      <c r="B51" s="69">
        <v>2011</v>
      </c>
      <c r="C51" s="60">
        <f t="shared" si="5"/>
        <v>0.12041897046386474</v>
      </c>
      <c r="D51" s="61">
        <f t="shared" si="5"/>
        <v>0.15843836266575817</v>
      </c>
      <c r="E51" s="61">
        <f t="shared" si="5"/>
        <v>4.634094242355169</v>
      </c>
      <c r="F51" s="61">
        <f t="shared" si="5"/>
        <v>0.27496887472584497</v>
      </c>
      <c r="G51" s="61">
        <f t="shared" si="5"/>
        <v>5.6476872282059443</v>
      </c>
      <c r="H51" s="62">
        <f t="shared" si="5"/>
        <v>1.933489859843629</v>
      </c>
      <c r="I51" s="63">
        <f t="shared" si="5"/>
        <v>0.35321004413129131</v>
      </c>
    </row>
    <row r="52" spans="1:13" ht="20.100000000000001" customHeight="1">
      <c r="A52" s="75"/>
      <c r="B52" s="69">
        <v>2012</v>
      </c>
      <c r="C52" s="60">
        <f t="shared" si="5"/>
        <v>0.54814486905891968</v>
      </c>
      <c r="D52" s="61">
        <f t="shared" si="5"/>
        <v>15.332999994068498</v>
      </c>
      <c r="E52" s="61">
        <f t="shared" si="5"/>
        <v>1.6094694842957002</v>
      </c>
      <c r="F52" s="61">
        <f t="shared" si="5"/>
        <v>7.0484175082349054</v>
      </c>
      <c r="G52" s="61">
        <f t="shared" si="5"/>
        <v>-0.49847354404298772</v>
      </c>
      <c r="H52" s="62">
        <f t="shared" si="5"/>
        <v>0.84925478910884422</v>
      </c>
      <c r="I52" s="63">
        <f t="shared" si="5"/>
        <v>0.99670811459837694</v>
      </c>
    </row>
    <row r="53" spans="1:13" ht="20.100000000000001" customHeight="1">
      <c r="A53" s="75"/>
      <c r="B53" s="70">
        <v>2013</v>
      </c>
      <c r="C53" s="60">
        <f t="shared" si="5"/>
        <v>0.54004563646949943</v>
      </c>
      <c r="D53" s="61">
        <f t="shared" si="5"/>
        <v>-4.7655809503082907</v>
      </c>
      <c r="E53" s="61">
        <f t="shared" si="5"/>
        <v>4.199117178036893</v>
      </c>
      <c r="F53" s="61">
        <f t="shared" si="5"/>
        <v>2.6077418644399941</v>
      </c>
      <c r="G53" s="61">
        <f t="shared" si="5"/>
        <v>5.0751735067643411</v>
      </c>
      <c r="H53" s="62">
        <f t="shared" si="5"/>
        <v>1.5832806554214596</v>
      </c>
      <c r="I53" s="63">
        <f t="shared" si="5"/>
        <v>0.77495920598178447</v>
      </c>
    </row>
    <row r="54" spans="1:13" ht="19.5" customHeight="1">
      <c r="B54" s="70">
        <v>2014</v>
      </c>
      <c r="C54" s="60">
        <f t="shared" si="5"/>
        <v>1.202400373664303</v>
      </c>
      <c r="D54" s="61">
        <f t="shared" si="5"/>
        <v>-1.9469152039979343</v>
      </c>
      <c r="E54" s="61">
        <f t="shared" si="5"/>
        <v>-1.0843622394739127</v>
      </c>
      <c r="F54" s="61">
        <f t="shared" si="5"/>
        <v>5.4833252920852171</v>
      </c>
      <c r="G54" s="61">
        <f t="shared" si="5"/>
        <v>-0.18053464989675749</v>
      </c>
      <c r="H54" s="62">
        <f t="shared" si="5"/>
        <v>3.0658829925030995</v>
      </c>
      <c r="I54" s="63">
        <f t="shared" si="5"/>
        <v>1.6280564894214367</v>
      </c>
    </row>
    <row r="55" spans="1:13" ht="19.5" customHeight="1">
      <c r="B55" s="70">
        <v>2015</v>
      </c>
      <c r="C55" s="60">
        <f t="shared" ref="C55:I55" si="6">C28/C27*100-100</f>
        <v>2.6001192916695857</v>
      </c>
      <c r="D55" s="155">
        <f t="shared" si="6"/>
        <v>-1.8195231604504016</v>
      </c>
      <c r="E55" s="156">
        <f t="shared" si="6"/>
        <v>-0.30936451480863525</v>
      </c>
      <c r="F55" s="156">
        <f t="shared" si="6"/>
        <v>1.4398334418779939</v>
      </c>
      <c r="G55" s="156">
        <f t="shared" si="6"/>
        <v>0.90466230598799768</v>
      </c>
      <c r="H55" s="375">
        <f t="shared" si="6"/>
        <v>5.6162147477553361</v>
      </c>
      <c r="I55" s="374">
        <f t="shared" si="6"/>
        <v>2.8235909464994506</v>
      </c>
    </row>
    <row r="56" spans="1:13" ht="19.5" customHeight="1">
      <c r="B56" s="70">
        <v>2016</v>
      </c>
      <c r="C56" s="60">
        <f>C29/C28*100-100</f>
        <v>2.5310611151195559</v>
      </c>
      <c r="D56" s="61">
        <f t="shared" ref="D56:I56" si="7">D29/D28*100-100</f>
        <v>4.2791835787199091</v>
      </c>
      <c r="E56" s="61">
        <f t="shared" si="7"/>
        <v>0.23163482302854277</v>
      </c>
      <c r="F56" s="61">
        <f t="shared" si="7"/>
        <v>0.73914813908470478</v>
      </c>
      <c r="G56" s="61">
        <f t="shared" si="7"/>
        <v>1.4617521165366583</v>
      </c>
      <c r="H56" s="62">
        <f t="shared" si="7"/>
        <v>4.4448092074082837</v>
      </c>
      <c r="I56" s="374">
        <f t="shared" si="7"/>
        <v>2.6324855199196975</v>
      </c>
      <c r="M56" s="1"/>
    </row>
    <row r="57" spans="1:13" ht="20.25" customHeight="1">
      <c r="B57" s="70">
        <v>2017</v>
      </c>
      <c r="C57" s="467">
        <f>C30/C29*100-100</f>
        <v>0.8627111470282216</v>
      </c>
      <c r="D57" s="468">
        <f t="shared" ref="D57:I57" si="8">D30/D29*100-100</f>
        <v>-1.4477906476505211</v>
      </c>
      <c r="E57" s="468">
        <f t="shared" si="8"/>
        <v>-3.0606463501471808</v>
      </c>
      <c r="F57" s="468">
        <f t="shared" si="8"/>
        <v>5.3628993505804488</v>
      </c>
      <c r="G57" s="468">
        <f t="shared" si="8"/>
        <v>3.4354002008072086</v>
      </c>
      <c r="H57" s="474">
        <f t="shared" si="8"/>
        <v>3.4874594863904491</v>
      </c>
      <c r="I57" s="475">
        <f t="shared" si="8"/>
        <v>1.4100460654913718</v>
      </c>
    </row>
    <row r="58" spans="1:13" ht="20.25" customHeight="1">
      <c r="B58" s="470" t="s">
        <v>72</v>
      </c>
      <c r="C58" s="469">
        <f t="shared" ref="C58:I58" si="9">100*(POWER((C8/C7), 1/5) -1)</f>
        <v>1.5476714348274356</v>
      </c>
      <c r="D58" s="471">
        <f t="shared" si="9"/>
        <v>-2.8044036148359153</v>
      </c>
      <c r="E58" s="471">
        <f t="shared" si="9"/>
        <v>-1.6848468710477849</v>
      </c>
      <c r="F58" s="471">
        <f t="shared" si="9"/>
        <v>2.3088374081304375</v>
      </c>
      <c r="G58" s="471">
        <f t="shared" si="9"/>
        <v>3.5333119902342114</v>
      </c>
      <c r="H58" s="472">
        <f t="shared" si="9"/>
        <v>3.151122320246813</v>
      </c>
      <c r="I58" s="475">
        <f t="shared" si="9"/>
        <v>1.7002216390869851</v>
      </c>
    </row>
    <row r="59" spans="1:13" ht="23.25" customHeight="1">
      <c r="B59" s="470" t="s">
        <v>109</v>
      </c>
      <c r="C59" s="469">
        <f t="shared" ref="C59:I59" si="10">100*(POWER((C13/C8), 1/5) -1)</f>
        <v>2.2475335590066647</v>
      </c>
      <c r="D59" s="471">
        <f t="shared" si="10"/>
        <v>7.4876137514655605</v>
      </c>
      <c r="E59" s="471">
        <f t="shared" si="10"/>
        <v>3.7316610452985843</v>
      </c>
      <c r="F59" s="471">
        <f t="shared" si="10"/>
        <v>18.172672948678724</v>
      </c>
      <c r="G59" s="471">
        <f t="shared" si="10"/>
        <v>3.3591153554357156</v>
      </c>
      <c r="H59" s="472">
        <f t="shared" si="10"/>
        <v>5.125698423473346</v>
      </c>
      <c r="I59" s="476">
        <f t="shared" si="10"/>
        <v>3.2678578610680464</v>
      </c>
    </row>
    <row r="60" spans="1:13" ht="24" customHeight="1">
      <c r="B60" s="473" t="s">
        <v>147</v>
      </c>
      <c r="C60" s="467">
        <f t="shared" ref="C60:I60" si="11">100*(POWER((C30/C13), 1/17) -1)</f>
        <v>1.1588655435259332</v>
      </c>
      <c r="D60" s="468">
        <f t="shared" si="11"/>
        <v>2.462229750880196</v>
      </c>
      <c r="E60" s="468">
        <f t="shared" si="11"/>
        <v>1.3341259702769337</v>
      </c>
      <c r="F60" s="468">
        <f t="shared" si="11"/>
        <v>0.89344347081297126</v>
      </c>
      <c r="G60" s="468">
        <f t="shared" si="11"/>
        <v>2.0312358914947204</v>
      </c>
      <c r="H60" s="474">
        <f t="shared" si="11"/>
        <v>1.7269826425048596</v>
      </c>
      <c r="I60" s="475">
        <f t="shared" si="11"/>
        <v>1.2128856601700377</v>
      </c>
    </row>
    <row r="61" spans="1:13" ht="27.75" customHeight="1">
      <c r="B61" s="73"/>
      <c r="C61" s="3"/>
      <c r="D61" s="3"/>
      <c r="E61" s="3"/>
      <c r="F61" s="3"/>
      <c r="G61" s="3"/>
      <c r="H61" s="3"/>
      <c r="I61" s="3"/>
    </row>
    <row r="62" spans="1:13" ht="9.9499999999999993" customHeight="1"/>
    <row r="63" spans="1:13" ht="9.9499999999999993" customHeight="1"/>
    <row r="64" spans="1:13" ht="9.9499999999999993" hidden="1" customHeight="1"/>
    <row r="65" spans="14:14" ht="9.9499999999999993" hidden="1" customHeight="1"/>
    <row r="66" spans="14:14" ht="9.9499999999999993" hidden="1" customHeight="1"/>
    <row r="67" spans="14:14" ht="9.9499999999999993" hidden="1" customHeight="1"/>
    <row r="68" spans="14:14" ht="9.9499999999999993" customHeight="1"/>
    <row r="69" spans="14:14" ht="9.9499999999999993" customHeight="1">
      <c r="N69" s="1"/>
    </row>
    <row r="70" spans="14:14" ht="9.9499999999999993" customHeight="1"/>
    <row r="71" spans="14:14" ht="9.9499999999999993" customHeight="1">
      <c r="N71" s="1"/>
    </row>
    <row r="72" spans="14:14" ht="9.9499999999999993" customHeight="1"/>
    <row r="73" spans="14:14" ht="9.9499999999999993" customHeight="1"/>
    <row r="74" spans="14:14" ht="9.9499999999999993" customHeight="1"/>
  </sheetData>
  <mergeCells count="31">
    <mergeCell ref="H38:H39"/>
    <mergeCell ref="I38:I39"/>
    <mergeCell ref="B2:I2"/>
    <mergeCell ref="B3:I3"/>
    <mergeCell ref="B4:I4"/>
    <mergeCell ref="C5:C6"/>
    <mergeCell ref="D5:D6"/>
    <mergeCell ref="E5:E6"/>
    <mergeCell ref="F5:F6"/>
    <mergeCell ref="G5:G6"/>
    <mergeCell ref="H5:H6"/>
    <mergeCell ref="I5:I6"/>
    <mergeCell ref="L4:S4"/>
    <mergeCell ref="L5:S5"/>
    <mergeCell ref="S6:S7"/>
    <mergeCell ref="Q6:Q7"/>
    <mergeCell ref="R6:R7"/>
    <mergeCell ref="M6:M7"/>
    <mergeCell ref="N6:N7"/>
    <mergeCell ref="O6:O7"/>
    <mergeCell ref="P6:P7"/>
    <mergeCell ref="B32:I32"/>
    <mergeCell ref="B37:I37"/>
    <mergeCell ref="C38:C39"/>
    <mergeCell ref="D38:D39"/>
    <mergeCell ref="E38:E39"/>
    <mergeCell ref="F38:F39"/>
    <mergeCell ref="G38:G39"/>
    <mergeCell ref="B33:I33"/>
    <mergeCell ref="B34:I34"/>
    <mergeCell ref="B36:I36"/>
  </mergeCells>
  <phoneticPr fontId="4"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B1:AB44"/>
  <sheetViews>
    <sheetView topLeftCell="A6" zoomScaleNormal="100" workbookViewId="0">
      <selection activeCell="S34" sqref="S34"/>
    </sheetView>
  </sheetViews>
  <sheetFormatPr defaultRowHeight="12.75"/>
  <cols>
    <col min="1" max="1" width="1" customWidth="1"/>
    <col min="2" max="2" width="9.7109375" customWidth="1"/>
    <col min="3" max="16" width="6.7109375" customWidth="1"/>
  </cols>
  <sheetData>
    <row r="1" spans="2:14" ht="14.25" customHeight="1">
      <c r="B1" s="17"/>
      <c r="N1" s="16" t="s">
        <v>83</v>
      </c>
    </row>
    <row r="2" spans="2:14" ht="12.75" customHeight="1">
      <c r="C2" s="29"/>
      <c r="D2" s="29"/>
      <c r="E2" s="29"/>
      <c r="I2" s="12"/>
    </row>
    <row r="3" spans="2:14" ht="12.75" customHeight="1">
      <c r="C3" s="12"/>
      <c r="D3" s="12"/>
      <c r="E3" s="12"/>
    </row>
    <row r="4" spans="2:14" ht="12.75" customHeight="1">
      <c r="C4" s="1"/>
      <c r="D4" s="1"/>
      <c r="E4" s="1"/>
      <c r="F4" s="1"/>
      <c r="G4" s="30"/>
    </row>
    <row r="5" spans="2:14" ht="12.75" customHeight="1">
      <c r="C5" s="1"/>
      <c r="D5" s="1"/>
      <c r="E5" s="1"/>
      <c r="F5" s="1"/>
      <c r="G5" s="1"/>
    </row>
    <row r="6" spans="2:14" ht="12.75" customHeight="1">
      <c r="C6" s="1"/>
      <c r="D6" s="1"/>
      <c r="E6" s="1"/>
      <c r="F6" s="1"/>
      <c r="G6" s="1"/>
    </row>
    <row r="7" spans="2:14" ht="12.75" customHeight="1">
      <c r="C7" s="1"/>
      <c r="D7" s="1"/>
      <c r="E7" s="1"/>
      <c r="F7" s="1"/>
      <c r="G7" s="1"/>
      <c r="I7" s="19"/>
    </row>
    <row r="8" spans="2:14" s="18" customFormat="1" ht="12.75" customHeight="1">
      <c r="C8" s="31"/>
      <c r="D8" s="1"/>
      <c r="E8" s="1"/>
      <c r="F8" s="1"/>
      <c r="G8" s="1"/>
    </row>
    <row r="9" spans="2:14" s="18" customFormat="1" ht="12.75" customHeight="1">
      <c r="C9" s="31"/>
      <c r="D9" s="1"/>
      <c r="E9" s="1"/>
      <c r="F9" s="1"/>
      <c r="G9" s="1"/>
    </row>
    <row r="10" spans="2:14" s="19" customFormat="1" ht="12.75" customHeight="1">
      <c r="C10" s="32"/>
      <c r="D10" s="1"/>
      <c r="E10" s="1"/>
      <c r="F10" s="1"/>
      <c r="G10" s="1"/>
    </row>
    <row r="11" spans="2:14" s="19" customFormat="1" ht="12.75" customHeight="1">
      <c r="C11" s="32"/>
      <c r="D11" s="1"/>
      <c r="E11" s="1"/>
      <c r="F11" s="1"/>
      <c r="G11" s="1"/>
    </row>
    <row r="12" spans="2:14" s="19" customFormat="1" ht="12.75" customHeight="1">
      <c r="C12" s="32"/>
      <c r="D12" s="1"/>
      <c r="E12" s="1"/>
      <c r="F12" s="1"/>
      <c r="G12" s="1"/>
    </row>
    <row r="13" spans="2:14" s="19" customFormat="1" ht="12.75" customHeight="1">
      <c r="C13" s="32"/>
      <c r="D13" s="1"/>
      <c r="E13" s="1"/>
      <c r="F13" s="1"/>
      <c r="G13" s="1"/>
    </row>
    <row r="14" spans="2:14" s="19" customFormat="1" ht="12.75" customHeight="1">
      <c r="C14" s="32"/>
      <c r="D14" s="1"/>
      <c r="E14" s="1"/>
      <c r="F14" s="1"/>
      <c r="G14" s="1"/>
    </row>
    <row r="15" spans="2:14" s="19" customFormat="1" ht="12.75" customHeight="1">
      <c r="C15" s="32"/>
      <c r="D15" s="1"/>
      <c r="E15" s="1"/>
      <c r="F15" s="1"/>
      <c r="G15" s="1"/>
    </row>
    <row r="16" spans="2:14" s="20" customFormat="1" ht="12.75" customHeight="1">
      <c r="C16" s="22"/>
      <c r="D16" s="1"/>
      <c r="E16" s="1"/>
      <c r="F16" s="1"/>
      <c r="G16" s="1"/>
    </row>
    <row r="17" spans="2:28" s="24" customFormat="1" ht="12.75" customHeight="1">
      <c r="C17" s="33"/>
      <c r="D17" s="1"/>
      <c r="E17" s="1"/>
      <c r="F17" s="1"/>
      <c r="G17" s="1"/>
    </row>
    <row r="18" spans="2:28" ht="12.75" customHeight="1">
      <c r="C18" s="1"/>
      <c r="D18" s="1"/>
      <c r="E18" s="1"/>
      <c r="F18" s="1"/>
      <c r="G18" s="1"/>
    </row>
    <row r="19" spans="2:28" s="35" customFormat="1" ht="12.75" customHeight="1">
      <c r="C19" s="34"/>
      <c r="D19" s="1"/>
      <c r="E19" s="1"/>
      <c r="F19" s="1"/>
      <c r="G19" s="1"/>
    </row>
    <row r="20" spans="2:28" s="35" customFormat="1" ht="12.75" customHeight="1">
      <c r="C20" s="34"/>
      <c r="D20" s="1"/>
      <c r="E20" s="1"/>
      <c r="F20" s="1"/>
      <c r="G20" s="1"/>
    </row>
    <row r="21" spans="2:28" s="35" customFormat="1" ht="12.75" customHeight="1">
      <c r="C21" s="34"/>
      <c r="D21" s="1"/>
      <c r="E21" s="1"/>
      <c r="F21" s="1"/>
      <c r="G21" s="1"/>
    </row>
    <row r="22" spans="2:28" ht="12.75" customHeight="1">
      <c r="C22" s="1"/>
      <c r="D22" s="1"/>
      <c r="E22" s="1"/>
      <c r="F22" s="1"/>
      <c r="G22" s="1"/>
    </row>
    <row r="23" spans="2:28" ht="12.75" customHeight="1">
      <c r="C23" s="1"/>
      <c r="D23" s="1"/>
      <c r="E23" s="1"/>
      <c r="F23" s="1"/>
      <c r="G23" s="1"/>
    </row>
    <row r="24" spans="2:28" ht="12.75" customHeight="1">
      <c r="C24" s="1"/>
      <c r="D24" s="1"/>
      <c r="E24" s="1"/>
      <c r="F24" s="1"/>
      <c r="G24" s="1"/>
    </row>
    <row r="25" spans="2:28" s="18" customFormat="1" ht="12.75" customHeight="1">
      <c r="C25" s="31"/>
      <c r="D25" s="1"/>
      <c r="E25" s="1"/>
      <c r="F25" s="1"/>
      <c r="G25" s="1"/>
    </row>
    <row r="26" spans="2:28" s="18" customFormat="1" ht="12.75" customHeight="1">
      <c r="C26" s="31"/>
      <c r="D26" s="1"/>
      <c r="E26" s="1"/>
      <c r="F26" s="1"/>
      <c r="G26" s="1"/>
      <c r="T26" s="124"/>
      <c r="U26" s="124"/>
      <c r="V26" s="124"/>
      <c r="W26" s="124"/>
      <c r="X26" s="124"/>
      <c r="Y26" s="124"/>
      <c r="Z26" s="124"/>
      <c r="AA26" s="124"/>
    </row>
    <row r="27" spans="2:28" s="20" customFormat="1" ht="12.75" customHeight="1">
      <c r="C27" s="22"/>
      <c r="D27" s="1"/>
      <c r="E27" s="1"/>
      <c r="F27" s="1"/>
      <c r="G27" s="1"/>
    </row>
    <row r="28" spans="2:28" s="19" customFormat="1" ht="12.75" customHeight="1">
      <c r="C28" s="32"/>
      <c r="D28" s="1"/>
      <c r="E28" s="1"/>
      <c r="F28" s="1"/>
      <c r="G28" s="1"/>
      <c r="W28" s="32"/>
    </row>
    <row r="29" spans="2:28" s="19" customFormat="1" ht="12.75" customHeight="1">
      <c r="C29" s="32"/>
      <c r="D29" s="1"/>
      <c r="E29" s="1"/>
      <c r="F29" s="1"/>
      <c r="G29" s="1"/>
    </row>
    <row r="30" spans="2:28" s="19" customFormat="1" ht="12.75" customHeight="1">
      <c r="C30" s="32"/>
      <c r="D30" s="1"/>
      <c r="E30" s="1"/>
      <c r="F30" s="1"/>
      <c r="G30" s="1"/>
      <c r="R30" s="32"/>
      <c r="Z30" s="32"/>
    </row>
    <row r="31" spans="2:28" s="19" customFormat="1" ht="12.75" customHeight="1">
      <c r="C31" s="32"/>
      <c r="D31" s="1"/>
      <c r="E31" s="1"/>
      <c r="F31" s="1"/>
      <c r="G31" s="1"/>
      <c r="AB31" s="32"/>
    </row>
    <row r="32" spans="2:28" ht="15" customHeight="1">
      <c r="B32" s="36" t="s">
        <v>84</v>
      </c>
    </row>
    <row r="34" spans="2:28">
      <c r="Z34" s="552"/>
      <c r="AA34" s="552"/>
      <c r="AB34" s="552"/>
    </row>
    <row r="35" spans="2:28" ht="21.95" customHeight="1">
      <c r="Y35" s="516"/>
      <c r="AB35" s="517"/>
    </row>
    <row r="36" spans="2:28" ht="21.95" customHeight="1">
      <c r="B36" s="18"/>
      <c r="C36" s="90">
        <v>1995</v>
      </c>
      <c r="D36" s="91">
        <v>1996</v>
      </c>
      <c r="E36" s="91">
        <v>1997</v>
      </c>
      <c r="F36" s="91">
        <v>1998</v>
      </c>
      <c r="G36" s="91">
        <v>1999</v>
      </c>
      <c r="H36" s="91">
        <v>2000</v>
      </c>
      <c r="I36" s="91">
        <v>2001</v>
      </c>
      <c r="J36" s="91">
        <v>2002</v>
      </c>
      <c r="K36" s="91">
        <v>2003</v>
      </c>
      <c r="L36" s="91">
        <v>2004</v>
      </c>
      <c r="M36" s="91">
        <v>2005</v>
      </c>
      <c r="N36" s="91">
        <v>2006</v>
      </c>
      <c r="O36" s="91">
        <v>2007</v>
      </c>
      <c r="P36" s="91">
        <v>2008</v>
      </c>
      <c r="Q36" s="91">
        <v>2009</v>
      </c>
      <c r="R36" s="91">
        <v>2010</v>
      </c>
      <c r="S36" s="161">
        <v>2011</v>
      </c>
      <c r="T36" s="161">
        <v>2012</v>
      </c>
      <c r="U36" s="161">
        <v>2013</v>
      </c>
      <c r="V36" s="379">
        <v>2014</v>
      </c>
      <c r="W36" s="161">
        <v>2015</v>
      </c>
      <c r="X36" s="161">
        <v>2016</v>
      </c>
      <c r="Y36" s="515">
        <v>2017</v>
      </c>
    </row>
    <row r="37" spans="2:28" ht="21.95" customHeight="1">
      <c r="B37" s="79" t="s">
        <v>45</v>
      </c>
      <c r="C37" s="93">
        <v>3904.3968448239566</v>
      </c>
      <c r="D37" s="94">
        <v>3967.9604456235629</v>
      </c>
      <c r="E37" s="94">
        <v>4047.0311598397266</v>
      </c>
      <c r="F37" s="94">
        <v>4144.9820585420912</v>
      </c>
      <c r="G37" s="94">
        <v>4254.7803595390469</v>
      </c>
      <c r="H37" s="94">
        <v>4300.8566861559848</v>
      </c>
      <c r="I37" s="94">
        <v>4387.3788534340165</v>
      </c>
      <c r="J37" s="94">
        <v>4463.5014769520039</v>
      </c>
      <c r="K37" s="94">
        <v>4494.9430671775235</v>
      </c>
      <c r="L37" s="94">
        <v>4551.8979489057519</v>
      </c>
      <c r="M37" s="94">
        <v>4508.2963686694829</v>
      </c>
      <c r="N37" s="95">
        <v>4549.418913551448</v>
      </c>
      <c r="O37" s="95">
        <v>4596.5889305980709</v>
      </c>
      <c r="P37" s="95">
        <v>4602.442319059387</v>
      </c>
      <c r="Q37" s="95">
        <v>4675.1744874633623</v>
      </c>
      <c r="R37" s="95">
        <v>4625.6376098525552</v>
      </c>
      <c r="S37" s="95">
        <v>4592.8814681537378</v>
      </c>
      <c r="T37" s="95">
        <v>4498.2731855008014</v>
      </c>
      <c r="U37" s="95">
        <v>4549.6450207312373</v>
      </c>
      <c r="V37" s="95">
        <v>4615.1988158271706</v>
      </c>
      <c r="W37" s="95">
        <v>4711.7868878429317</v>
      </c>
      <c r="X37" s="95">
        <v>4826.6906715658197</v>
      </c>
      <c r="Y37" s="141">
        <v>4901.4169593840743</v>
      </c>
    </row>
    <row r="38" spans="2:28" ht="21.95" customHeight="1">
      <c r="B38" s="79" t="s">
        <v>8</v>
      </c>
      <c r="C38" s="93">
        <v>112.64489335150509</v>
      </c>
      <c r="D38" s="94">
        <v>114.36749571172734</v>
      </c>
      <c r="E38" s="94">
        <v>118.61705125541111</v>
      </c>
      <c r="F38" s="94">
        <v>122.87241527179086</v>
      </c>
      <c r="G38" s="94">
        <v>126.83120594398916</v>
      </c>
      <c r="H38" s="94">
        <v>104.67205966075467</v>
      </c>
      <c r="I38" s="94">
        <v>108.91900136330536</v>
      </c>
      <c r="J38" s="94">
        <v>110.54182437883776</v>
      </c>
      <c r="K38" s="94">
        <v>114.09979176109505</v>
      </c>
      <c r="L38" s="94">
        <v>117.0701096643725</v>
      </c>
      <c r="M38" s="94">
        <v>120.82613066490492</v>
      </c>
      <c r="N38" s="95">
        <v>119.85102451313769</v>
      </c>
      <c r="O38" s="95">
        <v>116.2463730122309</v>
      </c>
      <c r="P38" s="95">
        <v>120.5472165950099</v>
      </c>
      <c r="Q38" s="95">
        <v>118.34501907526933</v>
      </c>
      <c r="R38" s="95">
        <v>119.43510887476812</v>
      </c>
      <c r="S38" s="95">
        <v>122.82324366584049</v>
      </c>
      <c r="T38" s="95">
        <v>122.88121162023123</v>
      </c>
      <c r="U38" s="95">
        <v>122.36651215039869</v>
      </c>
      <c r="V38" s="95">
        <v>125.26082196549956</v>
      </c>
      <c r="W38" s="95">
        <v>125.10289734645143</v>
      </c>
      <c r="X38" s="95">
        <v>126.3827751576292</v>
      </c>
      <c r="Y38" s="141">
        <v>123.3</v>
      </c>
    </row>
    <row r="39" spans="2:28" ht="21.95" customHeight="1">
      <c r="B39" s="79" t="s">
        <v>46</v>
      </c>
      <c r="C39" s="93">
        <v>514.72846579480574</v>
      </c>
      <c r="D39" s="94">
        <v>519.30747234028092</v>
      </c>
      <c r="E39" s="94">
        <v>522.47757183000931</v>
      </c>
      <c r="F39" s="94">
        <v>525.55527690223153</v>
      </c>
      <c r="G39" s="94">
        <v>527.72532653214671</v>
      </c>
      <c r="H39" s="94">
        <v>545.04704495570309</v>
      </c>
      <c r="I39" s="94">
        <v>544.18681321773101</v>
      </c>
      <c r="J39" s="94">
        <v>535.57387469503192</v>
      </c>
      <c r="K39" s="94">
        <v>542.28560489281517</v>
      </c>
      <c r="L39" s="94">
        <v>543.3761824960219</v>
      </c>
      <c r="M39" s="94">
        <v>542.16653981971581</v>
      </c>
      <c r="N39" s="95">
        <v>539.95892713117416</v>
      </c>
      <c r="O39" s="95">
        <v>550.62201918636208</v>
      </c>
      <c r="P39" s="95">
        <v>559.41163872840866</v>
      </c>
      <c r="Q39" s="95">
        <v>536.31399539891061</v>
      </c>
      <c r="R39" s="95">
        <v>529.74113953938001</v>
      </c>
      <c r="S39" s="95">
        <v>530.75431050174018</v>
      </c>
      <c r="T39" s="95">
        <v>526.49562412745126</v>
      </c>
      <c r="U39" s="95">
        <v>523.29028807610769</v>
      </c>
      <c r="V39" s="95">
        <v>517.72413137194428</v>
      </c>
      <c r="W39" s="95">
        <v>527.71153405611983</v>
      </c>
      <c r="X39" s="95">
        <v>526.9346175086439</v>
      </c>
      <c r="Y39" s="141">
        <v>510.4</v>
      </c>
    </row>
    <row r="40" spans="2:28" ht="21.95" customHeight="1">
      <c r="B40" s="79" t="s">
        <v>47</v>
      </c>
      <c r="C40" s="93">
        <v>342.92070000000007</v>
      </c>
      <c r="D40" s="94">
        <v>347.81880000000012</v>
      </c>
      <c r="E40" s="94">
        <v>348.03559999999993</v>
      </c>
      <c r="F40" s="94">
        <v>348.1452000000001</v>
      </c>
      <c r="G40" s="94">
        <v>355.20069999999998</v>
      </c>
      <c r="H40" s="94">
        <v>376.99288502490822</v>
      </c>
      <c r="I40" s="94">
        <v>379.27528030944148</v>
      </c>
      <c r="J40" s="94">
        <v>371.8311026138046</v>
      </c>
      <c r="K40" s="94">
        <v>367.94294756335341</v>
      </c>
      <c r="L40" s="94">
        <v>375.42099999999999</v>
      </c>
      <c r="M40" s="94">
        <v>384.46600000000007</v>
      </c>
      <c r="N40" s="95">
        <v>396.67600000000004</v>
      </c>
      <c r="O40" s="95">
        <v>403.83000000000004</v>
      </c>
      <c r="P40" s="95">
        <v>419.58782500000007</v>
      </c>
      <c r="Q40" s="95">
        <v>412.01500000000004</v>
      </c>
      <c r="R40" s="95">
        <v>414.11799999999994</v>
      </c>
      <c r="S40" s="95">
        <v>422.51200000000006</v>
      </c>
      <c r="T40" s="95">
        <v>428.07900000000006</v>
      </c>
      <c r="U40" s="95">
        <v>433.74399999999991</v>
      </c>
      <c r="V40" s="95">
        <v>440.98699999999997</v>
      </c>
      <c r="W40" s="95">
        <v>448.25299999999999</v>
      </c>
      <c r="X40" s="95">
        <v>454.61426499999999</v>
      </c>
      <c r="Y40" s="141">
        <v>469.73400000000004</v>
      </c>
    </row>
    <row r="41" spans="2:28" ht="21.95" customHeight="1">
      <c r="B41" s="79" t="s">
        <v>1</v>
      </c>
      <c r="C41" s="93">
        <v>73.71903011209119</v>
      </c>
      <c r="D41" s="94">
        <v>74.889541085276733</v>
      </c>
      <c r="E41" s="94">
        <v>75.670544027807438</v>
      </c>
      <c r="F41" s="94">
        <v>76.852621980725374</v>
      </c>
      <c r="G41" s="94">
        <v>78.515096820778538</v>
      </c>
      <c r="H41" s="94">
        <v>80.092482669744101</v>
      </c>
      <c r="I41" s="94">
        <v>80.89515498490023</v>
      </c>
      <c r="J41" s="94">
        <v>81.671392689150167</v>
      </c>
      <c r="K41" s="94">
        <v>82.090069795556118</v>
      </c>
      <c r="L41" s="94">
        <v>85.340137436244092</v>
      </c>
      <c r="M41" s="94">
        <v>86.085197458878724</v>
      </c>
      <c r="N41" s="95">
        <v>87.859128160907815</v>
      </c>
      <c r="O41" s="95">
        <v>89.972419987898519</v>
      </c>
      <c r="P41" s="95">
        <v>93.543548124482044</v>
      </c>
      <c r="Q41" s="95">
        <v>93.457982411954532</v>
      </c>
      <c r="R41" s="95">
        <v>96.121432668023445</v>
      </c>
      <c r="S41" s="95">
        <v>97.346018609899204</v>
      </c>
      <c r="T41" s="95">
        <v>98.922469833189481</v>
      </c>
      <c r="U41" s="95">
        <v>99.364662948261511</v>
      </c>
      <c r="V41" s="95">
        <v>100.67064467596639</v>
      </c>
      <c r="W41" s="95">
        <v>102.14946262726792</v>
      </c>
      <c r="X41" s="95">
        <v>105.41386957178889</v>
      </c>
      <c r="Y41" s="141">
        <v>107.17376713665031</v>
      </c>
    </row>
    <row r="42" spans="2:28" ht="21.95" customHeight="1">
      <c r="B42" s="79" t="s">
        <v>49</v>
      </c>
      <c r="C42" s="96">
        <v>347.90300000000002</v>
      </c>
      <c r="D42" s="97">
        <v>368.01300000000003</v>
      </c>
      <c r="E42" s="97">
        <v>392.14500000000004</v>
      </c>
      <c r="F42" s="97">
        <v>411.24950000000001</v>
      </c>
      <c r="G42" s="97">
        <v>427.33750000000003</v>
      </c>
      <c r="H42" s="97">
        <v>459.51350000000002</v>
      </c>
      <c r="I42" s="97">
        <v>455.49150000000003</v>
      </c>
      <c r="J42" s="97">
        <v>447.44750000000005</v>
      </c>
      <c r="K42" s="97">
        <v>465.54650000000004</v>
      </c>
      <c r="L42" s="97">
        <v>495.71150000000006</v>
      </c>
      <c r="M42" s="94">
        <v>529.89850000000001</v>
      </c>
      <c r="N42" s="95">
        <v>552.01949999999999</v>
      </c>
      <c r="O42" s="95">
        <v>575.14600000000007</v>
      </c>
      <c r="P42" s="95">
        <v>563.41174870726695</v>
      </c>
      <c r="Q42" s="95">
        <v>524.43500734758595</v>
      </c>
      <c r="R42" s="95">
        <v>534.70850518759801</v>
      </c>
      <c r="S42" s="95">
        <v>576.83250591457499</v>
      </c>
      <c r="T42" s="95">
        <v>570.13396886220096</v>
      </c>
      <c r="U42" s="95">
        <v>579.59540158929997</v>
      </c>
      <c r="V42" s="95">
        <v>609.55503370251404</v>
      </c>
      <c r="W42" s="95">
        <v>639.60196617284601</v>
      </c>
      <c r="X42" s="95">
        <v>713.48886891791699</v>
      </c>
      <c r="Y42" s="141">
        <v>776.9</v>
      </c>
    </row>
    <row r="43" spans="2:28" ht="21.95" customHeight="1">
      <c r="B43" s="79" t="s">
        <v>48</v>
      </c>
      <c r="C43" s="96">
        <v>30.863906357469897</v>
      </c>
      <c r="D43" s="97">
        <v>30.585853147042243</v>
      </c>
      <c r="E43" s="97">
        <v>30.307799936614586</v>
      </c>
      <c r="F43" s="97">
        <v>29.960233423580018</v>
      </c>
      <c r="G43" s="97">
        <v>29.612666910545446</v>
      </c>
      <c r="H43" s="97">
        <v>28.98704718708322</v>
      </c>
      <c r="I43" s="97">
        <v>29.195587094903964</v>
      </c>
      <c r="J43" s="97">
        <v>30.109013087791631</v>
      </c>
      <c r="K43" s="97">
        <v>29.970021776784698</v>
      </c>
      <c r="L43" s="97">
        <v>29.618143971961665</v>
      </c>
      <c r="M43" s="94">
        <v>28.890360804005201</v>
      </c>
      <c r="N43" s="95">
        <v>28.208877470755901</v>
      </c>
      <c r="O43" s="95">
        <v>27.966081296916901</v>
      </c>
      <c r="P43" s="95">
        <v>31.8688773749607</v>
      </c>
      <c r="Q43" s="95">
        <v>26.659507521239199</v>
      </c>
      <c r="R43" s="95">
        <v>24.734701904423002</v>
      </c>
      <c r="S43" s="95">
        <v>22.435889464550701</v>
      </c>
      <c r="T43" s="95">
        <v>20.7245939721202</v>
      </c>
      <c r="U43" s="95">
        <v>21.041720136157998</v>
      </c>
      <c r="V43" s="95">
        <v>21.596005636699601</v>
      </c>
      <c r="W43" s="95">
        <v>21.6587392469416</v>
      </c>
      <c r="X43" s="95">
        <v>25.047278419770699</v>
      </c>
      <c r="Y43" s="141">
        <v>24.327999999999999</v>
      </c>
    </row>
    <row r="44" spans="2:28" ht="21.95" customHeight="1">
      <c r="B44" s="80" t="s">
        <v>50</v>
      </c>
      <c r="C44" s="98">
        <f>SUM(C37:C43)</f>
        <v>5327.1768404398281</v>
      </c>
      <c r="D44" s="513">
        <f t="shared" ref="D44:Y44" si="0">SUM(D37:D43)</f>
        <v>5422.9426079078894</v>
      </c>
      <c r="E44" s="513">
        <f t="shared" si="0"/>
        <v>5534.2847268895684</v>
      </c>
      <c r="F44" s="513">
        <f t="shared" si="0"/>
        <v>5659.6173061204181</v>
      </c>
      <c r="G44" s="513">
        <f t="shared" si="0"/>
        <v>5800.0028557465066</v>
      </c>
      <c r="H44" s="513">
        <f t="shared" si="0"/>
        <v>5896.1617056541781</v>
      </c>
      <c r="I44" s="513">
        <f t="shared" si="0"/>
        <v>5985.3421904042989</v>
      </c>
      <c r="J44" s="513">
        <f t="shared" si="0"/>
        <v>6040.6761844166203</v>
      </c>
      <c r="K44" s="513">
        <f t="shared" si="0"/>
        <v>6096.8780029671279</v>
      </c>
      <c r="L44" s="513">
        <f t="shared" si="0"/>
        <v>6198.4350224743521</v>
      </c>
      <c r="M44" s="513">
        <f t="shared" si="0"/>
        <v>6200.6290974169879</v>
      </c>
      <c r="N44" s="513">
        <f t="shared" si="0"/>
        <v>6273.9923708274246</v>
      </c>
      <c r="O44" s="513">
        <f t="shared" si="0"/>
        <v>6360.3718240814787</v>
      </c>
      <c r="P44" s="513">
        <f t="shared" si="0"/>
        <v>6390.8131735895158</v>
      </c>
      <c r="Q44" s="513">
        <f t="shared" si="0"/>
        <v>6386.4009992183219</v>
      </c>
      <c r="R44" s="513">
        <f t="shared" si="0"/>
        <v>6344.4964980267487</v>
      </c>
      <c r="S44" s="513">
        <f t="shared" si="0"/>
        <v>6365.5854363103435</v>
      </c>
      <c r="T44" s="513">
        <f t="shared" si="0"/>
        <v>6265.5100539159948</v>
      </c>
      <c r="U44" s="513">
        <f t="shared" si="0"/>
        <v>6329.0476056314637</v>
      </c>
      <c r="V44" s="513">
        <f t="shared" si="0"/>
        <v>6430.9924531797942</v>
      </c>
      <c r="W44" s="513">
        <f t="shared" si="0"/>
        <v>6576.2644872925584</v>
      </c>
      <c r="X44" s="513">
        <f t="shared" si="0"/>
        <v>6778.5723461415701</v>
      </c>
      <c r="Y44" s="514">
        <f t="shared" si="0"/>
        <v>6913.2527265207245</v>
      </c>
    </row>
  </sheetData>
  <mergeCells count="1">
    <mergeCell ref="Z34:AB34"/>
  </mergeCells>
  <phoneticPr fontId="4" type="noConversion"/>
  <printOptions horizontalCentered="1"/>
  <pageMargins left="0.47244094488188981" right="0.47244094488188981" top="0.51181102362204722" bottom="0.27559055118110237"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P67"/>
  <sheetViews>
    <sheetView zoomScaleNormal="100" workbookViewId="0">
      <selection activeCell="E14" sqref="E14"/>
    </sheetView>
  </sheetViews>
  <sheetFormatPr defaultRowHeight="12.75"/>
  <cols>
    <col min="1" max="1" width="3" customWidth="1"/>
    <col min="2" max="2" width="4.85546875" customWidth="1"/>
    <col min="3" max="10" width="6.7109375" customWidth="1"/>
  </cols>
  <sheetData>
    <row r="1" spans="1:16" ht="14.25" customHeight="1">
      <c r="B1" s="37"/>
      <c r="C1" s="27"/>
      <c r="D1" s="27"/>
      <c r="E1" s="27"/>
      <c r="F1" s="27"/>
      <c r="G1" s="27"/>
      <c r="H1" s="27"/>
      <c r="I1" s="27"/>
      <c r="J1" s="28" t="s">
        <v>86</v>
      </c>
    </row>
    <row r="2" spans="1:16" s="17" customFormat="1" ht="30" customHeight="1">
      <c r="A2"/>
      <c r="B2" s="555" t="s">
        <v>110</v>
      </c>
      <c r="C2" s="556"/>
      <c r="D2" s="556"/>
      <c r="E2" s="556"/>
      <c r="F2" s="556"/>
      <c r="G2" s="556"/>
      <c r="H2" s="556"/>
      <c r="I2" s="556"/>
      <c r="J2" s="556"/>
    </row>
    <row r="3" spans="1:16" ht="15" customHeight="1">
      <c r="B3" s="555" t="s">
        <v>0</v>
      </c>
      <c r="C3" s="556"/>
      <c r="D3" s="556"/>
      <c r="E3" s="556"/>
      <c r="F3" s="556"/>
      <c r="G3" s="556"/>
      <c r="H3" s="556"/>
      <c r="I3" s="556"/>
      <c r="J3" s="556"/>
    </row>
    <row r="4" spans="1:16" s="20" customFormat="1" ht="13.5" customHeight="1">
      <c r="B4" s="557" t="s">
        <v>107</v>
      </c>
      <c r="C4" s="557"/>
      <c r="D4" s="557"/>
      <c r="E4" s="557"/>
      <c r="F4" s="557"/>
      <c r="G4" s="557"/>
      <c r="H4" s="557"/>
      <c r="I4" s="557"/>
      <c r="J4" s="557"/>
    </row>
    <row r="5" spans="1:16" s="18" customFormat="1" ht="20.100000000000001" customHeight="1">
      <c r="B5" s="26"/>
      <c r="C5" s="553" t="s">
        <v>79</v>
      </c>
      <c r="D5" s="553" t="s">
        <v>9</v>
      </c>
      <c r="E5" s="553" t="s">
        <v>2</v>
      </c>
      <c r="F5" s="553" t="s">
        <v>80</v>
      </c>
      <c r="G5" s="553" t="s">
        <v>1</v>
      </c>
      <c r="H5" s="553" t="s">
        <v>49</v>
      </c>
      <c r="I5" s="558" t="s">
        <v>48</v>
      </c>
      <c r="J5" s="553" t="s">
        <v>50</v>
      </c>
    </row>
    <row r="6" spans="1:16" s="18" customFormat="1" ht="20.100000000000001" customHeight="1">
      <c r="B6" s="26"/>
      <c r="C6" s="554"/>
      <c r="D6" s="554"/>
      <c r="E6" s="554"/>
      <c r="F6" s="554"/>
      <c r="G6" s="554"/>
      <c r="H6" s="554"/>
      <c r="I6" s="554"/>
      <c r="J6" s="554"/>
    </row>
    <row r="7" spans="1:16" s="18" customFormat="1" ht="12.75" customHeight="1">
      <c r="B7" s="92">
        <v>1995</v>
      </c>
      <c r="C7" s="124">
        <v>3904.3968448239566</v>
      </c>
      <c r="D7" s="123">
        <v>112.64489335150509</v>
      </c>
      <c r="E7" s="124">
        <v>514.72846579480574</v>
      </c>
      <c r="F7" s="124">
        <v>342.92070000000007</v>
      </c>
      <c r="G7" s="124">
        <v>73.71903011209119</v>
      </c>
      <c r="H7" s="124">
        <v>347.90300000000002</v>
      </c>
      <c r="I7" s="507">
        <v>30.863906357469897</v>
      </c>
      <c r="J7" s="505">
        <v>5327.1768404398281</v>
      </c>
      <c r="K7" s="504"/>
    </row>
    <row r="8" spans="1:16" s="18" customFormat="1" ht="12.75" customHeight="1">
      <c r="A8" s="20"/>
      <c r="B8" s="54">
        <v>1996</v>
      </c>
      <c r="C8" s="124">
        <v>3967.9604456235629</v>
      </c>
      <c r="D8" s="124">
        <v>114.36749571172734</v>
      </c>
      <c r="E8" s="124">
        <v>519.30747234028092</v>
      </c>
      <c r="F8" s="124">
        <v>347.81880000000012</v>
      </c>
      <c r="G8" s="124">
        <v>74.889541085276733</v>
      </c>
      <c r="H8" s="124">
        <v>368.01300000000003</v>
      </c>
      <c r="I8" s="424">
        <v>30.585853147042243</v>
      </c>
      <c r="J8" s="505">
        <v>5422.9426079078894</v>
      </c>
      <c r="K8" s="504"/>
    </row>
    <row r="9" spans="1:16" s="18" customFormat="1" ht="12.75" customHeight="1">
      <c r="A9" s="20"/>
      <c r="B9" s="54">
        <v>1997</v>
      </c>
      <c r="C9" s="124">
        <v>4047.0311598397266</v>
      </c>
      <c r="D9" s="124">
        <v>118.61705125541111</v>
      </c>
      <c r="E9" s="124">
        <v>522.47757183000931</v>
      </c>
      <c r="F9" s="124">
        <v>348.03559999999993</v>
      </c>
      <c r="G9" s="124">
        <v>75.670544027807438</v>
      </c>
      <c r="H9" s="124">
        <v>392.14500000000004</v>
      </c>
      <c r="I9" s="424">
        <v>30.307799936614586</v>
      </c>
      <c r="J9" s="505">
        <v>5534.2847268895684</v>
      </c>
      <c r="K9" s="504"/>
    </row>
    <row r="10" spans="1:16" s="18" customFormat="1" ht="12.75" customHeight="1">
      <c r="A10" s="20"/>
      <c r="B10" s="54">
        <v>1998</v>
      </c>
      <c r="C10" s="124">
        <v>4144.9820585420912</v>
      </c>
      <c r="D10" s="124">
        <v>122.87241527179086</v>
      </c>
      <c r="E10" s="124">
        <v>525.55527690223153</v>
      </c>
      <c r="F10" s="124">
        <v>348.1452000000001</v>
      </c>
      <c r="G10" s="124">
        <v>76.852621980725374</v>
      </c>
      <c r="H10" s="124">
        <v>411.24950000000001</v>
      </c>
      <c r="I10" s="424">
        <v>29.960233423580018</v>
      </c>
      <c r="J10" s="505">
        <v>5659.6173061204181</v>
      </c>
      <c r="K10" s="504"/>
    </row>
    <row r="11" spans="1:16" s="20" customFormat="1" ht="12.75" customHeight="1">
      <c r="B11" s="54">
        <v>1999</v>
      </c>
      <c r="C11" s="124">
        <v>4254.7803595390469</v>
      </c>
      <c r="D11" s="124">
        <v>126.83120594398916</v>
      </c>
      <c r="E11" s="124">
        <v>527.72532653214671</v>
      </c>
      <c r="F11" s="124">
        <v>355.20069999999998</v>
      </c>
      <c r="G11" s="124">
        <v>78.515096820778538</v>
      </c>
      <c r="H11" s="124">
        <v>427.33750000000003</v>
      </c>
      <c r="I11" s="424">
        <v>29.612666910545446</v>
      </c>
      <c r="J11" s="505">
        <v>5800.0028557465066</v>
      </c>
      <c r="K11" s="504"/>
    </row>
    <row r="12" spans="1:16" s="20" customFormat="1" ht="12.75" customHeight="1">
      <c r="B12" s="54">
        <v>2000</v>
      </c>
      <c r="C12" s="124">
        <v>4300.8566861559848</v>
      </c>
      <c r="D12" s="124">
        <v>104.67205966075467</v>
      </c>
      <c r="E12" s="124">
        <v>545.04704495570309</v>
      </c>
      <c r="F12" s="124">
        <v>376.99288502490822</v>
      </c>
      <c r="G12" s="124">
        <v>80.092482669744101</v>
      </c>
      <c r="H12" s="124">
        <v>459.51350000000002</v>
      </c>
      <c r="I12" s="424">
        <v>28.98704718708322</v>
      </c>
      <c r="J12" s="505">
        <v>5896.1617056541781</v>
      </c>
      <c r="K12" s="504"/>
      <c r="P12" s="509"/>
    </row>
    <row r="13" spans="1:16" s="20" customFormat="1" ht="13.5" customHeight="1">
      <c r="B13" s="54">
        <v>2001</v>
      </c>
      <c r="C13" s="124">
        <v>4387.3788534340165</v>
      </c>
      <c r="D13" s="124">
        <v>108.91900136330536</v>
      </c>
      <c r="E13" s="124">
        <v>544.18681321773101</v>
      </c>
      <c r="F13" s="124">
        <v>379.27528030944148</v>
      </c>
      <c r="G13" s="124">
        <v>80.89515498490023</v>
      </c>
      <c r="H13" s="124">
        <v>455.49150000000003</v>
      </c>
      <c r="I13" s="424">
        <v>29.195587094903964</v>
      </c>
      <c r="J13" s="505">
        <v>5985.3421904042989</v>
      </c>
      <c r="K13" s="504"/>
    </row>
    <row r="14" spans="1:16" s="20" customFormat="1" ht="12.75" customHeight="1">
      <c r="B14" s="54">
        <v>2002</v>
      </c>
      <c r="C14" s="124">
        <v>4463.5014769520039</v>
      </c>
      <c r="D14" s="124">
        <v>110.54182437883776</v>
      </c>
      <c r="E14" s="124">
        <v>535.57387469503192</v>
      </c>
      <c r="F14" s="124">
        <v>371.8311026138046</v>
      </c>
      <c r="G14" s="124">
        <v>81.671392689150167</v>
      </c>
      <c r="H14" s="124">
        <v>447.44750000000005</v>
      </c>
      <c r="I14" s="424">
        <v>30.109013087791631</v>
      </c>
      <c r="J14" s="505">
        <v>6040.6761844166203</v>
      </c>
      <c r="K14" s="504"/>
    </row>
    <row r="15" spans="1:16" s="20" customFormat="1" ht="12.75" customHeight="1">
      <c r="A15" s="19"/>
      <c r="B15" s="54">
        <v>2003</v>
      </c>
      <c r="C15" s="124">
        <v>4494.9430671775235</v>
      </c>
      <c r="D15" s="124">
        <v>114.09979176109505</v>
      </c>
      <c r="E15" s="124">
        <v>542.28560489281517</v>
      </c>
      <c r="F15" s="124">
        <v>367.94294756335341</v>
      </c>
      <c r="G15" s="124">
        <v>82.090069795556118</v>
      </c>
      <c r="H15" s="124">
        <v>465.54650000000004</v>
      </c>
      <c r="I15" s="424">
        <v>29.970021776784698</v>
      </c>
      <c r="J15" s="505">
        <v>6096.8780029671279</v>
      </c>
      <c r="K15" s="504"/>
    </row>
    <row r="16" spans="1:16" s="20" customFormat="1" ht="12.75" customHeight="1">
      <c r="A16" s="19"/>
      <c r="B16" s="54">
        <v>2004</v>
      </c>
      <c r="C16" s="124">
        <v>4551.8979489057519</v>
      </c>
      <c r="D16" s="124">
        <v>117.0701096643725</v>
      </c>
      <c r="E16" s="124">
        <v>543.3761824960219</v>
      </c>
      <c r="F16" s="124">
        <v>375.42099999999999</v>
      </c>
      <c r="G16" s="124">
        <v>85.340137436244092</v>
      </c>
      <c r="H16" s="124">
        <v>495.71150000000006</v>
      </c>
      <c r="I16" s="424">
        <v>29.618143971961665</v>
      </c>
      <c r="J16" s="505">
        <v>6198.4350224743521</v>
      </c>
      <c r="K16" s="504"/>
    </row>
    <row r="17" spans="1:11" s="20" customFormat="1" ht="12.75" customHeight="1">
      <c r="B17" s="54">
        <v>2005</v>
      </c>
      <c r="C17" s="124">
        <v>4508.2963686694829</v>
      </c>
      <c r="D17" s="124">
        <v>120.82613066490492</v>
      </c>
      <c r="E17" s="124">
        <v>542.16653981971581</v>
      </c>
      <c r="F17" s="124">
        <v>384.46600000000007</v>
      </c>
      <c r="G17" s="124">
        <v>86.085197458878724</v>
      </c>
      <c r="H17" s="124">
        <v>529.89850000000001</v>
      </c>
      <c r="I17" s="424">
        <v>28.890360804005201</v>
      </c>
      <c r="J17" s="505">
        <v>6200.6290974169879</v>
      </c>
      <c r="K17" s="504"/>
    </row>
    <row r="18" spans="1:11" s="19" customFormat="1" ht="12.75" customHeight="1">
      <c r="A18" s="24"/>
      <c r="B18" s="54">
        <v>2006</v>
      </c>
      <c r="C18" s="124">
        <v>4549.418913551448</v>
      </c>
      <c r="D18" s="124">
        <v>119.85102451313769</v>
      </c>
      <c r="E18" s="124">
        <v>539.95892713117416</v>
      </c>
      <c r="F18" s="124">
        <v>396.67600000000004</v>
      </c>
      <c r="G18" s="124">
        <v>87.859128160907815</v>
      </c>
      <c r="H18" s="124">
        <v>552.01949999999999</v>
      </c>
      <c r="I18" s="424">
        <v>28.208877470755901</v>
      </c>
      <c r="J18" s="505">
        <v>6273.9923708274246</v>
      </c>
      <c r="K18" s="504"/>
    </row>
    <row r="19" spans="1:11" s="19" customFormat="1" ht="12.75" customHeight="1">
      <c r="A19" s="20"/>
      <c r="B19" s="54">
        <v>2007</v>
      </c>
      <c r="C19" s="124">
        <v>4596.5889305980709</v>
      </c>
      <c r="D19" s="124">
        <v>116.2463730122309</v>
      </c>
      <c r="E19" s="124">
        <v>550.62201918636208</v>
      </c>
      <c r="F19" s="124">
        <v>403.83000000000004</v>
      </c>
      <c r="G19" s="124">
        <v>89.972419987898519</v>
      </c>
      <c r="H19" s="124">
        <v>575.14600000000007</v>
      </c>
      <c r="I19" s="424">
        <v>27.966081296916901</v>
      </c>
      <c r="J19" s="505">
        <v>6360.3718240814787</v>
      </c>
      <c r="K19" s="504"/>
    </row>
    <row r="20" spans="1:11" s="19" customFormat="1" ht="12.75" customHeight="1">
      <c r="A20" s="20"/>
      <c r="B20" s="54">
        <v>2008</v>
      </c>
      <c r="C20" s="124">
        <v>4602.442319059387</v>
      </c>
      <c r="D20" s="124">
        <v>120.5472165950099</v>
      </c>
      <c r="E20" s="124">
        <v>559.41163872840866</v>
      </c>
      <c r="F20" s="124">
        <v>419.58782500000007</v>
      </c>
      <c r="G20" s="124">
        <v>93.543548124482044</v>
      </c>
      <c r="H20" s="124">
        <v>563.41174870726695</v>
      </c>
      <c r="I20" s="424">
        <v>31.8688773749607</v>
      </c>
      <c r="J20" s="505">
        <v>6390.8131735895158</v>
      </c>
      <c r="K20" s="504"/>
    </row>
    <row r="21" spans="1:11" s="19" customFormat="1" ht="12.75" customHeight="1">
      <c r="A21" s="20"/>
      <c r="B21" s="54">
        <v>2009</v>
      </c>
      <c r="C21" s="124">
        <v>4675.1744874633623</v>
      </c>
      <c r="D21" s="124">
        <v>118.34501907526933</v>
      </c>
      <c r="E21" s="124">
        <v>536.31399539891061</v>
      </c>
      <c r="F21" s="124">
        <v>412.01500000000004</v>
      </c>
      <c r="G21" s="124">
        <v>93.457982411954532</v>
      </c>
      <c r="H21" s="124">
        <v>524.43500734758595</v>
      </c>
      <c r="I21" s="424">
        <v>26.659507521239199</v>
      </c>
      <c r="J21" s="505">
        <v>6386.4009992183219</v>
      </c>
      <c r="K21" s="504"/>
    </row>
    <row r="22" spans="1:11" s="19" customFormat="1" ht="12.75" customHeight="1">
      <c r="A22" s="20"/>
      <c r="B22" s="54">
        <v>2010</v>
      </c>
      <c r="C22" s="124">
        <v>4625.6406098525558</v>
      </c>
      <c r="D22" s="124">
        <v>119.43510887476812</v>
      </c>
      <c r="E22" s="124">
        <v>529.74113953938001</v>
      </c>
      <c r="F22" s="124">
        <v>414.11799999999994</v>
      </c>
      <c r="G22" s="124">
        <v>96.121432668023445</v>
      </c>
      <c r="H22" s="124">
        <v>534.70850518759801</v>
      </c>
      <c r="I22" s="424">
        <v>24.734701904423002</v>
      </c>
      <c r="J22" s="505">
        <v>6344.4994980267493</v>
      </c>
      <c r="K22" s="504"/>
    </row>
    <row r="23" spans="1:11" s="19" customFormat="1" ht="12.75" customHeight="1">
      <c r="A23" s="20"/>
      <c r="B23" s="54">
        <v>2011</v>
      </c>
      <c r="C23" s="124">
        <v>4592.8954681537371</v>
      </c>
      <c r="D23" s="124">
        <v>122.82324366584049</v>
      </c>
      <c r="E23" s="124">
        <v>530.75431050174018</v>
      </c>
      <c r="F23" s="124">
        <v>422.51200000000006</v>
      </c>
      <c r="G23" s="124">
        <v>97.346018609899204</v>
      </c>
      <c r="H23" s="124">
        <v>576.83250591457499</v>
      </c>
      <c r="I23" s="424">
        <v>22.435889464550701</v>
      </c>
      <c r="J23" s="505">
        <v>6365.5994363103428</v>
      </c>
      <c r="K23" s="504"/>
    </row>
    <row r="24" spans="1:11" s="19" customFormat="1" ht="12.75" customHeight="1">
      <c r="A24" s="20"/>
      <c r="B24" s="54">
        <v>2012</v>
      </c>
      <c r="C24" s="124">
        <v>4498.2871855008016</v>
      </c>
      <c r="D24" s="124">
        <v>122.88121162023123</v>
      </c>
      <c r="E24" s="124">
        <v>526.49562412745126</v>
      </c>
      <c r="F24" s="124">
        <v>428.07900000000006</v>
      </c>
      <c r="G24" s="124">
        <v>98.922469833189481</v>
      </c>
      <c r="H24" s="124">
        <v>570.13396886220096</v>
      </c>
      <c r="I24" s="424">
        <v>20.7245939721202</v>
      </c>
      <c r="J24" s="505">
        <v>6265.524053915995</v>
      </c>
      <c r="K24" s="504"/>
    </row>
    <row r="25" spans="1:11" s="19" customFormat="1" ht="12.75" customHeight="1">
      <c r="A25" s="20"/>
      <c r="B25" s="54">
        <v>2013</v>
      </c>
      <c r="C25" s="124">
        <v>4549.4870207312379</v>
      </c>
      <c r="D25" s="124">
        <v>122.36651215039869</v>
      </c>
      <c r="E25" s="124">
        <v>523.29028807610769</v>
      </c>
      <c r="F25" s="124">
        <v>433.74399999999991</v>
      </c>
      <c r="G25" s="124">
        <v>99.364662948261511</v>
      </c>
      <c r="H25" s="124">
        <v>579.59540158929997</v>
      </c>
      <c r="I25" s="424">
        <v>21.041720136157998</v>
      </c>
      <c r="J25" s="505">
        <v>6328.8896056314643</v>
      </c>
      <c r="K25" s="504"/>
    </row>
    <row r="26" spans="1:11" s="19" customFormat="1" ht="12.75" customHeight="1">
      <c r="A26" s="20"/>
      <c r="B26" s="54">
        <v>2014</v>
      </c>
      <c r="C26" s="124">
        <v>4615.0168158271699</v>
      </c>
      <c r="D26" s="124">
        <v>125.26082196549956</v>
      </c>
      <c r="E26" s="124">
        <v>517.72413137194428</v>
      </c>
      <c r="F26" s="124">
        <v>440.98699999999997</v>
      </c>
      <c r="G26" s="124">
        <v>100.67064467596639</v>
      </c>
      <c r="H26" s="124">
        <v>609.55503370251404</v>
      </c>
      <c r="I26" s="424">
        <v>21.596005636699601</v>
      </c>
      <c r="J26" s="505">
        <v>6430.8104531797935</v>
      </c>
      <c r="K26" s="504"/>
    </row>
    <row r="27" spans="1:11" s="19" customFormat="1" ht="12.75" customHeight="1">
      <c r="A27" s="20"/>
      <c r="B27" s="54">
        <v>2015</v>
      </c>
      <c r="C27" s="124">
        <v>4711.7868878429317</v>
      </c>
      <c r="D27" s="124">
        <v>125.10289734645143</v>
      </c>
      <c r="E27" s="124">
        <v>527.71153405611983</v>
      </c>
      <c r="F27" s="124">
        <v>448.25299999999999</v>
      </c>
      <c r="G27" s="124">
        <v>102.14946262726792</v>
      </c>
      <c r="H27" s="124">
        <v>639.60196617284601</v>
      </c>
      <c r="I27" s="424">
        <v>21.6587392469416</v>
      </c>
      <c r="J27" s="505">
        <v>6576.2644872925584</v>
      </c>
      <c r="K27" s="504"/>
    </row>
    <row r="28" spans="1:11" s="19" customFormat="1" ht="12.75" customHeight="1">
      <c r="A28" s="20"/>
      <c r="B28" s="54">
        <v>2016</v>
      </c>
      <c r="C28" s="124">
        <v>4826.6906715658197</v>
      </c>
      <c r="D28" s="124">
        <v>126.3827751576292</v>
      </c>
      <c r="E28" s="124">
        <v>526.9346175086439</v>
      </c>
      <c r="F28" s="124">
        <v>454.61426499999999</v>
      </c>
      <c r="G28" s="124">
        <v>105.41386957178889</v>
      </c>
      <c r="H28" s="124">
        <v>713.48886891791699</v>
      </c>
      <c r="I28" s="424">
        <v>25.047278419770699</v>
      </c>
      <c r="J28" s="505">
        <v>6778.5723461415701</v>
      </c>
      <c r="K28" s="504"/>
    </row>
    <row r="29" spans="1:11" s="19" customFormat="1" ht="12.75" customHeight="1">
      <c r="A29" s="20"/>
      <c r="B29" s="54">
        <v>2017</v>
      </c>
      <c r="C29" s="124">
        <v>4901.4169593840743</v>
      </c>
      <c r="D29" s="457">
        <v>123.3</v>
      </c>
      <c r="E29" s="124">
        <v>510.41847809712482</v>
      </c>
      <c r="F29" s="124">
        <v>469.73400000000004</v>
      </c>
      <c r="G29" s="124">
        <v>107.17376713665031</v>
      </c>
      <c r="H29" s="124">
        <v>776.91</v>
      </c>
      <c r="I29" s="508">
        <v>24.327999999999999</v>
      </c>
      <c r="J29" s="506">
        <v>6913.2812046178497</v>
      </c>
      <c r="K29" s="504"/>
    </row>
    <row r="30" spans="1:11" ht="23.1" customHeight="1">
      <c r="A30" s="35"/>
      <c r="B30" s="150" t="s">
        <v>143</v>
      </c>
      <c r="C30" s="125">
        <v>0.25535829327437942</v>
      </c>
      <c r="D30" s="125">
        <v>9.4590232468381386E-2</v>
      </c>
      <c r="E30" s="125">
        <v>-8.3733229927855923E-3</v>
      </c>
      <c r="F30" s="125">
        <v>0.36980357266271757</v>
      </c>
      <c r="G30" s="125">
        <v>0.45381412335038274</v>
      </c>
      <c r="H30" s="125">
        <v>1.2331224507980671</v>
      </c>
      <c r="I30" s="458">
        <v>-0.21176536378027311</v>
      </c>
      <c r="J30" s="458">
        <v>0.29773826018643446</v>
      </c>
    </row>
    <row r="31" spans="1:11" s="24" customFormat="1" ht="23.1" customHeight="1">
      <c r="A31" s="35"/>
      <c r="B31" s="128" t="s">
        <v>52</v>
      </c>
      <c r="C31" s="126">
        <v>1.0390933964714133E-2</v>
      </c>
      <c r="D31" s="126">
        <v>4.1166354475479228E-3</v>
      </c>
      <c r="E31" s="126">
        <v>-3.8213497648886818E-4</v>
      </c>
      <c r="F31" s="126">
        <v>1.4405839665110109E-2</v>
      </c>
      <c r="G31" s="126">
        <v>1.7154131433829933E-2</v>
      </c>
      <c r="H31" s="126">
        <v>3.7193200009087546E-2</v>
      </c>
      <c r="I31" s="459">
        <v>-1.0758053360684694E-2</v>
      </c>
      <c r="J31" s="459">
        <v>1.1916945365133991E-2</v>
      </c>
    </row>
    <row r="32" spans="1:11" ht="23.1" customHeight="1">
      <c r="A32" s="35"/>
      <c r="B32" s="150" t="s">
        <v>144</v>
      </c>
      <c r="C32" s="125">
        <v>0.13963735996161675</v>
      </c>
      <c r="D32" s="125">
        <v>0.17796478257539827</v>
      </c>
      <c r="E32" s="125">
        <v>-6.3533170538320416E-2</v>
      </c>
      <c r="F32" s="125">
        <v>0.24600229515993211</v>
      </c>
      <c r="G32" s="125">
        <v>0.33812517185381852</v>
      </c>
      <c r="H32" s="125">
        <v>0.69072290585586704</v>
      </c>
      <c r="I32" s="458">
        <v>-0.1607285887732407</v>
      </c>
      <c r="J32" s="458">
        <v>0.17250536022244689</v>
      </c>
    </row>
    <row r="33" spans="1:10" s="24" customFormat="1" ht="23.1" customHeight="1">
      <c r="A33" s="35"/>
      <c r="B33" s="128" t="s">
        <v>52</v>
      </c>
      <c r="C33" s="126">
        <v>7.7184647501378212E-3</v>
      </c>
      <c r="D33" s="126">
        <v>9.6811615113736593E-3</v>
      </c>
      <c r="E33" s="126">
        <v>-3.8538007063686486E-3</v>
      </c>
      <c r="F33" s="126">
        <v>1.3021716143460482E-2</v>
      </c>
      <c r="G33" s="126">
        <v>1.7281120816115214E-2</v>
      </c>
      <c r="H33" s="126">
        <v>3.1373635788929821E-2</v>
      </c>
      <c r="I33" s="459">
        <v>-1.0254188973092382E-2</v>
      </c>
      <c r="J33" s="459">
        <v>9.4052951622740633E-3</v>
      </c>
    </row>
    <row r="34" spans="1:10" ht="23.1" customHeight="1">
      <c r="B34" s="149" t="s">
        <v>145</v>
      </c>
      <c r="C34" s="127">
        <v>1.5481888710720426E-2</v>
      </c>
      <c r="D34" s="127">
        <v>-2.4392367977236207E-2</v>
      </c>
      <c r="E34" s="127">
        <v>-3.1343811666061483E-2</v>
      </c>
      <c r="F34" s="127">
        <v>3.3258382246320606E-2</v>
      </c>
      <c r="G34" s="127">
        <v>1.6695123440686244E-2</v>
      </c>
      <c r="H34" s="127">
        <v>8.8888746334988999E-2</v>
      </c>
      <c r="I34" s="460">
        <v>-2.8716829338350292E-2</v>
      </c>
      <c r="J34" s="460">
        <v>1.9872747770104837E-2</v>
      </c>
    </row>
    <row r="35" spans="1:10" s="35" customFormat="1">
      <c r="A35" s="18"/>
      <c r="B35"/>
      <c r="C35"/>
      <c r="D35"/>
      <c r="E35"/>
      <c r="F35"/>
      <c r="G35"/>
      <c r="H35"/>
      <c r="I35"/>
      <c r="J35"/>
    </row>
    <row r="36" spans="1:10" ht="12" customHeight="1">
      <c r="A36" s="18"/>
      <c r="B36" s="559" t="s">
        <v>53</v>
      </c>
      <c r="C36" s="559"/>
      <c r="D36" s="559"/>
      <c r="E36" s="559"/>
      <c r="F36" s="559"/>
      <c r="G36" s="559"/>
      <c r="H36" s="559"/>
      <c r="I36" s="559"/>
      <c r="J36" s="559"/>
    </row>
    <row r="37" spans="1:10" s="18" customFormat="1" ht="20.100000000000001" customHeight="1">
      <c r="A37"/>
      <c r="B37" s="560" t="s">
        <v>42</v>
      </c>
      <c r="C37" s="560"/>
      <c r="D37" s="560"/>
      <c r="E37" s="560"/>
      <c r="F37" s="560"/>
      <c r="G37" s="560"/>
      <c r="H37" s="560"/>
      <c r="I37" s="560"/>
      <c r="J37" s="560"/>
    </row>
    <row r="38" spans="1:10" s="18" customFormat="1" ht="20.100000000000001" customHeight="1">
      <c r="A38"/>
      <c r="B38" s="26"/>
      <c r="C38" s="553" t="s">
        <v>79</v>
      </c>
      <c r="D38" s="553" t="s">
        <v>9</v>
      </c>
      <c r="E38" s="553" t="s">
        <v>2</v>
      </c>
      <c r="F38" s="553" t="s">
        <v>80</v>
      </c>
      <c r="G38" s="553" t="s">
        <v>1</v>
      </c>
      <c r="H38" s="553" t="s">
        <v>49</v>
      </c>
      <c r="I38" s="553" t="s">
        <v>48</v>
      </c>
      <c r="J38" s="25"/>
    </row>
    <row r="39" spans="1:10" s="18" customFormat="1" ht="17.25" customHeight="1">
      <c r="A39"/>
      <c r="B39" s="26"/>
      <c r="C39" s="554"/>
      <c r="D39" s="554"/>
      <c r="E39" s="554"/>
      <c r="F39" s="554"/>
      <c r="G39" s="554"/>
      <c r="H39" s="554"/>
      <c r="I39" s="554"/>
      <c r="J39" s="481"/>
    </row>
    <row r="40" spans="1:10" s="18" customFormat="1" ht="12.75" customHeight="1">
      <c r="A40"/>
      <c r="B40" s="92">
        <v>1995</v>
      </c>
      <c r="C40" s="129">
        <v>73.292044956810514</v>
      </c>
      <c r="D40" s="129">
        <v>2.114532645066177</v>
      </c>
      <c r="E40" s="129">
        <v>9.6623123506504101</v>
      </c>
      <c r="F40" s="129">
        <v>6.4371938509119859</v>
      </c>
      <c r="G40" s="129">
        <v>1.3838292273774926</v>
      </c>
      <c r="H40" s="129">
        <v>6.5307199370403497</v>
      </c>
      <c r="I40" s="130">
        <v>0.57936703214308305</v>
      </c>
      <c r="J40" s="25"/>
    </row>
    <row r="41" spans="1:10" s="18" customFormat="1" ht="12.75" customHeight="1">
      <c r="A41"/>
      <c r="B41" s="54">
        <v>1996</v>
      </c>
      <c r="C41" s="121">
        <v>73.169877177703668</v>
      </c>
      <c r="D41" s="121">
        <v>2.1089564094769027</v>
      </c>
      <c r="E41" s="121">
        <v>9.5761196436601033</v>
      </c>
      <c r="F41" s="121">
        <v>6.413838853702801</v>
      </c>
      <c r="G41" s="121">
        <v>1.3809760954517696</v>
      </c>
      <c r="H41" s="121">
        <v>6.7862233958248614</v>
      </c>
      <c r="I41" s="131">
        <v>0.56400842417991082</v>
      </c>
      <c r="J41" s="19"/>
    </row>
    <row r="42" spans="1:10" s="18" customFormat="1" ht="12.75" customHeight="1">
      <c r="A42" s="20"/>
      <c r="B42" s="54">
        <v>1997</v>
      </c>
      <c r="C42" s="121">
        <v>73.126544071292798</v>
      </c>
      <c r="D42" s="121">
        <v>2.1433131309468676</v>
      </c>
      <c r="E42" s="121">
        <v>9.4407425279627262</v>
      </c>
      <c r="F42" s="121">
        <v>6.2887187265409494</v>
      </c>
      <c r="G42" s="121">
        <v>1.3673048598339197</v>
      </c>
      <c r="H42" s="121">
        <v>7.0857395192313692</v>
      </c>
      <c r="I42" s="131">
        <v>0.54763716419137809</v>
      </c>
      <c r="J42" s="19"/>
    </row>
    <row r="43" spans="1:10" ht="12.75" customHeight="1">
      <c r="A43" s="20"/>
      <c r="B43" s="54">
        <v>1998</v>
      </c>
      <c r="C43" s="121">
        <v>73.237850447231281</v>
      </c>
      <c r="D43" s="121">
        <v>2.1710375211927189</v>
      </c>
      <c r="E43" s="121">
        <v>9.2860567857456715</v>
      </c>
      <c r="F43" s="121">
        <v>6.1513911837026374</v>
      </c>
      <c r="G43" s="121">
        <v>1.3579119898728045</v>
      </c>
      <c r="H43" s="121">
        <v>7.2663835336581313</v>
      </c>
      <c r="I43" s="131">
        <v>0.52936853859677835</v>
      </c>
      <c r="J43" s="19"/>
    </row>
    <row r="44" spans="1:10" ht="12.75" customHeight="1">
      <c r="A44" s="19"/>
      <c r="B44" s="54">
        <v>1999</v>
      </c>
      <c r="C44" s="121">
        <v>73.358245941612083</v>
      </c>
      <c r="D44" s="121">
        <v>2.1867438533815164</v>
      </c>
      <c r="E44" s="121">
        <v>9.0987080464846457</v>
      </c>
      <c r="F44" s="121">
        <v>6.1241469846532146</v>
      </c>
      <c r="G44" s="121">
        <v>1.3537078993502154</v>
      </c>
      <c r="H44" s="121">
        <v>7.3678843033086459</v>
      </c>
      <c r="I44" s="131">
        <v>0.51056297120967642</v>
      </c>
      <c r="J44" s="19"/>
    </row>
    <row r="45" spans="1:10" ht="12.75" customHeight="1">
      <c r="A45" s="19"/>
      <c r="B45" s="54">
        <v>2000</v>
      </c>
      <c r="C45" s="121">
        <v>72.943329929904039</v>
      </c>
      <c r="D45" s="121">
        <v>1.775257614803516</v>
      </c>
      <c r="E45" s="121">
        <v>9.2440993338602855</v>
      </c>
      <c r="F45" s="121">
        <v>6.3938695009566562</v>
      </c>
      <c r="G45" s="121">
        <v>1.358383413957909</v>
      </c>
      <c r="H45" s="121">
        <v>7.7934344907695685</v>
      </c>
      <c r="I45" s="131">
        <v>0.4916257157480235</v>
      </c>
      <c r="J45" s="19"/>
    </row>
    <row r="46" spans="1:10" ht="12.75" customHeight="1">
      <c r="A46" s="20"/>
      <c r="B46" s="54">
        <v>2001</v>
      </c>
      <c r="C46" s="121">
        <v>73.302055485948031</v>
      </c>
      <c r="D46" s="121">
        <v>1.819762310965684</v>
      </c>
      <c r="E46" s="121">
        <v>9.091991667413291</v>
      </c>
      <c r="F46" s="121">
        <v>6.3367351146187705</v>
      </c>
      <c r="G46" s="121">
        <v>1.3515543875601859</v>
      </c>
      <c r="H46" s="121">
        <v>7.6101162725540403</v>
      </c>
      <c r="I46" s="131">
        <v>0.4877847609399899</v>
      </c>
      <c r="J46" s="22"/>
    </row>
    <row r="47" spans="1:10" ht="12.75" customHeight="1">
      <c r="A47" s="20"/>
      <c r="B47" s="54">
        <v>2002</v>
      </c>
      <c r="C47" s="121">
        <v>73.890758926404317</v>
      </c>
      <c r="D47" s="121">
        <v>1.829957789560166</v>
      </c>
      <c r="E47" s="121">
        <v>8.8661245586491422</v>
      </c>
      <c r="F47" s="121">
        <v>6.1554549732864761</v>
      </c>
      <c r="G47" s="121">
        <v>1.35202401512336</v>
      </c>
      <c r="H47" s="121">
        <v>7.4072419434482963</v>
      </c>
      <c r="I47" s="131">
        <v>0.49843779352823253</v>
      </c>
      <c r="J47" s="22"/>
    </row>
    <row r="48" spans="1:10" s="20" customFormat="1" ht="12.75" customHeight="1">
      <c r="B48" s="54">
        <v>2003</v>
      </c>
      <c r="C48" s="121">
        <v>73.725324091936869</v>
      </c>
      <c r="D48" s="121">
        <v>1.8714462009173687</v>
      </c>
      <c r="E48" s="121">
        <v>8.8944801688487871</v>
      </c>
      <c r="F48" s="121">
        <v>6.0349402986953162</v>
      </c>
      <c r="G48" s="121">
        <v>1.3464279546942859</v>
      </c>
      <c r="H48" s="121">
        <v>7.6358178689722109</v>
      </c>
      <c r="I48" s="131">
        <v>0.4915634159351619</v>
      </c>
      <c r="J48" s="32"/>
    </row>
    <row r="49" spans="1:10" s="20" customFormat="1" ht="12.75" customHeight="1">
      <c r="A49"/>
      <c r="B49" s="54">
        <v>2004</v>
      </c>
      <c r="C49" s="121">
        <v>73.436245316784508</v>
      </c>
      <c r="D49" s="121">
        <v>1.8887043139098569</v>
      </c>
      <c r="E49" s="121">
        <v>8.7663447390485292</v>
      </c>
      <c r="F49" s="121">
        <v>6.0567062272782488</v>
      </c>
      <c r="G49" s="121">
        <v>1.3768013559360854</v>
      </c>
      <c r="H49" s="121">
        <v>7.9973654350274552</v>
      </c>
      <c r="I49" s="131">
        <v>0.47783261201532135</v>
      </c>
      <c r="J49" s="32"/>
    </row>
    <row r="50" spans="1:10" s="19" customFormat="1" ht="12.75" customHeight="1">
      <c r="A50"/>
      <c r="B50" s="54">
        <v>2005</v>
      </c>
      <c r="C50" s="121">
        <v>72.707080166228863</v>
      </c>
      <c r="D50" s="121">
        <v>1.9486108387814678</v>
      </c>
      <c r="E50" s="121">
        <v>8.7437344066518605</v>
      </c>
      <c r="F50" s="121">
        <v>6.2004353745357559</v>
      </c>
      <c r="G50" s="121">
        <v>1.388330056618601</v>
      </c>
      <c r="H50" s="121">
        <v>8.545882872122462</v>
      </c>
      <c r="I50" s="131">
        <v>0.46592628506098088</v>
      </c>
      <c r="J50" s="21"/>
    </row>
    <row r="51" spans="1:10" s="19" customFormat="1" ht="12.75" customHeight="1">
      <c r="A51"/>
      <c r="B51" s="54">
        <v>2006</v>
      </c>
      <c r="C51" s="121">
        <v>72.512343730368016</v>
      </c>
      <c r="D51" s="121">
        <v>1.9102832364032909</v>
      </c>
      <c r="E51" s="121">
        <v>8.606305127845788</v>
      </c>
      <c r="F51" s="121">
        <v>6.3225451443716967</v>
      </c>
      <c r="G51" s="121">
        <v>1.4003703378638443</v>
      </c>
      <c r="H51" s="121">
        <v>8.7985363604641869</v>
      </c>
      <c r="I51" s="131">
        <v>0.44961606268315668</v>
      </c>
      <c r="J51" s="21"/>
    </row>
    <row r="52" spans="1:10" s="19" customFormat="1" ht="12.75" customHeight="1">
      <c r="A52"/>
      <c r="B52" s="54">
        <v>2007</v>
      </c>
      <c r="C52" s="121">
        <v>72.269185791852337</v>
      </c>
      <c r="D52" s="121">
        <v>1.8276663098861901</v>
      </c>
      <c r="E52" s="121">
        <v>8.6570728003921236</v>
      </c>
      <c r="F52" s="121">
        <v>6.3491571117120715</v>
      </c>
      <c r="G52" s="121">
        <v>1.4145779912936414</v>
      </c>
      <c r="H52" s="121">
        <v>9.0426474411825559</v>
      </c>
      <c r="I52" s="131">
        <v>0.43969255368109822</v>
      </c>
      <c r="J52" s="21"/>
    </row>
    <row r="53" spans="1:10" ht="15" customHeight="1">
      <c r="B53" s="54">
        <v>2008</v>
      </c>
      <c r="C53" s="121">
        <v>72.016536769988875</v>
      </c>
      <c r="D53" s="121">
        <v>1.8862578723655974</v>
      </c>
      <c r="E53" s="121">
        <v>8.7533718094000381</v>
      </c>
      <c r="F53" s="121">
        <v>6.5654841348511992</v>
      </c>
      <c r="G53" s="121">
        <v>1.46371902265986</v>
      </c>
      <c r="H53" s="121">
        <v>8.8159633743575156</v>
      </c>
      <c r="I53" s="131">
        <v>0.49866701637689981</v>
      </c>
      <c r="J53" s="87"/>
    </row>
    <row r="54" spans="1:10" ht="15" customHeight="1">
      <c r="B54" s="54">
        <v>2009</v>
      </c>
      <c r="C54" s="121">
        <v>73.205150882877405</v>
      </c>
      <c r="D54" s="121">
        <v>1.8530784253878583</v>
      </c>
      <c r="E54" s="121">
        <v>8.3977500859177816</v>
      </c>
      <c r="F54" s="121">
        <v>6.4514426834523784</v>
      </c>
      <c r="G54" s="121">
        <v>1.4633904514200335</v>
      </c>
      <c r="H54" s="121">
        <v>8.2117456672666727</v>
      </c>
      <c r="I54" s="131">
        <v>0.41744180367788136</v>
      </c>
      <c r="J54" s="132"/>
    </row>
    <row r="55" spans="1:10" ht="15" customHeight="1">
      <c r="B55" s="54">
        <v>2010</v>
      </c>
      <c r="C55" s="121">
        <v>72.907888341565979</v>
      </c>
      <c r="D55" s="121">
        <v>1.8824985156341258</v>
      </c>
      <c r="E55" s="121">
        <v>8.3496127583293021</v>
      </c>
      <c r="F55" s="121">
        <v>6.5271973010447546</v>
      </c>
      <c r="G55" s="121">
        <v>1.5150357045172578</v>
      </c>
      <c r="H55" s="121">
        <v>8.4279068089437423</v>
      </c>
      <c r="I55" s="131">
        <v>0.3898605699648322</v>
      </c>
      <c r="J55" s="132"/>
    </row>
    <row r="56" spans="1:10" ht="15" customHeight="1">
      <c r="B56" s="78">
        <v>2011</v>
      </c>
      <c r="C56" s="158">
        <v>72.151814045275387</v>
      </c>
      <c r="D56" s="121">
        <v>1.9294843304974254</v>
      </c>
      <c r="E56" s="121">
        <v>8.3378527947303329</v>
      </c>
      <c r="F56" s="159">
        <v>6.6374267534009075</v>
      </c>
      <c r="G56" s="121">
        <v>1.5292514017552341</v>
      </c>
      <c r="H56" s="121">
        <v>9.0617154234404858</v>
      </c>
      <c r="I56" s="131">
        <v>0.35245525090022145</v>
      </c>
    </row>
    <row r="57" spans="1:10" ht="12.75" customHeight="1">
      <c r="B57" s="78">
        <v>2012</v>
      </c>
      <c r="C57" s="158">
        <v>71.79426887188059</v>
      </c>
      <c r="D57" s="121">
        <v>1.9612279924682379</v>
      </c>
      <c r="E57" s="121">
        <v>8.4030580618134874</v>
      </c>
      <c r="F57" s="159">
        <v>6.8322936168834563</v>
      </c>
      <c r="G57" s="121">
        <v>1.5788379229246159</v>
      </c>
      <c r="H57" s="121">
        <v>9.0995416178454125</v>
      </c>
      <c r="I57" s="131">
        <v>0.33077191618420471</v>
      </c>
      <c r="J57" s="19"/>
    </row>
    <row r="58" spans="1:10" ht="12.75" customHeight="1">
      <c r="B58" s="78">
        <v>2013</v>
      </c>
      <c r="C58" s="158">
        <v>71.884442678271583</v>
      </c>
      <c r="D58" s="121">
        <v>1.9334594182448155</v>
      </c>
      <c r="E58" s="121">
        <v>8.2682795985330912</v>
      </c>
      <c r="F58" s="159">
        <v>6.8533981002615887</v>
      </c>
      <c r="G58" s="121">
        <v>1.5700173196234384</v>
      </c>
      <c r="H58" s="121">
        <v>9.1579319233752212</v>
      </c>
      <c r="I58" s="131">
        <v>0.33247096169026263</v>
      </c>
      <c r="J58" s="19"/>
    </row>
    <row r="59" spans="1:10" ht="12.75" customHeight="1">
      <c r="B59" s="78">
        <v>2014</v>
      </c>
      <c r="C59" s="158">
        <v>71.764155535718174</v>
      </c>
      <c r="D59" s="121">
        <v>1.9478232623628768</v>
      </c>
      <c r="E59" s="121">
        <v>8.05068249392966</v>
      </c>
      <c r="F59" s="159">
        <v>6.8574093920300285</v>
      </c>
      <c r="G59" s="121">
        <v>1.5654425738234681</v>
      </c>
      <c r="H59" s="121">
        <v>9.4786658406501783</v>
      </c>
      <c r="I59" s="131">
        <v>0.33582090148561583</v>
      </c>
      <c r="J59" s="19"/>
    </row>
    <row r="60" spans="1:10" ht="11.85" customHeight="1">
      <c r="B60" s="78">
        <v>2015</v>
      </c>
      <c r="C60" s="158">
        <v>71.648378755866759</v>
      </c>
      <c r="D60" s="121">
        <v>1.9023398099056104</v>
      </c>
      <c r="E60" s="121">
        <v>8.0244876871334316</v>
      </c>
      <c r="F60" s="159">
        <v>6.8162252425547631</v>
      </c>
      <c r="G60" s="121">
        <v>1.553305266609232</v>
      </c>
      <c r="H60" s="121">
        <v>9.7259160942927565</v>
      </c>
      <c r="I60" s="131">
        <v>0.32934714363744338</v>
      </c>
    </row>
    <row r="61" spans="1:10" ht="11.85" customHeight="1">
      <c r="B61" s="78">
        <v>2016</v>
      </c>
      <c r="C61" s="158">
        <v>71.205121448813912</v>
      </c>
      <c r="D61" s="121">
        <v>1.8644453242365628</v>
      </c>
      <c r="E61" s="121">
        <v>7.7735338741140723</v>
      </c>
      <c r="F61" s="159">
        <v>6.70663735349481</v>
      </c>
      <c r="G61" s="121">
        <v>1.5551042931892805</v>
      </c>
      <c r="H61" s="121">
        <v>10.525651014465337</v>
      </c>
      <c r="I61" s="131">
        <v>0.36950669168601341</v>
      </c>
    </row>
    <row r="62" spans="1:10" ht="11.85" customHeight="1">
      <c r="B62" s="376">
        <v>2017</v>
      </c>
      <c r="C62" s="377">
        <v>70.898561975319126</v>
      </c>
      <c r="D62" s="425">
        <v>1.7835235736923236</v>
      </c>
      <c r="E62" s="425">
        <v>7.3831580546178515</v>
      </c>
      <c r="F62" s="426">
        <v>6.7946606842237633</v>
      </c>
      <c r="G62" s="425">
        <v>1.5502590443603204</v>
      </c>
      <c r="H62" s="425">
        <v>11.237934303627762</v>
      </c>
      <c r="I62" s="378">
        <v>0.35190236415885523</v>
      </c>
      <c r="J62" s="117"/>
    </row>
    <row r="63" spans="1:10" ht="11.85" customHeight="1">
      <c r="B63" s="428" t="s">
        <v>139</v>
      </c>
      <c r="C63" s="88"/>
      <c r="D63" s="89"/>
      <c r="E63" s="89"/>
      <c r="F63" s="89"/>
      <c r="G63" s="89"/>
      <c r="H63" s="89"/>
      <c r="I63" s="89"/>
    </row>
    <row r="64" spans="1:10" ht="11.85" customHeight="1">
      <c r="B64" s="99" t="s">
        <v>5</v>
      </c>
      <c r="C64" s="89"/>
      <c r="D64" s="87"/>
      <c r="E64" s="87"/>
      <c r="F64" s="87"/>
      <c r="G64" s="87"/>
      <c r="H64" s="87"/>
      <c r="I64" s="87"/>
    </row>
    <row r="65" spans="2:9" ht="11.85" customHeight="1">
      <c r="B65" s="157" t="s">
        <v>137</v>
      </c>
      <c r="C65" s="87"/>
      <c r="D65" s="19"/>
      <c r="E65" s="19"/>
      <c r="F65" s="19"/>
      <c r="G65" s="19"/>
      <c r="H65" s="19"/>
      <c r="I65" s="19"/>
    </row>
    <row r="66" spans="2:9" ht="11.85" customHeight="1">
      <c r="B66" s="427" t="s">
        <v>138</v>
      </c>
      <c r="C66" s="19"/>
    </row>
    <row r="67" spans="2:9" ht="11.85" customHeight="1"/>
  </sheetData>
  <mergeCells count="20">
    <mergeCell ref="C5:C6"/>
    <mergeCell ref="C38:C39"/>
    <mergeCell ref="D38:D39"/>
    <mergeCell ref="E38:E39"/>
    <mergeCell ref="B36:J36"/>
    <mergeCell ref="F38:F39"/>
    <mergeCell ref="G38:G39"/>
    <mergeCell ref="H38:H39"/>
    <mergeCell ref="I38:I39"/>
    <mergeCell ref="B37:J37"/>
    <mergeCell ref="F5:F6"/>
    <mergeCell ref="B2:J2"/>
    <mergeCell ref="B3:J3"/>
    <mergeCell ref="B4:J4"/>
    <mergeCell ref="H5:H6"/>
    <mergeCell ref="J5:J6"/>
    <mergeCell ref="E5:E6"/>
    <mergeCell ref="G5:G6"/>
    <mergeCell ref="I5:I6"/>
    <mergeCell ref="D5:D6"/>
  </mergeCells>
  <phoneticPr fontId="4"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1:H49"/>
  <sheetViews>
    <sheetView workbookViewId="0">
      <selection activeCell="C17" sqref="C17"/>
    </sheetView>
  </sheetViews>
  <sheetFormatPr defaultRowHeight="12.75"/>
  <cols>
    <col min="1" max="1" width="3.140625" customWidth="1"/>
    <col min="2" max="2" width="4" customWidth="1"/>
    <col min="3" max="4" width="10.7109375" customWidth="1"/>
    <col min="5" max="5" width="10.7109375" style="20" customWidth="1"/>
    <col min="6" max="6" width="10.7109375" customWidth="1"/>
    <col min="7" max="7" width="5.5703125" customWidth="1"/>
  </cols>
  <sheetData>
    <row r="1" spans="2:8" ht="15.75">
      <c r="B1" s="447"/>
      <c r="C1" s="448"/>
      <c r="D1" s="448"/>
      <c r="E1" s="529"/>
      <c r="G1" s="16" t="s">
        <v>85</v>
      </c>
    </row>
    <row r="2" spans="2:8">
      <c r="B2" s="555" t="s">
        <v>81</v>
      </c>
      <c r="C2" s="555"/>
      <c r="D2" s="555"/>
      <c r="E2" s="555"/>
      <c r="F2" s="555"/>
      <c r="G2" s="555"/>
    </row>
    <row r="3" spans="2:8" ht="12.75" customHeight="1">
      <c r="B3" s="555"/>
      <c r="C3" s="555"/>
      <c r="D3" s="555"/>
      <c r="E3" s="555"/>
      <c r="F3" s="555"/>
      <c r="G3" s="555"/>
    </row>
    <row r="4" spans="2:8">
      <c r="B4" s="561">
        <v>2017</v>
      </c>
      <c r="C4" s="561"/>
      <c r="D4" s="561"/>
      <c r="E4" s="561"/>
      <c r="F4" s="561"/>
      <c r="G4" s="561"/>
    </row>
    <row r="5" spans="2:8">
      <c r="B5" s="562" t="s">
        <v>3</v>
      </c>
      <c r="C5" s="562"/>
      <c r="D5" s="562"/>
      <c r="E5" s="562"/>
      <c r="F5" s="562"/>
    </row>
    <row r="6" spans="2:8" ht="22.5">
      <c r="B6" s="13"/>
      <c r="C6" s="449" t="s">
        <v>45</v>
      </c>
      <c r="D6" s="151" t="s">
        <v>4</v>
      </c>
      <c r="E6" s="520" t="s">
        <v>47</v>
      </c>
      <c r="F6" s="450" t="s">
        <v>1</v>
      </c>
      <c r="G6" s="451"/>
    </row>
    <row r="7" spans="2:8">
      <c r="B7" s="135" t="s">
        <v>113</v>
      </c>
      <c r="C7" s="423">
        <v>81.842889573406453</v>
      </c>
      <c r="D7" s="423">
        <v>8.5228666496430083</v>
      </c>
      <c r="E7" s="530">
        <v>7.844677441008165</v>
      </c>
      <c r="F7" s="423">
        <v>1.7895663359423903</v>
      </c>
      <c r="G7" s="135" t="s">
        <v>113</v>
      </c>
      <c r="H7" s="117"/>
    </row>
    <row r="8" spans="2:8">
      <c r="B8" s="15" t="s">
        <v>29</v>
      </c>
      <c r="C8" s="118">
        <v>81.097429464332734</v>
      </c>
      <c r="D8" s="119">
        <v>10.133494462513696</v>
      </c>
      <c r="E8" s="521">
        <v>7.710095056703488</v>
      </c>
      <c r="F8" s="118">
        <v>1.0589810164501037</v>
      </c>
      <c r="G8" s="15" t="s">
        <v>29</v>
      </c>
      <c r="H8" s="117"/>
    </row>
    <row r="9" spans="2:8">
      <c r="B9" s="78" t="s">
        <v>12</v>
      </c>
      <c r="C9" s="120">
        <v>81.539763549130356</v>
      </c>
      <c r="D9" s="120">
        <v>14.920033335837291</v>
      </c>
      <c r="E9" s="522">
        <v>2.0274166401583122</v>
      </c>
      <c r="F9" s="120">
        <v>1.5127864748740549</v>
      </c>
      <c r="G9" s="78" t="s">
        <v>12</v>
      </c>
      <c r="H9" s="117"/>
    </row>
    <row r="10" spans="2:8">
      <c r="B10" s="15" t="s">
        <v>14</v>
      </c>
      <c r="C10" s="122">
        <v>66.154427559090578</v>
      </c>
      <c r="D10" s="119">
        <v>15.739568352751462</v>
      </c>
      <c r="E10" s="523">
        <v>8.369099820228568</v>
      </c>
      <c r="F10" s="119">
        <v>9.7369042679293916</v>
      </c>
      <c r="G10" s="15" t="s">
        <v>14</v>
      </c>
      <c r="H10" s="117"/>
    </row>
    <row r="11" spans="2:8">
      <c r="B11" s="78" t="s">
        <v>25</v>
      </c>
      <c r="C11" s="160">
        <v>81.179444887585007</v>
      </c>
      <c r="D11" s="120">
        <v>9.8692660240377474</v>
      </c>
      <c r="E11" s="522">
        <v>8.4902726891721993</v>
      </c>
      <c r="F11" s="120">
        <v>0.46101639920505089</v>
      </c>
      <c r="G11" s="78" t="s">
        <v>25</v>
      </c>
      <c r="H11" s="117"/>
    </row>
    <row r="12" spans="2:8">
      <c r="B12" s="15" t="s">
        <v>30</v>
      </c>
      <c r="C12" s="119">
        <v>84.209522146735324</v>
      </c>
      <c r="D12" s="119">
        <v>5.6247676970941098</v>
      </c>
      <c r="E12" s="523">
        <v>8.6177740859302503</v>
      </c>
      <c r="F12" s="119">
        <v>1.5479360702402987</v>
      </c>
      <c r="G12" s="15" t="s">
        <v>30</v>
      </c>
      <c r="H12" s="117"/>
    </row>
    <row r="13" spans="2:8">
      <c r="B13" s="78" t="s">
        <v>15</v>
      </c>
      <c r="C13" s="120">
        <v>79.879580770196981</v>
      </c>
      <c r="D13" s="120">
        <v>17.150861084263109</v>
      </c>
      <c r="E13" s="522">
        <v>2.2349501744035578</v>
      </c>
      <c r="F13" s="120">
        <v>0.73460797113635234</v>
      </c>
      <c r="G13" s="78" t="s">
        <v>15</v>
      </c>
      <c r="H13" s="117"/>
    </row>
    <row r="14" spans="2:8">
      <c r="B14" s="15" t="s">
        <v>33</v>
      </c>
      <c r="C14" s="119">
        <v>82.342786145668569</v>
      </c>
      <c r="D14" s="118">
        <v>14.298061599271842</v>
      </c>
      <c r="E14" s="521">
        <v>3.0899143223129024</v>
      </c>
      <c r="F14" s="118">
        <v>0.26923793274668117</v>
      </c>
      <c r="G14" s="15" t="s">
        <v>33</v>
      </c>
      <c r="H14" s="117"/>
    </row>
    <row r="15" spans="2:8">
      <c r="B15" s="78" t="s">
        <v>26</v>
      </c>
      <c r="C15" s="120">
        <v>81.408808540132839</v>
      </c>
      <c r="D15" s="120">
        <v>16.353305628770613</v>
      </c>
      <c r="E15" s="522">
        <v>0.88858640657577115</v>
      </c>
      <c r="F15" s="120">
        <v>1.3492994245207703</v>
      </c>
      <c r="G15" s="78" t="s">
        <v>26</v>
      </c>
      <c r="H15" s="117"/>
    </row>
    <row r="16" spans="2:8">
      <c r="B16" s="15" t="s">
        <v>31</v>
      </c>
      <c r="C16" s="118">
        <v>83.5079050243029</v>
      </c>
      <c r="D16" s="118">
        <v>7.6543937123081953</v>
      </c>
      <c r="E16" s="521">
        <v>6.9205654065559354</v>
      </c>
      <c r="F16" s="118">
        <v>1.9171358568329828</v>
      </c>
      <c r="G16" s="15" t="s">
        <v>31</v>
      </c>
      <c r="H16" s="117"/>
    </row>
    <row r="17" spans="2:8">
      <c r="B17" s="78" t="s">
        <v>32</v>
      </c>
      <c r="C17" s="120">
        <v>81.035502365550897</v>
      </c>
      <c r="D17" s="120">
        <v>6.2347075265004559</v>
      </c>
      <c r="E17" s="522">
        <v>10.911560111368905</v>
      </c>
      <c r="F17" s="120">
        <v>1.8182299965797535</v>
      </c>
      <c r="G17" s="78" t="s">
        <v>32</v>
      </c>
      <c r="H17" s="117"/>
    </row>
    <row r="18" spans="2:8">
      <c r="B18" s="15" t="s">
        <v>44</v>
      </c>
      <c r="C18" s="119">
        <v>82.65951473066788</v>
      </c>
      <c r="D18" s="119">
        <v>13.098514114027711</v>
      </c>
      <c r="E18" s="523">
        <v>2.3230135874516615</v>
      </c>
      <c r="F18" s="119">
        <v>1.9189575678527495</v>
      </c>
      <c r="G18" s="15" t="s">
        <v>44</v>
      </c>
      <c r="H18" s="117"/>
    </row>
    <row r="19" spans="2:8">
      <c r="B19" s="153" t="s">
        <v>34</v>
      </c>
      <c r="C19" s="154">
        <v>82.032671274210529</v>
      </c>
      <c r="D19" s="154">
        <v>11.361824340693953</v>
      </c>
      <c r="E19" s="524">
        <v>5.8619542857646287</v>
      </c>
      <c r="F19" s="154">
        <v>0.74355009933089322</v>
      </c>
      <c r="G19" s="153" t="s">
        <v>34</v>
      </c>
      <c r="H19" s="117"/>
    </row>
    <row r="20" spans="2:8">
      <c r="B20" s="15" t="s">
        <v>13</v>
      </c>
      <c r="C20" s="119">
        <v>81.021261889808088</v>
      </c>
      <c r="D20" s="119">
        <v>18.978738110191905</v>
      </c>
      <c r="E20" s="119" t="s">
        <v>43</v>
      </c>
      <c r="F20" s="119" t="s">
        <v>43</v>
      </c>
      <c r="G20" s="15" t="s">
        <v>13</v>
      </c>
      <c r="H20" s="117"/>
    </row>
    <row r="21" spans="2:8">
      <c r="B21" s="153" t="s">
        <v>17</v>
      </c>
      <c r="C21" s="154">
        <v>83.826532916577378</v>
      </c>
      <c r="D21" s="154">
        <v>12.122330771618815</v>
      </c>
      <c r="E21" s="524">
        <v>3.3355997875737828</v>
      </c>
      <c r="F21" s="154">
        <v>0.71553652423002634</v>
      </c>
      <c r="G21" s="153" t="s">
        <v>17</v>
      </c>
      <c r="H21" s="117"/>
    </row>
    <row r="22" spans="2:8">
      <c r="B22" s="15" t="s">
        <v>18</v>
      </c>
      <c r="C22" s="119">
        <v>91.125962516344615</v>
      </c>
      <c r="D22" s="119">
        <v>7.958738921981694</v>
      </c>
      <c r="E22" s="523">
        <v>0.91529856167368884</v>
      </c>
      <c r="F22" s="119" t="s">
        <v>43</v>
      </c>
      <c r="G22" s="15" t="s">
        <v>18</v>
      </c>
      <c r="H22" s="117"/>
    </row>
    <row r="23" spans="2:8">
      <c r="B23" s="153" t="s">
        <v>35</v>
      </c>
      <c r="C23" s="154">
        <v>82.894663186381237</v>
      </c>
      <c r="D23" s="154">
        <v>12.374001916495715</v>
      </c>
      <c r="E23" s="524">
        <v>4.7313348971230367</v>
      </c>
      <c r="F23" s="154" t="s">
        <v>43</v>
      </c>
      <c r="G23" s="153" t="s">
        <v>35</v>
      </c>
      <c r="H23" s="117"/>
    </row>
    <row r="24" spans="2:8">
      <c r="B24" s="15" t="s">
        <v>16</v>
      </c>
      <c r="C24" s="119">
        <v>67.58394689302601</v>
      </c>
      <c r="D24" s="119">
        <v>20.40636769049372</v>
      </c>
      <c r="E24" s="523">
        <v>8.6155741352128619</v>
      </c>
      <c r="F24" s="119">
        <v>3.3941112812674312</v>
      </c>
      <c r="G24" s="15" t="s">
        <v>16</v>
      </c>
      <c r="H24" s="117"/>
    </row>
    <row r="25" spans="2:8">
      <c r="B25" s="153" t="s">
        <v>19</v>
      </c>
      <c r="C25" s="154">
        <v>82.481392067016287</v>
      </c>
      <c r="D25" s="154">
        <v>17.518607932983699</v>
      </c>
      <c r="E25" s="154" t="s">
        <v>43</v>
      </c>
      <c r="F25" s="154" t="s">
        <v>43</v>
      </c>
      <c r="G25" s="153" t="s">
        <v>19</v>
      </c>
      <c r="H25" s="117"/>
    </row>
    <row r="26" spans="2:8">
      <c r="B26" s="15" t="s">
        <v>27</v>
      </c>
      <c r="C26" s="119">
        <v>85.281946912449186</v>
      </c>
      <c r="D26" s="119">
        <v>2.8396969926026294</v>
      </c>
      <c r="E26" s="523">
        <v>11.336288790373656</v>
      </c>
      <c r="F26" s="119">
        <v>0.54206730457451979</v>
      </c>
      <c r="G26" s="15" t="s">
        <v>27</v>
      </c>
      <c r="H26" s="117"/>
    </row>
    <row r="27" spans="2:8">
      <c r="B27" s="153" t="s">
        <v>36</v>
      </c>
      <c r="C27" s="154">
        <v>72.695035460992912</v>
      </c>
      <c r="D27" s="154">
        <v>9.6668977408059167</v>
      </c>
      <c r="E27" s="524">
        <v>11.248866847970991</v>
      </c>
      <c r="F27" s="154">
        <v>6.3891999502301857</v>
      </c>
      <c r="G27" s="153" t="s">
        <v>36</v>
      </c>
      <c r="H27" s="117"/>
    </row>
    <row r="28" spans="2:8">
      <c r="B28" s="15" t="s">
        <v>20</v>
      </c>
      <c r="C28" s="119">
        <v>77.22005179162889</v>
      </c>
      <c r="D28" s="119">
        <v>13.535761434220397</v>
      </c>
      <c r="E28" s="523">
        <v>7.6260401104096553</v>
      </c>
      <c r="F28" s="119">
        <v>1.6181466637410638</v>
      </c>
      <c r="G28" s="15" t="s">
        <v>20</v>
      </c>
      <c r="H28" s="117"/>
    </row>
    <row r="29" spans="2:8">
      <c r="B29" s="153" t="s">
        <v>37</v>
      </c>
      <c r="C29" s="154">
        <v>87.598220750083883</v>
      </c>
      <c r="D29" s="154">
        <v>7.0455601156910062</v>
      </c>
      <c r="E29" s="524">
        <v>4.2909979072772195</v>
      </c>
      <c r="F29" s="154">
        <v>1.0652212269478794</v>
      </c>
      <c r="G29" s="153" t="s">
        <v>37</v>
      </c>
      <c r="H29" s="117"/>
    </row>
    <row r="30" spans="2:8">
      <c r="B30" s="15" t="s">
        <v>21</v>
      </c>
      <c r="C30" s="119">
        <v>75.382501575534107</v>
      </c>
      <c r="D30" s="119">
        <v>14.082797677046315</v>
      </c>
      <c r="E30" s="523">
        <v>4.3872198946591094</v>
      </c>
      <c r="F30" s="119">
        <v>6.1474808527604718</v>
      </c>
      <c r="G30" s="15" t="s">
        <v>21</v>
      </c>
      <c r="H30" s="117"/>
    </row>
    <row r="31" spans="2:8">
      <c r="B31" s="153" t="s">
        <v>23</v>
      </c>
      <c r="C31" s="154">
        <v>86.457423575575632</v>
      </c>
      <c r="D31" s="154">
        <v>11.726372574839221</v>
      </c>
      <c r="E31" s="524">
        <v>1.8162038495851383</v>
      </c>
      <c r="F31" s="154" t="s">
        <v>43</v>
      </c>
      <c r="G31" s="153" t="s">
        <v>23</v>
      </c>
      <c r="H31" s="117"/>
    </row>
    <row r="32" spans="2:8">
      <c r="B32" s="15" t="s">
        <v>22</v>
      </c>
      <c r="C32" s="119">
        <v>73.837066795339439</v>
      </c>
      <c r="D32" s="119">
        <v>15.557774564807472</v>
      </c>
      <c r="E32" s="523">
        <v>9.857195901483081</v>
      </c>
      <c r="F32" s="119">
        <v>0.74796273837001526</v>
      </c>
      <c r="G32" s="15" t="s">
        <v>22</v>
      </c>
      <c r="H32" s="117"/>
    </row>
    <row r="33" spans="2:8">
      <c r="B33" s="153" t="s">
        <v>38</v>
      </c>
      <c r="C33" s="154">
        <v>83.603868962025217</v>
      </c>
      <c r="D33" s="154">
        <v>10.335163827125012</v>
      </c>
      <c r="E33" s="524">
        <v>5.3608798525201511</v>
      </c>
      <c r="F33" s="154">
        <v>0.70008735832962055</v>
      </c>
      <c r="G33" s="153" t="s">
        <v>38</v>
      </c>
      <c r="H33" s="117"/>
    </row>
    <row r="34" spans="2:8">
      <c r="B34" s="15" t="s">
        <v>39</v>
      </c>
      <c r="C34" s="119">
        <v>81.722838527909843</v>
      </c>
      <c r="D34" s="119">
        <v>7.0230674414509604</v>
      </c>
      <c r="E34" s="523">
        <v>9.3896812819158306</v>
      </c>
      <c r="F34" s="119">
        <v>1.864412748723367</v>
      </c>
      <c r="G34" s="15" t="s">
        <v>39</v>
      </c>
      <c r="H34" s="117"/>
    </row>
    <row r="35" spans="2:8">
      <c r="B35" s="153" t="s">
        <v>28</v>
      </c>
      <c r="C35" s="154">
        <v>84.514067057084844</v>
      </c>
      <c r="D35" s="154">
        <v>4.9769059558717341</v>
      </c>
      <c r="E35" s="524">
        <v>8.6874006399728998</v>
      </c>
      <c r="F35" s="154">
        <v>1.8216263470705378</v>
      </c>
      <c r="G35" s="153" t="s">
        <v>28</v>
      </c>
      <c r="H35" s="117"/>
    </row>
    <row r="36" spans="2:8">
      <c r="B36" s="14" t="s">
        <v>112</v>
      </c>
      <c r="C36" s="152">
        <v>88.981999533759605</v>
      </c>
      <c r="D36" s="152">
        <v>11.000399205756741</v>
      </c>
      <c r="E36" s="525">
        <v>1.7601260483637679E-2</v>
      </c>
      <c r="F36" s="152" t="s">
        <v>43</v>
      </c>
      <c r="G36" s="14" t="s">
        <v>112</v>
      </c>
      <c r="H36" s="117"/>
    </row>
    <row r="37" spans="2:8">
      <c r="B37" s="153" t="s">
        <v>103</v>
      </c>
      <c r="C37" s="154">
        <v>96.3545275053675</v>
      </c>
      <c r="D37" s="154">
        <v>2.3898274185231276</v>
      </c>
      <c r="E37" s="524">
        <v>1.2556450761093876</v>
      </c>
      <c r="F37" s="154" t="s">
        <v>43</v>
      </c>
      <c r="G37" s="153" t="s">
        <v>103</v>
      </c>
      <c r="H37" s="117"/>
    </row>
    <row r="38" spans="2:8">
      <c r="B38" s="15" t="s">
        <v>6</v>
      </c>
      <c r="C38" s="119">
        <v>87.522673031026272</v>
      </c>
      <c r="D38" s="119">
        <v>11.914081145584728</v>
      </c>
      <c r="E38" s="523">
        <v>0.56324582338902152</v>
      </c>
      <c r="F38" s="119" t="s">
        <v>43</v>
      </c>
      <c r="G38" s="15" t="s">
        <v>6</v>
      </c>
      <c r="H38" s="117"/>
    </row>
    <row r="39" spans="2:8">
      <c r="B39" s="153" t="s">
        <v>104</v>
      </c>
      <c r="C39" s="154">
        <v>73.595667015814499</v>
      </c>
      <c r="D39" s="154">
        <v>23.93030736157359</v>
      </c>
      <c r="E39" s="524">
        <v>0.92530521798084542</v>
      </c>
      <c r="F39" s="154">
        <v>1.5487204046310701</v>
      </c>
      <c r="G39" s="153" t="s">
        <v>104</v>
      </c>
      <c r="H39" s="117"/>
    </row>
    <row r="40" spans="2:8">
      <c r="B40" s="440" t="s">
        <v>24</v>
      </c>
      <c r="C40" s="452"/>
      <c r="D40" s="452"/>
      <c r="E40" s="526"/>
      <c r="F40" s="452"/>
      <c r="G40" s="440" t="s">
        <v>24</v>
      </c>
      <c r="H40" s="117"/>
    </row>
    <row r="41" spans="2:8">
      <c r="B41" s="324" t="s">
        <v>10</v>
      </c>
      <c r="C41" s="325">
        <v>88.131662170894614</v>
      </c>
      <c r="D41" s="325">
        <v>11.868337829105394</v>
      </c>
      <c r="E41" s="154" t="s">
        <v>43</v>
      </c>
      <c r="F41" s="154" t="s">
        <v>43</v>
      </c>
      <c r="G41" s="324" t="s">
        <v>10</v>
      </c>
      <c r="H41" s="117"/>
    </row>
    <row r="42" spans="2:8">
      <c r="B42" s="15" t="s">
        <v>40</v>
      </c>
      <c r="C42" s="119">
        <v>88.323333377679035</v>
      </c>
      <c r="D42" s="119">
        <v>5.6341213564463128</v>
      </c>
      <c r="E42" s="523">
        <v>4.7680498090917558</v>
      </c>
      <c r="F42" s="119">
        <v>1.2744954567828968</v>
      </c>
      <c r="G42" s="15" t="s">
        <v>40</v>
      </c>
      <c r="H42" s="117"/>
    </row>
    <row r="43" spans="2:8">
      <c r="B43" s="439" t="s">
        <v>11</v>
      </c>
      <c r="C43" s="453">
        <v>77.25614873152152</v>
      </c>
      <c r="D43" s="453">
        <v>4.9577173842876503</v>
      </c>
      <c r="E43" s="527">
        <v>16.836388870957329</v>
      </c>
      <c r="F43" s="453">
        <v>0.94974501323349048</v>
      </c>
      <c r="G43" s="439" t="s">
        <v>11</v>
      </c>
      <c r="H43" s="117"/>
    </row>
    <row r="45" spans="2:8">
      <c r="B45" s="454" t="s">
        <v>5</v>
      </c>
      <c r="C45" s="455"/>
      <c r="D45" s="456"/>
      <c r="E45" s="528"/>
      <c r="F45" s="456"/>
      <c r="G45" s="82"/>
    </row>
    <row r="46" spans="2:8" ht="24.75" customHeight="1">
      <c r="B46" s="563" t="s">
        <v>152</v>
      </c>
      <c r="C46" s="563"/>
      <c r="D46" s="563"/>
      <c r="E46" s="563"/>
      <c r="F46" s="563"/>
    </row>
    <row r="47" spans="2:8">
      <c r="B47" s="133" t="s">
        <v>113</v>
      </c>
      <c r="C47" s="134">
        <v>80.2</v>
      </c>
      <c r="D47" s="134">
        <v>8.4</v>
      </c>
      <c r="E47" s="530">
        <v>7.7</v>
      </c>
      <c r="F47" s="134">
        <v>1.8</v>
      </c>
      <c r="G47" s="133" t="s">
        <v>113</v>
      </c>
      <c r="H47" s="117"/>
    </row>
    <row r="48" spans="2:8">
      <c r="B48" s="454" t="s">
        <v>97</v>
      </c>
      <c r="H48" s="117"/>
    </row>
    <row r="49" spans="6:6">
      <c r="F49" s="117">
        <f>SUM(C47:F47)+2</f>
        <v>100.10000000000001</v>
      </c>
    </row>
  </sheetData>
  <mergeCells count="4">
    <mergeCell ref="B2:G3"/>
    <mergeCell ref="B4:G4"/>
    <mergeCell ref="B5:F5"/>
    <mergeCell ref="B46:F46"/>
  </mergeCells>
  <phoneticPr fontId="4"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sheetPr>
  <dimension ref="A1:AH85"/>
  <sheetViews>
    <sheetView tabSelected="1" topLeftCell="L1" zoomScaleNormal="100" workbookViewId="0">
      <selection activeCell="AF16" sqref="AF16"/>
    </sheetView>
  </sheetViews>
  <sheetFormatPr defaultRowHeight="11.25"/>
  <cols>
    <col min="1" max="1" width="2.7109375" style="166" customWidth="1"/>
    <col min="2" max="2" width="5" style="165" customWidth="1"/>
    <col min="3" max="4" width="7.7109375" style="165" customWidth="1"/>
    <col min="5" max="5" width="6.7109375" style="165" customWidth="1"/>
    <col min="6" max="9" width="7.7109375" style="165" customWidth="1"/>
    <col min="10" max="10" width="6.7109375" style="165" customWidth="1"/>
    <col min="11" max="11" width="8.140625" style="165" customWidth="1"/>
    <col min="12" max="14" width="7.7109375" style="165" customWidth="1"/>
    <col min="15" max="15" width="6.7109375" style="165" customWidth="1"/>
    <col min="16" max="32" width="7.7109375" style="165" customWidth="1"/>
    <col min="33" max="33" width="7.28515625" style="180" customWidth="1"/>
    <col min="34" max="34" width="4.5703125" style="165" customWidth="1"/>
    <col min="35" max="35" width="9.140625" style="165" customWidth="1"/>
    <col min="36" max="16384" width="9.140625" style="165"/>
  </cols>
  <sheetData>
    <row r="1" spans="1:34" ht="14.25" customHeight="1">
      <c r="B1" s="254"/>
      <c r="C1" s="253"/>
      <c r="D1" s="253"/>
      <c r="E1" s="253"/>
      <c r="F1" s="253"/>
      <c r="G1" s="253"/>
      <c r="H1" s="253"/>
      <c r="I1" s="253"/>
      <c r="J1" s="253"/>
      <c r="K1" s="253"/>
      <c r="L1" s="253"/>
      <c r="M1" s="253"/>
      <c r="N1" s="253"/>
      <c r="O1" s="253"/>
      <c r="P1" s="253"/>
      <c r="Q1" s="252"/>
      <c r="T1" s="251"/>
      <c r="U1" s="251"/>
      <c r="V1" s="251"/>
      <c r="W1" s="251"/>
      <c r="X1" s="251"/>
      <c r="Y1" s="251"/>
      <c r="Z1" s="251"/>
      <c r="AA1" s="251"/>
      <c r="AB1" s="251"/>
      <c r="AC1" s="251"/>
      <c r="AD1" s="251"/>
      <c r="AE1" s="251"/>
      <c r="AF1" s="251"/>
      <c r="AH1" s="251" t="s">
        <v>87</v>
      </c>
    </row>
    <row r="2" spans="1:34" s="169" customFormat="1" ht="30" customHeight="1">
      <c r="A2" s="250"/>
      <c r="B2" s="564" t="s">
        <v>45</v>
      </c>
      <c r="C2" s="564"/>
      <c r="D2" s="564"/>
      <c r="E2" s="564"/>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c r="AF2" s="564"/>
      <c r="AG2" s="564"/>
      <c r="AH2" s="564"/>
    </row>
    <row r="3" spans="1:34" ht="12" customHeight="1">
      <c r="C3" s="249"/>
      <c r="D3" s="249"/>
      <c r="E3" s="249"/>
      <c r="F3" s="249"/>
      <c r="G3" s="249"/>
      <c r="H3" s="249"/>
      <c r="I3" s="249"/>
      <c r="J3" s="249"/>
      <c r="K3" s="361"/>
      <c r="L3" s="361"/>
      <c r="M3" s="361"/>
      <c r="N3" s="361"/>
      <c r="O3" s="361"/>
      <c r="P3" s="361"/>
      <c r="Q3" s="361"/>
      <c r="R3" s="361"/>
      <c r="S3" s="361"/>
      <c r="T3" s="361"/>
      <c r="U3" s="361"/>
      <c r="V3" s="361"/>
      <c r="W3" s="361"/>
      <c r="X3" s="361"/>
      <c r="Y3" s="361"/>
      <c r="Z3" s="361"/>
      <c r="AA3" s="361"/>
      <c r="AB3" s="361"/>
      <c r="AC3" s="361"/>
      <c r="AD3" s="361"/>
      <c r="AE3" s="249" t="s">
        <v>105</v>
      </c>
      <c r="AF3" s="249"/>
      <c r="AG3" s="531"/>
    </row>
    <row r="4" spans="1:34" ht="20.100000000000001" customHeight="1">
      <c r="B4" s="247"/>
      <c r="C4" s="246">
        <v>1970</v>
      </c>
      <c r="D4" s="246">
        <v>1980</v>
      </c>
      <c r="E4" s="245">
        <v>1990</v>
      </c>
      <c r="F4" s="245">
        <v>1991</v>
      </c>
      <c r="G4" s="245">
        <v>1992</v>
      </c>
      <c r="H4" s="245">
        <v>1993</v>
      </c>
      <c r="I4" s="245">
        <v>1994</v>
      </c>
      <c r="J4" s="245">
        <v>1995</v>
      </c>
      <c r="K4" s="245">
        <v>1996</v>
      </c>
      <c r="L4" s="245">
        <v>1997</v>
      </c>
      <c r="M4" s="245">
        <v>1998</v>
      </c>
      <c r="N4" s="245">
        <v>1999</v>
      </c>
      <c r="O4" s="245">
        <v>2000</v>
      </c>
      <c r="P4" s="245">
        <v>2001</v>
      </c>
      <c r="Q4" s="245">
        <v>2002</v>
      </c>
      <c r="R4" s="245">
        <v>2003</v>
      </c>
      <c r="S4" s="245">
        <v>2004</v>
      </c>
      <c r="T4" s="245">
        <v>2005</v>
      </c>
      <c r="U4" s="245">
        <v>2006</v>
      </c>
      <c r="V4" s="245">
        <v>2007</v>
      </c>
      <c r="W4" s="245">
        <v>2008</v>
      </c>
      <c r="X4" s="245">
        <v>2009</v>
      </c>
      <c r="Y4" s="245">
        <v>2010</v>
      </c>
      <c r="Z4" s="245">
        <v>2011</v>
      </c>
      <c r="AA4" s="245">
        <v>2012</v>
      </c>
      <c r="AB4" s="245">
        <v>2013</v>
      </c>
      <c r="AC4" s="245">
        <v>2014</v>
      </c>
      <c r="AD4" s="245">
        <v>2015</v>
      </c>
      <c r="AE4" s="245">
        <v>2016</v>
      </c>
      <c r="AF4" s="245">
        <v>2017</v>
      </c>
      <c r="AG4" s="244" t="s">
        <v>141</v>
      </c>
      <c r="AH4" s="238"/>
    </row>
    <row r="5" spans="1:34" ht="9.9499999999999993" customHeight="1">
      <c r="B5" s="243"/>
      <c r="C5" s="242"/>
      <c r="D5" s="242"/>
      <c r="E5" s="241"/>
      <c r="F5" s="241"/>
      <c r="G5" s="241"/>
      <c r="H5" s="241"/>
      <c r="I5" s="241"/>
      <c r="J5" s="241"/>
      <c r="K5" s="241"/>
      <c r="L5" s="241"/>
      <c r="M5" s="241"/>
      <c r="N5" s="241"/>
      <c r="O5" s="241"/>
      <c r="P5" s="241"/>
      <c r="Q5" s="241"/>
      <c r="R5" s="241"/>
      <c r="S5" s="241"/>
      <c r="T5" s="241"/>
      <c r="U5" s="241"/>
      <c r="V5" s="241"/>
      <c r="W5" s="240"/>
      <c r="X5" s="240"/>
      <c r="Y5" s="240"/>
      <c r="Z5" s="240"/>
      <c r="AA5" s="240"/>
      <c r="AB5" s="240"/>
      <c r="AC5" s="240"/>
      <c r="AD5" s="240"/>
      <c r="AE5" s="240"/>
      <c r="AF5" s="240"/>
      <c r="AG5" s="239" t="s">
        <v>42</v>
      </c>
      <c r="AH5" s="238"/>
    </row>
    <row r="6" spans="1:34" ht="12.75" customHeight="1">
      <c r="B6" s="393" t="s">
        <v>113</v>
      </c>
      <c r="C6" s="413" t="s">
        <v>41</v>
      </c>
      <c r="D6" s="413" t="s">
        <v>41</v>
      </c>
      <c r="E6" s="414" t="s">
        <v>41</v>
      </c>
      <c r="F6" s="415" t="s">
        <v>41</v>
      </c>
      <c r="G6" s="415" t="s">
        <v>41</v>
      </c>
      <c r="H6" s="415" t="s">
        <v>41</v>
      </c>
      <c r="I6" s="415" t="s">
        <v>41</v>
      </c>
      <c r="J6" s="415">
        <f t="shared" ref="J6:AE6" si="0">SUM(J7:J34)</f>
        <v>3904.3968448239566</v>
      </c>
      <c r="K6" s="415">
        <f t="shared" si="0"/>
        <v>3967.9604456235629</v>
      </c>
      <c r="L6" s="415">
        <f t="shared" si="0"/>
        <v>4047.0311598397266</v>
      </c>
      <c r="M6" s="415">
        <f t="shared" si="0"/>
        <v>4144.9820585420912</v>
      </c>
      <c r="N6" s="415">
        <f t="shared" si="0"/>
        <v>4254.7803595390469</v>
      </c>
      <c r="O6" s="415">
        <f t="shared" si="0"/>
        <v>4300.8566861559848</v>
      </c>
      <c r="P6" s="415">
        <f t="shared" si="0"/>
        <v>4387.3788534340165</v>
      </c>
      <c r="Q6" s="415">
        <f t="shared" si="0"/>
        <v>4463.5014769520039</v>
      </c>
      <c r="R6" s="415">
        <f t="shared" si="0"/>
        <v>4494.9430671775235</v>
      </c>
      <c r="S6" s="415">
        <f t="shared" si="0"/>
        <v>4551.8979489057519</v>
      </c>
      <c r="T6" s="415">
        <f t="shared" si="0"/>
        <v>4508.2963686694829</v>
      </c>
      <c r="U6" s="415">
        <f t="shared" si="0"/>
        <v>4549.418913551448</v>
      </c>
      <c r="V6" s="415">
        <f t="shared" si="0"/>
        <v>4596.5889305980709</v>
      </c>
      <c r="W6" s="415">
        <f t="shared" si="0"/>
        <v>4602.442319059387</v>
      </c>
      <c r="X6" s="416">
        <f t="shared" si="0"/>
        <v>4675.1744874633623</v>
      </c>
      <c r="Y6" s="416">
        <f t="shared" si="0"/>
        <v>4625.6376098525552</v>
      </c>
      <c r="Z6" s="416">
        <f t="shared" si="0"/>
        <v>4592.8814681537378</v>
      </c>
      <c r="AA6" s="416">
        <f t="shared" si="0"/>
        <v>4498.2731855008014</v>
      </c>
      <c r="AB6" s="416">
        <f t="shared" si="0"/>
        <v>4549.6450207312373</v>
      </c>
      <c r="AC6" s="416">
        <f t="shared" si="0"/>
        <v>4615.1988158271706</v>
      </c>
      <c r="AD6" s="416">
        <f t="shared" si="0"/>
        <v>4711.7868878429317</v>
      </c>
      <c r="AE6" s="416">
        <f t="shared" si="0"/>
        <v>4826.6906715658197</v>
      </c>
      <c r="AF6" s="416">
        <v>4901.4169593840743</v>
      </c>
      <c r="AG6" s="532">
        <f t="shared" ref="AG6:AG42" si="1">AF6/AE6*100-100</f>
        <v>1.5481888710720426</v>
      </c>
      <c r="AH6" s="393" t="s">
        <v>113</v>
      </c>
    </row>
    <row r="7" spans="1:34" ht="12.75" customHeight="1">
      <c r="A7" s="180"/>
      <c r="B7" s="187" t="s">
        <v>29</v>
      </c>
      <c r="C7" s="231">
        <v>41.106999999999999</v>
      </c>
      <c r="D7" s="231">
        <v>64.576999999999998</v>
      </c>
      <c r="E7" s="181">
        <v>89.486568154942205</v>
      </c>
      <c r="F7" s="181">
        <v>93.170725494158987</v>
      </c>
      <c r="G7" s="181">
        <v>94.65159259661695</v>
      </c>
      <c r="H7" s="181">
        <v>95.159026932527695</v>
      </c>
      <c r="I7" s="181">
        <v>97.61982726007605</v>
      </c>
      <c r="J7" s="181">
        <v>96.41122844758948</v>
      </c>
      <c r="K7" s="181">
        <v>96.124700750612945</v>
      </c>
      <c r="L7" s="181">
        <v>97.950041818024587</v>
      </c>
      <c r="M7" s="181">
        <v>100.14564232032866</v>
      </c>
      <c r="N7" s="181">
        <v>102.03922550781316</v>
      </c>
      <c r="O7" s="181">
        <v>102.54438530389039</v>
      </c>
      <c r="P7" s="181">
        <v>103.44056228671244</v>
      </c>
      <c r="Q7" s="181">
        <v>104.84343859901594</v>
      </c>
      <c r="R7" s="181">
        <v>102.49487951863394</v>
      </c>
      <c r="S7" s="181">
        <v>103.03402541013166</v>
      </c>
      <c r="T7" s="181">
        <v>102.80426446068903</v>
      </c>
      <c r="U7" s="181">
        <v>102.65959801049536</v>
      </c>
      <c r="V7" s="181">
        <v>104.57039703409255</v>
      </c>
      <c r="W7" s="181">
        <v>107.94287032877924</v>
      </c>
      <c r="X7" s="181">
        <v>108.07377743339944</v>
      </c>
      <c r="Y7" s="181">
        <v>109.38776021905481</v>
      </c>
      <c r="Z7" s="181">
        <v>109.96953280096133</v>
      </c>
      <c r="AA7" s="181">
        <v>110.14105828193429</v>
      </c>
      <c r="AB7" s="412">
        <v>105.293135637308</v>
      </c>
      <c r="AC7" s="181">
        <v>108.11064251165099</v>
      </c>
      <c r="AD7" s="181">
        <v>107.001968595549</v>
      </c>
      <c r="AE7" s="181">
        <v>106.13976370089</v>
      </c>
      <c r="AF7" s="181">
        <v>106.94</v>
      </c>
      <c r="AG7" s="533">
        <f t="shared" si="1"/>
        <v>0.75394580806221256</v>
      </c>
      <c r="AH7" s="187" t="s">
        <v>29</v>
      </c>
    </row>
    <row r="8" spans="1:34" ht="12.75" customHeight="1">
      <c r="A8" s="180"/>
      <c r="B8" s="191" t="s">
        <v>12</v>
      </c>
      <c r="C8" s="205" t="s">
        <v>41</v>
      </c>
      <c r="D8" s="205" t="s">
        <v>41</v>
      </c>
      <c r="E8" s="193"/>
      <c r="F8" s="193"/>
      <c r="G8" s="193"/>
      <c r="H8" s="193"/>
      <c r="I8" s="193"/>
      <c r="J8" s="203">
        <v>25</v>
      </c>
      <c r="K8" s="203">
        <v>24.5</v>
      </c>
      <c r="L8" s="203">
        <v>23.9</v>
      </c>
      <c r="M8" s="203">
        <v>24.6</v>
      </c>
      <c r="N8" s="203">
        <v>25.4</v>
      </c>
      <c r="O8" s="203">
        <v>26.9</v>
      </c>
      <c r="P8" s="203">
        <v>27.9</v>
      </c>
      <c r="Q8" s="203">
        <v>29.3</v>
      </c>
      <c r="R8" s="203">
        <v>30.7</v>
      </c>
      <c r="S8" s="203">
        <v>32.799999999999997</v>
      </c>
      <c r="T8" s="203">
        <v>35.1</v>
      </c>
      <c r="U8" s="203">
        <v>37.6</v>
      </c>
      <c r="V8" s="203">
        <v>40.4</v>
      </c>
      <c r="W8" s="203">
        <v>43.2</v>
      </c>
      <c r="X8" s="203">
        <v>46.3</v>
      </c>
      <c r="Y8" s="203">
        <v>46.9</v>
      </c>
      <c r="Z8" s="203">
        <v>48.068037489384793</v>
      </c>
      <c r="AA8" s="203">
        <v>49.702936925862396</v>
      </c>
      <c r="AB8" s="203">
        <v>51.364114011617502</v>
      </c>
      <c r="AC8" s="203">
        <v>53.956822763753138</v>
      </c>
      <c r="AD8" s="203">
        <v>56.846089338036968</v>
      </c>
      <c r="AE8" s="203">
        <v>56.62772543455219</v>
      </c>
      <c r="AF8" s="203">
        <v>57.673404969351786</v>
      </c>
      <c r="AG8" s="293">
        <f t="shared" si="1"/>
        <v>1.8465857965779549</v>
      </c>
      <c r="AH8" s="191" t="s">
        <v>12</v>
      </c>
    </row>
    <row r="9" spans="1:34" ht="12.75" customHeight="1">
      <c r="A9" s="180"/>
      <c r="B9" s="187" t="s">
        <v>14</v>
      </c>
      <c r="C9" s="218"/>
      <c r="D9" s="218"/>
      <c r="E9" s="217"/>
      <c r="F9" s="189"/>
      <c r="G9" s="189"/>
      <c r="H9" s="189">
        <v>49</v>
      </c>
      <c r="I9" s="189">
        <v>51.7</v>
      </c>
      <c r="J9" s="189">
        <v>54.5</v>
      </c>
      <c r="K9" s="189">
        <v>57.9</v>
      </c>
      <c r="L9" s="189">
        <v>59</v>
      </c>
      <c r="M9" s="208">
        <v>59.725999999999999</v>
      </c>
      <c r="N9" s="189">
        <v>62.38</v>
      </c>
      <c r="O9" s="189">
        <v>63.94</v>
      </c>
      <c r="P9" s="189">
        <v>63.47</v>
      </c>
      <c r="Q9" s="189">
        <v>65.290000000000006</v>
      </c>
      <c r="R9" s="189">
        <v>67.36</v>
      </c>
      <c r="S9" s="189">
        <v>67.569999999999993</v>
      </c>
      <c r="T9" s="189">
        <v>68.64</v>
      </c>
      <c r="U9" s="189">
        <v>69.63</v>
      </c>
      <c r="V9" s="189">
        <v>71.540000000000006</v>
      </c>
      <c r="W9" s="189">
        <v>72.38</v>
      </c>
      <c r="X9" s="236">
        <v>72.290000000000006</v>
      </c>
      <c r="Y9" s="237">
        <v>63.57</v>
      </c>
      <c r="Z9" s="236">
        <v>65.489999999999995</v>
      </c>
      <c r="AA9" s="236">
        <v>64.62</v>
      </c>
      <c r="AB9" s="236">
        <v>64.650000000000006</v>
      </c>
      <c r="AC9" s="236">
        <v>66.260000000000005</v>
      </c>
      <c r="AD9" s="236">
        <v>69.704999999999998</v>
      </c>
      <c r="AE9" s="236">
        <v>72.254999999999995</v>
      </c>
      <c r="AF9" s="236">
        <v>74.326999999999998</v>
      </c>
      <c r="AG9" s="534">
        <f t="shared" si="1"/>
        <v>2.8676216178811273</v>
      </c>
      <c r="AH9" s="187" t="s">
        <v>14</v>
      </c>
    </row>
    <row r="10" spans="1:34" ht="12.75" customHeight="1">
      <c r="A10" s="180"/>
      <c r="B10" s="191" t="s">
        <v>25</v>
      </c>
      <c r="C10" s="205">
        <v>33.299999999999997</v>
      </c>
      <c r="D10" s="205">
        <f>38.027+0.458</f>
        <v>38.484999999999999</v>
      </c>
      <c r="E10" s="219">
        <v>47.191000000000003</v>
      </c>
      <c r="F10" s="219">
        <v>47.865000000000002</v>
      </c>
      <c r="G10" s="219">
        <v>48.125999999999998</v>
      </c>
      <c r="H10" s="219">
        <v>47.621000000000002</v>
      </c>
      <c r="I10" s="219">
        <v>47.77</v>
      </c>
      <c r="J10" s="219">
        <v>48.389000000000003</v>
      </c>
      <c r="K10" s="219">
        <v>49.042000000000002</v>
      </c>
      <c r="L10" s="219">
        <v>49.91</v>
      </c>
      <c r="M10" s="219">
        <v>50.328000000000003</v>
      </c>
      <c r="N10" s="219">
        <v>51.307000000000002</v>
      </c>
      <c r="O10" s="219">
        <v>50.615000000000002</v>
      </c>
      <c r="P10" s="219">
        <v>49.62</v>
      </c>
      <c r="Q10" s="219">
        <v>49.454000000000001</v>
      </c>
      <c r="R10" s="219">
        <v>49.695</v>
      </c>
      <c r="S10" s="219">
        <v>50.557000000000002</v>
      </c>
      <c r="T10" s="219">
        <v>49.758000000000003</v>
      </c>
      <c r="U10" s="219">
        <v>49.648000000000003</v>
      </c>
      <c r="V10" s="219">
        <v>50.732999999999997</v>
      </c>
      <c r="W10" s="219">
        <v>51.459000000000003</v>
      </c>
      <c r="X10" s="219">
        <v>51.884</v>
      </c>
      <c r="Y10" s="219">
        <v>51.691000000000003</v>
      </c>
      <c r="Z10" s="219">
        <v>52.957000000000001</v>
      </c>
      <c r="AA10" s="219">
        <v>52.664999999999999</v>
      </c>
      <c r="AB10" s="219">
        <v>52.904000000000003</v>
      </c>
      <c r="AC10" s="219">
        <v>54.402000000000001</v>
      </c>
      <c r="AD10" s="219">
        <v>56.844000000000001</v>
      </c>
      <c r="AE10" s="219">
        <v>59.040999999999997</v>
      </c>
      <c r="AF10" s="219">
        <v>60.045999999999999</v>
      </c>
      <c r="AG10" s="535">
        <f t="shared" si="1"/>
        <v>1.7022069409393481</v>
      </c>
      <c r="AH10" s="191" t="s">
        <v>25</v>
      </c>
    </row>
    <row r="11" spans="1:34" s="201" customFormat="1" ht="12.75" customHeight="1">
      <c r="A11" s="206"/>
      <c r="B11" s="187" t="s">
        <v>30</v>
      </c>
      <c r="C11" s="190">
        <v>394.6</v>
      </c>
      <c r="D11" s="190">
        <v>513.70000000000005</v>
      </c>
      <c r="E11" s="189">
        <v>683.1</v>
      </c>
      <c r="F11" s="189">
        <v>700</v>
      </c>
      <c r="G11" s="189">
        <v>719.5</v>
      </c>
      <c r="H11" s="223">
        <v>729.8</v>
      </c>
      <c r="I11" s="189">
        <v>807.02190250460717</v>
      </c>
      <c r="J11" s="189">
        <v>815.29762943489879</v>
      </c>
      <c r="K11" s="189">
        <v>816.07238295987293</v>
      </c>
      <c r="L11" s="189">
        <v>817.07066702101861</v>
      </c>
      <c r="M11" s="189">
        <v>828.06880234826895</v>
      </c>
      <c r="N11" s="189">
        <v>848.42000426863945</v>
      </c>
      <c r="O11" s="189">
        <v>831.26654484178448</v>
      </c>
      <c r="P11" s="189">
        <v>852.62943876994984</v>
      </c>
      <c r="Q11" s="189">
        <v>862.98699999999997</v>
      </c>
      <c r="R11" s="189">
        <v>857.73599999999999</v>
      </c>
      <c r="S11" s="189">
        <v>868.65</v>
      </c>
      <c r="T11" s="189">
        <v>856.875</v>
      </c>
      <c r="U11" s="189">
        <v>863.32799999999997</v>
      </c>
      <c r="V11" s="189">
        <v>866.53100000000006</v>
      </c>
      <c r="W11" s="189">
        <v>871.32799999999997</v>
      </c>
      <c r="X11" s="189">
        <v>881.1</v>
      </c>
      <c r="Y11" s="189">
        <v>887</v>
      </c>
      <c r="Z11" s="189">
        <v>894.4</v>
      </c>
      <c r="AA11" s="189">
        <v>896.3</v>
      </c>
      <c r="AB11" s="189">
        <v>903.1</v>
      </c>
      <c r="AC11" s="189">
        <v>916.4</v>
      </c>
      <c r="AD11" s="189">
        <v>927</v>
      </c>
      <c r="AE11" s="189">
        <v>946.3</v>
      </c>
      <c r="AF11" s="189">
        <v>935.7</v>
      </c>
      <c r="AG11" s="297">
        <f t="shared" si="1"/>
        <v>-1.1201521716157572</v>
      </c>
      <c r="AH11" s="187" t="s">
        <v>30</v>
      </c>
    </row>
    <row r="12" spans="1:34" ht="12.75" customHeight="1">
      <c r="A12" s="180"/>
      <c r="B12" s="191" t="s">
        <v>15</v>
      </c>
      <c r="C12" s="205" t="s">
        <v>41</v>
      </c>
      <c r="D12" s="205" t="s">
        <v>41</v>
      </c>
      <c r="E12" s="193" t="s">
        <v>41</v>
      </c>
      <c r="F12" s="193" t="s">
        <v>41</v>
      </c>
      <c r="G12" s="193" t="s">
        <v>41</v>
      </c>
      <c r="H12" s="193" t="s">
        <v>41</v>
      </c>
      <c r="I12" s="193" t="s">
        <v>41</v>
      </c>
      <c r="J12" s="203">
        <f>3.956535*1.3</f>
        <v>5.1434955000000002</v>
      </c>
      <c r="K12" s="203">
        <v>5.5</v>
      </c>
      <c r="L12" s="203">
        <v>5.8</v>
      </c>
      <c r="M12" s="203">
        <f>4.763427*1.3</f>
        <v>6.1924551000000001</v>
      </c>
      <c r="N12" s="203">
        <v>6.4</v>
      </c>
      <c r="O12" s="203">
        <f>5.140089*1.3</f>
        <v>6.6821156999999998</v>
      </c>
      <c r="P12" s="203">
        <f>5.23781*1.3</f>
        <v>6.8091529999999993</v>
      </c>
      <c r="Q12" s="203">
        <f>5.430492*1.3</f>
        <v>7.0596396000000006</v>
      </c>
      <c r="R12" s="203">
        <f>5.894855*1.3</f>
        <v>7.6633114999999998</v>
      </c>
      <c r="S12" s="193">
        <v>7.8129999999999997</v>
      </c>
      <c r="T12" s="193">
        <v>9.9290000000000003</v>
      </c>
      <c r="U12" s="193">
        <v>9.9459999999999997</v>
      </c>
      <c r="V12" s="203">
        <v>10</v>
      </c>
      <c r="W12" s="203">
        <v>10.5</v>
      </c>
      <c r="X12" s="203">
        <v>10.5</v>
      </c>
      <c r="Y12" s="203">
        <v>10.1</v>
      </c>
      <c r="Z12" s="203">
        <v>10.381082222547919</v>
      </c>
      <c r="AA12" s="203">
        <v>10.808595077153129</v>
      </c>
      <c r="AB12" s="203">
        <v>11.24613332249695</v>
      </c>
      <c r="AC12" s="203">
        <v>11.85200134241278</v>
      </c>
      <c r="AD12" s="203">
        <v>12.33194848698124</v>
      </c>
      <c r="AE12" s="203">
        <v>12.840848785603473</v>
      </c>
      <c r="AF12" s="203">
        <v>13.081243106323074</v>
      </c>
      <c r="AG12" s="293">
        <f t="shared" si="1"/>
        <v>1.8721061569475097</v>
      </c>
      <c r="AH12" s="191" t="s">
        <v>15</v>
      </c>
    </row>
    <row r="13" spans="1:34" s="201" customFormat="1" ht="12.75" customHeight="1">
      <c r="A13" s="206"/>
      <c r="B13" s="187" t="s">
        <v>33</v>
      </c>
      <c r="C13" s="234">
        <v>10</v>
      </c>
      <c r="D13" s="234">
        <v>19</v>
      </c>
      <c r="E13" s="233">
        <v>28.507000000000001</v>
      </c>
      <c r="F13" s="233">
        <v>29.038</v>
      </c>
      <c r="G13" s="233">
        <v>29.52</v>
      </c>
      <c r="H13" s="233">
        <v>29.835999999999999</v>
      </c>
      <c r="I13" s="233">
        <v>30.56</v>
      </c>
      <c r="J13" s="233">
        <v>31.558</v>
      </c>
      <c r="K13" s="233">
        <v>32.799999999999997</v>
      </c>
      <c r="L13" s="233">
        <v>34.360999999999997</v>
      </c>
      <c r="M13" s="233">
        <v>35.756</v>
      </c>
      <c r="N13" s="233">
        <v>36.838000000000001</v>
      </c>
      <c r="O13" s="233">
        <v>34.607999999999997</v>
      </c>
      <c r="P13" s="232">
        <v>36.459000000000003</v>
      </c>
      <c r="Q13" s="232">
        <v>37.787999999999997</v>
      </c>
      <c r="R13" s="232">
        <v>39.9495</v>
      </c>
      <c r="S13" s="232">
        <v>42.627000000000002</v>
      </c>
      <c r="T13" s="232">
        <v>44.378999999999998</v>
      </c>
      <c r="U13" s="232">
        <v>45.99</v>
      </c>
      <c r="V13" s="232">
        <v>47.959499999999998</v>
      </c>
      <c r="W13" s="232">
        <v>48.887999999999998</v>
      </c>
      <c r="X13" s="232">
        <v>48.857999999999997</v>
      </c>
      <c r="Y13" s="232">
        <v>48.082500000000003</v>
      </c>
      <c r="Z13" s="232">
        <v>47.457000000000001</v>
      </c>
      <c r="AA13" s="232">
        <v>46.613999999999997</v>
      </c>
      <c r="AB13" s="232">
        <f>32.031*1.5</f>
        <v>48.046499999999995</v>
      </c>
      <c r="AC13" s="232">
        <f>31.457*1.5</f>
        <v>47.185500000000005</v>
      </c>
      <c r="AD13" s="232">
        <f>1.5*34.609</f>
        <v>51.913499999999999</v>
      </c>
      <c r="AE13" s="232">
        <f>1.5*36.689</f>
        <v>55.033500000000004</v>
      </c>
      <c r="AF13" s="232">
        <v>56.548944072441628</v>
      </c>
      <c r="AG13" s="536">
        <f t="shared" si="1"/>
        <v>2.7536756201979244</v>
      </c>
      <c r="AH13" s="187" t="s">
        <v>33</v>
      </c>
    </row>
    <row r="14" spans="1:34" ht="13.5" customHeight="1">
      <c r="A14" s="180"/>
      <c r="B14" s="191" t="s">
        <v>26</v>
      </c>
      <c r="C14" s="221">
        <v>4.5</v>
      </c>
      <c r="D14" s="221">
        <v>17.5</v>
      </c>
      <c r="E14" s="203">
        <v>35</v>
      </c>
      <c r="F14" s="203">
        <v>36</v>
      </c>
      <c r="G14" s="203">
        <v>37</v>
      </c>
      <c r="H14" s="203">
        <v>39</v>
      </c>
      <c r="I14" s="203">
        <v>42</v>
      </c>
      <c r="J14" s="203">
        <v>44</v>
      </c>
      <c r="K14" s="203">
        <v>47</v>
      </c>
      <c r="L14" s="203">
        <v>50</v>
      </c>
      <c r="M14" s="203">
        <v>53</v>
      </c>
      <c r="N14" s="203">
        <v>58</v>
      </c>
      <c r="O14" s="203">
        <v>63</v>
      </c>
      <c r="P14" s="203">
        <v>68</v>
      </c>
      <c r="Q14" s="203">
        <v>72</v>
      </c>
      <c r="R14" s="203">
        <v>76</v>
      </c>
      <c r="S14" s="203">
        <v>80</v>
      </c>
      <c r="T14" s="203">
        <v>85</v>
      </c>
      <c r="U14" s="203">
        <v>90</v>
      </c>
      <c r="V14" s="203">
        <v>95</v>
      </c>
      <c r="W14" s="203">
        <v>100</v>
      </c>
      <c r="X14" s="203">
        <v>101.3</v>
      </c>
      <c r="Y14" s="203">
        <v>99.6</v>
      </c>
      <c r="Z14" s="203">
        <v>98.322079941260128</v>
      </c>
      <c r="AA14" s="203">
        <v>96.934481527791093</v>
      </c>
      <c r="AB14" s="203">
        <v>95.811379215017098</v>
      </c>
      <c r="AC14" s="203">
        <v>96.870041465995087</v>
      </c>
      <c r="AD14" s="203">
        <v>98.275784515578437</v>
      </c>
      <c r="AE14" s="203">
        <v>99.922362971391891</v>
      </c>
      <c r="AF14" s="203">
        <v>101.87708750292296</v>
      </c>
      <c r="AG14" s="293">
        <f t="shared" si="1"/>
        <v>1.9562433007020701</v>
      </c>
      <c r="AH14" s="191" t="s">
        <v>26</v>
      </c>
    </row>
    <row r="15" spans="1:34" ht="12.75" customHeight="1">
      <c r="A15" s="180"/>
      <c r="B15" s="187" t="s">
        <v>31</v>
      </c>
      <c r="C15" s="231">
        <v>64.3</v>
      </c>
      <c r="D15" s="231">
        <v>130.9</v>
      </c>
      <c r="E15" s="230">
        <v>174.4</v>
      </c>
      <c r="F15" s="228">
        <v>207.542</v>
      </c>
      <c r="G15" s="229">
        <v>218.27</v>
      </c>
      <c r="H15" s="229">
        <v>229</v>
      </c>
      <c r="I15" s="229">
        <v>239.7</v>
      </c>
      <c r="J15" s="228">
        <v>250.374</v>
      </c>
      <c r="K15" s="229">
        <v>259</v>
      </c>
      <c r="L15" s="229">
        <v>267.60000000000002</v>
      </c>
      <c r="M15" s="228">
        <v>276.173</v>
      </c>
      <c r="N15" s="228">
        <v>293.54000000000002</v>
      </c>
      <c r="O15" s="228">
        <v>302.61099999999999</v>
      </c>
      <c r="P15" s="228">
        <v>307.95499999999998</v>
      </c>
      <c r="Q15" s="229">
        <v>315</v>
      </c>
      <c r="R15" s="228">
        <v>321.928</v>
      </c>
      <c r="S15" s="228">
        <v>330.19200000000001</v>
      </c>
      <c r="T15" s="228">
        <v>337.79700000000003</v>
      </c>
      <c r="U15" s="228">
        <v>340.93700000000001</v>
      </c>
      <c r="V15" s="228">
        <v>343.29300000000001</v>
      </c>
      <c r="W15" s="228">
        <v>342.61099999999999</v>
      </c>
      <c r="X15" s="228">
        <v>350.40100000000001</v>
      </c>
      <c r="Y15" s="228">
        <v>341.62900000000002</v>
      </c>
      <c r="Z15" s="228">
        <v>334.02100000000002</v>
      </c>
      <c r="AA15" s="228">
        <v>321.04500000000002</v>
      </c>
      <c r="AB15" s="228">
        <v>316.53899999999999</v>
      </c>
      <c r="AC15" s="438">
        <v>308.70400000000001</v>
      </c>
      <c r="AD15" s="438">
        <v>317.553</v>
      </c>
      <c r="AE15" s="438">
        <v>329.88</v>
      </c>
      <c r="AF15" s="228">
        <v>332.858</v>
      </c>
      <c r="AG15" s="533">
        <f t="shared" si="1"/>
        <v>0.90275251606644247</v>
      </c>
      <c r="AH15" s="187" t="s">
        <v>31</v>
      </c>
    </row>
    <row r="16" spans="1:34" ht="12.75" customHeight="1">
      <c r="A16" s="180"/>
      <c r="B16" s="191" t="s">
        <v>32</v>
      </c>
      <c r="C16" s="205">
        <v>304.7</v>
      </c>
      <c r="D16" s="205">
        <v>443.84071500000005</v>
      </c>
      <c r="E16" s="193">
        <v>592.46263657335749</v>
      </c>
      <c r="F16" s="193">
        <v>598.43515345785772</v>
      </c>
      <c r="G16" s="193">
        <v>614.23266634846095</v>
      </c>
      <c r="H16" s="193">
        <v>618.08598143580537</v>
      </c>
      <c r="I16" s="193">
        <v>628.64178379537589</v>
      </c>
      <c r="J16" s="193">
        <v>641.21749144146861</v>
      </c>
      <c r="K16" s="193">
        <v>643.95988995302332</v>
      </c>
      <c r="L16" s="193">
        <v>653.44400854606795</v>
      </c>
      <c r="M16" s="193">
        <v>672.20563618702647</v>
      </c>
      <c r="N16" s="193">
        <v>689.1919277863982</v>
      </c>
      <c r="O16" s="193">
        <v>687.73573412192502</v>
      </c>
      <c r="P16" s="193">
        <v>712.21725815796697</v>
      </c>
      <c r="Q16" s="193">
        <v>716.87948383462697</v>
      </c>
      <c r="R16" s="193">
        <v>718.29614938665156</v>
      </c>
      <c r="S16" s="193">
        <v>714.96623674957891</v>
      </c>
      <c r="T16" s="193">
        <v>704.61555371355587</v>
      </c>
      <c r="U16" s="193">
        <v>700.9141843686657</v>
      </c>
      <c r="V16" s="193">
        <v>705.34974950007359</v>
      </c>
      <c r="W16" s="193">
        <v>689.6663151892991</v>
      </c>
      <c r="X16" s="193">
        <v>690.13045232984962</v>
      </c>
      <c r="Y16" s="193">
        <v>695.87129702480968</v>
      </c>
      <c r="Z16" s="193">
        <v>695.89468592518222</v>
      </c>
      <c r="AA16" s="193">
        <v>696.73462707617625</v>
      </c>
      <c r="AB16" s="193">
        <v>699.01631315244504</v>
      </c>
      <c r="AC16" s="193">
        <v>706.94401297852585</v>
      </c>
      <c r="AD16" s="193">
        <v>722.9</v>
      </c>
      <c r="AE16" s="193">
        <v>742.5</v>
      </c>
      <c r="AF16" s="193">
        <v>743.4</v>
      </c>
      <c r="AG16" s="301">
        <f t="shared" si="1"/>
        <v>0.12121212121212466</v>
      </c>
      <c r="AH16" s="191" t="s">
        <v>32</v>
      </c>
    </row>
    <row r="17" spans="1:34" ht="12.75" customHeight="1">
      <c r="A17" s="180"/>
      <c r="B17" s="187" t="s">
        <v>44</v>
      </c>
      <c r="C17" s="190"/>
      <c r="D17" s="190"/>
      <c r="E17" s="189"/>
      <c r="F17" s="189"/>
      <c r="G17" s="189"/>
      <c r="H17" s="189"/>
      <c r="I17" s="189"/>
      <c r="J17" s="208">
        <v>12.5</v>
      </c>
      <c r="K17" s="208">
        <v>14.75</v>
      </c>
      <c r="L17" s="208">
        <v>16.5</v>
      </c>
      <c r="M17" s="208">
        <v>17.5</v>
      </c>
      <c r="N17" s="208">
        <v>19</v>
      </c>
      <c r="O17" s="208">
        <v>20</v>
      </c>
      <c r="P17" s="208">
        <v>21</v>
      </c>
      <c r="Q17" s="208">
        <v>22</v>
      </c>
      <c r="R17" s="208">
        <v>22.5</v>
      </c>
      <c r="S17" s="208">
        <v>23.5</v>
      </c>
      <c r="T17" s="208">
        <v>24</v>
      </c>
      <c r="U17" s="208">
        <v>25</v>
      </c>
      <c r="V17" s="208">
        <v>26</v>
      </c>
      <c r="W17" s="208">
        <v>27</v>
      </c>
      <c r="X17" s="208">
        <v>26.8</v>
      </c>
      <c r="Y17" s="208">
        <v>25.7</v>
      </c>
      <c r="Z17" s="189">
        <v>25.242000000000001</v>
      </c>
      <c r="AA17" s="189">
        <v>26.146999999999998</v>
      </c>
      <c r="AB17" s="189">
        <v>26.145</v>
      </c>
      <c r="AC17" s="189">
        <v>26.056999999999999</v>
      </c>
      <c r="AD17" s="189">
        <v>26.393000000000001</v>
      </c>
      <c r="AE17" s="189">
        <v>26.181000000000001</v>
      </c>
      <c r="AF17" s="189">
        <v>26.189</v>
      </c>
      <c r="AG17" s="297">
        <f t="shared" si="1"/>
        <v>3.0556510446501761E-2</v>
      </c>
      <c r="AH17" s="187" t="s">
        <v>44</v>
      </c>
    </row>
    <row r="18" spans="1:34" ht="12.75" customHeight="1">
      <c r="A18" s="180"/>
      <c r="B18" s="191" t="s">
        <v>34</v>
      </c>
      <c r="C18" s="205">
        <v>211.934</v>
      </c>
      <c r="D18" s="205">
        <v>324.03399999999999</v>
      </c>
      <c r="E18" s="226">
        <v>522.59299999999996</v>
      </c>
      <c r="F18" s="203">
        <v>538.27</v>
      </c>
      <c r="G18" s="203">
        <v>602.21</v>
      </c>
      <c r="H18" s="203">
        <v>603.09</v>
      </c>
      <c r="I18" s="193">
        <v>600.29999999999995</v>
      </c>
      <c r="J18" s="193">
        <v>614.71299999999997</v>
      </c>
      <c r="K18" s="193">
        <v>627.38300000000004</v>
      </c>
      <c r="L18" s="193">
        <v>638.83699999999999</v>
      </c>
      <c r="M18" s="193">
        <v>662.54499999999996</v>
      </c>
      <c r="N18" s="225">
        <v>663.31899999999996</v>
      </c>
      <c r="O18" s="224">
        <v>713.93100000000004</v>
      </c>
      <c r="P18" s="193">
        <f>O18+($T$16-$O$16)/5</f>
        <v>717.30696391832623</v>
      </c>
      <c r="Q18" s="193">
        <f>P18+($T$16-$O$16)/5</f>
        <v>720.68292783665242</v>
      </c>
      <c r="R18" s="193">
        <f>Q18+($T$16-$O$16)/5</f>
        <v>724.05889175497862</v>
      </c>
      <c r="S18" s="193">
        <f>R18+($T$16-$O$16)/5</f>
        <v>727.43485567330481</v>
      </c>
      <c r="T18" s="193">
        <v>677.01400000000001</v>
      </c>
      <c r="U18" s="193">
        <v>676.255</v>
      </c>
      <c r="V18" s="193">
        <v>677.05600000000004</v>
      </c>
      <c r="W18" s="193">
        <v>676.35900000000004</v>
      </c>
      <c r="X18" s="193">
        <v>719.91200000000003</v>
      </c>
      <c r="Y18" s="193">
        <v>698.39</v>
      </c>
      <c r="Z18" s="193">
        <v>665.32799999999997</v>
      </c>
      <c r="AA18" s="193">
        <v>578.66800000000001</v>
      </c>
      <c r="AB18" s="193">
        <v>620.36800000000005</v>
      </c>
      <c r="AC18" s="193">
        <v>642.91999999999996</v>
      </c>
      <c r="AD18" s="193">
        <v>676.35</v>
      </c>
      <c r="AE18" s="193">
        <v>704.54200000000003</v>
      </c>
      <c r="AF18" s="193">
        <v>744.91899999999998</v>
      </c>
      <c r="AG18" s="301">
        <f t="shared" si="1"/>
        <v>5.7309571324349662</v>
      </c>
      <c r="AH18" s="191" t="s">
        <v>34</v>
      </c>
    </row>
    <row r="19" spans="1:34" ht="12.75" customHeight="1">
      <c r="A19" s="180"/>
      <c r="B19" s="187" t="s">
        <v>13</v>
      </c>
      <c r="C19" s="190" t="s">
        <v>41</v>
      </c>
      <c r="D19" s="190" t="s">
        <v>41</v>
      </c>
      <c r="E19" s="189" t="s">
        <v>41</v>
      </c>
      <c r="F19" s="189" t="s">
        <v>41</v>
      </c>
      <c r="G19" s="189" t="s">
        <v>41</v>
      </c>
      <c r="H19" s="189" t="s">
        <v>41</v>
      </c>
      <c r="I19" s="189" t="s">
        <v>41</v>
      </c>
      <c r="J19" s="209">
        <v>3.4</v>
      </c>
      <c r="K19" s="209">
        <v>3.5</v>
      </c>
      <c r="L19" s="209">
        <v>3.6</v>
      </c>
      <c r="M19" s="209">
        <v>3.7</v>
      </c>
      <c r="N19" s="209">
        <v>3.8</v>
      </c>
      <c r="O19" s="209">
        <v>3.9</v>
      </c>
      <c r="P19" s="209">
        <v>4</v>
      </c>
      <c r="Q19" s="209">
        <v>4.0999999999999996</v>
      </c>
      <c r="R19" s="209">
        <v>4.1500000000000004</v>
      </c>
      <c r="S19" s="208">
        <v>4.5999999999999996</v>
      </c>
      <c r="T19" s="208">
        <v>4.8</v>
      </c>
      <c r="U19" s="208">
        <v>5</v>
      </c>
      <c r="V19" s="208">
        <v>5.3</v>
      </c>
      <c r="W19" s="208">
        <v>5.75</v>
      </c>
      <c r="X19" s="208">
        <v>6</v>
      </c>
      <c r="Y19" s="208">
        <v>5.9</v>
      </c>
      <c r="Z19" s="208">
        <v>5.93190592556501</v>
      </c>
      <c r="AA19" s="208">
        <v>5.9515765516010246</v>
      </c>
      <c r="AB19" s="208">
        <v>5.9211434324198757</v>
      </c>
      <c r="AC19" s="208">
        <v>6.0557617857620594</v>
      </c>
      <c r="AD19" s="208">
        <v>6.1981335730052542</v>
      </c>
      <c r="AE19" s="208">
        <v>6.4728965180617504</v>
      </c>
      <c r="AF19" s="208">
        <v>6.5573941867523127</v>
      </c>
      <c r="AG19" s="536">
        <f t="shared" si="1"/>
        <v>1.305407377590285</v>
      </c>
      <c r="AH19" s="187" t="s">
        <v>13</v>
      </c>
    </row>
    <row r="20" spans="1:34" s="201" customFormat="1" ht="12.75" customHeight="1">
      <c r="A20" s="206"/>
      <c r="B20" s="191" t="s">
        <v>17</v>
      </c>
      <c r="C20" s="205" t="s">
        <v>41</v>
      </c>
      <c r="D20" s="205" t="s">
        <v>41</v>
      </c>
      <c r="E20" s="193" t="s">
        <v>41</v>
      </c>
      <c r="F20" s="193" t="s">
        <v>41</v>
      </c>
      <c r="G20" s="193" t="s">
        <v>41</v>
      </c>
      <c r="H20" s="193" t="s">
        <v>41</v>
      </c>
      <c r="I20" s="193" t="s">
        <v>41</v>
      </c>
      <c r="J20" s="204">
        <v>7.5</v>
      </c>
      <c r="K20" s="204">
        <v>8</v>
      </c>
      <c r="L20" s="204">
        <v>9</v>
      </c>
      <c r="M20" s="204">
        <v>10</v>
      </c>
      <c r="N20" s="204">
        <v>11</v>
      </c>
      <c r="O20" s="204">
        <v>11.5</v>
      </c>
      <c r="P20" s="204">
        <v>12</v>
      </c>
      <c r="Q20" s="204">
        <v>12.5</v>
      </c>
      <c r="R20" s="204">
        <v>13</v>
      </c>
      <c r="S20" s="203">
        <v>11.506399999999999</v>
      </c>
      <c r="T20" s="193">
        <v>12.111499999999999</v>
      </c>
      <c r="U20" s="203">
        <v>14.019600000000001</v>
      </c>
      <c r="V20" s="203">
        <v>15.9572</v>
      </c>
      <c r="W20" s="193">
        <v>14.2525</v>
      </c>
      <c r="X20" s="193">
        <v>12.70369</v>
      </c>
      <c r="Y20" s="193">
        <v>12.312340000000001</v>
      </c>
      <c r="Z20" s="193">
        <v>11.3499</v>
      </c>
      <c r="AA20" s="193">
        <v>11.528</v>
      </c>
      <c r="AB20" s="193">
        <v>11.7334</v>
      </c>
      <c r="AC20" s="193">
        <v>12.6258</v>
      </c>
      <c r="AD20" s="193">
        <v>13.5426</v>
      </c>
      <c r="AE20" s="193">
        <v>13.8988</v>
      </c>
      <c r="AF20" s="193">
        <v>14.978</v>
      </c>
      <c r="AG20" s="301">
        <f t="shared" si="1"/>
        <v>7.7646991107146022</v>
      </c>
      <c r="AH20" s="191" t="s">
        <v>17</v>
      </c>
    </row>
    <row r="21" spans="1:34" ht="12.75" customHeight="1">
      <c r="A21" s="180"/>
      <c r="B21" s="187" t="s">
        <v>18</v>
      </c>
      <c r="C21" s="190" t="s">
        <v>41</v>
      </c>
      <c r="D21" s="190" t="s">
        <v>41</v>
      </c>
      <c r="E21" s="189" t="s">
        <v>41</v>
      </c>
      <c r="F21" s="189" t="s">
        <v>41</v>
      </c>
      <c r="G21" s="189" t="s">
        <v>41</v>
      </c>
      <c r="H21" s="189" t="s">
        <v>41</v>
      </c>
      <c r="I21" s="189" t="s">
        <v>41</v>
      </c>
      <c r="J21" s="208">
        <v>16</v>
      </c>
      <c r="K21" s="208">
        <v>18</v>
      </c>
      <c r="L21" s="208">
        <v>20</v>
      </c>
      <c r="M21" s="208">
        <v>22</v>
      </c>
      <c r="N21" s="208">
        <v>25</v>
      </c>
      <c r="O21" s="208">
        <v>26</v>
      </c>
      <c r="P21" s="208">
        <v>26</v>
      </c>
      <c r="Q21" s="208">
        <v>26</v>
      </c>
      <c r="R21" s="208">
        <v>29</v>
      </c>
      <c r="S21" s="208">
        <v>31</v>
      </c>
      <c r="T21" s="189">
        <v>34.792999999999999</v>
      </c>
      <c r="U21" s="189">
        <v>39.472000000000001</v>
      </c>
      <c r="V21" s="189">
        <v>39.119</v>
      </c>
      <c r="W21" s="189">
        <v>37.991</v>
      </c>
      <c r="X21" s="189">
        <v>36.055</v>
      </c>
      <c r="Y21" s="189">
        <v>32.569000000000003</v>
      </c>
      <c r="Z21" s="189">
        <v>29.908000000000001</v>
      </c>
      <c r="AA21" s="189">
        <v>34.191000000000003</v>
      </c>
      <c r="AB21" s="189">
        <v>33.325000000000003</v>
      </c>
      <c r="AC21" s="189">
        <v>24.335999999999999</v>
      </c>
      <c r="AD21" s="189">
        <v>24.864999999999998</v>
      </c>
      <c r="AE21" s="189">
        <v>25.853999999999999</v>
      </c>
      <c r="AF21" s="189">
        <v>31.361000000000001</v>
      </c>
      <c r="AG21" s="297">
        <f t="shared" si="1"/>
        <v>21.300379051597432</v>
      </c>
      <c r="AH21" s="187" t="s">
        <v>18</v>
      </c>
    </row>
    <row r="22" spans="1:34" s="201" customFormat="1" ht="12.75" customHeight="1">
      <c r="A22" s="206"/>
      <c r="B22" s="191" t="s">
        <v>35</v>
      </c>
      <c r="C22" s="221">
        <v>2.1</v>
      </c>
      <c r="D22" s="221">
        <v>2.7</v>
      </c>
      <c r="E22" s="203">
        <v>4</v>
      </c>
      <c r="F22" s="203">
        <v>4.1500000000000004</v>
      </c>
      <c r="G22" s="203">
        <v>4.3</v>
      </c>
      <c r="H22" s="203">
        <v>4.5</v>
      </c>
      <c r="I22" s="203">
        <v>4.5999999999999996</v>
      </c>
      <c r="J22" s="203">
        <v>4.7</v>
      </c>
      <c r="K22" s="203">
        <v>4.8</v>
      </c>
      <c r="L22" s="203">
        <v>4.9000000000000004</v>
      </c>
      <c r="M22" s="203">
        <v>5</v>
      </c>
      <c r="N22" s="203">
        <v>5</v>
      </c>
      <c r="O22" s="203">
        <v>5.6</v>
      </c>
      <c r="P22" s="203">
        <v>5.8</v>
      </c>
      <c r="Q22" s="203">
        <v>5.9</v>
      </c>
      <c r="R22" s="203">
        <v>6</v>
      </c>
      <c r="S22" s="203">
        <v>6.1</v>
      </c>
      <c r="T22" s="203">
        <v>6.3</v>
      </c>
      <c r="U22" s="203">
        <v>6.5</v>
      </c>
      <c r="V22" s="203">
        <v>6.6</v>
      </c>
      <c r="W22" s="203">
        <v>6.7</v>
      </c>
      <c r="X22" s="203">
        <v>6.7</v>
      </c>
      <c r="Y22" s="203">
        <v>6.5</v>
      </c>
      <c r="Z22" s="203">
        <v>6.5917580235815709</v>
      </c>
      <c r="AA22" s="203">
        <v>6.7331326886577019</v>
      </c>
      <c r="AB22" s="203">
        <v>6.8509305497477948</v>
      </c>
      <c r="AC22" s="203">
        <v>7.132396036634483</v>
      </c>
      <c r="AD22" s="203">
        <v>7.3213582606667256</v>
      </c>
      <c r="AE22" s="203">
        <v>7.5254204786711547</v>
      </c>
      <c r="AF22" s="203">
        <v>7.6739151349680519</v>
      </c>
      <c r="AG22" s="293">
        <f t="shared" si="1"/>
        <v>1.9732406543629963</v>
      </c>
      <c r="AH22" s="191" t="s">
        <v>35</v>
      </c>
    </row>
    <row r="23" spans="1:34" ht="12.75" customHeight="1">
      <c r="A23" s="180"/>
      <c r="B23" s="187" t="s">
        <v>16</v>
      </c>
      <c r="C23" s="190" t="s">
        <v>41</v>
      </c>
      <c r="D23" s="190" t="s">
        <v>41</v>
      </c>
      <c r="E23" s="189">
        <v>47</v>
      </c>
      <c r="F23" s="189">
        <v>46.8</v>
      </c>
      <c r="G23" s="189">
        <v>44.6</v>
      </c>
      <c r="H23" s="189">
        <v>44</v>
      </c>
      <c r="I23" s="189">
        <v>44.9</v>
      </c>
      <c r="J23" s="189">
        <v>45.4</v>
      </c>
      <c r="K23" s="189">
        <v>45.6</v>
      </c>
      <c r="L23" s="189">
        <v>46.1</v>
      </c>
      <c r="M23" s="189">
        <v>46.15</v>
      </c>
      <c r="N23" s="189">
        <v>46.17</v>
      </c>
      <c r="O23" s="189">
        <v>46.18</v>
      </c>
      <c r="P23" s="189">
        <v>46.18</v>
      </c>
      <c r="Q23" s="189">
        <v>46.3</v>
      </c>
      <c r="R23" s="189">
        <v>47.517000000000003</v>
      </c>
      <c r="S23" s="189">
        <v>49.121000000000002</v>
      </c>
      <c r="T23" s="223">
        <v>49.402999999999999</v>
      </c>
      <c r="U23" s="189">
        <v>52.314999999999998</v>
      </c>
      <c r="V23" s="189">
        <v>53.945999999999998</v>
      </c>
      <c r="W23" s="189">
        <v>54.005000000000003</v>
      </c>
      <c r="X23" s="189">
        <v>54.396000000000001</v>
      </c>
      <c r="Y23" s="189">
        <v>52.594999999999999</v>
      </c>
      <c r="Z23" s="189">
        <v>52.250999999999998</v>
      </c>
      <c r="AA23" s="189">
        <v>51.792999999999999</v>
      </c>
      <c r="AB23" s="189">
        <v>51.823999999999998</v>
      </c>
      <c r="AC23" s="189">
        <v>52.722999999999999</v>
      </c>
      <c r="AD23" s="189">
        <v>54.603000000000002</v>
      </c>
      <c r="AE23" s="189">
        <v>56.677</v>
      </c>
      <c r="AF23" s="189">
        <v>60.645000000000003</v>
      </c>
      <c r="AG23" s="297">
        <f t="shared" si="1"/>
        <v>7.0010762743264507</v>
      </c>
      <c r="AH23" s="187" t="s">
        <v>16</v>
      </c>
    </row>
    <row r="24" spans="1:34" s="201" customFormat="1" ht="12.75" customHeight="1">
      <c r="A24" s="206"/>
      <c r="B24" s="191" t="s">
        <v>19</v>
      </c>
      <c r="C24" s="205" t="s">
        <v>41</v>
      </c>
      <c r="D24" s="205" t="s">
        <v>41</v>
      </c>
      <c r="E24" s="193" t="s">
        <v>41</v>
      </c>
      <c r="F24" s="193" t="s">
        <v>41</v>
      </c>
      <c r="G24" s="193" t="s">
        <v>41</v>
      </c>
      <c r="H24" s="193" t="s">
        <v>41</v>
      </c>
      <c r="I24" s="193" t="s">
        <v>41</v>
      </c>
      <c r="J24" s="203">
        <v>1.7</v>
      </c>
      <c r="K24" s="203">
        <v>1.72</v>
      </c>
      <c r="L24" s="203">
        <v>1.74</v>
      </c>
      <c r="M24" s="203">
        <v>1.76</v>
      </c>
      <c r="N24" s="203">
        <v>1.78</v>
      </c>
      <c r="O24" s="203">
        <v>1.8</v>
      </c>
      <c r="P24" s="203">
        <v>1.8</v>
      </c>
      <c r="Q24" s="203">
        <v>1.85</v>
      </c>
      <c r="R24" s="203">
        <v>1.9</v>
      </c>
      <c r="S24" s="203">
        <v>1.95</v>
      </c>
      <c r="T24" s="203">
        <v>2</v>
      </c>
      <c r="U24" s="203">
        <v>2.0499999999999998</v>
      </c>
      <c r="V24" s="203">
        <v>2.1</v>
      </c>
      <c r="W24" s="203">
        <v>2.15</v>
      </c>
      <c r="X24" s="203">
        <v>2.2000000000000002</v>
      </c>
      <c r="Y24" s="203">
        <v>2.2000000000000002</v>
      </c>
      <c r="Z24" s="203">
        <v>2.2297181531995443</v>
      </c>
      <c r="AA24" s="203">
        <v>2.2404488975013952</v>
      </c>
      <c r="AB24" s="203">
        <v>2.291235362302769</v>
      </c>
      <c r="AC24" s="203">
        <v>2.4135009155436644</v>
      </c>
      <c r="AD24" s="203">
        <v>2.5042317396135667</v>
      </c>
      <c r="AE24" s="203">
        <f>AD24*2648.08/2556.52</f>
        <v>2.5939190716426603</v>
      </c>
      <c r="AF24" s="203">
        <v>2.6182962299592711</v>
      </c>
      <c r="AG24" s="293">
        <f t="shared" si="1"/>
        <v>0.93978098943439647</v>
      </c>
      <c r="AH24" s="191" t="s">
        <v>19</v>
      </c>
    </row>
    <row r="25" spans="1:34" ht="12.75" customHeight="1">
      <c r="A25" s="180"/>
      <c r="B25" s="187" t="s">
        <v>27</v>
      </c>
      <c r="C25" s="190">
        <v>67.099999999999994</v>
      </c>
      <c r="D25" s="216">
        <v>108.1</v>
      </c>
      <c r="E25" s="189">
        <v>137.30000000000001</v>
      </c>
      <c r="F25" s="189">
        <v>124.5</v>
      </c>
      <c r="G25" s="189">
        <v>129.1</v>
      </c>
      <c r="H25" s="189">
        <v>126.1</v>
      </c>
      <c r="I25" s="189">
        <v>128.80000000000001</v>
      </c>
      <c r="J25" s="189">
        <v>131.4</v>
      </c>
      <c r="K25" s="189">
        <v>132.69999999999999</v>
      </c>
      <c r="L25" s="189">
        <v>136.5</v>
      </c>
      <c r="M25" s="189">
        <v>137.1</v>
      </c>
      <c r="N25" s="189">
        <v>141.30000000000001</v>
      </c>
      <c r="O25" s="189">
        <v>141.1</v>
      </c>
      <c r="P25" s="189">
        <v>141.6</v>
      </c>
      <c r="Q25" s="189">
        <v>144.19999999999999</v>
      </c>
      <c r="R25" s="189">
        <v>146.1</v>
      </c>
      <c r="S25" s="189">
        <v>151.6</v>
      </c>
      <c r="T25" s="189">
        <v>148.80000000000001</v>
      </c>
      <c r="U25" s="189">
        <v>148</v>
      </c>
      <c r="V25" s="189">
        <v>148.80000000000001</v>
      </c>
      <c r="W25" s="189">
        <v>147</v>
      </c>
      <c r="X25" s="208">
        <v>146.30000000000001</v>
      </c>
      <c r="Y25" s="215">
        <v>144.19999999999999</v>
      </c>
      <c r="Z25" s="189">
        <v>144.4</v>
      </c>
      <c r="AA25" s="189">
        <v>139.69999999999999</v>
      </c>
      <c r="AB25" s="189">
        <v>145.4</v>
      </c>
      <c r="AC25" s="189">
        <v>144.96899999999999</v>
      </c>
      <c r="AD25" s="189">
        <v>139.5</v>
      </c>
      <c r="AE25" s="189">
        <f>97.7+43.1</f>
        <v>140.80000000000001</v>
      </c>
      <c r="AF25" s="189">
        <v>138.69999999999999</v>
      </c>
      <c r="AG25" s="297">
        <f t="shared" si="1"/>
        <v>-1.4914772727272947</v>
      </c>
      <c r="AH25" s="187" t="s">
        <v>27</v>
      </c>
    </row>
    <row r="26" spans="1:34" s="201" customFormat="1" ht="12.75" customHeight="1">
      <c r="A26" s="206"/>
      <c r="B26" s="191" t="s">
        <v>36</v>
      </c>
      <c r="C26" s="205">
        <v>32.9</v>
      </c>
      <c r="D26" s="205">
        <v>47.8</v>
      </c>
      <c r="E26" s="193">
        <v>55.677</v>
      </c>
      <c r="F26" s="193">
        <v>57.390999999999998</v>
      </c>
      <c r="G26" s="193">
        <v>58.959000000000003</v>
      </c>
      <c r="H26" s="193">
        <v>59.784999999999997</v>
      </c>
      <c r="I26" s="193">
        <v>61.802999999999997</v>
      </c>
      <c r="J26" s="193">
        <v>62.155999999999999</v>
      </c>
      <c r="K26" s="193">
        <v>63.073</v>
      </c>
      <c r="L26" s="193">
        <v>63.863999999999997</v>
      </c>
      <c r="M26" s="193">
        <v>64.861000000000004</v>
      </c>
      <c r="N26" s="193">
        <v>66.11</v>
      </c>
      <c r="O26" s="193">
        <v>66.668000000000006</v>
      </c>
      <c r="P26" s="193">
        <v>67.103999999999999</v>
      </c>
      <c r="Q26" s="193">
        <v>67.959999999999994</v>
      </c>
      <c r="R26" s="193">
        <v>68.941000000000003</v>
      </c>
      <c r="S26" s="193">
        <v>69.608000000000004</v>
      </c>
      <c r="T26" s="193">
        <v>70.557000000000002</v>
      </c>
      <c r="U26" s="193">
        <v>70.893000000000001</v>
      </c>
      <c r="V26" s="193">
        <v>72.022999999999996</v>
      </c>
      <c r="W26" s="193">
        <v>73.281000000000006</v>
      </c>
      <c r="X26" s="193">
        <v>72.674999999999997</v>
      </c>
      <c r="Y26" s="193">
        <v>73.466999999999999</v>
      </c>
      <c r="Z26" s="193">
        <v>74.450999999999993</v>
      </c>
      <c r="AA26" s="193">
        <v>74.153999999999996</v>
      </c>
      <c r="AB26" s="193">
        <v>74.837000000000003</v>
      </c>
      <c r="AC26" s="193">
        <v>76.593999999999994</v>
      </c>
      <c r="AD26" s="193">
        <v>78.346999999999994</v>
      </c>
      <c r="AE26" s="193">
        <v>80.444000000000003</v>
      </c>
      <c r="AF26" s="193">
        <v>81.795000000000002</v>
      </c>
      <c r="AG26" s="301">
        <f t="shared" si="1"/>
        <v>1.6794291681169398</v>
      </c>
      <c r="AH26" s="191" t="s">
        <v>36</v>
      </c>
    </row>
    <row r="27" spans="1:34" ht="12.75" customHeight="1">
      <c r="A27" s="180"/>
      <c r="B27" s="187" t="s">
        <v>20</v>
      </c>
      <c r="C27" s="190" t="s">
        <v>41</v>
      </c>
      <c r="D27" s="190" t="s">
        <v>41</v>
      </c>
      <c r="E27" s="189" t="s">
        <v>41</v>
      </c>
      <c r="F27" s="189"/>
      <c r="G27" s="189"/>
      <c r="H27" s="189"/>
      <c r="I27" s="189"/>
      <c r="J27" s="189">
        <v>110.7</v>
      </c>
      <c r="K27" s="189">
        <v>121.6</v>
      </c>
      <c r="L27" s="189">
        <v>132</v>
      </c>
      <c r="M27" s="189">
        <v>141.1</v>
      </c>
      <c r="N27" s="189">
        <v>143</v>
      </c>
      <c r="O27" s="215">
        <v>130.1</v>
      </c>
      <c r="P27" s="189">
        <v>132.30000000000001</v>
      </c>
      <c r="Q27" s="189">
        <v>135.80000000000001</v>
      </c>
      <c r="R27" s="189">
        <v>141.30000000000001</v>
      </c>
      <c r="S27" s="189">
        <v>146.80000000000001</v>
      </c>
      <c r="T27" s="189">
        <v>152.30000000000001</v>
      </c>
      <c r="U27" s="189">
        <v>156.6</v>
      </c>
      <c r="V27" s="189">
        <v>162.30000000000001</v>
      </c>
      <c r="W27" s="189">
        <v>172.6</v>
      </c>
      <c r="X27" s="189">
        <v>182.75800000000001</v>
      </c>
      <c r="Y27" s="189">
        <v>188.81</v>
      </c>
      <c r="Z27" s="189">
        <v>189.10300000000001</v>
      </c>
      <c r="AA27" s="189">
        <v>189.32400000000001</v>
      </c>
      <c r="AB27" s="189">
        <v>193.33600000000001</v>
      </c>
      <c r="AC27" s="189">
        <v>197.03200000000001</v>
      </c>
      <c r="AD27" s="189">
        <v>200.57</v>
      </c>
      <c r="AE27" s="189">
        <v>203.78299999999999</v>
      </c>
      <c r="AF27" s="189">
        <v>205.74691578298317</v>
      </c>
      <c r="AG27" s="297">
        <f t="shared" si="1"/>
        <v>0.96372895824636373</v>
      </c>
      <c r="AH27" s="187" t="s">
        <v>20</v>
      </c>
    </row>
    <row r="28" spans="1:34" s="201" customFormat="1" ht="12.75" customHeight="1">
      <c r="A28" s="206"/>
      <c r="B28" s="191" t="s">
        <v>37</v>
      </c>
      <c r="C28" s="221">
        <v>13.8</v>
      </c>
      <c r="D28" s="221">
        <v>29</v>
      </c>
      <c r="E28" s="203">
        <v>40</v>
      </c>
      <c r="F28" s="203">
        <v>41</v>
      </c>
      <c r="G28" s="203">
        <v>43</v>
      </c>
      <c r="H28" s="203">
        <v>46</v>
      </c>
      <c r="I28" s="203">
        <v>49</v>
      </c>
      <c r="J28" s="203">
        <v>52.5</v>
      </c>
      <c r="K28" s="203">
        <v>56</v>
      </c>
      <c r="L28" s="203">
        <v>60</v>
      </c>
      <c r="M28" s="203">
        <v>64</v>
      </c>
      <c r="N28" s="203">
        <v>68</v>
      </c>
      <c r="O28" s="203">
        <v>71</v>
      </c>
      <c r="P28" s="203">
        <v>73.2</v>
      </c>
      <c r="Q28" s="203">
        <v>77.7</v>
      </c>
      <c r="R28" s="203">
        <v>81.5</v>
      </c>
      <c r="S28" s="203">
        <v>83</v>
      </c>
      <c r="T28" s="203">
        <v>85</v>
      </c>
      <c r="U28" s="203">
        <v>86</v>
      </c>
      <c r="V28" s="203">
        <v>86.6</v>
      </c>
      <c r="W28" s="203">
        <v>87</v>
      </c>
      <c r="X28" s="203">
        <v>86</v>
      </c>
      <c r="Y28" s="203">
        <v>83.7</v>
      </c>
      <c r="Z28" s="203">
        <v>83.190084528920025</v>
      </c>
      <c r="AA28" s="203">
        <v>82.13077342280117</v>
      </c>
      <c r="AB28" s="203">
        <v>81.865937271332953</v>
      </c>
      <c r="AC28" s="203">
        <v>83.335892690114903</v>
      </c>
      <c r="AD28" s="203">
        <v>84.467857514628818</v>
      </c>
      <c r="AE28" s="203">
        <v>90.461994001226003</v>
      </c>
      <c r="AF28" s="203">
        <v>92.191507303343357</v>
      </c>
      <c r="AG28" s="293">
        <f t="shared" si="1"/>
        <v>1.9118673219760325</v>
      </c>
      <c r="AH28" s="191" t="s">
        <v>37</v>
      </c>
    </row>
    <row r="29" spans="1:34" ht="12.75" customHeight="1">
      <c r="A29" s="180"/>
      <c r="B29" s="187" t="s">
        <v>21</v>
      </c>
      <c r="C29" s="220"/>
      <c r="D29" s="220"/>
      <c r="E29" s="208"/>
      <c r="F29" s="208"/>
      <c r="G29" s="208"/>
      <c r="H29" s="208"/>
      <c r="I29" s="208"/>
      <c r="J29" s="208">
        <v>40</v>
      </c>
      <c r="K29" s="208">
        <v>42.5</v>
      </c>
      <c r="L29" s="208">
        <v>45</v>
      </c>
      <c r="M29" s="208">
        <v>47</v>
      </c>
      <c r="N29" s="208">
        <v>49</v>
      </c>
      <c r="O29" s="208">
        <v>51</v>
      </c>
      <c r="P29" s="208">
        <v>52.5</v>
      </c>
      <c r="Q29" s="208">
        <v>54</v>
      </c>
      <c r="R29" s="208">
        <v>56</v>
      </c>
      <c r="S29" s="208">
        <v>58</v>
      </c>
      <c r="T29" s="208">
        <v>61</v>
      </c>
      <c r="U29" s="208">
        <v>64.099999999999994</v>
      </c>
      <c r="V29" s="208">
        <v>67.5</v>
      </c>
      <c r="W29" s="208">
        <v>70.5</v>
      </c>
      <c r="X29" s="208">
        <v>75.5</v>
      </c>
      <c r="Y29" s="208">
        <v>75.5</v>
      </c>
      <c r="Z29" s="208">
        <v>74.97833815332045</v>
      </c>
      <c r="AA29" s="208">
        <v>77.04505960700007</v>
      </c>
      <c r="AB29" s="208">
        <v>80.363418326056077</v>
      </c>
      <c r="AC29" s="208">
        <v>85.193859872241475</v>
      </c>
      <c r="AD29" s="208">
        <v>89.866362080533492</v>
      </c>
      <c r="AE29" s="208">
        <v>95.591682544376425</v>
      </c>
      <c r="AF29" s="208">
        <v>97.303330280284371</v>
      </c>
      <c r="AG29" s="536">
        <f t="shared" si="1"/>
        <v>1.7905822874425752</v>
      </c>
      <c r="AH29" s="187" t="s">
        <v>21</v>
      </c>
    </row>
    <row r="30" spans="1:34" s="201" customFormat="1" ht="12.75" customHeight="1">
      <c r="A30" s="206"/>
      <c r="B30" s="191" t="s">
        <v>23</v>
      </c>
      <c r="C30" s="205" t="s">
        <v>41</v>
      </c>
      <c r="D30" s="205" t="s">
        <v>41</v>
      </c>
      <c r="E30" s="219">
        <v>13.32</v>
      </c>
      <c r="F30" s="219">
        <v>12.606</v>
      </c>
      <c r="G30" s="219">
        <v>13.385999999999999</v>
      </c>
      <c r="H30" s="219">
        <v>13.978999999999999</v>
      </c>
      <c r="I30" s="219">
        <v>15.178000000000001</v>
      </c>
      <c r="J30" s="219">
        <v>16.338000000000001</v>
      </c>
      <c r="K30" s="219">
        <v>17.794</v>
      </c>
      <c r="L30" s="219">
        <v>19.010999999999999</v>
      </c>
      <c r="M30" s="219">
        <v>18.98</v>
      </c>
      <c r="N30" s="219">
        <v>20.074000000000002</v>
      </c>
      <c r="O30" s="219">
        <v>20.324999999999999</v>
      </c>
      <c r="P30" s="219">
        <v>20.800999999999998</v>
      </c>
      <c r="Q30" s="219">
        <v>21.286999999999999</v>
      </c>
      <c r="R30" s="219">
        <v>21.331</v>
      </c>
      <c r="S30" s="193">
        <v>22.042000000000002</v>
      </c>
      <c r="T30" s="193">
        <v>22.509</v>
      </c>
      <c r="U30" s="193">
        <v>23.006</v>
      </c>
      <c r="V30" s="193">
        <v>24.355</v>
      </c>
      <c r="W30" s="193">
        <v>24.878</v>
      </c>
      <c r="X30" s="193">
        <v>25.774999999999999</v>
      </c>
      <c r="Y30" s="193">
        <v>25.635999999999999</v>
      </c>
      <c r="Z30" s="203">
        <v>25.487436219641157</v>
      </c>
      <c r="AA30" s="203">
        <v>25.302775921222882</v>
      </c>
      <c r="AB30" s="203">
        <v>25.168354826572546</v>
      </c>
      <c r="AC30" s="203">
        <v>25.638692920142624</v>
      </c>
      <c r="AD30" s="203">
        <v>25.996532775797913</v>
      </c>
      <c r="AE30" s="203">
        <v>26.478496232138678</v>
      </c>
      <c r="AF30" s="203">
        <v>27.133920814744961</v>
      </c>
      <c r="AG30" s="293">
        <f t="shared" si="1"/>
        <v>2.4753089331815943</v>
      </c>
      <c r="AH30" s="191" t="s">
        <v>23</v>
      </c>
    </row>
    <row r="31" spans="1:34" ht="12.75" customHeight="1">
      <c r="A31" s="180"/>
      <c r="B31" s="187" t="s">
        <v>22</v>
      </c>
      <c r="C31" s="218"/>
      <c r="D31" s="218"/>
      <c r="E31" s="217"/>
      <c r="F31" s="189"/>
      <c r="G31" s="189"/>
      <c r="H31" s="189">
        <v>17.553999999999998</v>
      </c>
      <c r="I31" s="189">
        <v>17.292999999999999</v>
      </c>
      <c r="J31" s="189">
        <v>17.977</v>
      </c>
      <c r="K31" s="189">
        <v>17.992999999999999</v>
      </c>
      <c r="L31" s="189">
        <v>18.568000000000001</v>
      </c>
      <c r="M31" s="189">
        <v>19.302</v>
      </c>
      <c r="N31" s="189">
        <v>21.541</v>
      </c>
      <c r="O31" s="189">
        <v>23.928999999999998</v>
      </c>
      <c r="P31" s="189">
        <v>24.056000000000001</v>
      </c>
      <c r="Q31" s="189">
        <v>24.978000000000002</v>
      </c>
      <c r="R31" s="189">
        <v>25.224</v>
      </c>
      <c r="S31" s="189">
        <v>25.332000000000001</v>
      </c>
      <c r="T31" s="189">
        <v>25.824000000000002</v>
      </c>
      <c r="U31" s="189">
        <v>26.341999999999999</v>
      </c>
      <c r="V31" s="189">
        <v>25.994</v>
      </c>
      <c r="W31" s="189">
        <v>26.395</v>
      </c>
      <c r="X31" s="189">
        <v>26.42</v>
      </c>
      <c r="Y31" s="189">
        <v>26.879000000000001</v>
      </c>
      <c r="Z31" s="189">
        <v>26.887</v>
      </c>
      <c r="AA31" s="189">
        <v>26.934999999999999</v>
      </c>
      <c r="AB31" s="189">
        <v>27.155000000000001</v>
      </c>
      <c r="AC31" s="189">
        <v>27.251000000000001</v>
      </c>
      <c r="AD31" s="189">
        <v>27.530999999999999</v>
      </c>
      <c r="AE31" s="189">
        <v>27.835999999999999</v>
      </c>
      <c r="AF31" s="189">
        <v>28.12</v>
      </c>
      <c r="AG31" s="297">
        <f t="shared" si="1"/>
        <v>1.0202615318293056</v>
      </c>
      <c r="AH31" s="187" t="s">
        <v>22</v>
      </c>
    </row>
    <row r="32" spans="1:34" ht="12.75" customHeight="1">
      <c r="A32" s="180"/>
      <c r="B32" s="191" t="s">
        <v>38</v>
      </c>
      <c r="C32" s="205">
        <v>23.7</v>
      </c>
      <c r="D32" s="205">
        <v>34.799999999999997</v>
      </c>
      <c r="E32" s="193">
        <v>51.2</v>
      </c>
      <c r="F32" s="193">
        <v>50.6</v>
      </c>
      <c r="G32" s="193">
        <v>50.5</v>
      </c>
      <c r="H32" s="193">
        <v>49.7</v>
      </c>
      <c r="I32" s="193">
        <v>49.6</v>
      </c>
      <c r="J32" s="193">
        <v>50</v>
      </c>
      <c r="K32" s="193">
        <v>50.4</v>
      </c>
      <c r="L32" s="193">
        <v>51.9</v>
      </c>
      <c r="M32" s="193">
        <v>53.3</v>
      </c>
      <c r="N32" s="193">
        <v>54.9</v>
      </c>
      <c r="O32" s="193">
        <v>55.7</v>
      </c>
      <c r="P32" s="193">
        <v>57</v>
      </c>
      <c r="Q32" s="193">
        <v>58.3</v>
      </c>
      <c r="R32" s="193">
        <v>59.59</v>
      </c>
      <c r="S32" s="193">
        <v>60.94</v>
      </c>
      <c r="T32" s="193">
        <v>61.91</v>
      </c>
      <c r="U32" s="193">
        <v>62.454999999999998</v>
      </c>
      <c r="V32" s="193">
        <v>63.784999999999997</v>
      </c>
      <c r="W32" s="193">
        <v>63.4</v>
      </c>
      <c r="X32" s="193">
        <v>64.33</v>
      </c>
      <c r="Y32" s="193">
        <f>64.745</f>
        <v>64.745000000000005</v>
      </c>
      <c r="Z32" s="193">
        <v>65.489999999999995</v>
      </c>
      <c r="AA32" s="193">
        <v>65.27</v>
      </c>
      <c r="AB32" s="193">
        <v>65.114999999999995</v>
      </c>
      <c r="AC32" s="193">
        <v>65.52</v>
      </c>
      <c r="AD32" s="193">
        <v>66.295000000000002</v>
      </c>
      <c r="AE32" s="224">
        <v>57.006</v>
      </c>
      <c r="AF32" s="367">
        <v>66.606999999999999</v>
      </c>
      <c r="AG32" s="301">
        <f t="shared" si="1"/>
        <v>16.842086797880924</v>
      </c>
      <c r="AH32" s="191" t="s">
        <v>38</v>
      </c>
    </row>
    <row r="33" spans="1:34" ht="12.75" customHeight="1">
      <c r="A33" s="180"/>
      <c r="B33" s="187" t="s">
        <v>39</v>
      </c>
      <c r="C33" s="190">
        <v>56.1</v>
      </c>
      <c r="D33" s="216">
        <v>67.400000000000006</v>
      </c>
      <c r="E33" s="189">
        <v>85.944999999999993</v>
      </c>
      <c r="F33" s="189">
        <v>86.494</v>
      </c>
      <c r="G33" s="189">
        <v>87.552000000000007</v>
      </c>
      <c r="H33" s="189">
        <v>85.683000000000007</v>
      </c>
      <c r="I33" s="189">
        <v>86.65</v>
      </c>
      <c r="J33" s="189">
        <v>87.622</v>
      </c>
      <c r="K33" s="189">
        <v>87.983000000000004</v>
      </c>
      <c r="L33" s="189">
        <v>88.106999999999999</v>
      </c>
      <c r="M33" s="189">
        <v>88.811000000000007</v>
      </c>
      <c r="N33" s="215">
        <v>100.18352</v>
      </c>
      <c r="O33" s="215">
        <v>103.65483369766447</v>
      </c>
      <c r="P33" s="189">
        <v>104.83427759943993</v>
      </c>
      <c r="Q33" s="189">
        <v>106.62251789890334</v>
      </c>
      <c r="R33" s="189">
        <v>107.32208833613136</v>
      </c>
      <c r="S33" s="189">
        <v>108.35985149670047</v>
      </c>
      <c r="T33" s="189">
        <v>107.98311590611746</v>
      </c>
      <c r="U33" s="189">
        <v>108.13703214573366</v>
      </c>
      <c r="V33" s="189">
        <v>110.23856590007244</v>
      </c>
      <c r="W33" s="189">
        <v>109.46845217694035</v>
      </c>
      <c r="X33" s="189">
        <v>108.89703801054038</v>
      </c>
      <c r="Y33" s="189">
        <v>108.01282861161354</v>
      </c>
      <c r="Z33" s="189">
        <v>109.02898505595721</v>
      </c>
      <c r="AA33" s="189">
        <v>108.37233901934596</v>
      </c>
      <c r="AB33" s="189">
        <v>108.20578822350051</v>
      </c>
      <c r="AC33" s="189">
        <v>110.34047754415158</v>
      </c>
      <c r="AD33" s="189">
        <v>111.895515890943</v>
      </c>
      <c r="AE33" s="189">
        <v>114.50426182726601</v>
      </c>
      <c r="AF33" s="288">
        <v>116.026</v>
      </c>
      <c r="AG33" s="297">
        <f t="shared" si="1"/>
        <v>1.3289795056096665</v>
      </c>
      <c r="AH33" s="187" t="s">
        <v>39</v>
      </c>
    </row>
    <row r="34" spans="1:34" ht="12.75" customHeight="1">
      <c r="A34" s="180"/>
      <c r="B34" s="191" t="s">
        <v>28</v>
      </c>
      <c r="C34" s="205">
        <v>297</v>
      </c>
      <c r="D34" s="205">
        <v>388</v>
      </c>
      <c r="E34" s="193">
        <v>588.00801223155577</v>
      </c>
      <c r="F34" s="193">
        <v>582.21051112987197</v>
      </c>
      <c r="G34" s="193">
        <v>583.04447423105887</v>
      </c>
      <c r="H34" s="185">
        <v>607.1</v>
      </c>
      <c r="I34" s="184">
        <v>614</v>
      </c>
      <c r="J34" s="214">
        <v>617.9</v>
      </c>
      <c r="K34" s="184">
        <v>622.26547196005436</v>
      </c>
      <c r="L34" s="184">
        <v>632.36844245461566</v>
      </c>
      <c r="M34" s="193">
        <v>635.67752258646681</v>
      </c>
      <c r="N34" s="193">
        <v>642.08668197619511</v>
      </c>
      <c r="O34" s="193">
        <v>638.56607249072079</v>
      </c>
      <c r="P34" s="193">
        <v>651.39619970162107</v>
      </c>
      <c r="Q34" s="193">
        <v>672.71946918280548</v>
      </c>
      <c r="R34" s="193">
        <v>667.68624668112841</v>
      </c>
      <c r="S34" s="193">
        <v>672.79457957603643</v>
      </c>
      <c r="T34" s="193">
        <v>667.09393458912041</v>
      </c>
      <c r="U34" s="193">
        <v>672.6214990265529</v>
      </c>
      <c r="V34" s="193">
        <v>673.5385181638319</v>
      </c>
      <c r="W34" s="193">
        <v>665.73718136436867</v>
      </c>
      <c r="X34" s="193">
        <v>660.91552968957365</v>
      </c>
      <c r="Y34" s="193">
        <v>644.68988399707871</v>
      </c>
      <c r="Z34" s="193">
        <v>644.07292371421613</v>
      </c>
      <c r="AA34" s="193">
        <v>647.22138050375452</v>
      </c>
      <c r="AB34" s="193">
        <v>641.76923740042116</v>
      </c>
      <c r="AC34" s="193">
        <v>654.37541300024156</v>
      </c>
      <c r="AD34" s="193">
        <v>655.1690050715963</v>
      </c>
      <c r="AE34" s="193">
        <v>665.5</v>
      </c>
      <c r="AF34" s="193">
        <v>670.4</v>
      </c>
      <c r="AG34" s="301">
        <f t="shared" si="1"/>
        <v>0.73628850488354658</v>
      </c>
      <c r="AH34" s="191" t="s">
        <v>28</v>
      </c>
    </row>
    <row r="35" spans="1:34" ht="12.75" customHeight="1">
      <c r="A35" s="180"/>
      <c r="B35" s="210" t="s">
        <v>112</v>
      </c>
      <c r="C35" s="212"/>
      <c r="D35" s="212"/>
      <c r="E35" s="211"/>
      <c r="F35" s="211"/>
      <c r="G35" s="211">
        <v>2.6850000000000001</v>
      </c>
      <c r="H35" s="211">
        <v>4.2930000000000001</v>
      </c>
      <c r="I35" s="211">
        <v>4.6379999999999999</v>
      </c>
      <c r="J35" s="211">
        <v>4.7590000000000003</v>
      </c>
      <c r="K35" s="211">
        <v>5.01</v>
      </c>
      <c r="L35" s="211">
        <v>3.5310000000000001</v>
      </c>
      <c r="M35" s="211">
        <v>4.734</v>
      </c>
      <c r="N35" s="211">
        <v>4.9619999999999997</v>
      </c>
      <c r="O35" s="211">
        <v>5.1150000000000002</v>
      </c>
      <c r="P35" s="211">
        <v>5.173</v>
      </c>
      <c r="Q35" s="211">
        <v>5.9059999999999997</v>
      </c>
      <c r="R35" s="211">
        <v>6.319</v>
      </c>
      <c r="S35" s="211">
        <v>6.34</v>
      </c>
      <c r="T35" s="211">
        <v>6.6449999999999996</v>
      </c>
      <c r="U35" s="211">
        <v>6.87</v>
      </c>
      <c r="V35" s="211">
        <v>6.3769999999999998</v>
      </c>
      <c r="W35" s="211">
        <v>5.6470000000000002</v>
      </c>
      <c r="X35" s="211">
        <v>6.0679999999999996</v>
      </c>
      <c r="Y35" s="211">
        <v>5.5350000000000001</v>
      </c>
      <c r="Z35" s="211">
        <v>6.726</v>
      </c>
      <c r="AA35" s="211">
        <v>6.6539999999999999</v>
      </c>
      <c r="AB35" s="211">
        <v>7.5869999999999997</v>
      </c>
      <c r="AC35" s="360">
        <v>8.5147087631836964</v>
      </c>
      <c r="AD35" s="360">
        <v>9.1301001235411867</v>
      </c>
      <c r="AE35" s="360">
        <v>9.8813133263123767</v>
      </c>
      <c r="AF35" s="360">
        <v>10.110866732127308</v>
      </c>
      <c r="AG35" s="328">
        <f t="shared" si="1"/>
        <v>2.3231062332945953</v>
      </c>
      <c r="AH35" s="210" t="s">
        <v>112</v>
      </c>
    </row>
    <row r="36" spans="1:34" ht="12.75" customHeight="1">
      <c r="A36" s="180"/>
      <c r="B36" s="191" t="s">
        <v>103</v>
      </c>
      <c r="C36" s="205"/>
      <c r="D36" s="205"/>
      <c r="E36" s="193"/>
      <c r="F36" s="193"/>
      <c r="G36" s="193"/>
      <c r="H36" s="193"/>
      <c r="I36" s="193"/>
      <c r="J36" s="203"/>
      <c r="K36" s="203"/>
      <c r="L36" s="203"/>
      <c r="M36" s="203"/>
      <c r="N36" s="203"/>
      <c r="O36" s="203"/>
      <c r="P36" s="203"/>
      <c r="Q36" s="203"/>
      <c r="R36" s="203"/>
      <c r="S36" s="203"/>
      <c r="T36" s="203"/>
      <c r="U36" s="203"/>
      <c r="V36" s="203"/>
      <c r="W36" s="203"/>
      <c r="X36" s="203"/>
      <c r="Y36" s="203">
        <v>4.0794439430330511</v>
      </c>
      <c r="Z36" s="203">
        <v>3.9296942863908528</v>
      </c>
      <c r="AA36" s="203">
        <v>3.9769749659620941</v>
      </c>
      <c r="AB36" s="203">
        <v>4.0735233437976959</v>
      </c>
      <c r="AC36" s="203">
        <v>4.0257796220392139</v>
      </c>
      <c r="AD36" s="203">
        <v>4.0854062327582561</v>
      </c>
      <c r="AE36" s="203">
        <v>4.496951770863971</v>
      </c>
      <c r="AF36" s="203">
        <v>4.6042243626959474</v>
      </c>
      <c r="AG36" s="293">
        <f t="shared" si="1"/>
        <v>2.3854512411496671</v>
      </c>
      <c r="AH36" s="191" t="s">
        <v>103</v>
      </c>
    </row>
    <row r="37" spans="1:34" ht="12.75" customHeight="1">
      <c r="A37" s="180"/>
      <c r="B37" s="187" t="s">
        <v>6</v>
      </c>
      <c r="C37" s="190"/>
      <c r="D37" s="190"/>
      <c r="E37" s="189"/>
      <c r="F37" s="189"/>
      <c r="G37" s="189"/>
      <c r="H37" s="209"/>
      <c r="I37" s="209"/>
      <c r="J37" s="208"/>
      <c r="K37" s="208"/>
      <c r="L37" s="208"/>
      <c r="M37" s="208"/>
      <c r="N37" s="208"/>
      <c r="O37" s="181">
        <v>4.7930000000000001</v>
      </c>
      <c r="P37" s="181">
        <v>4.6710000000000003</v>
      </c>
      <c r="Q37" s="181">
        <v>4.6870000000000003</v>
      </c>
      <c r="R37" s="181">
        <v>4.6369999999999996</v>
      </c>
      <c r="S37" s="181">
        <v>4.2</v>
      </c>
      <c r="T37" s="181">
        <v>3.9740000000000002</v>
      </c>
      <c r="U37" s="181">
        <v>3.806</v>
      </c>
      <c r="V37" s="181">
        <v>3.9740000000000002</v>
      </c>
      <c r="W37" s="181">
        <v>4.2149999999999999</v>
      </c>
      <c r="X37" s="181">
        <v>4.2439999999999998</v>
      </c>
      <c r="Y37" s="181">
        <v>4.6829999999999998</v>
      </c>
      <c r="Z37" s="181">
        <v>5.3220000000000001</v>
      </c>
      <c r="AA37" s="181">
        <v>5.1159999999999997</v>
      </c>
      <c r="AB37" s="181">
        <v>6.3410000000000002</v>
      </c>
      <c r="AC37" s="181">
        <v>6.7690000000000001</v>
      </c>
      <c r="AD37" s="181">
        <v>6.9870000000000001</v>
      </c>
      <c r="AE37" s="181">
        <v>7.1920000000000002</v>
      </c>
      <c r="AF37" s="181">
        <v>9.1679999999999993</v>
      </c>
      <c r="AG37" s="297">
        <f t="shared" si="1"/>
        <v>27.474972191323687</v>
      </c>
      <c r="AH37" s="187" t="s">
        <v>6</v>
      </c>
    </row>
    <row r="38" spans="1:34" ht="12.75" customHeight="1">
      <c r="A38" s="180"/>
      <c r="B38" s="191" t="s">
        <v>104</v>
      </c>
      <c r="C38" s="205"/>
      <c r="D38" s="205"/>
      <c r="E38" s="193"/>
      <c r="F38" s="193"/>
      <c r="G38" s="193"/>
      <c r="H38" s="204"/>
      <c r="I38" s="204"/>
      <c r="J38" s="203"/>
      <c r="K38" s="203"/>
      <c r="L38" s="203"/>
      <c r="M38" s="203"/>
      <c r="N38" s="203"/>
      <c r="O38" s="203"/>
      <c r="P38" s="203"/>
      <c r="Q38" s="203"/>
      <c r="R38" s="203"/>
      <c r="S38" s="203"/>
      <c r="T38" s="203"/>
      <c r="U38" s="203"/>
      <c r="V38" s="203"/>
      <c r="W38" s="203"/>
      <c r="X38" s="203"/>
      <c r="Y38" s="203">
        <v>30.589796610169493</v>
      </c>
      <c r="Z38" s="203">
        <v>26.079487179487181</v>
      </c>
      <c r="AA38" s="203">
        <v>26.518480492612699</v>
      </c>
      <c r="AB38" s="203">
        <v>27.106308597581521</v>
      </c>
      <c r="AC38" s="203">
        <v>27.918314222064502</v>
      </c>
      <c r="AD38" s="203">
        <v>28.61996915457172</v>
      </c>
      <c r="AE38" s="203">
        <v>29.512492930402949</v>
      </c>
      <c r="AF38" s="203">
        <v>29.985312873850475</v>
      </c>
      <c r="AG38" s="293">
        <f t="shared" si="1"/>
        <v>1.6021009968983009</v>
      </c>
      <c r="AH38" s="191" t="s">
        <v>104</v>
      </c>
    </row>
    <row r="39" spans="1:34" s="201" customFormat="1" ht="12.75" customHeight="1">
      <c r="A39" s="206"/>
      <c r="B39" s="195" t="s">
        <v>24</v>
      </c>
      <c r="C39" s="200" t="s">
        <v>41</v>
      </c>
      <c r="D39" s="200" t="s">
        <v>41</v>
      </c>
      <c r="E39" s="197">
        <v>34.325000000000003</v>
      </c>
      <c r="F39" s="197">
        <v>33.58</v>
      </c>
      <c r="G39" s="197">
        <v>36.889000000000003</v>
      </c>
      <c r="H39" s="197">
        <v>41.847999999999999</v>
      </c>
      <c r="I39" s="197">
        <v>45.735999999999997</v>
      </c>
      <c r="J39" s="197">
        <v>52.652000000000001</v>
      </c>
      <c r="K39" s="197">
        <v>57.485999999999997</v>
      </c>
      <c r="L39" s="199">
        <v>62.5</v>
      </c>
      <c r="M39" s="199">
        <v>67.5</v>
      </c>
      <c r="N39" s="199">
        <v>72.5</v>
      </c>
      <c r="O39" s="199">
        <v>79</v>
      </c>
      <c r="P39" s="199">
        <v>81</v>
      </c>
      <c r="Q39" s="199">
        <v>82</v>
      </c>
      <c r="R39" s="199">
        <v>84</v>
      </c>
      <c r="S39" s="199">
        <v>95</v>
      </c>
      <c r="T39" s="199">
        <v>100</v>
      </c>
      <c r="U39" s="199">
        <v>108</v>
      </c>
      <c r="V39" s="199">
        <v>114</v>
      </c>
      <c r="W39" s="199">
        <v>120</v>
      </c>
      <c r="X39" s="198">
        <v>124.038</v>
      </c>
      <c r="Y39" s="197">
        <v>137.857</v>
      </c>
      <c r="Z39" s="197">
        <v>146.93100000000001</v>
      </c>
      <c r="AA39" s="197">
        <v>162.315</v>
      </c>
      <c r="AB39" s="197">
        <v>173.33199999999999</v>
      </c>
      <c r="AC39" s="197">
        <v>182.155</v>
      </c>
      <c r="AD39" s="197">
        <v>199.89500000000001</v>
      </c>
      <c r="AE39" s="197">
        <v>213.85300000000001</v>
      </c>
      <c r="AF39" s="441">
        <v>217.99504601287668</v>
      </c>
      <c r="AG39" s="292">
        <f t="shared" si="1"/>
        <v>1.9368659840529148</v>
      </c>
      <c r="AH39" s="195" t="s">
        <v>24</v>
      </c>
    </row>
    <row r="40" spans="1:34" s="201" customFormat="1" ht="12.75" customHeight="1">
      <c r="A40" s="206"/>
      <c r="B40" s="191" t="s">
        <v>10</v>
      </c>
      <c r="C40" s="194" t="s">
        <v>41</v>
      </c>
      <c r="D40" s="194" t="s">
        <v>41</v>
      </c>
      <c r="E40" s="192" t="s">
        <v>41</v>
      </c>
      <c r="F40" s="192"/>
      <c r="G40" s="192"/>
      <c r="H40" s="192"/>
      <c r="I40" s="192"/>
      <c r="J40" s="192">
        <v>3.0259999999999998</v>
      </c>
      <c r="K40" s="192">
        <v>3.1680000000000001</v>
      </c>
      <c r="L40" s="192">
        <v>3.36</v>
      </c>
      <c r="M40" s="192">
        <v>3.5609999999999999</v>
      </c>
      <c r="N40" s="192">
        <v>3.7120000000000002</v>
      </c>
      <c r="O40" s="192">
        <v>3.7650000000000001</v>
      </c>
      <c r="P40" s="192">
        <v>3.95</v>
      </c>
      <c r="Q40" s="192">
        <v>4.0599999999999996</v>
      </c>
      <c r="R40" s="192">
        <v>4.1740000000000004</v>
      </c>
      <c r="S40" s="192">
        <v>4.3010000000000002</v>
      </c>
      <c r="T40" s="192">
        <v>4.5579999999999998</v>
      </c>
      <c r="U40" s="193">
        <v>4.8330000000000002</v>
      </c>
      <c r="V40" s="193">
        <v>5.077</v>
      </c>
      <c r="W40" s="193">
        <v>4.9480000000000004</v>
      </c>
      <c r="X40" s="192">
        <v>5.0019999999999998</v>
      </c>
      <c r="Y40" s="192">
        <v>4.9580000000000002</v>
      </c>
      <c r="Z40" s="192">
        <v>4.7759999999999998</v>
      </c>
      <c r="AA40" s="192">
        <v>4.8319999999999999</v>
      </c>
      <c r="AB40" s="192">
        <v>4.9710000000000001</v>
      </c>
      <c r="AC40" s="343">
        <v>5.226</v>
      </c>
      <c r="AD40" s="343">
        <v>5.5780000000000003</v>
      </c>
      <c r="AE40" s="343">
        <v>6.468</v>
      </c>
      <c r="AF40" s="203">
        <v>6.6463186788775586</v>
      </c>
      <c r="AG40" s="289">
        <f t="shared" si="1"/>
        <v>2.7569369028688726</v>
      </c>
      <c r="AH40" s="191" t="s">
        <v>10</v>
      </c>
    </row>
    <row r="41" spans="1:34" ht="12" customHeight="1">
      <c r="A41" s="180"/>
      <c r="B41" s="187" t="s">
        <v>40</v>
      </c>
      <c r="C41" s="190">
        <f>17.781+0.429</f>
        <v>18.209999999999997</v>
      </c>
      <c r="D41" s="190">
        <f>30.436+0.625</f>
        <v>31.061</v>
      </c>
      <c r="E41" s="189">
        <f>42.696+0.523+0.278</f>
        <v>43.497</v>
      </c>
      <c r="F41" s="189">
        <f>42.252+0.513+0.247</f>
        <v>43.012</v>
      </c>
      <c r="G41" s="189">
        <f>42.39+0.545+0.237</f>
        <v>43.172000000000004</v>
      </c>
      <c r="H41" s="189">
        <f>43.128+0.553+0.262</f>
        <v>43.942999999999998</v>
      </c>
      <c r="I41" s="189">
        <f>43.605+0.561+0.367</f>
        <v>44.532999999999994</v>
      </c>
      <c r="J41" s="189">
        <f>43.659+0.566+0.505</f>
        <v>44.730000000000004</v>
      </c>
      <c r="K41" s="189">
        <f>45.217+0.57+0.642</f>
        <v>46.429000000000002</v>
      </c>
      <c r="L41" s="189">
        <f>46.078+0.6+0.98</f>
        <v>47.658000000000001</v>
      </c>
      <c r="M41" s="189">
        <f>47.294+0.613+1.359</f>
        <v>49.265999999999998</v>
      </c>
      <c r="N41" s="189">
        <f>48.233+0.601+1.497</f>
        <v>50.330999999999996</v>
      </c>
      <c r="O41" s="189">
        <f>49.055+0.583+1.535</f>
        <v>51.172999999999995</v>
      </c>
      <c r="P41" s="189">
        <f>50.226+0.609+1.522</f>
        <v>52.356999999999999</v>
      </c>
      <c r="Q41" s="189">
        <f>51.478+0.58+1.429</f>
        <v>53.487000000000002</v>
      </c>
      <c r="R41" s="189">
        <f>52.127+0.575+1.3</f>
        <v>54.002000000000002</v>
      </c>
      <c r="S41" s="189">
        <f>52.606+0.571+1.165</f>
        <v>54.341999999999999</v>
      </c>
      <c r="T41" s="189">
        <f>52.4+0.556+1.071</f>
        <v>54.026999999999994</v>
      </c>
      <c r="U41" s="189">
        <f>53.302+0.552+1.084</f>
        <v>54.938000000000002</v>
      </c>
      <c r="V41" s="189">
        <f>54.866+0.665+1.143</f>
        <v>56.673999999999999</v>
      </c>
      <c r="W41" s="189">
        <f>55.956+0.636+1.151</f>
        <v>57.743000000000009</v>
      </c>
      <c r="X41" s="189">
        <f>56.536+1.132+0.624</f>
        <v>58.292000000000002</v>
      </c>
      <c r="Y41" s="189">
        <f>57.034+1.199+0.545</f>
        <v>58.777999999999999</v>
      </c>
      <c r="Z41" s="189">
        <f>58.029+1.342+0.532</f>
        <v>59.903000000000006</v>
      </c>
      <c r="AA41" s="189">
        <f>58.701+1.487+0.516</f>
        <v>60.704000000000001</v>
      </c>
      <c r="AB41" s="189">
        <f>59.407+1.595+0.511</f>
        <v>61.512999999999998</v>
      </c>
      <c r="AC41" s="189">
        <f>61.288+1.698+0.494</f>
        <v>63.48</v>
      </c>
      <c r="AD41" s="189">
        <f>62.391+1.83+0.495</f>
        <v>64.716000000000008</v>
      </c>
      <c r="AE41" s="189">
        <f>62.63+1.926+0.436</f>
        <v>64.992000000000004</v>
      </c>
      <c r="AF41" s="189">
        <v>66.39</v>
      </c>
      <c r="AG41" s="297">
        <f t="shared" si="1"/>
        <v>2.1510339734120976</v>
      </c>
      <c r="AH41" s="187" t="s">
        <v>40</v>
      </c>
    </row>
    <row r="42" spans="1:34" ht="12.75" customHeight="1">
      <c r="A42" s="180"/>
      <c r="B42" s="182" t="s">
        <v>11</v>
      </c>
      <c r="C42" s="186">
        <v>41.835999999999999</v>
      </c>
      <c r="D42" s="186">
        <v>61.817</v>
      </c>
      <c r="E42" s="184">
        <v>73.271000000000001</v>
      </c>
      <c r="F42" s="184">
        <v>74.744</v>
      </c>
      <c r="G42" s="184">
        <v>73.372</v>
      </c>
      <c r="H42" s="184">
        <v>71.417000000000002</v>
      </c>
      <c r="I42" s="185">
        <v>68.358000000000004</v>
      </c>
      <c r="J42" s="184">
        <v>69.585999999999999</v>
      </c>
      <c r="K42" s="184">
        <v>70.774000000000001</v>
      </c>
      <c r="L42" s="184">
        <v>71.406000000000006</v>
      </c>
      <c r="M42" s="184">
        <v>72.540000000000006</v>
      </c>
      <c r="N42" s="184">
        <v>73.531000000000006</v>
      </c>
      <c r="O42" s="184">
        <v>74.983999999999995</v>
      </c>
      <c r="P42" s="184">
        <v>75.494</v>
      </c>
      <c r="Q42" s="184">
        <v>76.369</v>
      </c>
      <c r="R42" s="184">
        <v>77.001000000000005</v>
      </c>
      <c r="S42" s="184">
        <v>77.739999999999995</v>
      </c>
      <c r="T42" s="184">
        <v>77.843999999999994</v>
      </c>
      <c r="U42" s="184">
        <v>78.394000000000005</v>
      </c>
      <c r="V42" s="184">
        <v>79.260999999999996</v>
      </c>
      <c r="W42" s="184">
        <v>81.397000000000006</v>
      </c>
      <c r="X42" s="184">
        <v>83.887</v>
      </c>
      <c r="Y42" s="184">
        <v>85.933999999999997</v>
      </c>
      <c r="Z42" s="184">
        <v>86.722999999999999</v>
      </c>
      <c r="AA42" s="184">
        <v>88.15</v>
      </c>
      <c r="AB42" s="184">
        <v>89.466999999999999</v>
      </c>
      <c r="AC42" s="344">
        <v>90.703999999999994</v>
      </c>
      <c r="AD42" s="344">
        <v>91.995000000000005</v>
      </c>
      <c r="AE42" s="389">
        <v>93.97</v>
      </c>
      <c r="AF42" s="389">
        <v>95.742000000000004</v>
      </c>
      <c r="AG42" s="537">
        <f t="shared" si="1"/>
        <v>1.8857082047462086</v>
      </c>
      <c r="AH42" s="182" t="s">
        <v>11</v>
      </c>
    </row>
    <row r="43" spans="1:34" ht="12.75" customHeight="1">
      <c r="A43" s="180"/>
      <c r="B43" s="179" t="s">
        <v>101</v>
      </c>
      <c r="C43" s="178"/>
      <c r="D43" s="178"/>
      <c r="E43" s="178"/>
      <c r="F43" s="178"/>
      <c r="G43" s="178"/>
      <c r="H43" s="178"/>
      <c r="I43" s="178"/>
      <c r="J43" s="178"/>
      <c r="K43" s="178"/>
      <c r="L43" s="178"/>
      <c r="M43" s="178"/>
      <c r="N43" s="178"/>
      <c r="O43" s="178"/>
      <c r="P43" s="178"/>
      <c r="Q43" s="178"/>
      <c r="R43" s="178"/>
      <c r="S43" s="178"/>
      <c r="T43" s="177"/>
      <c r="U43" s="177"/>
      <c r="V43" s="177"/>
      <c r="W43" s="177"/>
      <c r="X43" s="177"/>
      <c r="Y43" s="177"/>
      <c r="Z43" s="177"/>
      <c r="AA43" s="177"/>
      <c r="AB43" s="177"/>
      <c r="AC43" s="177"/>
      <c r="AD43" s="177"/>
      <c r="AE43" s="177"/>
      <c r="AF43" s="177"/>
      <c r="AH43" s="177"/>
    </row>
    <row r="44" spans="1:34" ht="12.75" customHeight="1">
      <c r="A44" s="180"/>
      <c r="B44" s="176" t="s">
        <v>5</v>
      </c>
      <c r="C44" s="175"/>
      <c r="D44" s="173"/>
      <c r="E44" s="172"/>
      <c r="F44" s="172"/>
      <c r="G44" s="172"/>
      <c r="H44" s="174"/>
      <c r="I44" s="172"/>
      <c r="J44" s="173"/>
      <c r="K44" s="174"/>
      <c r="L44" s="172"/>
      <c r="M44" s="172"/>
      <c r="N44" s="173"/>
      <c r="O44" s="173"/>
      <c r="P44" s="172"/>
      <c r="Q44" s="172"/>
      <c r="R44" s="171"/>
      <c r="S44" s="171"/>
      <c r="T44" s="170"/>
      <c r="U44" s="170"/>
      <c r="V44" s="170"/>
      <c r="W44" s="170"/>
      <c r="X44" s="170"/>
      <c r="Y44" s="170"/>
      <c r="Z44" s="170"/>
      <c r="AA44" s="170"/>
      <c r="AB44" s="170"/>
      <c r="AC44" s="170"/>
      <c r="AD44" s="170"/>
      <c r="AE44" s="170"/>
      <c r="AF44" s="170"/>
      <c r="AG44" s="538"/>
      <c r="AH44" s="170"/>
    </row>
    <row r="45" spans="1:34" ht="15" customHeight="1">
      <c r="A45" s="180"/>
      <c r="B45" s="169" t="s">
        <v>155</v>
      </c>
    </row>
    <row r="46" spans="1:34" ht="12.75" customHeight="1">
      <c r="B46" s="167" t="s">
        <v>114</v>
      </c>
    </row>
    <row r="47" spans="1:34" ht="12.75" customHeight="1">
      <c r="B47" s="167" t="s">
        <v>73</v>
      </c>
    </row>
    <row r="48" spans="1:34" ht="13.5" customHeight="1">
      <c r="A48" s="165"/>
      <c r="B48" s="167" t="s">
        <v>142</v>
      </c>
    </row>
    <row r="49" spans="1:32" ht="12.75" customHeight="1">
      <c r="A49" s="165"/>
      <c r="B49" s="165" t="s">
        <v>115</v>
      </c>
    </row>
    <row r="50" spans="1:32" ht="12.75" customHeight="1">
      <c r="A50" s="165"/>
      <c r="B50" s="165" t="s">
        <v>116</v>
      </c>
      <c r="K50" s="181"/>
      <c r="L50" s="181"/>
      <c r="M50" s="181"/>
      <c r="N50" s="181"/>
      <c r="O50" s="181"/>
      <c r="P50" s="181"/>
      <c r="Q50" s="181"/>
      <c r="R50" s="181"/>
    </row>
    <row r="51" spans="1:32">
      <c r="B51" s="222" t="s">
        <v>136</v>
      </c>
    </row>
    <row r="52" spans="1:32">
      <c r="B52" s="222" t="s">
        <v>122</v>
      </c>
    </row>
    <row r="55" spans="1:32">
      <c r="E55" s="143"/>
      <c r="F55" s="143"/>
      <c r="G55" s="143"/>
      <c r="H55" s="143"/>
      <c r="I55" s="143"/>
      <c r="J55" s="143"/>
      <c r="K55" s="143"/>
      <c r="L55" s="143"/>
      <c r="M55" s="143"/>
      <c r="N55" s="143"/>
      <c r="O55" s="143"/>
      <c r="P55" s="143"/>
      <c r="Q55" s="143"/>
      <c r="R55" s="143"/>
      <c r="AC55" s="143"/>
      <c r="AD55" s="143"/>
      <c r="AE55" s="143"/>
      <c r="AF55" s="143"/>
    </row>
    <row r="56" spans="1:32">
      <c r="E56" s="143"/>
      <c r="F56" s="143"/>
      <c r="G56" s="143"/>
      <c r="H56" s="143"/>
      <c r="I56" s="143"/>
      <c r="J56" s="143"/>
      <c r="K56" s="143"/>
      <c r="L56" s="143"/>
      <c r="M56" s="143"/>
      <c r="N56" s="143"/>
      <c r="O56" s="143"/>
      <c r="P56" s="143"/>
      <c r="Q56" s="143"/>
      <c r="R56" s="143"/>
      <c r="AC56" s="143"/>
      <c r="AD56" s="143"/>
      <c r="AE56" s="143"/>
      <c r="AF56" s="143"/>
    </row>
    <row r="57" spans="1:32">
      <c r="E57" s="362"/>
      <c r="F57" s="362"/>
      <c r="G57" s="362"/>
      <c r="H57" s="362"/>
      <c r="I57" s="362"/>
      <c r="J57" s="362"/>
      <c r="K57" s="362"/>
      <c r="L57" s="362"/>
      <c r="M57" s="362"/>
      <c r="N57" s="362"/>
      <c r="O57" s="362"/>
      <c r="P57" s="362"/>
      <c r="Q57" s="362"/>
      <c r="R57" s="362"/>
      <c r="AC57" s="362"/>
      <c r="AD57" s="362"/>
      <c r="AE57" s="362"/>
      <c r="AF57" s="362"/>
    </row>
    <row r="58" spans="1:32">
      <c r="E58" s="181"/>
      <c r="F58" s="181"/>
      <c r="G58" s="181"/>
      <c r="H58" s="181"/>
      <c r="I58" s="181"/>
      <c r="J58" s="181"/>
      <c r="K58" s="181"/>
      <c r="L58" s="181"/>
      <c r="M58" s="181"/>
      <c r="N58" s="181"/>
      <c r="O58" s="181"/>
      <c r="P58" s="181"/>
      <c r="Q58" s="181"/>
      <c r="R58" s="181"/>
      <c r="AC58" s="181"/>
      <c r="AD58" s="181"/>
      <c r="AE58" s="181"/>
      <c r="AF58" s="181"/>
    </row>
    <row r="59" spans="1:32">
      <c r="AD59" s="181"/>
      <c r="AE59" s="181"/>
      <c r="AF59" s="181"/>
    </row>
    <row r="60" spans="1:32">
      <c r="AD60" s="181"/>
      <c r="AE60" s="181"/>
      <c r="AF60" s="181"/>
    </row>
    <row r="61" spans="1:32">
      <c r="AD61" s="181"/>
      <c r="AE61" s="181"/>
      <c r="AF61" s="181"/>
    </row>
    <row r="62" spans="1:32">
      <c r="AD62" s="181"/>
      <c r="AE62" s="181"/>
      <c r="AF62" s="181"/>
    </row>
    <row r="63" spans="1:32">
      <c r="AD63" s="181"/>
      <c r="AE63" s="181"/>
      <c r="AF63" s="181"/>
    </row>
    <row r="64" spans="1:32">
      <c r="AD64" s="181"/>
      <c r="AE64" s="181"/>
      <c r="AF64" s="181"/>
    </row>
    <row r="65" spans="30:32">
      <c r="AD65" s="181"/>
      <c r="AE65" s="181"/>
      <c r="AF65" s="181"/>
    </row>
    <row r="66" spans="30:32">
      <c r="AD66" s="181"/>
      <c r="AE66" s="181"/>
      <c r="AF66" s="181"/>
    </row>
    <row r="67" spans="30:32">
      <c r="AD67" s="181"/>
      <c r="AE67" s="181"/>
      <c r="AF67" s="181"/>
    </row>
    <row r="68" spans="30:32">
      <c r="AD68" s="181"/>
      <c r="AE68" s="181"/>
      <c r="AF68" s="181"/>
    </row>
    <row r="69" spans="30:32">
      <c r="AD69" s="181"/>
      <c r="AE69" s="181"/>
      <c r="AF69" s="181"/>
    </row>
    <row r="70" spans="30:32">
      <c r="AD70" s="181"/>
      <c r="AE70" s="181"/>
      <c r="AF70" s="181"/>
    </row>
    <row r="71" spans="30:32">
      <c r="AD71" s="181"/>
      <c r="AE71" s="181"/>
      <c r="AF71" s="181"/>
    </row>
    <row r="72" spans="30:32">
      <c r="AD72" s="181"/>
      <c r="AE72" s="181"/>
      <c r="AF72" s="181"/>
    </row>
    <row r="73" spans="30:32">
      <c r="AD73" s="181"/>
      <c r="AE73" s="181"/>
      <c r="AF73" s="181"/>
    </row>
    <row r="74" spans="30:32">
      <c r="AD74" s="181"/>
      <c r="AE74" s="181"/>
      <c r="AF74" s="181"/>
    </row>
    <row r="75" spans="30:32">
      <c r="AD75" s="181"/>
      <c r="AE75" s="181"/>
      <c r="AF75" s="181"/>
    </row>
    <row r="76" spans="30:32">
      <c r="AD76" s="181"/>
      <c r="AE76" s="181"/>
      <c r="AF76" s="181"/>
    </row>
    <row r="77" spans="30:32">
      <c r="AD77" s="181"/>
      <c r="AE77" s="181"/>
      <c r="AF77" s="181"/>
    </row>
    <row r="78" spans="30:32">
      <c r="AD78" s="181"/>
      <c r="AE78" s="181"/>
      <c r="AF78" s="181"/>
    </row>
    <row r="79" spans="30:32">
      <c r="AD79" s="181"/>
      <c r="AE79" s="181"/>
      <c r="AF79" s="181"/>
    </row>
    <row r="80" spans="30:32">
      <c r="AD80" s="181"/>
      <c r="AE80" s="181"/>
      <c r="AF80" s="181"/>
    </row>
    <row r="81" spans="30:32">
      <c r="AD81" s="181"/>
      <c r="AE81" s="181"/>
      <c r="AF81" s="181"/>
    </row>
    <row r="82" spans="30:32">
      <c r="AD82" s="181"/>
      <c r="AE82" s="181"/>
      <c r="AF82" s="181"/>
    </row>
    <row r="83" spans="30:32">
      <c r="AD83" s="181"/>
      <c r="AE83" s="181"/>
      <c r="AF83" s="181"/>
    </row>
    <row r="84" spans="30:32">
      <c r="AD84" s="181"/>
      <c r="AE84" s="181"/>
      <c r="AF84" s="181"/>
    </row>
    <row r="85" spans="30:32">
      <c r="AD85" s="181"/>
      <c r="AE85" s="181"/>
      <c r="AF85" s="181"/>
    </row>
  </sheetData>
  <mergeCells count="1">
    <mergeCell ref="B2:AH2"/>
  </mergeCells>
  <printOptions horizontalCentered="1"/>
  <pageMargins left="0.47244094488188981" right="0.27559055118110237" top="0.51181102362204722" bottom="0.27559055118110237" header="0" footer="0"/>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sheetPr>
  <dimension ref="A1:AI90"/>
  <sheetViews>
    <sheetView topLeftCell="B28" zoomScaleNormal="100" workbookViewId="0">
      <selection activeCell="B48" sqref="B48"/>
    </sheetView>
  </sheetViews>
  <sheetFormatPr defaultRowHeight="11.25"/>
  <cols>
    <col min="1" max="1" width="2.7109375" style="165" customWidth="1"/>
    <col min="2" max="2" width="4.28515625" style="165" customWidth="1"/>
    <col min="3" max="14" width="6.7109375" style="165" customWidth="1"/>
    <col min="15" max="15" width="10.140625" style="165" customWidth="1"/>
    <col min="16" max="16" width="10.42578125" style="165" customWidth="1"/>
    <col min="17" max="17" width="8.7109375" style="165" customWidth="1"/>
    <col min="18" max="20" width="10.42578125" style="165" customWidth="1"/>
    <col min="21" max="21" width="7.28515625" style="165" customWidth="1"/>
    <col min="22" max="22" width="7.85546875" style="165" customWidth="1"/>
    <col min="23" max="32" width="7.28515625" style="165" customWidth="1"/>
    <col min="33" max="33" width="6.28515625" style="165" customWidth="1"/>
    <col min="34" max="34" width="6.140625" style="165" customWidth="1"/>
    <col min="35" max="16384" width="9.140625" style="165"/>
  </cols>
  <sheetData>
    <row r="1" spans="1:35" ht="14.25" customHeight="1">
      <c r="B1" s="254"/>
      <c r="C1" s="253"/>
      <c r="D1" s="253"/>
      <c r="E1" s="253"/>
      <c r="F1" s="253"/>
      <c r="G1" s="253"/>
      <c r="H1" s="253"/>
      <c r="I1" s="253"/>
      <c r="J1" s="253"/>
      <c r="K1" s="253"/>
      <c r="L1" s="253"/>
      <c r="M1" s="253"/>
      <c r="N1" s="253"/>
      <c r="O1" s="253"/>
      <c r="P1" s="253"/>
      <c r="Q1" s="251"/>
      <c r="T1" s="251"/>
      <c r="U1" s="251"/>
      <c r="V1" s="251"/>
      <c r="W1" s="251"/>
      <c r="X1" s="251"/>
      <c r="Y1" s="251"/>
      <c r="Z1" s="251"/>
      <c r="AA1" s="251"/>
      <c r="AB1" s="251"/>
      <c r="AC1" s="251"/>
      <c r="AD1" s="251"/>
      <c r="AE1" s="251"/>
      <c r="AF1" s="251"/>
      <c r="AH1" s="251" t="s">
        <v>88</v>
      </c>
    </row>
    <row r="2" spans="1:35" s="169" customFormat="1" ht="30" customHeight="1">
      <c r="B2" s="564" t="s">
        <v>46</v>
      </c>
      <c r="C2" s="564"/>
      <c r="D2" s="564"/>
      <c r="E2" s="564"/>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c r="AF2" s="564"/>
      <c r="AG2" s="564"/>
      <c r="AH2" s="564"/>
    </row>
    <row r="3" spans="1:35" ht="10.5" customHeight="1">
      <c r="C3" s="249"/>
      <c r="D3" s="249"/>
      <c r="E3" s="249"/>
      <c r="F3" s="249"/>
      <c r="G3" s="249"/>
      <c r="H3" s="249"/>
      <c r="I3" s="249"/>
      <c r="J3" s="249"/>
      <c r="K3" s="249"/>
      <c r="L3" s="249"/>
      <c r="M3" s="249"/>
      <c r="N3" s="249"/>
      <c r="O3" s="249"/>
      <c r="P3" s="249"/>
      <c r="Q3" s="249"/>
      <c r="R3" s="249"/>
      <c r="Y3" s="249"/>
      <c r="Z3" s="249"/>
      <c r="AA3" s="249"/>
      <c r="AB3" s="249"/>
      <c r="AC3" s="249"/>
      <c r="AD3" s="249"/>
      <c r="AF3" s="249" t="s">
        <v>105</v>
      </c>
      <c r="AG3" s="248"/>
      <c r="AH3" s="249"/>
    </row>
    <row r="4" spans="1:35" ht="20.100000000000001" customHeight="1">
      <c r="B4" s="247"/>
      <c r="C4" s="246">
        <v>1970</v>
      </c>
      <c r="D4" s="246">
        <v>1980</v>
      </c>
      <c r="E4" s="245">
        <v>1990</v>
      </c>
      <c r="F4" s="245">
        <v>1991</v>
      </c>
      <c r="G4" s="245">
        <v>1992</v>
      </c>
      <c r="H4" s="245">
        <v>1993</v>
      </c>
      <c r="I4" s="245">
        <v>1994</v>
      </c>
      <c r="J4" s="245">
        <v>1995</v>
      </c>
      <c r="K4" s="245">
        <v>1996</v>
      </c>
      <c r="L4" s="245">
        <v>1997</v>
      </c>
      <c r="M4" s="245">
        <v>1998</v>
      </c>
      <c r="N4" s="245">
        <v>1999</v>
      </c>
      <c r="O4" s="245">
        <v>2000</v>
      </c>
      <c r="P4" s="245">
        <v>2001</v>
      </c>
      <c r="Q4" s="245">
        <v>2002</v>
      </c>
      <c r="R4" s="245">
        <v>2003</v>
      </c>
      <c r="S4" s="245">
        <v>2004</v>
      </c>
      <c r="T4" s="245">
        <v>2005</v>
      </c>
      <c r="U4" s="245">
        <v>2006</v>
      </c>
      <c r="V4" s="245">
        <v>2007</v>
      </c>
      <c r="W4" s="245">
        <v>2008</v>
      </c>
      <c r="X4" s="245">
        <v>2009</v>
      </c>
      <c r="Y4" s="245">
        <v>2010</v>
      </c>
      <c r="Z4" s="245">
        <v>2011</v>
      </c>
      <c r="AA4" s="245">
        <v>2012</v>
      </c>
      <c r="AB4" s="245">
        <v>2013</v>
      </c>
      <c r="AC4" s="245">
        <v>2014</v>
      </c>
      <c r="AD4" s="245">
        <v>2015</v>
      </c>
      <c r="AE4" s="245">
        <v>2016</v>
      </c>
      <c r="AF4" s="245">
        <v>2017</v>
      </c>
      <c r="AG4" s="244" t="s">
        <v>141</v>
      </c>
      <c r="AH4" s="281"/>
    </row>
    <row r="5" spans="1:35" ht="9.9499999999999993" customHeight="1">
      <c r="B5" s="247"/>
      <c r="C5" s="283"/>
      <c r="D5" s="283"/>
      <c r="E5" s="240"/>
      <c r="F5" s="240"/>
      <c r="G5" s="240"/>
      <c r="H5" s="240"/>
      <c r="I5" s="240"/>
      <c r="J5" s="240"/>
      <c r="K5" s="240"/>
      <c r="L5" s="240"/>
      <c r="M5" s="240"/>
      <c r="N5" s="240"/>
      <c r="O5" s="240"/>
      <c r="P5" s="240"/>
      <c r="Q5" s="240"/>
      <c r="R5" s="240"/>
      <c r="S5" s="240"/>
      <c r="T5" s="240"/>
      <c r="U5" s="240"/>
      <c r="V5" s="240"/>
      <c r="W5" s="240"/>
      <c r="X5" s="240"/>
      <c r="Y5" s="240"/>
      <c r="Z5" s="240"/>
      <c r="AA5" s="240"/>
      <c r="AB5" s="240"/>
      <c r="AC5" s="240"/>
      <c r="AD5" s="240"/>
      <c r="AE5" s="240"/>
      <c r="AF5" s="240"/>
      <c r="AG5" s="282" t="s">
        <v>42</v>
      </c>
      <c r="AH5" s="281"/>
    </row>
    <row r="6" spans="1:35" ht="12.75" customHeight="1">
      <c r="B6" s="393" t="s">
        <v>113</v>
      </c>
      <c r="C6" s="418" t="s">
        <v>41</v>
      </c>
      <c r="D6" s="418" t="s">
        <v>41</v>
      </c>
      <c r="E6" s="419" t="s">
        <v>41</v>
      </c>
      <c r="F6" s="419" t="s">
        <v>41</v>
      </c>
      <c r="G6" s="419" t="s">
        <v>41</v>
      </c>
      <c r="H6" s="419" t="s">
        <v>41</v>
      </c>
      <c r="I6" s="419" t="s">
        <v>41</v>
      </c>
      <c r="J6" s="420">
        <f t="shared" ref="J6:AD6" si="0">SUM(J7:J34)</f>
        <v>514.72846579480574</v>
      </c>
      <c r="K6" s="420">
        <f t="shared" si="0"/>
        <v>519.30747234028092</v>
      </c>
      <c r="L6" s="420">
        <f t="shared" si="0"/>
        <v>522.47757183000931</v>
      </c>
      <c r="M6" s="420">
        <f t="shared" si="0"/>
        <v>525.55527690223153</v>
      </c>
      <c r="N6" s="420">
        <f t="shared" si="0"/>
        <v>527.72532653214671</v>
      </c>
      <c r="O6" s="420">
        <f t="shared" si="0"/>
        <v>545.04704495570309</v>
      </c>
      <c r="P6" s="420">
        <f t="shared" si="0"/>
        <v>544.18681321773101</v>
      </c>
      <c r="Q6" s="420">
        <f t="shared" si="0"/>
        <v>535.57387469503192</v>
      </c>
      <c r="R6" s="420">
        <f t="shared" si="0"/>
        <v>542.28560489281517</v>
      </c>
      <c r="S6" s="420">
        <f t="shared" si="0"/>
        <v>543.3761824960219</v>
      </c>
      <c r="T6" s="420">
        <f t="shared" si="0"/>
        <v>542.16653981971581</v>
      </c>
      <c r="U6" s="420">
        <f t="shared" si="0"/>
        <v>539.95892713117416</v>
      </c>
      <c r="V6" s="420">
        <f t="shared" si="0"/>
        <v>550.62201918636208</v>
      </c>
      <c r="W6" s="420">
        <f t="shared" si="0"/>
        <v>559.41163872840866</v>
      </c>
      <c r="X6" s="420">
        <f t="shared" si="0"/>
        <v>536.31399539891061</v>
      </c>
      <c r="Y6" s="420">
        <f t="shared" si="0"/>
        <v>529.74113953938001</v>
      </c>
      <c r="Z6" s="420">
        <f t="shared" si="0"/>
        <v>530.75431050174018</v>
      </c>
      <c r="AA6" s="420">
        <f t="shared" si="0"/>
        <v>526.49562412745126</v>
      </c>
      <c r="AB6" s="420">
        <f t="shared" si="0"/>
        <v>523.29028807610769</v>
      </c>
      <c r="AC6" s="420">
        <f t="shared" si="0"/>
        <v>517.72413137194428</v>
      </c>
      <c r="AD6" s="420">
        <f t="shared" si="0"/>
        <v>527.71153405611983</v>
      </c>
      <c r="AE6" s="420">
        <v>526.9346175086439</v>
      </c>
      <c r="AF6" s="420">
        <v>510.41847809712482</v>
      </c>
      <c r="AG6" s="417">
        <f t="shared" ref="AG6:AG42" si="1">AF6/AE6*100-100</f>
        <v>-3.134381166606147</v>
      </c>
      <c r="AH6" s="393" t="s">
        <v>113</v>
      </c>
      <c r="AI6" s="181"/>
    </row>
    <row r="7" spans="1:35" ht="12.75" customHeight="1">
      <c r="A7" s="180"/>
      <c r="B7" s="187" t="s">
        <v>29</v>
      </c>
      <c r="C7" s="231">
        <v>12.153</v>
      </c>
      <c r="D7" s="231">
        <v>14.422000000000001</v>
      </c>
      <c r="E7" s="236">
        <v>11.371379813302717</v>
      </c>
      <c r="F7" s="236">
        <v>11.928856672785459</v>
      </c>
      <c r="G7" s="236">
        <v>12.208590988011615</v>
      </c>
      <c r="H7" s="236">
        <v>12.449307712355173</v>
      </c>
      <c r="I7" s="236">
        <v>12.920557778575041</v>
      </c>
      <c r="J7" s="236">
        <v>13.116392749010901</v>
      </c>
      <c r="K7" s="236">
        <v>13.048036161999931</v>
      </c>
      <c r="L7" s="228">
        <v>13.062294037072977</v>
      </c>
      <c r="M7" s="228">
        <v>13.264206083397962</v>
      </c>
      <c r="N7" s="229">
        <v>13.441653719101833</v>
      </c>
      <c r="O7" s="228">
        <v>13.298261168538518</v>
      </c>
      <c r="P7" s="228">
        <v>13.785338279369089</v>
      </c>
      <c r="Q7" s="228">
        <v>14.959423828844177</v>
      </c>
      <c r="R7" s="228">
        <v>16.483572017775955</v>
      </c>
      <c r="S7" s="228">
        <v>17.142992004139298</v>
      </c>
      <c r="T7" s="228">
        <v>17.515048055482509</v>
      </c>
      <c r="U7" s="228">
        <v>18.078005341336816</v>
      </c>
      <c r="V7" s="228">
        <v>18.729636998103302</v>
      </c>
      <c r="W7" s="228">
        <v>17.61</v>
      </c>
      <c r="X7" s="228">
        <v>17.63</v>
      </c>
      <c r="Y7" s="228">
        <v>17.38</v>
      </c>
      <c r="Z7" s="228">
        <v>17.670000000000002</v>
      </c>
      <c r="AA7" s="228">
        <v>17.91</v>
      </c>
      <c r="AB7" s="351">
        <v>15.766400000000001</v>
      </c>
      <c r="AC7" s="228">
        <v>15.4046</v>
      </c>
      <c r="AD7" s="228">
        <v>14.380800000000001</v>
      </c>
      <c r="AE7" s="228">
        <v>13.586600000000001</v>
      </c>
      <c r="AF7" s="368">
        <v>13.36264176286652</v>
      </c>
      <c r="AG7" s="227">
        <f t="shared" si="1"/>
        <v>-1.6483758786854708</v>
      </c>
      <c r="AH7" s="187" t="s">
        <v>29</v>
      </c>
    </row>
    <row r="8" spans="1:35" ht="12.75" customHeight="1">
      <c r="A8" s="180"/>
      <c r="B8" s="191" t="s">
        <v>12</v>
      </c>
      <c r="C8" s="205">
        <v>12.234999999999999</v>
      </c>
      <c r="D8" s="205">
        <v>21.614000000000001</v>
      </c>
      <c r="E8" s="193">
        <v>25.954999999999998</v>
      </c>
      <c r="F8" s="193">
        <v>19.026</v>
      </c>
      <c r="G8" s="193">
        <v>16.957000000000001</v>
      </c>
      <c r="H8" s="193">
        <v>14.061999999999999</v>
      </c>
      <c r="I8" s="193">
        <v>12.817</v>
      </c>
      <c r="J8" s="219">
        <v>11.566000000000001</v>
      </c>
      <c r="K8" s="219">
        <v>10.577</v>
      </c>
      <c r="L8" s="219">
        <v>11.863</v>
      </c>
      <c r="M8" s="219">
        <v>12.763999999999999</v>
      </c>
      <c r="N8" s="219">
        <v>14.741</v>
      </c>
      <c r="O8" s="219">
        <v>14.587</v>
      </c>
      <c r="P8" s="219">
        <v>14.962999999999999</v>
      </c>
      <c r="Q8" s="219">
        <v>16.984999999999999</v>
      </c>
      <c r="R8" s="219">
        <v>14.4</v>
      </c>
      <c r="S8" s="219">
        <v>13.029</v>
      </c>
      <c r="T8" s="193">
        <v>13.688000000000001</v>
      </c>
      <c r="U8" s="193">
        <v>12.942</v>
      </c>
      <c r="V8" s="193">
        <v>13.571</v>
      </c>
      <c r="W8" s="193">
        <v>13.839</v>
      </c>
      <c r="X8" s="193">
        <v>10.451000000000001</v>
      </c>
      <c r="Y8" s="193">
        <v>10.613</v>
      </c>
      <c r="Z8" s="193">
        <v>10.843</v>
      </c>
      <c r="AA8" s="193">
        <v>10.481999999999999</v>
      </c>
      <c r="AB8" s="193">
        <v>10.317</v>
      </c>
      <c r="AC8" s="193">
        <v>11.477</v>
      </c>
      <c r="AD8" s="193">
        <v>12.507999999999999</v>
      </c>
      <c r="AE8" s="193">
        <v>12.21</v>
      </c>
      <c r="AF8" s="365">
        <v>10.553000000000001</v>
      </c>
      <c r="AG8" s="213">
        <f t="shared" si="1"/>
        <v>-13.570843570843579</v>
      </c>
      <c r="AH8" s="191" t="s">
        <v>12</v>
      </c>
    </row>
    <row r="9" spans="1:35" s="201" customFormat="1" ht="12.75" customHeight="1">
      <c r="A9" s="206"/>
      <c r="B9" s="187" t="s">
        <v>14</v>
      </c>
      <c r="C9" s="280"/>
      <c r="D9" s="280"/>
      <c r="E9" s="279"/>
      <c r="F9" s="236" t="s">
        <v>41</v>
      </c>
      <c r="G9" s="236" t="s">
        <v>41</v>
      </c>
      <c r="H9" s="236">
        <v>13.617000000000001</v>
      </c>
      <c r="I9" s="278">
        <v>11.523</v>
      </c>
      <c r="J9" s="236">
        <f>11.7632+1.1693+5.668</f>
        <v>18.6005</v>
      </c>
      <c r="K9" s="236">
        <f>9.7292+1.2833+5.59</f>
        <v>16.602499999999999</v>
      </c>
      <c r="L9" s="236">
        <f>8.804+1.2948+5.512</f>
        <v>15.610800000000001</v>
      </c>
      <c r="M9" s="236">
        <f>8.6809+1.234+5.4582</f>
        <v>15.373099999999999</v>
      </c>
      <c r="N9" s="278">
        <f>8.649+1.2615+5.5333</f>
        <v>15.4438</v>
      </c>
      <c r="O9" s="236">
        <f>9.3513+1.221+5.599</f>
        <v>16.171300000000002</v>
      </c>
      <c r="P9" s="236">
        <f>10.6081+1.2103+5.7009</f>
        <v>17.519300000000001</v>
      </c>
      <c r="Q9" s="236">
        <f>9.6675+1.1339+5.7291</f>
        <v>16.5305</v>
      </c>
      <c r="R9" s="236">
        <f>9.4486+1.1103+5.8659</f>
        <v>16.424800000000001</v>
      </c>
      <c r="S9" s="236">
        <f>8.5162+1.1043+5.5975</f>
        <v>15.218</v>
      </c>
      <c r="T9" s="236">
        <f>8.6073+7.0006</f>
        <v>15.607900000000001</v>
      </c>
      <c r="U9" s="236">
        <f>9.5012+6.5139</f>
        <v>16.0151</v>
      </c>
      <c r="V9" s="236">
        <f>9.5188+6.6021</f>
        <v>16.120899999999999</v>
      </c>
      <c r="W9" s="236">
        <f>9.3691+6.7378</f>
        <v>16.1069</v>
      </c>
      <c r="X9" s="236">
        <v>16.062000000000001</v>
      </c>
      <c r="Y9" s="236">
        <f>10.3357+1.0618+5.5581</f>
        <v>16.955599999999997</v>
      </c>
      <c r="Z9" s="236">
        <f>1.0184+5.5477+9.2667</f>
        <v>15.832799999999999</v>
      </c>
      <c r="AA9" s="236">
        <f>9.0154+0.8681+5.4433</f>
        <v>15.326799999999999</v>
      </c>
      <c r="AB9" s="236">
        <f>0.9886+5.7067+9.0256</f>
        <v>15.7209</v>
      </c>
      <c r="AC9" s="236">
        <f>10.0102+0.9721+5.7406</f>
        <v>16.722899999999999</v>
      </c>
      <c r="AD9" s="236">
        <f>9.9959+0.856+5.411</f>
        <v>16.262900000000002</v>
      </c>
      <c r="AE9" s="236">
        <v>16.7102</v>
      </c>
      <c r="AF9" s="366">
        <v>17.684000000000001</v>
      </c>
      <c r="AG9" s="235">
        <f t="shared" si="1"/>
        <v>5.8275783653098046</v>
      </c>
      <c r="AH9" s="187" t="s">
        <v>14</v>
      </c>
    </row>
    <row r="10" spans="1:35" ht="12.75" customHeight="1">
      <c r="A10" s="180"/>
      <c r="B10" s="191" t="s">
        <v>25</v>
      </c>
      <c r="C10" s="205">
        <v>3.8980000000000001</v>
      </c>
      <c r="D10" s="205">
        <v>4.6109999999999998</v>
      </c>
      <c r="E10" s="193">
        <v>6.4429999999999996</v>
      </c>
      <c r="F10" s="193">
        <v>6.3940000000000001</v>
      </c>
      <c r="G10" s="193">
        <v>6.4210000000000003</v>
      </c>
      <c r="H10" s="193">
        <v>6.601</v>
      </c>
      <c r="I10" s="193">
        <v>6.7450000000000001</v>
      </c>
      <c r="J10" s="193">
        <v>7.2839999999999998</v>
      </c>
      <c r="K10" s="193">
        <v>7.7169999999999996</v>
      </c>
      <c r="L10" s="193">
        <v>7.5960000000000001</v>
      </c>
      <c r="M10" s="193">
        <v>7.5430000000000001</v>
      </c>
      <c r="N10" s="193">
        <v>7.3970000000000002</v>
      </c>
      <c r="O10" s="193">
        <v>7.4180000000000001</v>
      </c>
      <c r="P10" s="193">
        <v>7.3319999999999999</v>
      </c>
      <c r="Q10" s="193">
        <v>7.2949999999999999</v>
      </c>
      <c r="R10" s="193">
        <v>7.2720000000000002</v>
      </c>
      <c r="S10" s="193">
        <v>7.3</v>
      </c>
      <c r="T10" s="193">
        <v>7.1689999999999996</v>
      </c>
      <c r="U10" s="193">
        <v>7.0540000000000003</v>
      </c>
      <c r="V10" s="193">
        <v>6.8449999999999998</v>
      </c>
      <c r="W10" s="193">
        <v>6.7389999999999999</v>
      </c>
      <c r="X10" s="193">
        <v>6.7460000000000004</v>
      </c>
      <c r="Y10" s="193">
        <v>6.8209999999999997</v>
      </c>
      <c r="Z10" s="193">
        <v>6.673</v>
      </c>
      <c r="AA10" s="193">
        <v>6.4660000000000002</v>
      </c>
      <c r="AB10" s="193">
        <v>6.4660000000000002</v>
      </c>
      <c r="AC10" s="193">
        <v>6.5579999999999998</v>
      </c>
      <c r="AD10" s="193">
        <v>6.8550000000000004</v>
      </c>
      <c r="AE10" s="193">
        <v>7.069</v>
      </c>
      <c r="AF10" s="365">
        <v>7.3</v>
      </c>
      <c r="AG10" s="370">
        <f t="shared" si="1"/>
        <v>3.2677889376149523</v>
      </c>
      <c r="AH10" s="191" t="s">
        <v>25</v>
      </c>
    </row>
    <row r="11" spans="1:35" s="201" customFormat="1" ht="12.75" customHeight="1">
      <c r="A11" s="206"/>
      <c r="B11" s="187" t="s">
        <v>30</v>
      </c>
      <c r="C11" s="277">
        <v>67.7</v>
      </c>
      <c r="D11" s="276">
        <v>90</v>
      </c>
      <c r="E11" s="236">
        <v>73.099999999999994</v>
      </c>
      <c r="F11" s="236">
        <v>70.3</v>
      </c>
      <c r="G11" s="236">
        <v>69.900000000000006</v>
      </c>
      <c r="H11" s="236">
        <v>70.2</v>
      </c>
      <c r="I11" s="236">
        <v>68.599999999999994</v>
      </c>
      <c r="J11" s="236">
        <v>68.5</v>
      </c>
      <c r="K11" s="236">
        <v>68.3</v>
      </c>
      <c r="L11" s="236">
        <v>68</v>
      </c>
      <c r="M11" s="236">
        <v>68.2</v>
      </c>
      <c r="N11" s="236">
        <v>68</v>
      </c>
      <c r="O11" s="236">
        <v>69</v>
      </c>
      <c r="P11" s="236">
        <v>68.7</v>
      </c>
      <c r="Q11" s="236">
        <v>67.5</v>
      </c>
      <c r="R11" s="236">
        <v>67.5</v>
      </c>
      <c r="S11" s="236">
        <f>40.359+27.447</f>
        <v>67.805999999999997</v>
      </c>
      <c r="T11" s="236">
        <f>40.365+26.697</f>
        <v>67.061999999999998</v>
      </c>
      <c r="U11" s="236">
        <f>38.542+1.495+26.147</f>
        <v>66.183999999999997</v>
      </c>
      <c r="V11" s="236">
        <f xml:space="preserve"> 40.141+25.246</f>
        <v>65.387</v>
      </c>
      <c r="W11" s="236">
        <f>39.479+24.113</f>
        <v>63.591999999999999</v>
      </c>
      <c r="X11" s="236">
        <v>62.097000000000001</v>
      </c>
      <c r="Y11" s="236">
        <v>61.767000000000003</v>
      </c>
      <c r="Z11" s="236">
        <v>61.4</v>
      </c>
      <c r="AA11" s="236">
        <v>59.4</v>
      </c>
      <c r="AB11" s="236">
        <v>60.5</v>
      </c>
      <c r="AC11" s="236">
        <v>62.2</v>
      </c>
      <c r="AD11" s="236">
        <v>65.099999999999994</v>
      </c>
      <c r="AE11" s="236">
        <v>64</v>
      </c>
      <c r="AF11" s="366">
        <v>62.5</v>
      </c>
      <c r="AG11" s="188">
        <f t="shared" si="1"/>
        <v>-2.34375</v>
      </c>
      <c r="AH11" s="187" t="s">
        <v>30</v>
      </c>
    </row>
    <row r="12" spans="1:35" ht="12.75" customHeight="1">
      <c r="A12" s="180"/>
      <c r="B12" s="191" t="s">
        <v>15</v>
      </c>
      <c r="C12" s="205">
        <v>2.61</v>
      </c>
      <c r="D12" s="205">
        <v>3.66</v>
      </c>
      <c r="E12" s="193">
        <v>4.45</v>
      </c>
      <c r="F12" s="193">
        <v>3.83</v>
      </c>
      <c r="G12" s="193">
        <v>2.97</v>
      </c>
      <c r="H12" s="193">
        <v>2.54</v>
      </c>
      <c r="I12" s="193">
        <v>2.35</v>
      </c>
      <c r="J12" s="193">
        <v>2.048</v>
      </c>
      <c r="K12" s="193">
        <v>2.0910000000000002</v>
      </c>
      <c r="L12" s="193">
        <v>2.238</v>
      </c>
      <c r="M12" s="193">
        <v>2.2650000000000001</v>
      </c>
      <c r="N12" s="193">
        <v>2.2229999999999999</v>
      </c>
      <c r="O12" s="193">
        <v>2.63</v>
      </c>
      <c r="P12" s="193">
        <v>2.4609999999999999</v>
      </c>
      <c r="Q12" s="193">
        <v>2.33</v>
      </c>
      <c r="R12" s="193">
        <v>2.2970000000000002</v>
      </c>
      <c r="S12" s="193">
        <v>2.4689999999999999</v>
      </c>
      <c r="T12" s="193">
        <v>2.7160000000000002</v>
      </c>
      <c r="U12" s="193">
        <v>2.8809999999999998</v>
      </c>
      <c r="V12" s="193">
        <v>2.677</v>
      </c>
      <c r="W12" s="193">
        <v>2.4529999999999998</v>
      </c>
      <c r="X12" s="193">
        <v>2.1139999999999999</v>
      </c>
      <c r="Y12" s="193">
        <f>2.061</f>
        <v>2.0609999999999999</v>
      </c>
      <c r="Z12" s="193">
        <v>2.0706943</v>
      </c>
      <c r="AA12" s="193">
        <v>2.2335885000000002</v>
      </c>
      <c r="AB12" s="193">
        <f>2.4146148</f>
        <v>2.4146147999999998</v>
      </c>
      <c r="AC12" s="193">
        <v>2.3926965</v>
      </c>
      <c r="AD12" s="193">
        <v>3.1464145000000001</v>
      </c>
      <c r="AE12" s="193">
        <v>2.8647497</v>
      </c>
      <c r="AF12" s="365">
        <v>2.8086600000000002</v>
      </c>
      <c r="AG12" s="213">
        <f t="shared" si="1"/>
        <v>-1.9579267256751791</v>
      </c>
      <c r="AH12" s="191" t="s">
        <v>15</v>
      </c>
    </row>
    <row r="13" spans="1:35" s="201" customFormat="1" ht="12.75" customHeight="1">
      <c r="A13" s="206"/>
      <c r="B13" s="187" t="s">
        <v>33</v>
      </c>
      <c r="C13" s="231">
        <v>3.3</v>
      </c>
      <c r="D13" s="231">
        <v>4.5</v>
      </c>
      <c r="E13" s="228">
        <v>3.86</v>
      </c>
      <c r="F13" s="228">
        <v>4.0999999999999996</v>
      </c>
      <c r="G13" s="228">
        <v>4.3</v>
      </c>
      <c r="H13" s="228">
        <v>4.49</v>
      </c>
      <c r="I13" s="228">
        <v>5</v>
      </c>
      <c r="J13" s="228">
        <v>5.15</v>
      </c>
      <c r="K13" s="228">
        <v>5.3</v>
      </c>
      <c r="L13" s="229">
        <v>5.5</v>
      </c>
      <c r="M13" s="229">
        <v>5.7</v>
      </c>
      <c r="N13" s="229">
        <v>5.9</v>
      </c>
      <c r="O13" s="275">
        <v>6.9631999999999996</v>
      </c>
      <c r="P13" s="229">
        <v>7.2896000000000001</v>
      </c>
      <c r="Q13" s="229">
        <v>7.2624000000000004</v>
      </c>
      <c r="R13" s="229">
        <v>7.5343999999999998</v>
      </c>
      <c r="S13" s="229">
        <v>7.8608000000000002</v>
      </c>
      <c r="T13" s="229">
        <v>7.9151999999999996</v>
      </c>
      <c r="U13" s="229">
        <v>8.0239999999999991</v>
      </c>
      <c r="V13" s="229">
        <v>8.2959999999999994</v>
      </c>
      <c r="W13" s="229">
        <v>8.5679999999999996</v>
      </c>
      <c r="X13" s="229">
        <v>8.9488000000000003</v>
      </c>
      <c r="Y13" s="229">
        <v>8.4591999999999992</v>
      </c>
      <c r="Z13" s="229">
        <v>8.3775999999999993</v>
      </c>
      <c r="AA13" s="229">
        <v>8.1056000000000008</v>
      </c>
      <c r="AB13" s="229">
        <v>8.1327999999999996</v>
      </c>
      <c r="AC13" s="229">
        <f>27.2*0.309</f>
        <v>8.4047999999999998</v>
      </c>
      <c r="AD13" s="229">
        <f>27.2*0.313</f>
        <v>8.5136000000000003</v>
      </c>
      <c r="AE13" s="229">
        <v>8.9760000000000009</v>
      </c>
      <c r="AF13" s="364">
        <v>9.8191999999999986</v>
      </c>
      <c r="AG13" s="207">
        <f t="shared" si="1"/>
        <v>9.3939393939393767</v>
      </c>
      <c r="AH13" s="187" t="s">
        <v>33</v>
      </c>
    </row>
    <row r="14" spans="1:35" ht="12.75" customHeight="1">
      <c r="A14" s="180"/>
      <c r="B14" s="191" t="s">
        <v>26</v>
      </c>
      <c r="C14" s="205">
        <v>9.4250000000000007</v>
      </c>
      <c r="D14" s="205">
        <v>15.621</v>
      </c>
      <c r="E14" s="193">
        <v>17.718</v>
      </c>
      <c r="F14" s="193">
        <v>17.968</v>
      </c>
      <c r="G14" s="193">
        <v>18.548999999999999</v>
      </c>
      <c r="H14" s="193">
        <v>18.922000000000001</v>
      </c>
      <c r="I14" s="193">
        <v>19.577999999999999</v>
      </c>
      <c r="J14" s="193">
        <v>20.221</v>
      </c>
      <c r="K14" s="193">
        <v>20.449000000000002</v>
      </c>
      <c r="L14" s="193">
        <v>20.695</v>
      </c>
      <c r="M14" s="193">
        <v>21.2</v>
      </c>
      <c r="N14" s="193">
        <v>21.5</v>
      </c>
      <c r="O14" s="193">
        <v>21.7</v>
      </c>
      <c r="P14" s="203">
        <v>21.8</v>
      </c>
      <c r="Q14" s="203">
        <v>22</v>
      </c>
      <c r="R14" s="203">
        <v>21.95</v>
      </c>
      <c r="S14" s="203">
        <v>21.6</v>
      </c>
      <c r="T14" s="203">
        <v>21.7</v>
      </c>
      <c r="U14" s="203">
        <v>21.8</v>
      </c>
      <c r="V14" s="203">
        <v>22</v>
      </c>
      <c r="W14" s="203">
        <v>22.1</v>
      </c>
      <c r="X14" s="203">
        <v>20.919043007800454</v>
      </c>
      <c r="Y14" s="203">
        <v>21.1</v>
      </c>
      <c r="Z14" s="203">
        <v>21.161722909489495</v>
      </c>
      <c r="AA14" s="203">
        <v>21.096100453974149</v>
      </c>
      <c r="AB14" s="203">
        <v>21.028128543117838</v>
      </c>
      <c r="AC14" s="203">
        <v>21.006120944621784</v>
      </c>
      <c r="AD14" s="203">
        <v>21.148271968974477</v>
      </c>
      <c r="AE14" s="203">
        <v>20.902716638696276</v>
      </c>
      <c r="AF14" s="352">
        <v>20.464949412482678</v>
      </c>
      <c r="AG14" s="202">
        <f t="shared" si="1"/>
        <v>-2.0943078059202094</v>
      </c>
      <c r="AH14" s="191" t="s">
        <v>26</v>
      </c>
    </row>
    <row r="15" spans="1:35" ht="12.75" customHeight="1">
      <c r="A15" s="180"/>
      <c r="B15" s="187" t="s">
        <v>31</v>
      </c>
      <c r="C15" s="231">
        <v>20.911000000000001</v>
      </c>
      <c r="D15" s="231">
        <v>28.099</v>
      </c>
      <c r="E15" s="228">
        <v>33.36</v>
      </c>
      <c r="F15" s="228">
        <v>35.450000000000003</v>
      </c>
      <c r="G15" s="228">
        <v>35.520000000000003</v>
      </c>
      <c r="H15" s="228">
        <v>37.090000000000003</v>
      </c>
      <c r="I15" s="228">
        <v>38.130000000000003</v>
      </c>
      <c r="J15" s="228">
        <v>39.6</v>
      </c>
      <c r="K15" s="229">
        <v>44</v>
      </c>
      <c r="L15" s="228">
        <v>43.97</v>
      </c>
      <c r="M15" s="228">
        <v>49.4</v>
      </c>
      <c r="N15" s="228">
        <v>50</v>
      </c>
      <c r="O15" s="228">
        <v>50.277999999999999</v>
      </c>
      <c r="P15" s="228">
        <v>51.712000000000003</v>
      </c>
      <c r="Q15" s="228">
        <v>50.052999999999997</v>
      </c>
      <c r="R15" s="228">
        <v>49.209000000000003</v>
      </c>
      <c r="S15" s="228">
        <v>53.457999999999998</v>
      </c>
      <c r="T15" s="228">
        <v>53.176000000000002</v>
      </c>
      <c r="U15" s="228">
        <v>49.369</v>
      </c>
      <c r="V15" s="228">
        <v>59.162999999999997</v>
      </c>
      <c r="W15" s="228">
        <v>60.863999999999997</v>
      </c>
      <c r="X15" s="228">
        <v>57.042999999999999</v>
      </c>
      <c r="Y15" s="228">
        <v>50.902000000000001</v>
      </c>
      <c r="Z15" s="228">
        <v>55.741999999999997</v>
      </c>
      <c r="AA15" s="228">
        <v>54.530999999999999</v>
      </c>
      <c r="AB15" s="228">
        <v>53.835999999999999</v>
      </c>
      <c r="AC15" s="351">
        <v>39.469000000000001</v>
      </c>
      <c r="AD15" s="228">
        <v>46.389000000000003</v>
      </c>
      <c r="AE15" s="483">
        <v>47.762999999999998</v>
      </c>
      <c r="AF15" s="363">
        <v>30.51</v>
      </c>
      <c r="AG15" s="485" t="s">
        <v>153</v>
      </c>
      <c r="AH15" s="187" t="s">
        <v>31</v>
      </c>
    </row>
    <row r="16" spans="1:35" ht="12.75" customHeight="1">
      <c r="A16" s="180"/>
      <c r="B16" s="191" t="s">
        <v>32</v>
      </c>
      <c r="C16" s="205">
        <v>25.2</v>
      </c>
      <c r="D16" s="205">
        <v>38</v>
      </c>
      <c r="E16" s="193">
        <v>52.259742603886068</v>
      </c>
      <c r="F16" s="193">
        <v>54.120923065039335</v>
      </c>
      <c r="G16" s="193">
        <v>53.165864631065709</v>
      </c>
      <c r="H16" s="193">
        <v>53.481037343042473</v>
      </c>
      <c r="I16" s="193">
        <v>54.210795192775578</v>
      </c>
      <c r="J16" s="193">
        <v>53.189360720923631</v>
      </c>
      <c r="K16" s="193">
        <v>54.373496764817617</v>
      </c>
      <c r="L16" s="193">
        <v>55.390056470137473</v>
      </c>
      <c r="M16" s="193">
        <v>55.361849054148649</v>
      </c>
      <c r="N16" s="193">
        <v>54.525859142098213</v>
      </c>
      <c r="O16" s="224">
        <v>49.594495628487593</v>
      </c>
      <c r="P16" s="193">
        <v>48.111338379685371</v>
      </c>
      <c r="Q16" s="193">
        <v>48.64828099736328</v>
      </c>
      <c r="R16" s="193">
        <v>49.133556404460414</v>
      </c>
      <c r="S16" s="193">
        <v>49.993721550019934</v>
      </c>
      <c r="T16" s="193">
        <v>50.104708929007032</v>
      </c>
      <c r="U16" s="193">
        <v>52.436795674950197</v>
      </c>
      <c r="V16" s="193">
        <v>53.044433886484853</v>
      </c>
      <c r="W16" s="193">
        <v>53.525198463968259</v>
      </c>
      <c r="X16" s="193">
        <v>53.163203980574863</v>
      </c>
      <c r="Y16" s="193">
        <v>54.040974622693476</v>
      </c>
      <c r="Z16" s="193">
        <v>54.582638113687722</v>
      </c>
      <c r="AA16" s="193">
        <v>55.188177958143321</v>
      </c>
      <c r="AB16" s="193">
        <v>55.51500204182453</v>
      </c>
      <c r="AC16" s="193">
        <v>56.820500919706255</v>
      </c>
      <c r="AD16" s="193">
        <v>57.68634139999233</v>
      </c>
      <c r="AE16" s="193">
        <v>57.999963561808414</v>
      </c>
      <c r="AF16" s="365">
        <v>57.19569126988938</v>
      </c>
      <c r="AG16" s="213">
        <f t="shared" si="1"/>
        <v>-1.3866772365502555</v>
      </c>
      <c r="AH16" s="191" t="s">
        <v>32</v>
      </c>
    </row>
    <row r="17" spans="1:34" ht="16.5" customHeight="1">
      <c r="A17" s="180"/>
      <c r="B17" s="187" t="s">
        <v>44</v>
      </c>
      <c r="C17" s="190">
        <v>3.3</v>
      </c>
      <c r="D17" s="190">
        <v>7.1</v>
      </c>
      <c r="E17" s="189">
        <v>7</v>
      </c>
      <c r="F17" s="189" t="s">
        <v>41</v>
      </c>
      <c r="G17" s="189" t="s">
        <v>41</v>
      </c>
      <c r="H17" s="189" t="s">
        <v>41</v>
      </c>
      <c r="I17" s="189" t="s">
        <v>41</v>
      </c>
      <c r="J17" s="189">
        <v>4.0519150000000002</v>
      </c>
      <c r="K17" s="189">
        <v>4.2661179999999996</v>
      </c>
      <c r="L17" s="189">
        <v>4.4590670000000001</v>
      </c>
      <c r="M17" s="189">
        <v>3.9638469999999999</v>
      </c>
      <c r="N17" s="189">
        <v>3.3549829999999998</v>
      </c>
      <c r="O17" s="189">
        <v>3.3311470000000001</v>
      </c>
      <c r="P17" s="189">
        <v>3.477757</v>
      </c>
      <c r="Q17" s="189">
        <v>3.557693</v>
      </c>
      <c r="R17" s="189">
        <v>3.71685</v>
      </c>
      <c r="S17" s="189">
        <v>3.390253</v>
      </c>
      <c r="T17" s="189">
        <v>3.4034689999999999</v>
      </c>
      <c r="U17" s="189">
        <v>3.5370560000000002</v>
      </c>
      <c r="V17" s="189">
        <v>3.8079800000000001</v>
      </c>
      <c r="W17" s="189">
        <v>4.0934889999999999</v>
      </c>
      <c r="X17" s="189">
        <v>3.4379960000000001</v>
      </c>
      <c r="Y17" s="189">
        <v>3.248418</v>
      </c>
      <c r="Z17" s="189">
        <v>3.1450209999999998</v>
      </c>
      <c r="AA17" s="189">
        <v>3.2490779999999999</v>
      </c>
      <c r="AB17" s="189">
        <v>3.5070000000000001</v>
      </c>
      <c r="AC17" s="189">
        <v>3.6480000000000001</v>
      </c>
      <c r="AD17" s="189">
        <v>3.3769999999999998</v>
      </c>
      <c r="AE17" s="189">
        <v>3.802</v>
      </c>
      <c r="AF17" s="288">
        <v>4.1500000000000004</v>
      </c>
      <c r="AG17" s="188">
        <f t="shared" si="1"/>
        <v>9.1530773277222579</v>
      </c>
      <c r="AH17" s="187" t="s">
        <v>44</v>
      </c>
    </row>
    <row r="18" spans="1:34" ht="12.75" customHeight="1">
      <c r="A18" s="180"/>
      <c r="B18" s="191" t="s">
        <v>34</v>
      </c>
      <c r="C18" s="205">
        <v>32.003999999999998</v>
      </c>
      <c r="D18" s="205">
        <v>57.835999999999999</v>
      </c>
      <c r="E18" s="193">
        <v>83.954999999999998</v>
      </c>
      <c r="F18" s="193">
        <v>84.69</v>
      </c>
      <c r="G18" s="193">
        <v>84.7</v>
      </c>
      <c r="H18" s="193">
        <v>81.45</v>
      </c>
      <c r="I18" s="193">
        <v>79.28</v>
      </c>
      <c r="J18" s="193">
        <f>76.797+10.35</f>
        <v>87.146999999999991</v>
      </c>
      <c r="K18" s="193">
        <v>88.736000000000004</v>
      </c>
      <c r="L18" s="193">
        <v>90</v>
      </c>
      <c r="M18" s="193">
        <v>90.6</v>
      </c>
      <c r="N18" s="193">
        <v>92.153000000000006</v>
      </c>
      <c r="O18" s="193">
        <f>82.263+11.158</f>
        <v>93.421000000000006</v>
      </c>
      <c r="P18" s="193">
        <v>95.593999999999994</v>
      </c>
      <c r="Q18" s="193">
        <f>85.512+11.634</f>
        <v>97.146000000000001</v>
      </c>
      <c r="R18" s="193">
        <f>86.816+11.503</f>
        <v>98.319000000000003</v>
      </c>
      <c r="S18" s="193">
        <f>88.196+11.564</f>
        <v>99.759999999999991</v>
      </c>
      <c r="T18" s="193">
        <f>89.329+11.625</f>
        <v>100.95399999999999</v>
      </c>
      <c r="U18" s="193">
        <f>91.442+11.607</f>
        <v>103.04899999999999</v>
      </c>
      <c r="V18" s="193">
        <f>91.108+11.549</f>
        <v>102.65700000000001</v>
      </c>
      <c r="W18" s="193">
        <f>90.693+11.745</f>
        <v>102.438</v>
      </c>
      <c r="X18" s="193">
        <f>89.797+11.909</f>
        <v>101.706</v>
      </c>
      <c r="Y18" s="193">
        <f>90.134+12.085</f>
        <v>102.21899999999999</v>
      </c>
      <c r="Z18" s="193">
        <f>90.907+11.537</f>
        <v>102.444</v>
      </c>
      <c r="AA18" s="193">
        <f>90.542+10.97</f>
        <v>101.512</v>
      </c>
      <c r="AB18" s="193">
        <f>90.748+11.022</f>
        <v>101.77000000000001</v>
      </c>
      <c r="AC18" s="193">
        <f>91.61+11.196</f>
        <v>102.806</v>
      </c>
      <c r="AD18" s="193">
        <f>91.559+10.95</f>
        <v>102.509</v>
      </c>
      <c r="AE18" s="193">
        <v>103.099</v>
      </c>
      <c r="AF18" s="367">
        <v>103.17400000000001</v>
      </c>
      <c r="AG18" s="213">
        <f t="shared" si="1"/>
        <v>7.2745613439508361E-2</v>
      </c>
      <c r="AH18" s="191" t="s">
        <v>34</v>
      </c>
    </row>
    <row r="19" spans="1:34" ht="12.75" customHeight="1">
      <c r="A19" s="180"/>
      <c r="B19" s="187" t="s">
        <v>13</v>
      </c>
      <c r="C19" s="190" t="s">
        <v>41</v>
      </c>
      <c r="D19" s="190" t="s">
        <v>41</v>
      </c>
      <c r="E19" s="189" t="s">
        <v>41</v>
      </c>
      <c r="F19" s="189" t="s">
        <v>41</v>
      </c>
      <c r="G19" s="189" t="s">
        <v>41</v>
      </c>
      <c r="H19" s="189" t="s">
        <v>41</v>
      </c>
      <c r="I19" s="189" t="s">
        <v>41</v>
      </c>
      <c r="J19" s="208">
        <v>1</v>
      </c>
      <c r="K19" s="208">
        <v>1.04</v>
      </c>
      <c r="L19" s="208">
        <v>1.05</v>
      </c>
      <c r="M19" s="208">
        <v>1.06</v>
      </c>
      <c r="N19" s="208">
        <v>1.08</v>
      </c>
      <c r="O19" s="208">
        <v>1.1200000000000001</v>
      </c>
      <c r="P19" s="208">
        <v>1.1599999999999999</v>
      </c>
      <c r="Q19" s="208">
        <v>1.2</v>
      </c>
      <c r="R19" s="208">
        <v>1.28</v>
      </c>
      <c r="S19" s="208">
        <v>1.24</v>
      </c>
      <c r="T19" s="208">
        <v>1.26</v>
      </c>
      <c r="U19" s="208">
        <v>1.28</v>
      </c>
      <c r="V19" s="208">
        <v>1.3</v>
      </c>
      <c r="W19" s="208">
        <v>1.33</v>
      </c>
      <c r="X19" s="208">
        <v>1.2832081221716343</v>
      </c>
      <c r="Y19" s="208">
        <v>1.29</v>
      </c>
      <c r="Z19" s="208">
        <v>1.3250425730630311</v>
      </c>
      <c r="AA19" s="208">
        <v>1.3655790761715423</v>
      </c>
      <c r="AB19" s="208">
        <v>1.3463918995498854</v>
      </c>
      <c r="AC19" s="208">
        <v>1.3463918995498854</v>
      </c>
      <c r="AD19" s="208">
        <v>1.426717257084444</v>
      </c>
      <c r="AE19" s="208">
        <v>1.4810954569636534</v>
      </c>
      <c r="AF19" s="368">
        <v>1.5360297291459744</v>
      </c>
      <c r="AG19" s="207">
        <f t="shared" si="1"/>
        <v>3.7090298214093451</v>
      </c>
      <c r="AH19" s="187" t="s">
        <v>13</v>
      </c>
    </row>
    <row r="20" spans="1:34" s="201" customFormat="1" ht="12.75" customHeight="1">
      <c r="A20" s="206"/>
      <c r="B20" s="191" t="s">
        <v>17</v>
      </c>
      <c r="C20" s="205">
        <v>3.28</v>
      </c>
      <c r="D20" s="205">
        <v>4.55</v>
      </c>
      <c r="E20" s="193">
        <v>5.8620000000000001</v>
      </c>
      <c r="F20" s="225">
        <v>5.3310000000000004</v>
      </c>
      <c r="G20" s="193">
        <v>2.5830000000000002</v>
      </c>
      <c r="H20" s="193">
        <v>1.722</v>
      </c>
      <c r="I20" s="193">
        <v>1.7949999999999999</v>
      </c>
      <c r="J20" s="193">
        <v>1.835</v>
      </c>
      <c r="K20" s="193">
        <v>1.6060000000000001</v>
      </c>
      <c r="L20" s="193">
        <v>1.72</v>
      </c>
      <c r="M20" s="193">
        <v>1.903</v>
      </c>
      <c r="N20" s="193">
        <v>2.3679999999999999</v>
      </c>
      <c r="O20" s="193">
        <v>2.3479999999999999</v>
      </c>
      <c r="P20" s="193">
        <v>2.3050000000000002</v>
      </c>
      <c r="Q20" s="193">
        <v>2.3610000000000002</v>
      </c>
      <c r="R20" s="193">
        <v>2.5499999999999998</v>
      </c>
      <c r="S20" s="193">
        <v>2.6549999999999998</v>
      </c>
      <c r="T20" s="193">
        <v>2.891</v>
      </c>
      <c r="U20" s="193">
        <v>2.78</v>
      </c>
      <c r="V20" s="193">
        <v>2.6440000000000001</v>
      </c>
      <c r="W20" s="193">
        <v>2.5169999999999999</v>
      </c>
      <c r="X20" s="193">
        <v>2.1429999999999998</v>
      </c>
      <c r="Y20" s="193">
        <v>2.3109999999999999</v>
      </c>
      <c r="Z20" s="193">
        <v>2.4119999999999999</v>
      </c>
      <c r="AA20" s="193">
        <v>2.3580000000000001</v>
      </c>
      <c r="AB20" s="193">
        <v>2.3250000000000002</v>
      </c>
      <c r="AC20" s="193">
        <v>2.3450000000000002</v>
      </c>
      <c r="AD20" s="193">
        <v>2.2320000000000002</v>
      </c>
      <c r="AE20" s="193">
        <v>2.1869999999999998</v>
      </c>
      <c r="AF20" s="367">
        <v>2.1659999999999999</v>
      </c>
      <c r="AG20" s="213">
        <f t="shared" si="1"/>
        <v>-0.96021947873798297</v>
      </c>
      <c r="AH20" s="191" t="s">
        <v>17</v>
      </c>
    </row>
    <row r="21" spans="1:34" ht="12.75" customHeight="1">
      <c r="A21" s="180"/>
      <c r="B21" s="187" t="s">
        <v>18</v>
      </c>
      <c r="C21" s="190" t="s">
        <v>41</v>
      </c>
      <c r="D21" s="190" t="s">
        <v>41</v>
      </c>
      <c r="E21" s="189">
        <v>7.8890000000000002</v>
      </c>
      <c r="F21" s="189">
        <v>7.798</v>
      </c>
      <c r="G21" s="189">
        <v>6.3920000000000003</v>
      </c>
      <c r="H21" s="189">
        <v>4.5220000000000002</v>
      </c>
      <c r="I21" s="189">
        <v>4.6269999999999998</v>
      </c>
      <c r="J21" s="189">
        <f>3.334+0.835</f>
        <v>4.1690000000000005</v>
      </c>
      <c r="K21" s="189">
        <f>2.879+0.722</f>
        <v>3.601</v>
      </c>
      <c r="L21" s="189">
        <f>2.603+0.588</f>
        <v>3.1910000000000003</v>
      </c>
      <c r="M21" s="189">
        <f>2.39+0.574</f>
        <v>2.964</v>
      </c>
      <c r="N21" s="189">
        <f>2.096+0.569</f>
        <v>2.665</v>
      </c>
      <c r="O21" s="189">
        <f>2.266+0.489</f>
        <v>2.7549999999999999</v>
      </c>
      <c r="P21" s="189">
        <v>2.8330000000000002</v>
      </c>
      <c r="Q21" s="189">
        <f>2.508+0.505</f>
        <v>3.0129999999999999</v>
      </c>
      <c r="R21" s="189">
        <f>2.583+0.404</f>
        <v>2.9870000000000001</v>
      </c>
      <c r="S21" s="189">
        <f>3.14+0.409</f>
        <v>3.5489999999999999</v>
      </c>
      <c r="T21" s="189">
        <f>3.267+0.424</f>
        <v>3.6909999999999998</v>
      </c>
      <c r="U21" s="189">
        <f>3.283+0.413</f>
        <v>3.6959999999999997</v>
      </c>
      <c r="V21" s="189">
        <f>3.1703+0.4498</f>
        <v>3.6200999999999999</v>
      </c>
      <c r="W21" s="189">
        <f>2.9521+0.4691</f>
        <v>3.4212000000000002</v>
      </c>
      <c r="X21" s="189">
        <v>2.7746999999999997</v>
      </c>
      <c r="Y21" s="189">
        <f>2.3479+0.3457</f>
        <v>2.6936</v>
      </c>
      <c r="Z21" s="189">
        <v>2.7480000000000002</v>
      </c>
      <c r="AA21" s="189">
        <f>2.387+0.348</f>
        <v>2.7349999999999999</v>
      </c>
      <c r="AB21" s="189">
        <f>2.521+0.326</f>
        <v>2.847</v>
      </c>
      <c r="AC21" s="189">
        <v>2.9733000000000001</v>
      </c>
      <c r="AD21" s="189">
        <v>2.7455430000000001</v>
      </c>
      <c r="AE21" s="189">
        <v>2.6313</v>
      </c>
      <c r="AF21" s="288">
        <v>2.7389999999999999</v>
      </c>
      <c r="AG21" s="188">
        <f t="shared" si="1"/>
        <v>4.0930338615893191</v>
      </c>
      <c r="AH21" s="187" t="s">
        <v>18</v>
      </c>
    </row>
    <row r="22" spans="1:34" s="201" customFormat="1" ht="12.75" customHeight="1">
      <c r="A22" s="206"/>
      <c r="B22" s="191" t="s">
        <v>35</v>
      </c>
      <c r="C22" s="221">
        <v>0.4</v>
      </c>
      <c r="D22" s="221">
        <v>0.44</v>
      </c>
      <c r="E22" s="203">
        <v>0.48</v>
      </c>
      <c r="F22" s="203">
        <v>0.49</v>
      </c>
      <c r="G22" s="203">
        <v>0.51</v>
      </c>
      <c r="H22" s="203">
        <v>0.52</v>
      </c>
      <c r="I22" s="203">
        <v>0.53</v>
      </c>
      <c r="J22" s="203">
        <v>0.54</v>
      </c>
      <c r="K22" s="203">
        <v>0.55000000000000004</v>
      </c>
      <c r="L22" s="203">
        <v>0.56000000000000005</v>
      </c>
      <c r="M22" s="203">
        <v>0.56999999999999995</v>
      </c>
      <c r="N22" s="203">
        <v>0.57999999999999996</v>
      </c>
      <c r="O22" s="203">
        <v>0.62</v>
      </c>
      <c r="P22" s="203">
        <v>0.66</v>
      </c>
      <c r="Q22" s="203">
        <v>0.72</v>
      </c>
      <c r="R22" s="203">
        <v>0.74</v>
      </c>
      <c r="S22" s="203">
        <v>0.77</v>
      </c>
      <c r="T22" s="203">
        <v>0.8</v>
      </c>
      <c r="U22" s="203">
        <v>0.82</v>
      </c>
      <c r="V22" s="203">
        <v>0.86</v>
      </c>
      <c r="W22" s="203">
        <v>0.91</v>
      </c>
      <c r="X22" s="203">
        <v>0.90587268823413103</v>
      </c>
      <c r="Y22" s="203">
        <v>0.94</v>
      </c>
      <c r="Z22" s="203">
        <v>0.9876300463226344</v>
      </c>
      <c r="AA22" s="203">
        <v>1.0049122484837048</v>
      </c>
      <c r="AB22" s="203">
        <v>1.0264588947641511</v>
      </c>
      <c r="AC22" s="203">
        <v>1.0375462847587611</v>
      </c>
      <c r="AD22" s="203">
        <v>1.0928294004495056</v>
      </c>
      <c r="AE22" s="203">
        <v>1.1099876780311415</v>
      </c>
      <c r="AF22" s="352">
        <v>1.1455145233368973</v>
      </c>
      <c r="AG22" s="202">
        <f t="shared" si="1"/>
        <v>3.2006522242455873</v>
      </c>
      <c r="AH22" s="191" t="s">
        <v>35</v>
      </c>
    </row>
    <row r="23" spans="1:34" ht="12.75" customHeight="1">
      <c r="A23" s="180"/>
      <c r="B23" s="187" t="s">
        <v>16</v>
      </c>
      <c r="C23" s="190" t="s">
        <v>41</v>
      </c>
      <c r="D23" s="190" t="s">
        <v>41</v>
      </c>
      <c r="E23" s="189">
        <v>19.260999999999999</v>
      </c>
      <c r="F23" s="189">
        <v>17.332000000000001</v>
      </c>
      <c r="G23" s="189">
        <v>15.971</v>
      </c>
      <c r="H23" s="189">
        <v>15.8</v>
      </c>
      <c r="I23" s="189">
        <v>16.391999999999999</v>
      </c>
      <c r="J23" s="189">
        <v>16.605</v>
      </c>
      <c r="K23" s="189">
        <v>16.564</v>
      </c>
      <c r="L23" s="189">
        <v>16.632000000000001</v>
      </c>
      <c r="M23" s="189">
        <v>17.172000000000001</v>
      </c>
      <c r="N23" s="189">
        <v>17.795999999999999</v>
      </c>
      <c r="O23" s="189">
        <v>18.731999999999999</v>
      </c>
      <c r="P23" s="189">
        <v>18.617000000000001</v>
      </c>
      <c r="Q23" s="189">
        <v>18.898</v>
      </c>
      <c r="R23" s="189">
        <v>18.707000000000001</v>
      </c>
      <c r="S23" s="189">
        <f>11.612+6.312+0.299</f>
        <v>18.222999999999999</v>
      </c>
      <c r="T23" s="189">
        <f>11.53+6.029+0.286</f>
        <v>17.844999999999999</v>
      </c>
      <c r="U23" s="189">
        <f>11.784+5.863+0.283</f>
        <v>17.930000000000003</v>
      </c>
      <c r="V23" s="189">
        <f>11.254+5.613+0.278</f>
        <v>17.145</v>
      </c>
      <c r="W23" s="189">
        <f>11.862+5.515+0.277</f>
        <v>17.654</v>
      </c>
      <c r="X23" s="189">
        <f>11.321+4.759+0.21</f>
        <v>16.29</v>
      </c>
      <c r="Y23" s="189">
        <f>11.776+4.484+0.201</f>
        <v>16.460999999999999</v>
      </c>
      <c r="Z23" s="189">
        <f>11.852+0.197+4.4067046</f>
        <v>16.455704600000001</v>
      </c>
      <c r="AA23" s="189">
        <f>12.553+4.3348054+0.186545</f>
        <v>17.0743504</v>
      </c>
      <c r="AB23" s="189">
        <f>12.606+4.358511+0.1853244</f>
        <v>17.149835400000001</v>
      </c>
      <c r="AC23" s="189">
        <f>12.987+4.4538901+0.1891748</f>
        <v>17.630064900000001</v>
      </c>
      <c r="AD23" s="189">
        <f>4.4906711+0.1925054+13.13</f>
        <v>17.813176500000001</v>
      </c>
      <c r="AE23" s="189">
        <v>17.8219335</v>
      </c>
      <c r="AF23" s="288">
        <v>18.311214800000002</v>
      </c>
      <c r="AG23" s="188">
        <f t="shared" si="1"/>
        <v>2.745388428253321</v>
      </c>
      <c r="AH23" s="187" t="s">
        <v>16</v>
      </c>
    </row>
    <row r="24" spans="1:34" s="201" customFormat="1" ht="12.75" customHeight="1">
      <c r="A24" s="274"/>
      <c r="B24" s="191" t="s">
        <v>19</v>
      </c>
      <c r="C24" s="205" t="s">
        <v>41</v>
      </c>
      <c r="D24" s="205" t="s">
        <v>41</v>
      </c>
      <c r="E24" s="193" t="s">
        <v>41</v>
      </c>
      <c r="F24" s="193" t="s">
        <v>41</v>
      </c>
      <c r="G24" s="193" t="s">
        <v>41</v>
      </c>
      <c r="H24" s="193" t="s">
        <v>41</v>
      </c>
      <c r="I24" s="193" t="s">
        <v>41</v>
      </c>
      <c r="J24" s="203">
        <v>0.41</v>
      </c>
      <c r="K24" s="203">
        <v>0.42</v>
      </c>
      <c r="L24" s="203">
        <v>0.44</v>
      </c>
      <c r="M24" s="203">
        <v>0.45</v>
      </c>
      <c r="N24" s="203">
        <v>0.45500000000000002</v>
      </c>
      <c r="O24" s="203">
        <v>0.46</v>
      </c>
      <c r="P24" s="203">
        <v>0.47</v>
      </c>
      <c r="Q24" s="203">
        <v>0.48</v>
      </c>
      <c r="R24" s="203">
        <v>0.49</v>
      </c>
      <c r="S24" s="203">
        <v>0.5</v>
      </c>
      <c r="T24" s="203">
        <v>0.49</v>
      </c>
      <c r="U24" s="203">
        <v>0.5</v>
      </c>
      <c r="V24" s="203">
        <v>0.505</v>
      </c>
      <c r="W24" s="203">
        <v>0.51</v>
      </c>
      <c r="X24" s="203">
        <v>0.48488857223887638</v>
      </c>
      <c r="Y24" s="203">
        <v>0.5</v>
      </c>
      <c r="Z24" s="203">
        <v>0.47567815316050804</v>
      </c>
      <c r="AA24" s="203">
        <v>0.47645189540481242</v>
      </c>
      <c r="AB24" s="203">
        <v>0.46847402439797603</v>
      </c>
      <c r="AC24" s="203">
        <v>0.49155426958825765</v>
      </c>
      <c r="AD24" s="203">
        <v>0.53990646158702804</v>
      </c>
      <c r="AE24" s="203">
        <v>0.54606337304778996</v>
      </c>
      <c r="AF24" s="352">
        <v>0.55611216003480179</v>
      </c>
      <c r="AG24" s="202">
        <f t="shared" si="1"/>
        <v>1.8402235863075163</v>
      </c>
      <c r="AH24" s="191" t="s">
        <v>19</v>
      </c>
    </row>
    <row r="25" spans="1:34" ht="12.75" customHeight="1">
      <c r="A25" s="180"/>
      <c r="B25" s="187" t="s">
        <v>27</v>
      </c>
      <c r="C25" s="190">
        <v>9.5</v>
      </c>
      <c r="D25" s="216">
        <v>11.2</v>
      </c>
      <c r="E25" s="189">
        <v>13</v>
      </c>
      <c r="F25" s="209">
        <v>12.3</v>
      </c>
      <c r="G25" s="209">
        <v>13.2</v>
      </c>
      <c r="H25" s="209">
        <v>13.05</v>
      </c>
      <c r="I25" s="209">
        <v>12.15</v>
      </c>
      <c r="J25" s="209">
        <v>12</v>
      </c>
      <c r="K25" s="209">
        <v>11.85</v>
      </c>
      <c r="L25" s="209">
        <v>12</v>
      </c>
      <c r="M25" s="209">
        <v>11.7</v>
      </c>
      <c r="N25" s="209">
        <v>11.25</v>
      </c>
      <c r="O25" s="372">
        <v>4.6172773995720862</v>
      </c>
      <c r="P25" s="208">
        <v>4.6722451871156681</v>
      </c>
      <c r="Q25" s="209">
        <v>4.4114885322855999</v>
      </c>
      <c r="R25" s="209">
        <v>4.5998311647826151</v>
      </c>
      <c r="S25" s="209">
        <v>4.7001906190403862</v>
      </c>
      <c r="T25" s="208">
        <v>4.7750280468120172</v>
      </c>
      <c r="U25" s="208">
        <v>4.8609118584984579</v>
      </c>
      <c r="V25" s="208">
        <v>4.9614030338171933</v>
      </c>
      <c r="W25" s="208">
        <v>5.0485431818379851</v>
      </c>
      <c r="X25" s="208">
        <v>4.8539475062283941</v>
      </c>
      <c r="Y25" s="373">
        <v>4.8460749387701867</v>
      </c>
      <c r="Z25" s="208">
        <v>5.0100965409031044</v>
      </c>
      <c r="AA25" s="208">
        <v>4.4838695297226492</v>
      </c>
      <c r="AB25" s="208">
        <v>4.6464404346162365</v>
      </c>
      <c r="AC25" s="208">
        <v>4.5467574620943143</v>
      </c>
      <c r="AD25" s="208">
        <v>4.8835543111383366</v>
      </c>
      <c r="AE25" s="208">
        <v>4.9745732561968508</v>
      </c>
      <c r="AF25" s="368">
        <v>4.6183979978591383</v>
      </c>
      <c r="AG25" s="207">
        <f t="shared" si="1"/>
        <v>-7.159915835876447</v>
      </c>
      <c r="AH25" s="187" t="s">
        <v>27</v>
      </c>
    </row>
    <row r="26" spans="1:34" s="201" customFormat="1" ht="12.75" customHeight="1">
      <c r="A26" s="206"/>
      <c r="B26" s="191" t="s">
        <v>36</v>
      </c>
      <c r="C26" s="205">
        <v>9.1</v>
      </c>
      <c r="D26" s="205">
        <v>9.8000000000000007</v>
      </c>
      <c r="E26" s="203">
        <v>8.1929847418327331</v>
      </c>
      <c r="F26" s="203">
        <v>8.1708678419827727</v>
      </c>
      <c r="G26" s="203">
        <v>8.3380784155628422</v>
      </c>
      <c r="H26" s="203">
        <v>8.5778869752686422</v>
      </c>
      <c r="I26" s="203">
        <v>8.736271342619089</v>
      </c>
      <c r="J26" s="203">
        <v>8.971114336525325</v>
      </c>
      <c r="K26" s="203">
        <v>8.9934397709944083</v>
      </c>
      <c r="L26" s="203">
        <v>9.0711360734405933</v>
      </c>
      <c r="M26" s="203">
        <v>9.2407534044560933</v>
      </c>
      <c r="N26" s="203">
        <v>9.2512800451092119</v>
      </c>
      <c r="O26" s="203">
        <v>9.5379002591050117</v>
      </c>
      <c r="P26" s="203">
        <v>9.4935971515607847</v>
      </c>
      <c r="Q26" s="203">
        <v>9.6062999665388347</v>
      </c>
      <c r="R26" s="203">
        <v>9.7826009057961834</v>
      </c>
      <c r="S26" s="203">
        <v>9.9098709093280739</v>
      </c>
      <c r="T26" s="203">
        <v>9.6581247092300142</v>
      </c>
      <c r="U26" s="203">
        <v>9.5636709328051435</v>
      </c>
      <c r="V26" s="203">
        <v>10.139828761267628</v>
      </c>
      <c r="W26" s="203">
        <v>9.9044878854506759</v>
      </c>
      <c r="X26" s="203">
        <v>9.1835169296710557</v>
      </c>
      <c r="Y26" s="203">
        <v>9.9516127142958872</v>
      </c>
      <c r="Z26" s="203">
        <v>9.9035596634819907</v>
      </c>
      <c r="AA26" s="203">
        <v>9.8687015151968325</v>
      </c>
      <c r="AB26" s="203">
        <v>9.8965781855105188</v>
      </c>
      <c r="AC26" s="193">
        <v>10.136862897278643</v>
      </c>
      <c r="AD26" s="193">
        <v>10.295414860155599</v>
      </c>
      <c r="AE26" s="193">
        <v>10.6054771848763</v>
      </c>
      <c r="AF26" s="193">
        <v>10.877000000000001</v>
      </c>
      <c r="AG26" s="213">
        <f t="shared" si="1"/>
        <v>2.5602130898070357</v>
      </c>
      <c r="AH26" s="191" t="s">
        <v>36</v>
      </c>
    </row>
    <row r="27" spans="1:34" ht="12.75" customHeight="1">
      <c r="A27" s="180"/>
      <c r="B27" s="187" t="s">
        <v>20</v>
      </c>
      <c r="C27" s="190">
        <v>29.14</v>
      </c>
      <c r="D27" s="190">
        <v>49.222999999999999</v>
      </c>
      <c r="E27" s="189">
        <v>46.3</v>
      </c>
      <c r="F27" s="189">
        <v>41.72</v>
      </c>
      <c r="G27" s="189">
        <v>39.008000000000003</v>
      </c>
      <c r="H27" s="189">
        <v>37.811</v>
      </c>
      <c r="I27" s="189">
        <v>34.262</v>
      </c>
      <c r="J27" s="189">
        <v>34.024000000000001</v>
      </c>
      <c r="K27" s="189">
        <v>33.984000000000002</v>
      </c>
      <c r="L27" s="189">
        <v>33.128</v>
      </c>
      <c r="M27" s="189">
        <v>34.034999999999997</v>
      </c>
      <c r="N27" s="189">
        <v>33.25</v>
      </c>
      <c r="O27" s="215">
        <v>59.2</v>
      </c>
      <c r="P27" s="189">
        <v>55.4</v>
      </c>
      <c r="Q27" s="189">
        <v>52</v>
      </c>
      <c r="R27" s="189">
        <v>51.6</v>
      </c>
      <c r="S27" s="189">
        <v>51.1</v>
      </c>
      <c r="T27" s="189">
        <v>49.2</v>
      </c>
      <c r="U27" s="189">
        <v>48.7</v>
      </c>
      <c r="V27" s="189">
        <v>47.7</v>
      </c>
      <c r="W27" s="189">
        <v>47.7</v>
      </c>
      <c r="X27" s="189">
        <v>43.9</v>
      </c>
      <c r="Y27" s="189">
        <v>41.7</v>
      </c>
      <c r="Z27" s="189">
        <v>40.1</v>
      </c>
      <c r="AA27" s="189">
        <v>39.418999999999997</v>
      </c>
      <c r="AB27" s="189">
        <v>37.799999999999997</v>
      </c>
      <c r="AC27" s="189">
        <v>39.158000000000001</v>
      </c>
      <c r="AD27" s="189">
        <v>37.58</v>
      </c>
      <c r="AE27" s="189">
        <v>36.774000000000001</v>
      </c>
      <c r="AF27" s="288">
        <v>36.064999999999998</v>
      </c>
      <c r="AG27" s="188">
        <f t="shared" si="1"/>
        <v>-1.9279926034698462</v>
      </c>
      <c r="AH27" s="187" t="s">
        <v>20</v>
      </c>
    </row>
    <row r="28" spans="1:34" s="201" customFormat="1" ht="12.75" customHeight="1">
      <c r="A28" s="206"/>
      <c r="B28" s="191" t="s">
        <v>37</v>
      </c>
      <c r="C28" s="205">
        <v>4.3579999999999997</v>
      </c>
      <c r="D28" s="205">
        <v>7.6</v>
      </c>
      <c r="E28" s="193">
        <v>10.3</v>
      </c>
      <c r="F28" s="193">
        <v>10.7</v>
      </c>
      <c r="G28" s="193">
        <v>11.4</v>
      </c>
      <c r="H28" s="193">
        <v>11.8</v>
      </c>
      <c r="I28" s="193">
        <v>12.55</v>
      </c>
      <c r="J28" s="193">
        <v>11.3</v>
      </c>
      <c r="K28" s="193">
        <v>11.1</v>
      </c>
      <c r="L28" s="193">
        <v>11.6</v>
      </c>
      <c r="M28" s="193">
        <v>11.55</v>
      </c>
      <c r="N28" s="193">
        <v>11.48</v>
      </c>
      <c r="O28" s="193">
        <v>11.821</v>
      </c>
      <c r="P28" s="193">
        <v>11.159000000000001</v>
      </c>
      <c r="Q28" s="193">
        <v>9.9359999999999999</v>
      </c>
      <c r="R28" s="193">
        <v>10.537000000000001</v>
      </c>
      <c r="S28" s="193">
        <v>10.808999999999999</v>
      </c>
      <c r="T28" s="273">
        <v>6.3762631666458827</v>
      </c>
      <c r="U28" s="203">
        <v>6.0643432657910443</v>
      </c>
      <c r="V28" s="203">
        <v>6.248737903312966</v>
      </c>
      <c r="W28" s="203">
        <v>6.2826297525771189</v>
      </c>
      <c r="X28" s="203">
        <v>6.0003599842101911</v>
      </c>
      <c r="Y28" s="203">
        <v>6.0775553426228326</v>
      </c>
      <c r="Z28" s="193">
        <v>5.85</v>
      </c>
      <c r="AA28" s="193">
        <v>5.85</v>
      </c>
      <c r="AB28" s="193">
        <v>6.0229999999999997</v>
      </c>
      <c r="AC28" s="193">
        <v>5.657</v>
      </c>
      <c r="AD28" s="224">
        <v>6.5750000000000002</v>
      </c>
      <c r="AE28" s="193">
        <v>7.6120000000000001</v>
      </c>
      <c r="AF28" s="367">
        <v>7.415</v>
      </c>
      <c r="AG28" s="213">
        <f t="shared" si="1"/>
        <v>-2.5880189174986867</v>
      </c>
      <c r="AH28" s="191" t="s">
        <v>37</v>
      </c>
    </row>
    <row r="29" spans="1:34" ht="12.75" customHeight="1">
      <c r="A29" s="180"/>
      <c r="B29" s="187" t="s">
        <v>21</v>
      </c>
      <c r="C29" s="190">
        <v>7.8579999999999997</v>
      </c>
      <c r="D29" s="190">
        <v>24.015999999999998</v>
      </c>
      <c r="E29" s="189">
        <v>24.007000000000001</v>
      </c>
      <c r="F29" s="189">
        <v>20.835000000000001</v>
      </c>
      <c r="G29" s="189">
        <v>25.649000000000001</v>
      </c>
      <c r="H29" s="223">
        <v>20.512</v>
      </c>
      <c r="I29" s="189">
        <v>14.058</v>
      </c>
      <c r="J29" s="189">
        <v>12.343</v>
      </c>
      <c r="K29" s="189">
        <v>12.842000000000001</v>
      </c>
      <c r="L29" s="189">
        <v>13.531000000000001</v>
      </c>
      <c r="M29" s="189">
        <v>8.9619999999999997</v>
      </c>
      <c r="N29" s="189">
        <v>8.3230000000000004</v>
      </c>
      <c r="O29" s="189">
        <v>7.7</v>
      </c>
      <c r="P29" s="189">
        <v>7.0730000000000004</v>
      </c>
      <c r="Q29" s="189">
        <v>6.9870000000000001</v>
      </c>
      <c r="R29" s="189">
        <v>9.4550000000000001</v>
      </c>
      <c r="S29" s="189">
        <v>9.4380000000000006</v>
      </c>
      <c r="T29" s="189">
        <v>11.811</v>
      </c>
      <c r="U29" s="189">
        <v>11.734999999999999</v>
      </c>
      <c r="V29" s="189">
        <v>12.156000000000001</v>
      </c>
      <c r="W29" s="215">
        <v>20.193999999999999</v>
      </c>
      <c r="X29" s="189">
        <v>17.108000000000001</v>
      </c>
      <c r="Y29" s="189">
        <v>15.811999999999999</v>
      </c>
      <c r="Z29" s="189">
        <v>15.529</v>
      </c>
      <c r="AA29" s="189">
        <v>16.901</v>
      </c>
      <c r="AB29" s="189">
        <v>17.082000000000001</v>
      </c>
      <c r="AC29" s="189">
        <v>18.338999999999999</v>
      </c>
      <c r="AD29" s="189">
        <v>17.471</v>
      </c>
      <c r="AE29" s="189">
        <v>18.744</v>
      </c>
      <c r="AF29" s="288">
        <v>18.178000000000001</v>
      </c>
      <c r="AG29" s="188">
        <f t="shared" si="1"/>
        <v>-3.0196329492104041</v>
      </c>
      <c r="AH29" s="187" t="s">
        <v>21</v>
      </c>
    </row>
    <row r="30" spans="1:34" s="201" customFormat="1" ht="12.75" customHeight="1">
      <c r="A30" s="206"/>
      <c r="B30" s="191" t="s">
        <v>23</v>
      </c>
      <c r="C30" s="205">
        <v>2.6419999999999999</v>
      </c>
      <c r="D30" s="205">
        <v>4.9249999999999998</v>
      </c>
      <c r="E30" s="193">
        <v>6.508</v>
      </c>
      <c r="F30" s="193">
        <v>5.5540000000000003</v>
      </c>
      <c r="G30" s="193">
        <v>4.17</v>
      </c>
      <c r="H30" s="193">
        <v>3.8940000000000001</v>
      </c>
      <c r="I30" s="193">
        <v>4.0529999999999999</v>
      </c>
      <c r="J30" s="193">
        <v>4.1130000000000004</v>
      </c>
      <c r="K30" s="193">
        <v>4.3010000000000002</v>
      </c>
      <c r="L30" s="193">
        <v>4.3789999999999996</v>
      </c>
      <c r="M30" s="193">
        <v>3.8759999999999999</v>
      </c>
      <c r="N30" s="193">
        <v>4.1379999999999999</v>
      </c>
      <c r="O30" s="193">
        <v>3.5019999999999998</v>
      </c>
      <c r="P30" s="193">
        <v>3.3929999999999998</v>
      </c>
      <c r="Q30" s="193">
        <v>3.339</v>
      </c>
      <c r="R30" s="193">
        <v>3.4460000000000002</v>
      </c>
      <c r="S30" s="193">
        <v>3.218</v>
      </c>
      <c r="T30" s="193">
        <v>3.0619999999999998</v>
      </c>
      <c r="U30" s="193">
        <v>3.133</v>
      </c>
      <c r="V30" s="193">
        <v>3.2349999999999999</v>
      </c>
      <c r="W30" s="193">
        <v>3.1459999999999999</v>
      </c>
      <c r="X30" s="193">
        <v>3.1960000000000002</v>
      </c>
      <c r="Y30" s="193">
        <v>3.1829999999999998</v>
      </c>
      <c r="Z30" s="203">
        <v>3.244143134443557</v>
      </c>
      <c r="AA30" s="203">
        <v>3.2370370249757103</v>
      </c>
      <c r="AB30" s="203">
        <v>3.3223001768851614</v>
      </c>
      <c r="AC30" s="203">
        <v>3.448992354015874</v>
      </c>
      <c r="AD30" s="203">
        <v>3.576082566075633</v>
      </c>
      <c r="AE30" s="203">
        <v>3.6071993994426763</v>
      </c>
      <c r="AF30" s="352">
        <v>3.6802214515651084</v>
      </c>
      <c r="AG30" s="213">
        <f t="shared" si="1"/>
        <v>2.0243419904570175</v>
      </c>
      <c r="AH30" s="191" t="s">
        <v>23</v>
      </c>
    </row>
    <row r="31" spans="1:34" ht="12.75" customHeight="1">
      <c r="A31" s="180"/>
      <c r="B31" s="187" t="s">
        <v>22</v>
      </c>
      <c r="C31" s="218"/>
      <c r="D31" s="218"/>
      <c r="E31" s="217"/>
      <c r="F31" s="189"/>
      <c r="G31" s="189"/>
      <c r="H31" s="189"/>
      <c r="I31" s="189"/>
      <c r="J31" s="189">
        <f>11.191+3.25</f>
        <v>14.441000000000001</v>
      </c>
      <c r="K31" s="189">
        <f>11.1+3.38</f>
        <v>14.48</v>
      </c>
      <c r="L31" s="189">
        <f>9.969+3.5</f>
        <v>13.468999999999999</v>
      </c>
      <c r="M31" s="189">
        <f>8.84+3.62</f>
        <v>12.46</v>
      </c>
      <c r="N31" s="189">
        <f>7.833+3.52</f>
        <v>11.353</v>
      </c>
      <c r="O31" s="208">
        <v>9.3174635000000006</v>
      </c>
      <c r="P31" s="208">
        <v>9.2456372200000008</v>
      </c>
      <c r="Q31" s="208">
        <v>9.2487883699999998</v>
      </c>
      <c r="R31" s="208">
        <v>8.7739943999999994</v>
      </c>
      <c r="S31" s="189">
        <v>8.8497632300000006</v>
      </c>
      <c r="T31" s="189">
        <v>8.5377824600000007</v>
      </c>
      <c r="U31" s="189">
        <v>8.6835740000000001</v>
      </c>
      <c r="V31" s="189">
        <v>8.6520620000000008</v>
      </c>
      <c r="W31" s="189">
        <v>7.4487155999999999</v>
      </c>
      <c r="X31" s="189">
        <v>5.3743368</v>
      </c>
      <c r="Y31" s="189">
        <v>5.2707794999999997</v>
      </c>
      <c r="Z31" s="189">
        <v>5.4770729099999995</v>
      </c>
      <c r="AA31" s="189">
        <v>5.4320914300000007</v>
      </c>
      <c r="AB31" s="189">
        <f>4.388+((219.763+60.719)*3.1)/1000</f>
        <v>5.2574942</v>
      </c>
      <c r="AC31" s="189">
        <f>4.495+((230.887+62.017)*2.93)/1000</f>
        <v>5.3532087200000005</v>
      </c>
      <c r="AD31" s="189">
        <f>4.499+((234.226+60.225)*2.95)/1000</f>
        <v>5.3676304500000001</v>
      </c>
      <c r="AE31" s="189">
        <v>5.8909448900000001</v>
      </c>
      <c r="AF31" s="288">
        <v>5.9249999999999998</v>
      </c>
      <c r="AG31" s="207">
        <f t="shared" si="1"/>
        <v>0.57809249001479657</v>
      </c>
      <c r="AH31" s="187" t="s">
        <v>22</v>
      </c>
    </row>
    <row r="32" spans="1:34" s="201" customFormat="1" ht="12.75" customHeight="1">
      <c r="A32" s="206"/>
      <c r="B32" s="191" t="s">
        <v>38</v>
      </c>
      <c r="C32" s="205">
        <v>7.5</v>
      </c>
      <c r="D32" s="205">
        <v>8.5</v>
      </c>
      <c r="E32" s="193">
        <v>8.5</v>
      </c>
      <c r="F32" s="193">
        <v>8.1</v>
      </c>
      <c r="G32" s="193">
        <v>8</v>
      </c>
      <c r="H32" s="193">
        <v>8</v>
      </c>
      <c r="I32" s="193">
        <v>8</v>
      </c>
      <c r="J32" s="193">
        <v>8</v>
      </c>
      <c r="K32" s="193">
        <v>8</v>
      </c>
      <c r="L32" s="193">
        <v>8</v>
      </c>
      <c r="M32" s="193">
        <v>7.8</v>
      </c>
      <c r="N32" s="193">
        <v>7.6</v>
      </c>
      <c r="O32" s="193">
        <v>7.7</v>
      </c>
      <c r="P32" s="193">
        <v>7.7</v>
      </c>
      <c r="Q32" s="193">
        <v>7.7</v>
      </c>
      <c r="R32" s="193">
        <v>7.67</v>
      </c>
      <c r="S32" s="193">
        <v>7.6050000000000004</v>
      </c>
      <c r="T32" s="193">
        <v>7.54</v>
      </c>
      <c r="U32" s="193">
        <v>7.54</v>
      </c>
      <c r="V32" s="193">
        <v>7.54</v>
      </c>
      <c r="W32" s="193">
        <v>7.54</v>
      </c>
      <c r="X32" s="193">
        <v>7.54</v>
      </c>
      <c r="Y32" s="193">
        <v>7.54</v>
      </c>
      <c r="Z32" s="193">
        <v>7.54</v>
      </c>
      <c r="AA32" s="193">
        <v>7.54</v>
      </c>
      <c r="AB32" s="193">
        <v>7.54</v>
      </c>
      <c r="AC32" s="193">
        <v>7.54</v>
      </c>
      <c r="AD32" s="193">
        <v>7.54</v>
      </c>
      <c r="AE32" s="193">
        <v>8.2550000000000008</v>
      </c>
      <c r="AF32" s="367">
        <v>8.234</v>
      </c>
      <c r="AG32" s="213">
        <f t="shared" si="1"/>
        <v>-0.25439127801332972</v>
      </c>
      <c r="AH32" s="191" t="s">
        <v>38</v>
      </c>
    </row>
    <row r="33" spans="1:34" ht="12.75" customHeight="1">
      <c r="A33" s="180"/>
      <c r="B33" s="187" t="s">
        <v>39</v>
      </c>
      <c r="C33" s="190">
        <v>5.5</v>
      </c>
      <c r="D33" s="216">
        <v>7.3</v>
      </c>
      <c r="E33" s="189">
        <v>9.6635653963577433</v>
      </c>
      <c r="F33" s="189">
        <v>9.6778711795402756</v>
      </c>
      <c r="G33" s="189">
        <v>9.6995793412478779</v>
      </c>
      <c r="H33" s="189">
        <v>9.4212064737659045</v>
      </c>
      <c r="I33" s="189">
        <v>9.5313567300668325</v>
      </c>
      <c r="J33" s="189">
        <v>9.7031829883458602</v>
      </c>
      <c r="K33" s="189">
        <v>9.8158816424687956</v>
      </c>
      <c r="L33" s="189">
        <v>9.8222182493582775</v>
      </c>
      <c r="M33" s="189">
        <v>9.7775213602288478</v>
      </c>
      <c r="N33" s="189">
        <v>9.7557506258374378</v>
      </c>
      <c r="O33" s="215">
        <v>9.2240000000000002</v>
      </c>
      <c r="P33" s="189">
        <v>9.2200000000000006</v>
      </c>
      <c r="Q33" s="189">
        <v>9.3059999999999992</v>
      </c>
      <c r="R33" s="189">
        <v>9.327</v>
      </c>
      <c r="S33" s="189">
        <v>9.2550000000000008</v>
      </c>
      <c r="T33" s="189">
        <v>9.2539999999999996</v>
      </c>
      <c r="U33" s="189">
        <v>9.3320000000000007</v>
      </c>
      <c r="V33" s="189">
        <v>9.4179999999999993</v>
      </c>
      <c r="W33" s="189">
        <v>9.1669999999999998</v>
      </c>
      <c r="X33" s="189">
        <v>9.2390000000000008</v>
      </c>
      <c r="Y33" s="189">
        <v>9.3740000000000006</v>
      </c>
      <c r="Z33" s="189">
        <v>9.6470000000000002</v>
      </c>
      <c r="AA33" s="189">
        <v>9.5229999999999997</v>
      </c>
      <c r="AB33" s="189">
        <v>9.7040000000000006</v>
      </c>
      <c r="AC33" s="189">
        <v>9.6929999999999996</v>
      </c>
      <c r="AD33" s="189">
        <v>9.8282024392401492</v>
      </c>
      <c r="AE33" s="189">
        <v>9.8465737180574102</v>
      </c>
      <c r="AF33" s="288">
        <v>9.9710000000000001</v>
      </c>
      <c r="AG33" s="188">
        <f t="shared" si="1"/>
        <v>1.2636505398259317</v>
      </c>
      <c r="AH33" s="187" t="s">
        <v>39</v>
      </c>
    </row>
    <row r="34" spans="1:34" ht="12.75" customHeight="1">
      <c r="A34" s="180"/>
      <c r="B34" s="182" t="s">
        <v>28</v>
      </c>
      <c r="C34" s="272">
        <f>60.2+1.5</f>
        <v>61.7</v>
      </c>
      <c r="D34" s="272">
        <f>52.2+1.5</f>
        <v>53.7</v>
      </c>
      <c r="E34" s="270">
        <v>47.1</v>
      </c>
      <c r="F34" s="270">
        <v>45.2</v>
      </c>
      <c r="G34" s="270">
        <v>44</v>
      </c>
      <c r="H34" s="270">
        <v>45.3</v>
      </c>
      <c r="I34" s="270">
        <v>45.2</v>
      </c>
      <c r="J34" s="270">
        <v>44.8</v>
      </c>
      <c r="K34" s="270">
        <v>44.7</v>
      </c>
      <c r="L34" s="270">
        <v>45.5</v>
      </c>
      <c r="M34" s="270">
        <v>46.4</v>
      </c>
      <c r="N34" s="270">
        <v>47.7</v>
      </c>
      <c r="O34" s="270">
        <v>48</v>
      </c>
      <c r="P34" s="270">
        <v>48.04</v>
      </c>
      <c r="Q34" s="270">
        <v>42.1</v>
      </c>
      <c r="R34" s="271">
        <v>46.1</v>
      </c>
      <c r="S34" s="270">
        <v>42.526591183494219</v>
      </c>
      <c r="T34" s="270">
        <v>43.964015452538391</v>
      </c>
      <c r="U34" s="270">
        <v>41.970470057792525</v>
      </c>
      <c r="V34" s="270">
        <v>42.197936603376114</v>
      </c>
      <c r="W34" s="270">
        <v>44.709474844574544</v>
      </c>
      <c r="X34" s="270">
        <v>45.719121807781001</v>
      </c>
      <c r="Y34" s="270">
        <v>46.223324420997564</v>
      </c>
      <c r="Z34" s="270">
        <v>44.106906557188047</v>
      </c>
      <c r="AA34" s="270">
        <v>43.726286095378342</v>
      </c>
      <c r="AB34" s="270">
        <v>41.881469475441314</v>
      </c>
      <c r="AC34" s="345">
        <v>41.117834220330479</v>
      </c>
      <c r="AD34" s="411">
        <v>40.86814894142244</v>
      </c>
      <c r="AE34" s="411">
        <v>35.864239151523378</v>
      </c>
      <c r="AF34" s="409">
        <v>39.478844989944299</v>
      </c>
      <c r="AG34" s="269">
        <f t="shared" si="1"/>
        <v>10.078579453894207</v>
      </c>
      <c r="AH34" s="182" t="s">
        <v>28</v>
      </c>
    </row>
    <row r="35" spans="1:34" ht="12.75" customHeight="1">
      <c r="A35" s="180"/>
      <c r="B35" s="187" t="s">
        <v>112</v>
      </c>
      <c r="C35" s="190">
        <v>0.77600000000000002</v>
      </c>
      <c r="D35" s="190">
        <v>1.421</v>
      </c>
      <c r="E35" s="340">
        <v>2.1739999999999999</v>
      </c>
      <c r="F35" s="340">
        <v>1.28</v>
      </c>
      <c r="G35" s="340">
        <v>0.51500000000000001</v>
      </c>
      <c r="H35" s="340">
        <v>0.307</v>
      </c>
      <c r="I35" s="340">
        <v>0.19700000000000001</v>
      </c>
      <c r="J35" s="340">
        <v>0.19600000000000001</v>
      </c>
      <c r="K35" s="340">
        <v>0.223</v>
      </c>
      <c r="L35" s="340">
        <v>0.19</v>
      </c>
      <c r="M35" s="340">
        <v>0.19</v>
      </c>
      <c r="N35" s="340">
        <v>0.221</v>
      </c>
      <c r="O35" s="340">
        <v>0.184</v>
      </c>
      <c r="P35" s="340">
        <v>0.19700000000000001</v>
      </c>
      <c r="Q35" s="340">
        <v>0.159</v>
      </c>
      <c r="R35" s="340">
        <v>0.17599999999999999</v>
      </c>
      <c r="S35" s="340">
        <v>0.14099999999999999</v>
      </c>
      <c r="T35" s="340">
        <v>0.28000000000000003</v>
      </c>
      <c r="U35" s="340">
        <v>0.48</v>
      </c>
      <c r="V35" s="340">
        <v>0.66300000000000003</v>
      </c>
      <c r="W35" s="340">
        <v>0.79</v>
      </c>
      <c r="X35" s="340">
        <v>1.302</v>
      </c>
      <c r="Y35" s="340">
        <v>2.37</v>
      </c>
      <c r="Z35" s="340">
        <v>1.254</v>
      </c>
      <c r="AA35" s="340">
        <v>0.98299999999999998</v>
      </c>
      <c r="AB35" s="340">
        <v>1.0629999999999999</v>
      </c>
      <c r="AC35" s="357">
        <v>1.1326680761099364</v>
      </c>
      <c r="AD35" s="357">
        <v>1.2130914544345939</v>
      </c>
      <c r="AE35" s="357">
        <v>1.319032466687682</v>
      </c>
      <c r="AF35" s="369">
        <v>1.2499558444672563</v>
      </c>
      <c r="AG35" s="207">
        <f t="shared" si="1"/>
        <v>-5.236915994485642</v>
      </c>
      <c r="AH35" s="187" t="s">
        <v>112</v>
      </c>
    </row>
    <row r="36" spans="1:34" ht="12.75" customHeight="1">
      <c r="A36" s="180"/>
      <c r="B36" s="191" t="s">
        <v>103</v>
      </c>
      <c r="C36" s="221"/>
      <c r="D36" s="221"/>
      <c r="E36" s="203"/>
      <c r="F36" s="203"/>
      <c r="G36" s="203"/>
      <c r="H36" s="203"/>
      <c r="I36" s="203"/>
      <c r="J36" s="203"/>
      <c r="K36" s="203"/>
      <c r="L36" s="203"/>
      <c r="M36" s="203"/>
      <c r="N36" s="203"/>
      <c r="O36" s="203"/>
      <c r="P36" s="203"/>
      <c r="Q36" s="203"/>
      <c r="R36" s="203"/>
      <c r="S36" s="203"/>
      <c r="T36" s="203"/>
      <c r="U36" s="203"/>
      <c r="V36" s="203"/>
      <c r="W36" s="193">
        <v>0.124</v>
      </c>
      <c r="X36" s="193">
        <v>0.10199999999999999</v>
      </c>
      <c r="Y36" s="193">
        <v>8.1000000000000003E-2</v>
      </c>
      <c r="Z36" s="193">
        <v>0.08</v>
      </c>
      <c r="AA36" s="193">
        <v>0.112</v>
      </c>
      <c r="AB36" s="193">
        <v>0.108802</v>
      </c>
      <c r="AC36" s="193">
        <v>0.108</v>
      </c>
      <c r="AD36" s="193">
        <f>0.109621</f>
        <v>0.109621</v>
      </c>
      <c r="AE36" s="193">
        <v>0.113798</v>
      </c>
      <c r="AF36" s="367">
        <v>0.11419600000000001</v>
      </c>
      <c r="AG36" s="213">
        <f t="shared" si="1"/>
        <v>0.34974252623069901</v>
      </c>
      <c r="AH36" s="191" t="s">
        <v>103</v>
      </c>
    </row>
    <row r="37" spans="1:34" ht="12.75" customHeight="1">
      <c r="A37" s="180"/>
      <c r="B37" s="187" t="s">
        <v>6</v>
      </c>
      <c r="C37" s="218"/>
      <c r="D37" s="218"/>
      <c r="E37" s="217"/>
      <c r="F37" s="189"/>
      <c r="G37" s="189"/>
      <c r="H37" s="189"/>
      <c r="I37" s="189"/>
      <c r="J37" s="208">
        <v>0.9</v>
      </c>
      <c r="K37" s="208">
        <v>0.9</v>
      </c>
      <c r="L37" s="208">
        <v>0.9</v>
      </c>
      <c r="M37" s="208">
        <v>0.9</v>
      </c>
      <c r="N37" s="208">
        <v>0.9</v>
      </c>
      <c r="O37" s="208">
        <v>0.9</v>
      </c>
      <c r="P37" s="189">
        <v>0.83099999999999996</v>
      </c>
      <c r="Q37" s="208">
        <v>1</v>
      </c>
      <c r="R37" s="189">
        <v>1.3440000000000001</v>
      </c>
      <c r="S37" s="189">
        <v>1.1100000000000001</v>
      </c>
      <c r="T37" s="189">
        <v>1.0860000000000001</v>
      </c>
      <c r="U37" s="189">
        <v>1.016</v>
      </c>
      <c r="V37" s="189">
        <v>1.0269999999999999</v>
      </c>
      <c r="W37" s="189">
        <v>1.2390000000000001</v>
      </c>
      <c r="X37" s="189">
        <v>1.2130000000000001</v>
      </c>
      <c r="Y37" s="189">
        <f>1.441</f>
        <v>1.4410000000000001</v>
      </c>
      <c r="Z37" s="189">
        <v>1.64</v>
      </c>
      <c r="AA37" s="189">
        <v>1.403</v>
      </c>
      <c r="AB37" s="189">
        <v>1.395</v>
      </c>
      <c r="AC37" s="189">
        <v>1.208</v>
      </c>
      <c r="AD37" s="189">
        <v>1.248</v>
      </c>
      <c r="AE37" s="189">
        <v>1.101</v>
      </c>
      <c r="AF37" s="288">
        <v>1.248</v>
      </c>
      <c r="AG37" s="188">
        <f t="shared" si="1"/>
        <v>13.351498637602191</v>
      </c>
      <c r="AH37" s="187" t="s">
        <v>6</v>
      </c>
    </row>
    <row r="38" spans="1:34" ht="12.75" customHeight="1">
      <c r="A38" s="180"/>
      <c r="B38" s="191" t="s">
        <v>104</v>
      </c>
      <c r="C38" s="267"/>
      <c r="D38" s="267"/>
      <c r="E38" s="266"/>
      <c r="F38" s="193"/>
      <c r="G38" s="193"/>
      <c r="H38" s="193"/>
      <c r="I38" s="193"/>
      <c r="J38" s="203"/>
      <c r="K38" s="203"/>
      <c r="L38" s="203"/>
      <c r="M38" s="203"/>
      <c r="N38" s="203"/>
      <c r="O38" s="203"/>
      <c r="P38" s="193"/>
      <c r="Q38" s="203"/>
      <c r="R38" s="193"/>
      <c r="S38" s="193"/>
      <c r="T38" s="193"/>
      <c r="U38" s="193"/>
      <c r="V38" s="193"/>
      <c r="W38" s="203"/>
      <c r="X38" s="203"/>
      <c r="Y38" s="203">
        <v>9.3988043244122981</v>
      </c>
      <c r="Z38" s="203">
        <v>9.5476047945381755</v>
      </c>
      <c r="AA38" s="203">
        <v>9.4625680864995783</v>
      </c>
      <c r="AB38" s="203">
        <v>9.2191706765073693</v>
      </c>
      <c r="AC38" s="203">
        <v>8.8930902150786704</v>
      </c>
      <c r="AD38" s="203">
        <v>9.4028576829361299</v>
      </c>
      <c r="AE38" s="203">
        <v>8.9554648923850202</v>
      </c>
      <c r="AF38" s="442">
        <v>9.75</v>
      </c>
      <c r="AG38" s="202">
        <f t="shared" si="1"/>
        <v>8.8720699278335076</v>
      </c>
      <c r="AH38" s="191" t="s">
        <v>104</v>
      </c>
    </row>
    <row r="39" spans="1:34" s="201" customFormat="1" ht="12.75" customHeight="1">
      <c r="A39" s="206"/>
      <c r="B39" s="195" t="s">
        <v>24</v>
      </c>
      <c r="C39" s="190" t="s">
        <v>41</v>
      </c>
      <c r="D39" s="190" t="s">
        <v>41</v>
      </c>
      <c r="E39" s="189" t="s">
        <v>41</v>
      </c>
      <c r="F39" s="189" t="s">
        <v>41</v>
      </c>
      <c r="G39" s="189" t="s">
        <v>41</v>
      </c>
      <c r="H39" s="189">
        <v>86.914000000000001</v>
      </c>
      <c r="I39" s="189">
        <v>79.17</v>
      </c>
      <c r="J39" s="189">
        <v>85.674000000000007</v>
      </c>
      <c r="K39" s="189">
        <v>91.658000000000001</v>
      </c>
      <c r="L39" s="189">
        <v>95.36</v>
      </c>
      <c r="M39" s="189">
        <v>94.914000000000001</v>
      </c>
      <c r="N39" s="189">
        <v>91.263000000000005</v>
      </c>
      <c r="O39" s="189">
        <v>87.391000000000005</v>
      </c>
      <c r="P39" s="189">
        <v>76.8</v>
      </c>
      <c r="Q39" s="208">
        <v>80</v>
      </c>
      <c r="R39" s="208">
        <v>81</v>
      </c>
      <c r="S39" s="208">
        <v>85</v>
      </c>
      <c r="T39" s="208">
        <v>95</v>
      </c>
      <c r="U39" s="208">
        <v>100</v>
      </c>
      <c r="V39" s="208">
        <v>105</v>
      </c>
      <c r="W39" s="208">
        <v>110</v>
      </c>
      <c r="X39" s="198">
        <v>88.426000000000002</v>
      </c>
      <c r="Y39" s="189">
        <v>89.055999999999997</v>
      </c>
      <c r="Z39" s="189">
        <v>95.334000000000003</v>
      </c>
      <c r="AA39" s="189">
        <v>96.558999999999997</v>
      </c>
      <c r="AB39" s="189">
        <v>94.846000000000004</v>
      </c>
      <c r="AC39" s="189">
        <v>93.918000000000006</v>
      </c>
      <c r="AD39" s="189">
        <v>90.838999999999999</v>
      </c>
      <c r="AE39" s="189">
        <v>86.998999999999995</v>
      </c>
      <c r="AF39" s="368">
        <v>87.498187873142228</v>
      </c>
      <c r="AG39" s="196">
        <f t="shared" si="1"/>
        <v>0.57378575976991897</v>
      </c>
      <c r="AH39" s="195" t="s">
        <v>24</v>
      </c>
    </row>
    <row r="40" spans="1:34" s="201" customFormat="1" ht="12.75" customHeight="1">
      <c r="A40" s="206"/>
      <c r="B40" s="191" t="s">
        <v>10</v>
      </c>
      <c r="C40" s="194" t="s">
        <v>41</v>
      </c>
      <c r="D40" s="194" t="s">
        <v>41</v>
      </c>
      <c r="E40" s="192" t="s">
        <v>41</v>
      </c>
      <c r="F40" s="192" t="s">
        <v>41</v>
      </c>
      <c r="G40" s="192" t="s">
        <v>41</v>
      </c>
      <c r="H40" s="192" t="s">
        <v>41</v>
      </c>
      <c r="I40" s="192" t="s">
        <v>41</v>
      </c>
      <c r="J40" s="192">
        <v>0.38900000000000001</v>
      </c>
      <c r="K40" s="192">
        <v>0.40799999999999997</v>
      </c>
      <c r="L40" s="192">
        <v>0.433</v>
      </c>
      <c r="M40" s="192">
        <v>0.45800000000000002</v>
      </c>
      <c r="N40" s="192">
        <v>0.46800000000000003</v>
      </c>
      <c r="O40" s="192">
        <v>0.48499999999999999</v>
      </c>
      <c r="P40" s="192">
        <v>0.50800000000000001</v>
      </c>
      <c r="Q40" s="192">
        <v>0.52300000000000002</v>
      </c>
      <c r="R40" s="192">
        <v>0.53700000000000003</v>
      </c>
      <c r="S40" s="192">
        <v>0.55400000000000005</v>
      </c>
      <c r="T40" s="192">
        <v>0.58699999999999997</v>
      </c>
      <c r="U40" s="192">
        <v>0.622</v>
      </c>
      <c r="V40" s="192">
        <v>0.65300000000000002</v>
      </c>
      <c r="W40" s="192">
        <v>0.63600000000000001</v>
      </c>
      <c r="X40" s="192">
        <v>0.64400000000000002</v>
      </c>
      <c r="Y40" s="192">
        <v>0.63800000000000001</v>
      </c>
      <c r="Z40" s="192">
        <v>0.61499999999999999</v>
      </c>
      <c r="AA40" s="192">
        <v>0.622</v>
      </c>
      <c r="AB40" s="192">
        <v>0.64</v>
      </c>
      <c r="AC40" s="343">
        <v>0.67300000000000004</v>
      </c>
      <c r="AD40" s="343">
        <v>0.71799999999999997</v>
      </c>
      <c r="AE40" s="343">
        <v>0.83299999999999996</v>
      </c>
      <c r="AF40" s="443">
        <v>0.89503310680622339</v>
      </c>
      <c r="AG40" s="358">
        <f t="shared" si="1"/>
        <v>7.4469515973857767</v>
      </c>
      <c r="AH40" s="191" t="s">
        <v>10</v>
      </c>
    </row>
    <row r="41" spans="1:34" ht="12.75" customHeight="1">
      <c r="A41" s="180"/>
      <c r="B41" s="187" t="s">
        <v>40</v>
      </c>
      <c r="C41" s="190">
        <v>3.726</v>
      </c>
      <c r="D41" s="190">
        <v>4.2569999999999997</v>
      </c>
      <c r="E41" s="189">
        <v>3.89</v>
      </c>
      <c r="F41" s="189">
        <v>3.9350000000000001</v>
      </c>
      <c r="G41" s="189">
        <v>3.9350000000000001</v>
      </c>
      <c r="H41" s="189">
        <v>3.9350000000000001</v>
      </c>
      <c r="I41" s="189">
        <v>4</v>
      </c>
      <c r="J41" s="189">
        <v>3.7519999999999998</v>
      </c>
      <c r="K41" s="189">
        <v>4.117</v>
      </c>
      <c r="L41" s="189">
        <v>4.2480000000000002</v>
      </c>
      <c r="M41" s="189">
        <v>4.2119999999999997</v>
      </c>
      <c r="N41" s="189">
        <v>4.1769999999999996</v>
      </c>
      <c r="O41" s="189">
        <v>4.141</v>
      </c>
      <c r="P41" s="189">
        <v>4.1050000000000004</v>
      </c>
      <c r="Q41" s="189">
        <v>4.125</v>
      </c>
      <c r="R41" s="189">
        <v>4.0049999999999999</v>
      </c>
      <c r="S41" s="189">
        <v>4.2309999999999999</v>
      </c>
      <c r="T41" s="189">
        <v>4.3120000000000003</v>
      </c>
      <c r="U41" s="189">
        <v>4.258</v>
      </c>
      <c r="V41" s="189">
        <v>4.2679999999999998</v>
      </c>
      <c r="W41" s="189">
        <v>4.3600000000000003</v>
      </c>
      <c r="X41" s="189">
        <v>4.4009999999999998</v>
      </c>
      <c r="Y41" s="189">
        <f>4.506</f>
        <v>4.5060000000000002</v>
      </c>
      <c r="Z41" s="189">
        <v>4.7480000000000002</v>
      </c>
      <c r="AA41" s="189">
        <v>3.7879999999999998</v>
      </c>
      <c r="AB41" s="189">
        <v>3.738</v>
      </c>
      <c r="AC41" s="189">
        <v>3.7930000000000001</v>
      </c>
      <c r="AD41" s="189">
        <v>4.0890000000000004</v>
      </c>
      <c r="AE41" s="189">
        <v>4.3310000000000004</v>
      </c>
      <c r="AF41" s="288">
        <v>4.2350000000000003</v>
      </c>
      <c r="AG41" s="188">
        <f t="shared" si="1"/>
        <v>-2.2165781574693995</v>
      </c>
      <c r="AH41" s="187" t="s">
        <v>40</v>
      </c>
    </row>
    <row r="42" spans="1:34" s="201" customFormat="1" ht="12.75" customHeight="1">
      <c r="A42" s="206"/>
      <c r="B42" s="182" t="s">
        <v>11</v>
      </c>
      <c r="C42" s="186">
        <v>1.885</v>
      </c>
      <c r="D42" s="186">
        <v>2.4860000000000002</v>
      </c>
      <c r="E42" s="184">
        <v>3.3180000000000001</v>
      </c>
      <c r="F42" s="184">
        <v>3.6269999999999998</v>
      </c>
      <c r="G42" s="184">
        <v>3.5830000000000002</v>
      </c>
      <c r="H42" s="184">
        <v>3.5390000000000001</v>
      </c>
      <c r="I42" s="214">
        <v>3.5310000000000001</v>
      </c>
      <c r="J42" s="184">
        <f>2.3881+0.8137+2.327</f>
        <v>5.5288000000000004</v>
      </c>
      <c r="K42" s="184">
        <f>2.2944+0.8259+2.304</f>
        <v>5.4242999999999997</v>
      </c>
      <c r="L42" s="184">
        <f>2.2758+0.8245+2.287</f>
        <v>5.3872999999999998</v>
      </c>
      <c r="M42" s="185">
        <f>0.547+2.0788+2.129</f>
        <v>4.7548000000000004</v>
      </c>
      <c r="N42" s="184">
        <f>0.529+2.1269+2.069</f>
        <v>4.7248999999999999</v>
      </c>
      <c r="O42" s="184">
        <f>0.5283+2.1834+2.087</f>
        <v>4.7987000000000002</v>
      </c>
      <c r="P42" s="184">
        <f>0.5267+2.3116+2.01</f>
        <v>4.8483000000000001</v>
      </c>
      <c r="Q42" s="184">
        <f>0.5281+2.3648+1.968</f>
        <v>4.8609</v>
      </c>
      <c r="R42" s="184">
        <f>0.5193+2.4579+2.017</f>
        <v>4.9941999999999993</v>
      </c>
      <c r="S42" s="184">
        <f>0.5348+2.4569+2.066</f>
        <v>5.0577000000000005</v>
      </c>
      <c r="T42" s="184">
        <v>5.3114999999999997</v>
      </c>
      <c r="U42" s="184">
        <v>5.6021000000000001</v>
      </c>
      <c r="V42" s="184">
        <v>5.673</v>
      </c>
      <c r="W42" s="184">
        <v>5.3265000000000002</v>
      </c>
      <c r="X42" s="184">
        <v>5.4176910015999997</v>
      </c>
      <c r="Y42" s="184">
        <v>5.5076538815999996</v>
      </c>
      <c r="Z42" s="184">
        <v>5.6060850047999997</v>
      </c>
      <c r="AA42" s="184">
        <v>5.7069478847999999</v>
      </c>
      <c r="AB42" s="184">
        <v>5.7751977792</v>
      </c>
      <c r="AC42" s="344">
        <v>5.8559000000000001</v>
      </c>
      <c r="AD42" s="389">
        <v>6.0099260096</v>
      </c>
      <c r="AE42" s="389">
        <v>6.1310000000000002</v>
      </c>
      <c r="AF42" s="410">
        <v>6.1440000000000001</v>
      </c>
      <c r="AG42" s="183">
        <f t="shared" si="1"/>
        <v>0.21203718806066263</v>
      </c>
      <c r="AH42" s="182" t="s">
        <v>11</v>
      </c>
    </row>
    <row r="43" spans="1:34" ht="12.75" customHeight="1">
      <c r="A43" s="180"/>
      <c r="B43" s="265" t="s">
        <v>102</v>
      </c>
      <c r="C43" s="265"/>
      <c r="D43" s="265"/>
      <c r="E43" s="265"/>
      <c r="F43" s="265"/>
      <c r="G43" s="265"/>
      <c r="H43" s="265"/>
      <c r="I43" s="265"/>
      <c r="J43" s="265"/>
      <c r="K43" s="265"/>
      <c r="L43" s="265"/>
      <c r="M43" s="265"/>
      <c r="N43" s="265"/>
      <c r="O43" s="265"/>
      <c r="P43" s="265"/>
      <c r="Q43" s="265"/>
      <c r="R43" s="265"/>
      <c r="S43" s="265"/>
      <c r="T43" s="265"/>
      <c r="U43" s="265"/>
      <c r="V43" s="265"/>
      <c r="W43" s="265"/>
      <c r="X43" s="265"/>
      <c r="Y43" s="265"/>
      <c r="Z43" s="265"/>
      <c r="AA43" s="265"/>
      <c r="AB43" s="265"/>
      <c r="AC43" s="265"/>
      <c r="AD43" s="265"/>
      <c r="AE43" s="265"/>
      <c r="AF43" s="265"/>
      <c r="AG43" s="265"/>
      <c r="AH43" s="264"/>
    </row>
    <row r="44" spans="1:34" s="201" customFormat="1" ht="12.75" customHeight="1">
      <c r="A44" s="206"/>
      <c r="B44" s="263" t="s">
        <v>5</v>
      </c>
      <c r="C44" s="262"/>
      <c r="D44" s="174"/>
      <c r="E44" s="174"/>
      <c r="F44" s="174"/>
      <c r="G44" s="174"/>
      <c r="H44" s="261"/>
      <c r="I44" s="174"/>
      <c r="J44" s="174"/>
      <c r="K44" s="175"/>
      <c r="L44" s="174"/>
      <c r="M44" s="173"/>
      <c r="N44" s="173"/>
      <c r="O44" s="165"/>
      <c r="P44" s="165"/>
      <c r="Q44" s="165"/>
      <c r="R44" s="165"/>
      <c r="S44" s="165"/>
      <c r="T44" s="165"/>
      <c r="U44" s="165"/>
      <c r="V44" s="165"/>
      <c r="W44" s="165"/>
      <c r="X44" s="165"/>
      <c r="Y44" s="165"/>
      <c r="Z44" s="165"/>
      <c r="AA44" s="165"/>
      <c r="AB44" s="165"/>
      <c r="AC44" s="165"/>
      <c r="AD44" s="165"/>
      <c r="AE44" s="165"/>
      <c r="AF44" s="165"/>
      <c r="AG44" s="259"/>
      <c r="AH44" s="165"/>
    </row>
    <row r="45" spans="1:34" ht="15" customHeight="1">
      <c r="B45" s="169" t="s">
        <v>150</v>
      </c>
      <c r="C45" s="169"/>
      <c r="D45" s="257"/>
      <c r="E45" s="257"/>
      <c r="F45" s="257"/>
      <c r="G45" s="257"/>
      <c r="H45" s="257"/>
      <c r="I45" s="257"/>
      <c r="J45" s="257"/>
      <c r="K45" s="257"/>
      <c r="L45" s="257"/>
      <c r="M45" s="257"/>
      <c r="N45" s="257"/>
      <c r="O45" s="346"/>
      <c r="P45" s="346"/>
      <c r="Q45" s="346"/>
      <c r="R45" s="346"/>
      <c r="S45" s="346"/>
      <c r="T45" s="346"/>
      <c r="U45" s="346"/>
      <c r="V45" s="346"/>
      <c r="W45" s="346"/>
      <c r="X45" s="346"/>
      <c r="Y45" s="346"/>
      <c r="Z45" s="346"/>
      <c r="AA45" s="346"/>
      <c r="AB45" s="346"/>
      <c r="AC45" s="346"/>
      <c r="AD45" s="346"/>
      <c r="AE45" s="346"/>
      <c r="AF45" s="346"/>
      <c r="AG45" s="169"/>
      <c r="AH45" s="169"/>
    </row>
    <row r="46" spans="1:34" ht="12.75" customHeight="1">
      <c r="B46" s="565" t="s">
        <v>135</v>
      </c>
      <c r="C46" s="565"/>
      <c r="D46" s="565"/>
      <c r="E46" s="565"/>
      <c r="F46" s="565"/>
      <c r="G46" s="565"/>
      <c r="H46" s="565"/>
      <c r="I46" s="565"/>
      <c r="J46" s="565"/>
      <c r="K46" s="565"/>
      <c r="L46" s="565"/>
      <c r="M46" s="565"/>
      <c r="N46" s="565"/>
      <c r="O46" s="565"/>
      <c r="P46" s="565"/>
      <c r="Q46" s="565"/>
      <c r="R46" s="565"/>
      <c r="S46" s="565"/>
      <c r="T46" s="565"/>
      <c r="U46" s="565"/>
      <c r="V46" s="565"/>
      <c r="W46" s="565"/>
      <c r="X46" s="565"/>
      <c r="Y46" s="565"/>
      <c r="Z46" s="565"/>
      <c r="AA46" s="565"/>
      <c r="AB46" s="565"/>
      <c r="AC46" s="565"/>
      <c r="AD46" s="565"/>
      <c r="AE46" s="565"/>
      <c r="AF46" s="565"/>
      <c r="AG46" s="437"/>
      <c r="AH46" s="169"/>
    </row>
    <row r="47" spans="1:34" s="169" customFormat="1" ht="12.75" customHeight="1">
      <c r="B47" s="165" t="s">
        <v>151</v>
      </c>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c r="AA47" s="165"/>
      <c r="AB47" s="165"/>
      <c r="AC47" s="165"/>
      <c r="AD47" s="165"/>
      <c r="AE47" s="165"/>
      <c r="AF47" s="165"/>
      <c r="AG47" s="165"/>
      <c r="AH47" s="165"/>
    </row>
    <row r="48" spans="1:34" s="169" customFormat="1" ht="12.75" customHeight="1">
      <c r="B48" s="165" t="s">
        <v>157</v>
      </c>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row>
    <row r="49" spans="2:34">
      <c r="B49" s="165" t="s">
        <v>120</v>
      </c>
    </row>
    <row r="50" spans="2:34">
      <c r="B50" s="258" t="s">
        <v>82</v>
      </c>
      <c r="C50" s="169"/>
      <c r="D50" s="257"/>
      <c r="E50" s="257"/>
      <c r="F50" s="257"/>
      <c r="G50" s="257"/>
      <c r="H50" s="257"/>
      <c r="I50" s="257"/>
      <c r="J50" s="257"/>
      <c r="K50" s="257"/>
      <c r="L50" s="257"/>
      <c r="M50" s="257"/>
      <c r="N50" s="257"/>
      <c r="O50" s="257"/>
      <c r="P50" s="257"/>
      <c r="Q50" s="257"/>
      <c r="R50" s="257"/>
      <c r="S50" s="257"/>
      <c r="AB50" s="169"/>
      <c r="AC50" s="169"/>
    </row>
    <row r="51" spans="2:34" ht="12.75" customHeight="1">
      <c r="B51" s="165" t="s">
        <v>115</v>
      </c>
      <c r="C51" s="255"/>
      <c r="D51" s="255"/>
      <c r="E51" s="255"/>
      <c r="F51" s="255"/>
      <c r="G51" s="255"/>
      <c r="H51" s="255"/>
      <c r="I51" s="255"/>
      <c r="J51" s="255"/>
      <c r="K51" s="255"/>
      <c r="L51" s="256"/>
      <c r="M51" s="256"/>
      <c r="N51" s="256"/>
      <c r="O51" s="257"/>
      <c r="P51" s="257"/>
      <c r="Q51" s="257"/>
      <c r="R51" s="257"/>
      <c r="S51" s="257"/>
      <c r="T51" s="257"/>
      <c r="U51" s="257"/>
      <c r="V51" s="257"/>
      <c r="W51" s="257"/>
      <c r="X51" s="257"/>
      <c r="Y51" s="257"/>
      <c r="Z51" s="257"/>
      <c r="AA51" s="257"/>
      <c r="AB51" s="257"/>
      <c r="AC51" s="257"/>
    </row>
    <row r="52" spans="2:34" s="169" customFormat="1" ht="11.25" customHeight="1">
      <c r="B52" s="165" t="s">
        <v>123</v>
      </c>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row>
    <row r="53" spans="2:34" ht="12.75" customHeight="1">
      <c r="B53" s="222" t="s">
        <v>133</v>
      </c>
      <c r="E53" s="348"/>
      <c r="F53" s="348"/>
      <c r="G53" s="348"/>
      <c r="H53" s="348"/>
      <c r="I53" s="348"/>
      <c r="J53" s="348"/>
      <c r="K53" s="348"/>
      <c r="L53" s="348"/>
      <c r="M53" s="348"/>
      <c r="N53" s="348"/>
      <c r="O53" s="348"/>
      <c r="P53" s="348"/>
      <c r="Q53" s="348"/>
      <c r="R53" s="348"/>
      <c r="S53" s="348"/>
    </row>
    <row r="54" spans="2:34">
      <c r="B54" s="165" t="s">
        <v>148</v>
      </c>
      <c r="T54" s="181"/>
      <c r="AB54" s="181"/>
      <c r="AC54" s="181"/>
    </row>
    <row r="55" spans="2:34">
      <c r="B55" s="165" t="s">
        <v>149</v>
      </c>
      <c r="E55" s="347"/>
    </row>
    <row r="56" spans="2:34">
      <c r="B56" s="484" t="s">
        <v>154</v>
      </c>
    </row>
    <row r="57" spans="2:34">
      <c r="U57" s="257"/>
      <c r="V57" s="257"/>
      <c r="W57" s="257"/>
      <c r="X57" s="257"/>
      <c r="Y57" s="257"/>
      <c r="Z57" s="257"/>
      <c r="AA57" s="257"/>
    </row>
    <row r="59" spans="2:34">
      <c r="T59" s="143"/>
      <c r="U59" s="348"/>
      <c r="V59" s="349"/>
      <c r="W59" s="349"/>
      <c r="X59" s="349"/>
      <c r="Y59" s="349"/>
      <c r="Z59" s="349"/>
      <c r="AA59" s="349"/>
      <c r="AB59" s="143"/>
      <c r="AC59" s="143"/>
    </row>
    <row r="60" spans="2:34">
      <c r="T60" s="143"/>
      <c r="AB60" s="143"/>
      <c r="AC60" s="143"/>
    </row>
    <row r="61" spans="2:34">
      <c r="T61" s="362"/>
      <c r="AB61" s="362"/>
      <c r="AC61" s="362"/>
    </row>
    <row r="62" spans="2:34">
      <c r="T62" s="181"/>
      <c r="AB62" s="181"/>
      <c r="AC62" s="181"/>
    </row>
    <row r="63" spans="2:34">
      <c r="W63" s="349"/>
      <c r="X63" s="349"/>
      <c r="Y63" s="349"/>
      <c r="Z63" s="349"/>
      <c r="AA63" s="349"/>
    </row>
    <row r="69" spans="23:34">
      <c r="W69" s="349"/>
      <c r="X69" s="349"/>
      <c r="Y69" s="349"/>
      <c r="Z69" s="349"/>
      <c r="AA69" s="349"/>
      <c r="AB69" s="349"/>
      <c r="AC69" s="349"/>
    </row>
    <row r="70" spans="23:34">
      <c r="W70" s="349"/>
      <c r="X70" s="349"/>
      <c r="Y70" s="349"/>
      <c r="Z70" s="349"/>
      <c r="AA70" s="349"/>
      <c r="AB70" s="349"/>
      <c r="AC70" s="349"/>
    </row>
    <row r="78" spans="23:34">
      <c r="AC78" s="165" t="s">
        <v>68</v>
      </c>
      <c r="AE78" s="165">
        <v>2010</v>
      </c>
      <c r="AF78" s="165">
        <v>2011</v>
      </c>
      <c r="AG78" s="165">
        <v>2013</v>
      </c>
      <c r="AH78" s="165">
        <v>2014</v>
      </c>
    </row>
    <row r="79" spans="23:34">
      <c r="AC79" s="348" t="s">
        <v>106</v>
      </c>
      <c r="AD79" s="349"/>
      <c r="AE79" s="349">
        <v>4653</v>
      </c>
      <c r="AF79" s="349">
        <v>4652</v>
      </c>
      <c r="AG79" s="349">
        <v>4612</v>
      </c>
      <c r="AH79" s="349">
        <v>4223</v>
      </c>
    </row>
    <row r="80" spans="23:34">
      <c r="AC80" s="165" t="s">
        <v>124</v>
      </c>
      <c r="AE80" s="165">
        <v>5176</v>
      </c>
      <c r="AF80" s="165">
        <v>5331</v>
      </c>
      <c r="AG80" s="165">
        <v>5071</v>
      </c>
      <c r="AH80" s="165">
        <v>5135</v>
      </c>
    </row>
    <row r="82" spans="29:34">
      <c r="AC82" s="165" t="s">
        <v>125</v>
      </c>
      <c r="AE82" s="165">
        <v>367038</v>
      </c>
      <c r="AF82" s="165">
        <v>377609</v>
      </c>
      <c r="AG82" s="165">
        <v>355640</v>
      </c>
      <c r="AH82" s="165">
        <v>366618</v>
      </c>
    </row>
    <row r="83" spans="29:34">
      <c r="AC83" s="165" t="s">
        <v>126</v>
      </c>
      <c r="AE83" s="349">
        <v>16050</v>
      </c>
      <c r="AF83" s="349">
        <v>14887</v>
      </c>
      <c r="AG83" s="349">
        <v>14887</v>
      </c>
      <c r="AH83" s="349">
        <v>14244</v>
      </c>
    </row>
    <row r="84" spans="29:34">
      <c r="AC84" s="165" t="s">
        <v>127</v>
      </c>
      <c r="AE84" s="165">
        <v>34726</v>
      </c>
      <c r="AF84" s="165">
        <v>34907</v>
      </c>
      <c r="AG84" s="165">
        <v>37303</v>
      </c>
      <c r="AH84" s="165">
        <v>37915</v>
      </c>
    </row>
    <row r="86" spans="29:34">
      <c r="AC86" s="165" t="s">
        <v>128</v>
      </c>
      <c r="AE86" s="165">
        <f>SUM(AE82:AE83)/SUM(AE82:AE84)</f>
        <v>0.91688646143977948</v>
      </c>
      <c r="AF86" s="165">
        <f>SUM(AF82:AF83)/SUM(AF82:AF84)</f>
        <v>0.91832766733036497</v>
      </c>
      <c r="AG86" s="165">
        <f>SUM(AG82:AG83)/SUM(AG82:AG84)</f>
        <v>0.90853296716769238</v>
      </c>
      <c r="AH86" s="165">
        <f>SUM(AH82:AH83)/SUM(AH82:AH84)</f>
        <v>0.90946255405621612</v>
      </c>
    </row>
    <row r="88" spans="29:34">
      <c r="AC88" s="165" t="s">
        <v>129</v>
      </c>
      <c r="AE88" s="165">
        <f>AE86*AE80</f>
        <v>4745.8043244122982</v>
      </c>
      <c r="AF88" s="165">
        <f>AF86*AF80</f>
        <v>4895.6047945381761</v>
      </c>
      <c r="AG88" s="165">
        <f>AG86*AG80</f>
        <v>4607.1706765073677</v>
      </c>
      <c r="AH88" s="165">
        <f>AH86*AH80</f>
        <v>4670.0902150786696</v>
      </c>
    </row>
    <row r="89" spans="29:34">
      <c r="AC89" s="165" t="s">
        <v>130</v>
      </c>
      <c r="AE89" s="349">
        <f>AE88+AE79</f>
        <v>9398.8043244122982</v>
      </c>
      <c r="AF89" s="349">
        <f>AF88+AF79</f>
        <v>9547.6047945381761</v>
      </c>
      <c r="AG89" s="349">
        <f>AG88+AG79</f>
        <v>9219.1706765073686</v>
      </c>
      <c r="AH89" s="349">
        <f>AH88+AH79</f>
        <v>8893.0902150786696</v>
      </c>
    </row>
    <row r="90" spans="29:34">
      <c r="AC90" s="165" t="s">
        <v>131</v>
      </c>
      <c r="AE90" s="349">
        <f>AE80*(1-AE86)</f>
        <v>430.19567558770143</v>
      </c>
      <c r="AF90" s="349">
        <f>AF80*(1-AF86)</f>
        <v>435.39520546182433</v>
      </c>
      <c r="AG90" s="349">
        <f>AG80*(1-AG86)</f>
        <v>463.82932349263194</v>
      </c>
      <c r="AH90" s="349">
        <f>AH80*(1-AH86)</f>
        <v>464.90978492133024</v>
      </c>
    </row>
  </sheetData>
  <mergeCells count="2">
    <mergeCell ref="B2:AH2"/>
    <mergeCell ref="B46:AF46"/>
  </mergeCells>
  <printOptions horizontalCentered="1"/>
  <pageMargins left="0.47244094488188981" right="0.47244094488188981" top="0.51181102362204722" bottom="0.27559055118110237"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0"/>
  </sheetPr>
  <dimension ref="A1:AO52"/>
  <sheetViews>
    <sheetView topLeftCell="A22" workbookViewId="0">
      <selection activeCell="AK9" sqref="AK9"/>
    </sheetView>
  </sheetViews>
  <sheetFormatPr defaultRowHeight="11.25"/>
  <cols>
    <col min="1" max="1" width="2.7109375" style="180" customWidth="1"/>
    <col min="2" max="2" width="4" style="165" customWidth="1"/>
    <col min="3" max="20" width="6.7109375" style="165" customWidth="1"/>
    <col min="21" max="32" width="7.28515625" style="165" customWidth="1"/>
    <col min="33" max="33" width="8" style="180" customWidth="1"/>
    <col min="34" max="34" width="10.5703125" style="249" customWidth="1"/>
    <col min="35" max="16384" width="9.140625" style="165"/>
  </cols>
  <sheetData>
    <row r="1" spans="1:35" ht="14.25" customHeight="1">
      <c r="B1" s="254"/>
      <c r="C1" s="253"/>
      <c r="D1" s="253"/>
      <c r="E1" s="253"/>
      <c r="F1" s="253"/>
      <c r="G1" s="253"/>
      <c r="H1" s="253"/>
      <c r="I1" s="253"/>
      <c r="J1" s="253"/>
      <c r="K1" s="253"/>
      <c r="L1" s="253"/>
      <c r="M1" s="253"/>
      <c r="N1" s="253"/>
      <c r="O1" s="253"/>
      <c r="P1" s="253"/>
      <c r="Q1" s="252"/>
      <c r="T1" s="251"/>
      <c r="U1" s="251"/>
      <c r="V1" s="251"/>
      <c r="W1" s="251"/>
      <c r="X1" s="251"/>
      <c r="Y1" s="251"/>
      <c r="Z1" s="251"/>
      <c r="AA1" s="251"/>
      <c r="AB1" s="251"/>
      <c r="AC1" s="251"/>
      <c r="AD1" s="251"/>
      <c r="AE1" s="251"/>
      <c r="AF1" s="251"/>
      <c r="AH1" s="251" t="s">
        <v>89</v>
      </c>
    </row>
    <row r="2" spans="1:35" s="169" customFormat="1" ht="30" customHeight="1">
      <c r="A2" s="310"/>
      <c r="B2" s="564" t="s">
        <v>1</v>
      </c>
      <c r="C2" s="564"/>
      <c r="D2" s="564"/>
      <c r="E2" s="564"/>
      <c r="F2" s="564"/>
      <c r="G2" s="564"/>
      <c r="H2" s="564"/>
      <c r="I2" s="564"/>
      <c r="J2" s="564"/>
      <c r="K2" s="564"/>
      <c r="L2" s="564"/>
      <c r="M2" s="564"/>
      <c r="N2" s="564"/>
      <c r="O2" s="564"/>
      <c r="P2" s="564"/>
      <c r="Q2" s="564"/>
      <c r="R2" s="564"/>
      <c r="S2" s="564"/>
      <c r="T2" s="564"/>
      <c r="U2" s="564"/>
      <c r="V2" s="564"/>
      <c r="W2" s="564"/>
      <c r="X2" s="564"/>
      <c r="Y2" s="564"/>
      <c r="Z2" s="564"/>
      <c r="AA2" s="564"/>
      <c r="AB2" s="564"/>
      <c r="AC2" s="564"/>
      <c r="AD2" s="564"/>
      <c r="AE2" s="564"/>
      <c r="AF2" s="564"/>
      <c r="AG2" s="564"/>
      <c r="AH2" s="249"/>
    </row>
    <row r="3" spans="1:35" ht="15" customHeight="1">
      <c r="C3" s="249"/>
      <c r="D3" s="249"/>
      <c r="E3" s="249"/>
      <c r="F3" s="249"/>
      <c r="G3" s="249"/>
      <c r="H3" s="249"/>
      <c r="I3" s="249"/>
      <c r="J3" s="249"/>
      <c r="K3" s="249"/>
      <c r="L3" s="249"/>
      <c r="M3" s="249"/>
      <c r="N3" s="249"/>
      <c r="O3" s="249"/>
      <c r="P3" s="249"/>
      <c r="Q3" s="249"/>
      <c r="Y3" s="249"/>
      <c r="Z3" s="249"/>
      <c r="AA3" s="249"/>
      <c r="AB3" s="249"/>
      <c r="AC3" s="249"/>
      <c r="AD3" s="249"/>
      <c r="AE3" s="249"/>
      <c r="AF3" s="249" t="s">
        <v>105</v>
      </c>
      <c r="AG3" s="531"/>
    </row>
    <row r="4" spans="1:35" ht="20.100000000000001" customHeight="1">
      <c r="B4" s="247"/>
      <c r="C4" s="246">
        <v>1970</v>
      </c>
      <c r="D4" s="246">
        <v>1980</v>
      </c>
      <c r="E4" s="245">
        <v>1990</v>
      </c>
      <c r="F4" s="245">
        <v>1991</v>
      </c>
      <c r="G4" s="245">
        <v>1992</v>
      </c>
      <c r="H4" s="245">
        <v>1993</v>
      </c>
      <c r="I4" s="245">
        <v>1994</v>
      </c>
      <c r="J4" s="245">
        <v>1995</v>
      </c>
      <c r="K4" s="245">
        <v>1996</v>
      </c>
      <c r="L4" s="245">
        <v>1997</v>
      </c>
      <c r="M4" s="245">
        <v>1998</v>
      </c>
      <c r="N4" s="245">
        <v>1999</v>
      </c>
      <c r="O4" s="245">
        <v>2000</v>
      </c>
      <c r="P4" s="245">
        <v>2001</v>
      </c>
      <c r="Q4" s="245">
        <v>2002</v>
      </c>
      <c r="R4" s="245">
        <v>2003</v>
      </c>
      <c r="S4" s="245">
        <v>2004</v>
      </c>
      <c r="T4" s="245">
        <v>2005</v>
      </c>
      <c r="U4" s="245">
        <v>2006</v>
      </c>
      <c r="V4" s="245">
        <v>2007</v>
      </c>
      <c r="W4" s="245">
        <v>2008</v>
      </c>
      <c r="X4" s="245">
        <v>2009</v>
      </c>
      <c r="Y4" s="245">
        <v>2010</v>
      </c>
      <c r="Z4" s="245">
        <v>2011</v>
      </c>
      <c r="AA4" s="245">
        <v>2012</v>
      </c>
      <c r="AB4" s="245">
        <v>2013</v>
      </c>
      <c r="AC4" s="245">
        <v>2014</v>
      </c>
      <c r="AD4" s="245">
        <v>2015</v>
      </c>
      <c r="AE4" s="245">
        <v>2016</v>
      </c>
      <c r="AF4" s="245">
        <v>2017</v>
      </c>
      <c r="AG4" s="244" t="s">
        <v>141</v>
      </c>
    </row>
    <row r="5" spans="1:35" ht="9.9499999999999993" customHeight="1">
      <c r="B5" s="247"/>
      <c r="C5" s="283"/>
      <c r="D5" s="283"/>
      <c r="E5" s="240"/>
      <c r="F5" s="240"/>
      <c r="G5" s="240"/>
      <c r="H5" s="240"/>
      <c r="I5" s="240"/>
      <c r="J5" s="240"/>
      <c r="K5" s="240"/>
      <c r="L5" s="240"/>
      <c r="M5" s="240"/>
      <c r="N5" s="240"/>
      <c r="O5" s="240"/>
      <c r="P5" s="240"/>
      <c r="Q5" s="240"/>
      <c r="R5" s="240"/>
      <c r="S5" s="240"/>
      <c r="T5" s="240"/>
      <c r="U5" s="240"/>
      <c r="V5" s="240"/>
      <c r="W5" s="240"/>
      <c r="X5" s="240"/>
      <c r="Y5" s="240"/>
      <c r="Z5" s="240"/>
      <c r="AA5" s="240"/>
      <c r="AB5" s="240"/>
      <c r="AC5" s="240"/>
      <c r="AD5" s="240"/>
      <c r="AE5" s="240"/>
      <c r="AF5" s="240"/>
      <c r="AG5" s="282" t="s">
        <v>42</v>
      </c>
    </row>
    <row r="6" spans="1:35" ht="12.75" customHeight="1">
      <c r="B6" s="393" t="s">
        <v>113</v>
      </c>
      <c r="C6" s="421" t="s">
        <v>41</v>
      </c>
      <c r="D6" s="421" t="s">
        <v>41</v>
      </c>
      <c r="E6" s="419" t="s">
        <v>41</v>
      </c>
      <c r="F6" s="419" t="s">
        <v>41</v>
      </c>
      <c r="G6" s="419" t="s">
        <v>41</v>
      </c>
      <c r="H6" s="419" t="s">
        <v>41</v>
      </c>
      <c r="I6" s="419" t="s">
        <v>41</v>
      </c>
      <c r="J6" s="420">
        <f t="shared" ref="J6:AA6" si="0">SUM(J7:J34)</f>
        <v>73.71903011209119</v>
      </c>
      <c r="K6" s="420">
        <f t="shared" si="0"/>
        <v>74.889541085276733</v>
      </c>
      <c r="L6" s="420">
        <f t="shared" si="0"/>
        <v>75.670544027807438</v>
      </c>
      <c r="M6" s="420">
        <f t="shared" si="0"/>
        <v>76.852621980725374</v>
      </c>
      <c r="N6" s="420">
        <f t="shared" si="0"/>
        <v>78.515096820778538</v>
      </c>
      <c r="O6" s="420">
        <f t="shared" si="0"/>
        <v>80.092482669744101</v>
      </c>
      <c r="P6" s="420">
        <f t="shared" si="0"/>
        <v>80.89515498490023</v>
      </c>
      <c r="Q6" s="420">
        <f t="shared" si="0"/>
        <v>81.671392689150167</v>
      </c>
      <c r="R6" s="420">
        <f t="shared" si="0"/>
        <v>82.090069795556118</v>
      </c>
      <c r="S6" s="420">
        <f t="shared" si="0"/>
        <v>85.340137436244092</v>
      </c>
      <c r="T6" s="420">
        <f t="shared" si="0"/>
        <v>86.085197458878724</v>
      </c>
      <c r="U6" s="420">
        <f t="shared" si="0"/>
        <v>87.859128160907815</v>
      </c>
      <c r="V6" s="420">
        <f t="shared" si="0"/>
        <v>89.972419987898519</v>
      </c>
      <c r="W6" s="420">
        <f t="shared" si="0"/>
        <v>93.543548124482044</v>
      </c>
      <c r="X6" s="420">
        <f t="shared" si="0"/>
        <v>93.457982411954532</v>
      </c>
      <c r="Y6" s="420">
        <f t="shared" si="0"/>
        <v>96.121432668023445</v>
      </c>
      <c r="Z6" s="420">
        <f t="shared" si="0"/>
        <v>97.346018609899204</v>
      </c>
      <c r="AA6" s="420">
        <f t="shared" si="0"/>
        <v>98.922469833189481</v>
      </c>
      <c r="AB6" s="420">
        <f>SUM(AB7:AB34)</f>
        <v>99.364662948261511</v>
      </c>
      <c r="AC6" s="420">
        <f>SUM(AC7:AC34)</f>
        <v>100.67064467596639</v>
      </c>
      <c r="AD6" s="420">
        <f>SUM(AD7:AD34)</f>
        <v>102.14946262726792</v>
      </c>
      <c r="AE6" s="420">
        <f>SUM(AE7:AE34)</f>
        <v>105.41386957178889</v>
      </c>
      <c r="AF6" s="420">
        <f>SUM(AF7:AF34)</f>
        <v>107.17376713665031</v>
      </c>
      <c r="AG6" s="539">
        <f t="shared" ref="AG6:AG18" si="1">AF6/AE6*100-100</f>
        <v>1.6695123440686217</v>
      </c>
      <c r="AH6" s="444"/>
      <c r="AI6" s="181"/>
    </row>
    <row r="7" spans="1:35" ht="12.75" customHeight="1">
      <c r="B7" s="187" t="s">
        <v>29</v>
      </c>
      <c r="C7" s="231">
        <v>0.86</v>
      </c>
      <c r="D7" s="231">
        <v>0.77</v>
      </c>
      <c r="E7" s="228">
        <v>0.74</v>
      </c>
      <c r="F7" s="228">
        <v>0.75</v>
      </c>
      <c r="G7" s="228">
        <v>0.76</v>
      </c>
      <c r="H7" s="228">
        <v>0.77</v>
      </c>
      <c r="I7" s="228">
        <v>0.79</v>
      </c>
      <c r="J7" s="228">
        <v>0.8</v>
      </c>
      <c r="K7" s="228">
        <v>0.81</v>
      </c>
      <c r="L7" s="228">
        <v>0.82</v>
      </c>
      <c r="M7" s="228">
        <v>0.82</v>
      </c>
      <c r="N7" s="228">
        <v>0.82</v>
      </c>
      <c r="O7" s="228">
        <v>0.87</v>
      </c>
      <c r="P7" s="228">
        <v>0.876</v>
      </c>
      <c r="Q7" s="229">
        <v>0.89</v>
      </c>
      <c r="R7" s="229">
        <v>0.9</v>
      </c>
      <c r="S7" s="229">
        <v>0.91</v>
      </c>
      <c r="T7" s="229">
        <v>0.93</v>
      </c>
      <c r="U7" s="229">
        <v>0.95</v>
      </c>
      <c r="V7" s="229">
        <v>0.97</v>
      </c>
      <c r="W7" s="229">
        <v>1</v>
      </c>
      <c r="X7" s="229">
        <v>1</v>
      </c>
      <c r="Y7" s="229">
        <v>1.07</v>
      </c>
      <c r="Z7" s="229">
        <f>Y7*329.9/311.6</f>
        <v>1.1328401797175867</v>
      </c>
      <c r="AA7" s="229">
        <f>Z7*(132.4+123.5)/(125.8+112.1)</f>
        <v>1.2185531819660802</v>
      </c>
      <c r="AB7" s="229">
        <f>AA7*354.8/348.8</f>
        <v>1.2395145325732948</v>
      </c>
      <c r="AC7" s="229">
        <f>AB7*(133.4+131.3)/(138.3+128.9)</f>
        <v>1.227917278338889</v>
      </c>
      <c r="AD7" s="229">
        <f>AC7*((134.9+132.7)/(133.4+131.1))</f>
        <v>1.2423087473855829</v>
      </c>
      <c r="AE7" s="229">
        <f>AD7*((136.8+136.2)/(134.9+132.7))</f>
        <v>1.2673777579830499</v>
      </c>
      <c r="AF7" s="229">
        <f>AE7*(151.7+149.1)/(136.8+136.2)</f>
        <v>1.3964367384663054</v>
      </c>
      <c r="AG7" s="540">
        <f t="shared" si="1"/>
        <v>10.18315018315019</v>
      </c>
      <c r="AH7" s="187" t="s">
        <v>29</v>
      </c>
    </row>
    <row r="8" spans="1:35" ht="12.75" customHeight="1">
      <c r="B8" s="191" t="s">
        <v>12</v>
      </c>
      <c r="C8" s="205"/>
      <c r="D8" s="205"/>
      <c r="E8" s="193">
        <v>0.58599999999999997</v>
      </c>
      <c r="F8" s="193">
        <v>0.45400000000000001</v>
      </c>
      <c r="G8" s="193">
        <v>0.52400000000000002</v>
      </c>
      <c r="H8" s="193">
        <v>0.28299999999999997</v>
      </c>
      <c r="I8" s="193">
        <v>0.25</v>
      </c>
      <c r="J8" s="193">
        <v>0.28299999999999997</v>
      </c>
      <c r="K8" s="193">
        <v>0.29599999999999999</v>
      </c>
      <c r="L8" s="225">
        <v>0.308</v>
      </c>
      <c r="M8" s="193">
        <v>0.44400000000000001</v>
      </c>
      <c r="N8" s="193">
        <v>0.46</v>
      </c>
      <c r="O8" s="193">
        <v>0.41899999999999998</v>
      </c>
      <c r="P8" s="193">
        <v>0.46899999999999997</v>
      </c>
      <c r="Q8" s="193">
        <v>0.436</v>
      </c>
      <c r="R8" s="193">
        <v>0.48599999999999999</v>
      </c>
      <c r="S8" s="193">
        <v>0.44</v>
      </c>
      <c r="T8" s="193">
        <v>0.434</v>
      </c>
      <c r="U8" s="193">
        <v>0.44600000000000001</v>
      </c>
      <c r="V8" s="193">
        <v>0.443</v>
      </c>
      <c r="W8" s="193">
        <v>0.48599999999999999</v>
      </c>
      <c r="X8" s="193">
        <v>0.68799999999999994</v>
      </c>
      <c r="Y8" s="193">
        <f>0.909</f>
        <v>0.90900000000000003</v>
      </c>
      <c r="Z8" s="193">
        <v>0.872</v>
      </c>
      <c r="AA8" s="193">
        <v>1.02</v>
      </c>
      <c r="AB8" s="193">
        <v>1.01</v>
      </c>
      <c r="AC8" s="193">
        <v>0.72899999999999998</v>
      </c>
      <c r="AD8" s="193">
        <v>0.74047799999999997</v>
      </c>
      <c r="AE8" s="193">
        <v>0.81499999999999995</v>
      </c>
      <c r="AF8" s="193">
        <v>1.07</v>
      </c>
      <c r="AG8" s="301">
        <f t="shared" si="1"/>
        <v>31.288343558282236</v>
      </c>
      <c r="AH8" s="191" t="s">
        <v>12</v>
      </c>
    </row>
    <row r="9" spans="1:35" ht="12.75" customHeight="1">
      <c r="B9" s="187" t="s">
        <v>14</v>
      </c>
      <c r="C9" s="277"/>
      <c r="D9" s="277"/>
      <c r="E9" s="236"/>
      <c r="F9" s="236"/>
      <c r="G9" s="236"/>
      <c r="H9" s="236" t="s">
        <v>41</v>
      </c>
      <c r="I9" s="236" t="s">
        <v>41</v>
      </c>
      <c r="J9" s="236">
        <v>7.6879999999999997</v>
      </c>
      <c r="K9" s="236">
        <v>7.7910000000000004</v>
      </c>
      <c r="L9" s="236">
        <v>7.8630000000000004</v>
      </c>
      <c r="M9" s="236">
        <v>7.8550000000000004</v>
      </c>
      <c r="N9" s="236">
        <v>8.1539999999999999</v>
      </c>
      <c r="O9" s="236">
        <v>8.0679999999999996</v>
      </c>
      <c r="P9" s="236">
        <v>8.2270000000000003</v>
      </c>
      <c r="Q9" s="236">
        <v>8.3070000000000004</v>
      </c>
      <c r="R9" s="236">
        <v>8.5633999999999997</v>
      </c>
      <c r="S9" s="236">
        <f>4.8847+3.8408</f>
        <v>8.7255000000000003</v>
      </c>
      <c r="T9" s="236">
        <f>4.769+3.1652</f>
        <v>7.9342000000000006</v>
      </c>
      <c r="U9" s="236">
        <f>4.5344+3.2644</f>
        <v>7.7988</v>
      </c>
      <c r="V9" s="236">
        <f>4.4489+3.3015</f>
        <v>7.7504</v>
      </c>
      <c r="W9" s="236">
        <f>4.678+4.4648</f>
        <v>9.1428000000000011</v>
      </c>
      <c r="X9" s="236">
        <v>8.9867000000000008</v>
      </c>
      <c r="Y9" s="236">
        <f>4.624+4.373</f>
        <v>8.9969999999999999</v>
      </c>
      <c r="Z9" s="236">
        <f>4.461+4.255</f>
        <v>8.7160000000000011</v>
      </c>
      <c r="AA9" s="236">
        <f>4.465+5.037</f>
        <v>9.5019999999999989</v>
      </c>
      <c r="AB9" s="236">
        <v>9.5809000000000015</v>
      </c>
      <c r="AC9" s="236">
        <f>4.721+4.8364</f>
        <v>9.5574000000000012</v>
      </c>
      <c r="AD9" s="236">
        <f>4.619+5.214</f>
        <v>9.8330000000000002</v>
      </c>
      <c r="AE9" s="236">
        <f>5.0653+5.8687</f>
        <v>10.933999999999999</v>
      </c>
      <c r="AF9" s="236">
        <f>5.3422+5.59758</f>
        <v>10.939779999999999</v>
      </c>
      <c r="AG9" s="297">
        <f t="shared" si="1"/>
        <v>5.2862630327425109E-2</v>
      </c>
      <c r="AH9" s="187" t="s">
        <v>14</v>
      </c>
    </row>
    <row r="10" spans="1:35" ht="12.75" customHeight="1">
      <c r="B10" s="191" t="s">
        <v>25</v>
      </c>
      <c r="C10" s="296" t="s">
        <v>43</v>
      </c>
      <c r="D10" s="296" t="s">
        <v>43</v>
      </c>
      <c r="E10" s="295" t="s">
        <v>43</v>
      </c>
      <c r="F10" s="295" t="s">
        <v>43</v>
      </c>
      <c r="G10" s="295" t="s">
        <v>43</v>
      </c>
      <c r="H10" s="295" t="s">
        <v>43</v>
      </c>
      <c r="I10" s="295" t="s">
        <v>43</v>
      </c>
      <c r="J10" s="295" t="s">
        <v>43</v>
      </c>
      <c r="K10" s="295" t="s">
        <v>43</v>
      </c>
      <c r="L10" s="295" t="s">
        <v>43</v>
      </c>
      <c r="M10" s="295" t="s">
        <v>43</v>
      </c>
      <c r="N10" s="295" t="s">
        <v>43</v>
      </c>
      <c r="O10" s="295" t="s">
        <v>43</v>
      </c>
      <c r="P10" s="295" t="s">
        <v>43</v>
      </c>
      <c r="Q10" s="193">
        <v>8.9999999999999993E-3</v>
      </c>
      <c r="R10" s="193">
        <v>6.7000000000000004E-2</v>
      </c>
      <c r="S10" s="193">
        <v>0.128</v>
      </c>
      <c r="T10" s="193">
        <v>0.16200000000000001</v>
      </c>
      <c r="U10" s="193">
        <v>0.16400000000000001</v>
      </c>
      <c r="V10" s="193">
        <v>0.17699999999999999</v>
      </c>
      <c r="W10" s="193">
        <v>0.19500000000000001</v>
      </c>
      <c r="X10" s="193">
        <v>0.215</v>
      </c>
      <c r="Y10" s="193">
        <v>0.23899999999999999</v>
      </c>
      <c r="Z10" s="193">
        <v>0.27800000000000002</v>
      </c>
      <c r="AA10" s="193">
        <v>0.27400000000000002</v>
      </c>
      <c r="AB10" s="193">
        <v>0.28399999999999997</v>
      </c>
      <c r="AC10" s="193">
        <v>0.29499999999999998</v>
      </c>
      <c r="AD10" s="193">
        <v>0.30199999999999999</v>
      </c>
      <c r="AE10" s="193">
        <v>0.32100000000000001</v>
      </c>
      <c r="AF10" s="193">
        <v>0.34100000000000003</v>
      </c>
      <c r="AG10" s="301">
        <f t="shared" si="1"/>
        <v>6.2305295950155823</v>
      </c>
      <c r="AH10" s="191" t="s">
        <v>25</v>
      </c>
    </row>
    <row r="11" spans="1:35" s="201" customFormat="1" ht="12.75" customHeight="1">
      <c r="A11" s="206"/>
      <c r="B11" s="187" t="s">
        <v>30</v>
      </c>
      <c r="C11" s="309">
        <v>14.63</v>
      </c>
      <c r="D11" s="309">
        <v>13.84</v>
      </c>
      <c r="E11" s="308">
        <v>15.1</v>
      </c>
      <c r="F11" s="308">
        <v>15.14</v>
      </c>
      <c r="G11" s="308">
        <v>14.43</v>
      </c>
      <c r="H11" s="308">
        <v>14.62</v>
      </c>
      <c r="I11" s="308">
        <v>14.47</v>
      </c>
      <c r="J11" s="308">
        <v>14.43</v>
      </c>
      <c r="K11" s="308">
        <v>14.47</v>
      </c>
      <c r="L11" s="308">
        <v>14.5</v>
      </c>
      <c r="M11" s="308">
        <v>14.4</v>
      </c>
      <c r="N11" s="308">
        <v>14.5</v>
      </c>
      <c r="O11" s="308">
        <v>14.6</v>
      </c>
      <c r="P11" s="308">
        <v>14.7</v>
      </c>
      <c r="Q11" s="236">
        <v>14.74</v>
      </c>
      <c r="R11" s="236">
        <v>14.75</v>
      </c>
      <c r="S11" s="236">
        <v>14.986000000000001</v>
      </c>
      <c r="T11" s="236">
        <v>15.484999999999999</v>
      </c>
      <c r="U11" s="236">
        <v>15.568</v>
      </c>
      <c r="V11" s="236">
        <v>15.92</v>
      </c>
      <c r="W11" s="236">
        <v>15.991</v>
      </c>
      <c r="X11" s="236">
        <v>16.495999999999999</v>
      </c>
      <c r="Y11" s="236">
        <f>16.349</f>
        <v>16.349</v>
      </c>
      <c r="Z11" s="236">
        <v>16.600000000000001</v>
      </c>
      <c r="AA11" s="236">
        <v>16.600000000000001</v>
      </c>
      <c r="AB11" s="236">
        <v>16.7</v>
      </c>
      <c r="AC11" s="236">
        <v>16.600000000000001</v>
      </c>
      <c r="AD11" s="236">
        <v>16.7</v>
      </c>
      <c r="AE11" s="236">
        <v>17</v>
      </c>
      <c r="AF11" s="236">
        <v>17.2</v>
      </c>
      <c r="AG11" s="297">
        <f t="shared" si="1"/>
        <v>1.1764705882352899</v>
      </c>
      <c r="AH11" s="187" t="s">
        <v>30</v>
      </c>
    </row>
    <row r="12" spans="1:35" ht="12.75" customHeight="1">
      <c r="B12" s="191" t="s">
        <v>15</v>
      </c>
      <c r="C12" s="205" t="s">
        <v>41</v>
      </c>
      <c r="D12" s="205" t="s">
        <v>41</v>
      </c>
      <c r="E12" s="193" t="s">
        <v>41</v>
      </c>
      <c r="F12" s="193" t="s">
        <v>41</v>
      </c>
      <c r="G12" s="193" t="s">
        <v>41</v>
      </c>
      <c r="H12" s="193" t="s">
        <v>41</v>
      </c>
      <c r="I12" s="193" t="s">
        <v>41</v>
      </c>
      <c r="J12" s="203">
        <f>0.0352*3</f>
        <v>0.1056</v>
      </c>
      <c r="K12" s="203">
        <f>0.0356*3</f>
        <v>0.10680000000000001</v>
      </c>
      <c r="L12" s="203">
        <f>0.0369*3</f>
        <v>0.11070000000000001</v>
      </c>
      <c r="M12" s="203">
        <f>0.0306*3</f>
        <v>9.1799999999999993E-2</v>
      </c>
      <c r="N12" s="203">
        <f>0.0293*3</f>
        <v>8.7900000000000006E-2</v>
      </c>
      <c r="O12" s="203">
        <f>0.0349*3</f>
        <v>0.1047</v>
      </c>
      <c r="P12" s="203">
        <f>0.0292*3</f>
        <v>8.7599999999999997E-2</v>
      </c>
      <c r="Q12" s="203">
        <f>0.0308*3</f>
        <v>9.240000000000001E-2</v>
      </c>
      <c r="R12" s="203">
        <f>0.0311*3</f>
        <v>9.3299999999999994E-2</v>
      </c>
      <c r="S12" s="203">
        <f>0.0278*3</f>
        <v>8.3400000000000002E-2</v>
      </c>
      <c r="T12" s="203">
        <f>0.0251*3</f>
        <v>7.5300000000000006E-2</v>
      </c>
      <c r="U12" s="203">
        <f>0.0262*3</f>
        <v>7.8600000000000003E-2</v>
      </c>
      <c r="V12" s="203">
        <f>0.0264*3</f>
        <v>7.9199999999999993E-2</v>
      </c>
      <c r="W12" s="273">
        <v>0.22281640000000003</v>
      </c>
      <c r="X12" s="203">
        <v>0.2223115</v>
      </c>
      <c r="Y12" s="203">
        <v>0.20509920000000001</v>
      </c>
      <c r="Z12" s="203">
        <v>0.18969929999999999</v>
      </c>
      <c r="AA12" s="203">
        <v>0.25612849999999998</v>
      </c>
      <c r="AB12" s="203">
        <v>0.20433999999999999</v>
      </c>
      <c r="AC12" s="203">
        <v>0.17654990000000001</v>
      </c>
      <c r="AD12" s="203">
        <v>0.168931</v>
      </c>
      <c r="AE12" s="203">
        <v>0.1304275</v>
      </c>
      <c r="AF12" s="203">
        <v>0.1203009</v>
      </c>
      <c r="AG12" s="293">
        <f t="shared" si="1"/>
        <v>-7.7641601656092405</v>
      </c>
      <c r="AH12" s="191" t="s">
        <v>15</v>
      </c>
    </row>
    <row r="13" spans="1:35" s="201" customFormat="1" ht="12.75" customHeight="1">
      <c r="A13" s="206"/>
      <c r="B13" s="187" t="s">
        <v>33</v>
      </c>
      <c r="C13" s="307" t="s">
        <v>43</v>
      </c>
      <c r="D13" s="307" t="s">
        <v>43</v>
      </c>
      <c r="E13" s="306" t="s">
        <v>43</v>
      </c>
      <c r="F13" s="306" t="s">
        <v>43</v>
      </c>
      <c r="G13" s="306" t="s">
        <v>43</v>
      </c>
      <c r="H13" s="306" t="s">
        <v>43</v>
      </c>
      <c r="I13" s="306" t="s">
        <v>43</v>
      </c>
      <c r="J13" s="306" t="s">
        <v>43</v>
      </c>
      <c r="K13" s="306" t="s">
        <v>43</v>
      </c>
      <c r="L13" s="306" t="s">
        <v>43</v>
      </c>
      <c r="M13" s="306" t="s">
        <v>43</v>
      </c>
      <c r="N13" s="306" t="s">
        <v>43</v>
      </c>
      <c r="O13" s="306" t="s">
        <v>43</v>
      </c>
      <c r="P13" s="306" t="s">
        <v>43</v>
      </c>
      <c r="Q13" s="306" t="s">
        <v>43</v>
      </c>
      <c r="R13" s="306" t="s">
        <v>43</v>
      </c>
      <c r="S13" s="229">
        <v>0.05</v>
      </c>
      <c r="T13" s="229">
        <v>0.11</v>
      </c>
      <c r="U13" s="228">
        <f>0.06713+0.04598</f>
        <v>0.11310999999999999</v>
      </c>
      <c r="V13" s="228">
        <f>0.107+0.068</f>
        <v>0.17499999999999999</v>
      </c>
      <c r="W13" s="228">
        <f>0.083+0.058</f>
        <v>0.14100000000000001</v>
      </c>
      <c r="X13" s="228">
        <f>0.079+0.053</f>
        <v>0.13200000000000001</v>
      </c>
      <c r="Y13" s="228">
        <f>0.069+0.062</f>
        <v>0.13100000000000001</v>
      </c>
      <c r="Z13" s="228">
        <f>0.073+0.065</f>
        <v>0.13800000000000001</v>
      </c>
      <c r="AA13" s="228">
        <f>0.0711+0.0729</f>
        <v>0.14400000000000002</v>
      </c>
      <c r="AB13" s="228">
        <v>0.14982472999999999</v>
      </c>
      <c r="AC13" s="228">
        <f>0.07929535+0.080777584</f>
        <v>0.160072934</v>
      </c>
      <c r="AD13" s="228">
        <f>0.085496552+0.09417113</f>
        <v>0.179667682</v>
      </c>
      <c r="AE13" s="228">
        <f>0.074323625+0.10922473</f>
        <v>0.183548355</v>
      </c>
      <c r="AF13" s="228">
        <f>0.102034048+0.082865219</f>
        <v>0.18489926700000001</v>
      </c>
      <c r="AG13" s="533">
        <f t="shared" si="1"/>
        <v>0.73599787914197634</v>
      </c>
      <c r="AH13" s="187" t="s">
        <v>33</v>
      </c>
    </row>
    <row r="14" spans="1:35" ht="12.75" customHeight="1">
      <c r="B14" s="191" t="s">
        <v>26</v>
      </c>
      <c r="C14" s="221">
        <v>0.63</v>
      </c>
      <c r="D14" s="221">
        <v>0.68</v>
      </c>
      <c r="E14" s="203">
        <v>0.83</v>
      </c>
      <c r="F14" s="203">
        <v>0.81</v>
      </c>
      <c r="G14" s="203">
        <v>0.79</v>
      </c>
      <c r="H14" s="203">
        <v>0.77</v>
      </c>
      <c r="I14" s="203">
        <v>0.72</v>
      </c>
      <c r="J14" s="203">
        <v>0.74</v>
      </c>
      <c r="K14" s="203">
        <v>0.74</v>
      </c>
      <c r="L14" s="203">
        <v>0.75</v>
      </c>
      <c r="M14" s="203">
        <v>0.8</v>
      </c>
      <c r="N14" s="203">
        <v>0.81</v>
      </c>
      <c r="O14" s="203">
        <v>1.19</v>
      </c>
      <c r="P14" s="203">
        <v>1.33</v>
      </c>
      <c r="Q14" s="203">
        <v>1.35</v>
      </c>
      <c r="R14" s="203">
        <v>1.4</v>
      </c>
      <c r="S14" s="203">
        <v>1.5</v>
      </c>
      <c r="T14" s="203">
        <v>1.5</v>
      </c>
      <c r="U14" s="203">
        <v>1.55</v>
      </c>
      <c r="V14" s="203">
        <v>1.6</v>
      </c>
      <c r="W14" s="203">
        <v>1.66</v>
      </c>
      <c r="X14" s="203">
        <v>1.671</v>
      </c>
      <c r="Y14" s="203">
        <v>1.6927464982806519</v>
      </c>
      <c r="Z14" s="203">
        <f>AVERAGE(W14:Y14)</f>
        <v>1.6745821660935505</v>
      </c>
      <c r="AA14" s="203">
        <v>1.6693892905336882</v>
      </c>
      <c r="AB14" s="203">
        <v>1.6640104964628029</v>
      </c>
      <c r="AC14" s="203">
        <v>1.662268977961797</v>
      </c>
      <c r="AD14" s="203">
        <f>AC14*(1.007)</f>
        <v>1.6739048608075293</v>
      </c>
      <c r="AE14" s="203">
        <f>AD14*0.988</f>
        <v>1.6538180024778391</v>
      </c>
      <c r="AF14" s="203">
        <v>1.6885481805298734</v>
      </c>
      <c r="AG14" s="293">
        <f t="shared" si="1"/>
        <v>2.0999999999999943</v>
      </c>
      <c r="AH14" s="191" t="s">
        <v>26</v>
      </c>
    </row>
    <row r="15" spans="1:35" ht="12.75" customHeight="1">
      <c r="B15" s="187" t="s">
        <v>31</v>
      </c>
      <c r="C15" s="231">
        <v>3.67</v>
      </c>
      <c r="D15" s="231">
        <v>3.88</v>
      </c>
      <c r="E15" s="228">
        <v>4.38</v>
      </c>
      <c r="F15" s="228">
        <v>4.3</v>
      </c>
      <c r="G15" s="228">
        <v>4.25</v>
      </c>
      <c r="H15" s="228">
        <v>4.2</v>
      </c>
      <c r="I15" s="228">
        <v>4.1500000000000004</v>
      </c>
      <c r="J15" s="228">
        <v>4.25</v>
      </c>
      <c r="K15" s="228">
        <v>4.49</v>
      </c>
      <c r="L15" s="228">
        <v>4.57</v>
      </c>
      <c r="M15" s="228">
        <v>4.84</v>
      </c>
      <c r="N15" s="229">
        <v>5.0599999999999996</v>
      </c>
      <c r="O15" s="229">
        <v>5.23</v>
      </c>
      <c r="P15" s="229">
        <v>5.34</v>
      </c>
      <c r="Q15" s="229">
        <v>5.5</v>
      </c>
      <c r="R15" s="229">
        <v>5.6</v>
      </c>
      <c r="S15" s="229">
        <v>5.8</v>
      </c>
      <c r="T15" s="229">
        <v>6</v>
      </c>
      <c r="U15" s="229">
        <v>6.2</v>
      </c>
      <c r="V15" s="229">
        <v>6.4</v>
      </c>
      <c r="W15" s="229">
        <v>6.5</v>
      </c>
      <c r="X15" s="229">
        <v>6.2725</v>
      </c>
      <c r="Y15" s="351">
        <v>7.5889000000000006</v>
      </c>
      <c r="Z15" s="228">
        <v>7.6311</v>
      </c>
      <c r="AA15" s="228">
        <v>7.3169000000000004</v>
      </c>
      <c r="AB15" s="228">
        <v>6.9699000000000018</v>
      </c>
      <c r="AC15" s="228">
        <v>7.1527000000000012</v>
      </c>
      <c r="AD15" s="228">
        <v>7.2018999999999993</v>
      </c>
      <c r="AE15" s="228">
        <v>7.4863000000000008</v>
      </c>
      <c r="AF15" s="228">
        <v>7.6415999999999995</v>
      </c>
      <c r="AG15" s="540">
        <f t="shared" si="1"/>
        <v>2.0744560063048283</v>
      </c>
      <c r="AH15" s="187" t="s">
        <v>31</v>
      </c>
    </row>
    <row r="16" spans="1:35" ht="12.75" customHeight="1">
      <c r="B16" s="191" t="s">
        <v>32</v>
      </c>
      <c r="C16" s="205">
        <v>6.5</v>
      </c>
      <c r="D16" s="305">
        <v>7.7</v>
      </c>
      <c r="E16" s="224">
        <v>10.476443368895263</v>
      </c>
      <c r="F16" s="193">
        <v>10.233383195251669</v>
      </c>
      <c r="G16" s="193">
        <v>10.414323650575252</v>
      </c>
      <c r="H16" s="193">
        <v>10.379180026384811</v>
      </c>
      <c r="I16" s="193">
        <v>10.453352069536807</v>
      </c>
      <c r="J16" s="193">
        <v>9.3273409338531454</v>
      </c>
      <c r="K16" s="193">
        <v>9.8182680428526741</v>
      </c>
      <c r="L16" s="193">
        <v>10.054374505661677</v>
      </c>
      <c r="M16" s="193">
        <v>10.502619818419767</v>
      </c>
      <c r="N16" s="193">
        <v>10.935597585658641</v>
      </c>
      <c r="O16" s="224">
        <v>11.633685254006512</v>
      </c>
      <c r="P16" s="193">
        <v>11.779086423126303</v>
      </c>
      <c r="Q16" s="193">
        <v>11.945869204302205</v>
      </c>
      <c r="R16" s="193">
        <v>11.762165248289488</v>
      </c>
      <c r="S16" s="193">
        <v>13.303413046515091</v>
      </c>
      <c r="T16" s="193">
        <v>13.620330458217733</v>
      </c>
      <c r="U16" s="193">
        <v>13.869125429128459</v>
      </c>
      <c r="V16" s="193">
        <v>13.942725725198631</v>
      </c>
      <c r="W16" s="193">
        <v>14.823026604643687</v>
      </c>
      <c r="X16" s="193">
        <v>14.656914767774991</v>
      </c>
      <c r="Y16" s="193">
        <v>15.032202902910869</v>
      </c>
      <c r="Z16" s="193">
        <v>15.301799934284682</v>
      </c>
      <c r="AA16" s="193">
        <v>15.595579058566956</v>
      </c>
      <c r="AB16" s="193">
        <v>15.748900135343224</v>
      </c>
      <c r="AC16" s="193">
        <v>16.142915646960294</v>
      </c>
      <c r="AD16" s="193">
        <v>16.154911826561836</v>
      </c>
      <c r="AE16" s="193">
        <v>16.338880964772578</v>
      </c>
      <c r="AF16" s="193">
        <v>16.68</v>
      </c>
      <c r="AG16" s="301">
        <f t="shared" si="1"/>
        <v>2.0877747745570332</v>
      </c>
      <c r="AH16" s="191" t="s">
        <v>32</v>
      </c>
    </row>
    <row r="17" spans="1:41" ht="12.75" customHeight="1">
      <c r="B17" s="187" t="s">
        <v>44</v>
      </c>
      <c r="C17" s="190"/>
      <c r="D17" s="304"/>
      <c r="E17" s="303"/>
      <c r="F17" s="189"/>
      <c r="G17" s="189"/>
      <c r="H17" s="208">
        <v>0.54662699999999997</v>
      </c>
      <c r="I17" s="208">
        <v>0.542601</v>
      </c>
      <c r="J17" s="208">
        <v>0.52539599999999997</v>
      </c>
      <c r="K17" s="208">
        <v>0.48687899999999995</v>
      </c>
      <c r="L17" s="208">
        <v>0.49809300000000001</v>
      </c>
      <c r="M17" s="208">
        <v>0.487896</v>
      </c>
      <c r="N17" s="208">
        <v>0.48726600000000003</v>
      </c>
      <c r="O17" s="208">
        <v>0.50417100000000004</v>
      </c>
      <c r="P17" s="208">
        <v>0.53174399999999999</v>
      </c>
      <c r="Q17" s="208">
        <v>0.53473799999999994</v>
      </c>
      <c r="R17" s="208">
        <v>0.55030800000000002</v>
      </c>
      <c r="S17" s="208">
        <v>0.52908299999999997</v>
      </c>
      <c r="T17" s="208">
        <v>0.53316600000000003</v>
      </c>
      <c r="U17" s="208">
        <v>0.55977300000000008</v>
      </c>
      <c r="V17" s="208">
        <v>0.66095999999999999</v>
      </c>
      <c r="W17" s="208">
        <v>0.62360400000000005</v>
      </c>
      <c r="X17" s="208">
        <v>0.57882</v>
      </c>
      <c r="Y17" s="208">
        <v>0.54935699999999998</v>
      </c>
      <c r="Z17" s="208">
        <v>0.51953099999999997</v>
      </c>
      <c r="AA17" s="208">
        <f>0.174139*3</f>
        <v>0.52241699999999991</v>
      </c>
      <c r="AB17" s="208">
        <f>0.177596*3</f>
        <v>0.53278800000000004</v>
      </c>
      <c r="AC17" s="208">
        <f>0.191899*3</f>
        <v>0.5756969999999999</v>
      </c>
      <c r="AD17" s="208">
        <f>0.199322*3</f>
        <v>0.597966</v>
      </c>
      <c r="AE17" s="208">
        <f>0.202995*3</f>
        <v>0.608985</v>
      </c>
      <c r="AF17" s="208">
        <f>3*0.202661</f>
        <v>0.60798300000000005</v>
      </c>
      <c r="AG17" s="297">
        <f t="shared" si="1"/>
        <v>-0.16453607231704837</v>
      </c>
      <c r="AH17" s="187" t="s">
        <v>44</v>
      </c>
    </row>
    <row r="18" spans="1:41" ht="12.75" customHeight="1">
      <c r="B18" s="191" t="s">
        <v>34</v>
      </c>
      <c r="C18" s="205">
        <v>2.21</v>
      </c>
      <c r="D18" s="205">
        <v>3.66</v>
      </c>
      <c r="E18" s="193">
        <f>2.58+1.629</f>
        <v>4.2089999999999996</v>
      </c>
      <c r="F18" s="193">
        <v>5.3280000000000003</v>
      </c>
      <c r="G18" s="193">
        <v>5.4</v>
      </c>
      <c r="H18" s="193">
        <v>5.5</v>
      </c>
      <c r="I18" s="193">
        <v>5.0999999999999996</v>
      </c>
      <c r="J18" s="193">
        <f>4.038+1.1136</f>
        <v>5.1516000000000002</v>
      </c>
      <c r="K18" s="193">
        <v>5.282</v>
      </c>
      <c r="L18" s="193">
        <v>5.319</v>
      </c>
      <c r="M18" s="193">
        <v>5.2510000000000003</v>
      </c>
      <c r="N18" s="193">
        <f>4.167+1.072</f>
        <v>5.2389999999999999</v>
      </c>
      <c r="O18" s="193">
        <f>4.503+1.1057</f>
        <v>5.6086999999999998</v>
      </c>
      <c r="P18" s="193">
        <f>4.506+1.083</f>
        <v>5.5890000000000004</v>
      </c>
      <c r="Q18" s="193">
        <f>4.843+1.042</f>
        <v>5.8849999999999998</v>
      </c>
      <c r="R18" s="193">
        <f>4.935+1.05</f>
        <v>5.9849999999999994</v>
      </c>
      <c r="S18" s="193">
        <f>4.954+1.051</f>
        <v>6.0049999999999999</v>
      </c>
      <c r="T18" s="193">
        <f>4.982+1.053</f>
        <v>6.0350000000000001</v>
      </c>
      <c r="U18" s="193">
        <f>5.204+1.075</f>
        <v>6.2789999999999999</v>
      </c>
      <c r="V18" s="193">
        <f>5.637+1.088</f>
        <v>6.7249999999999996</v>
      </c>
      <c r="W18" s="193">
        <f>5.777+1.107</f>
        <v>6.8840000000000003</v>
      </c>
      <c r="X18" s="193">
        <f>1.108+5.84</f>
        <v>6.9480000000000004</v>
      </c>
      <c r="Y18" s="193">
        <f>5.948+1.135</f>
        <v>7.0830000000000002</v>
      </c>
      <c r="Z18" s="193">
        <f>5.849+1.246</f>
        <v>7.0950000000000006</v>
      </c>
      <c r="AA18" s="193">
        <f>1.243+5.295</f>
        <v>6.5380000000000003</v>
      </c>
      <c r="AB18" s="193">
        <f>1.228+5.356</f>
        <v>6.5839999999999996</v>
      </c>
      <c r="AC18" s="193">
        <f>1.266+5.388</f>
        <v>6.6539999999999999</v>
      </c>
      <c r="AD18" s="193">
        <f>1.305+5.527</f>
        <v>6.8319999999999999</v>
      </c>
      <c r="AE18" s="193">
        <f>1.337+5.336</f>
        <v>6.673</v>
      </c>
      <c r="AF18" s="193">
        <f>1.342+5.41</f>
        <v>6.7520000000000007</v>
      </c>
      <c r="AG18" s="301">
        <f t="shared" si="1"/>
        <v>1.1838753184474768</v>
      </c>
      <c r="AH18" s="191" t="s">
        <v>34</v>
      </c>
      <c r="AJ18" s="362"/>
    </row>
    <row r="19" spans="1:41" ht="12.75" customHeight="1" thickBot="1">
      <c r="B19" s="187" t="s">
        <v>13</v>
      </c>
      <c r="C19" s="299" t="s">
        <v>43</v>
      </c>
      <c r="D19" s="299" t="s">
        <v>43</v>
      </c>
      <c r="E19" s="298" t="s">
        <v>43</v>
      </c>
      <c r="F19" s="298" t="s">
        <v>43</v>
      </c>
      <c r="G19" s="298" t="s">
        <v>43</v>
      </c>
      <c r="H19" s="298" t="s">
        <v>43</v>
      </c>
      <c r="I19" s="298" t="s">
        <v>43</v>
      </c>
      <c r="J19" s="298" t="s">
        <v>43</v>
      </c>
      <c r="K19" s="298" t="s">
        <v>43</v>
      </c>
      <c r="L19" s="298" t="s">
        <v>43</v>
      </c>
      <c r="M19" s="298" t="s">
        <v>43</v>
      </c>
      <c r="N19" s="298" t="s">
        <v>43</v>
      </c>
      <c r="O19" s="298" t="s">
        <v>43</v>
      </c>
      <c r="P19" s="298" t="s">
        <v>43</v>
      </c>
      <c r="Q19" s="298" t="s">
        <v>43</v>
      </c>
      <c r="R19" s="298" t="s">
        <v>43</v>
      </c>
      <c r="S19" s="298" t="s">
        <v>43</v>
      </c>
      <c r="T19" s="298" t="s">
        <v>43</v>
      </c>
      <c r="U19" s="298" t="s">
        <v>43</v>
      </c>
      <c r="V19" s="298" t="s">
        <v>43</v>
      </c>
      <c r="W19" s="298" t="s">
        <v>43</v>
      </c>
      <c r="X19" s="298" t="s">
        <v>43</v>
      </c>
      <c r="Y19" s="298" t="s">
        <v>43</v>
      </c>
      <c r="Z19" s="298" t="s">
        <v>43</v>
      </c>
      <c r="AA19" s="298" t="s">
        <v>43</v>
      </c>
      <c r="AB19" s="298" t="s">
        <v>43</v>
      </c>
      <c r="AC19" s="298" t="s">
        <v>43</v>
      </c>
      <c r="AD19" s="298" t="s">
        <v>43</v>
      </c>
      <c r="AE19" s="298" t="s">
        <v>43</v>
      </c>
      <c r="AF19" s="298" t="s">
        <v>43</v>
      </c>
      <c r="AG19" s="297" t="s">
        <v>43</v>
      </c>
      <c r="AH19" s="187" t="s">
        <v>13</v>
      </c>
    </row>
    <row r="20" spans="1:41" s="201" customFormat="1" ht="12.75" customHeight="1">
      <c r="A20" s="206"/>
      <c r="B20" s="191" t="s">
        <v>17</v>
      </c>
      <c r="C20" s="205" t="s">
        <v>41</v>
      </c>
      <c r="D20" s="205" t="s">
        <v>41</v>
      </c>
      <c r="E20" s="203">
        <f>0.2431*3</f>
        <v>0.72930000000000006</v>
      </c>
      <c r="F20" s="203">
        <f>0.2516*3</f>
        <v>0.75479999999999992</v>
      </c>
      <c r="G20" s="203">
        <f>0.1937*3</f>
        <v>0.58110000000000006</v>
      </c>
      <c r="H20" s="203">
        <f>0.1149*3</f>
        <v>0.34470000000000001</v>
      </c>
      <c r="I20" s="203">
        <f>0.1128*3</f>
        <v>0.33839999999999998</v>
      </c>
      <c r="J20" s="203">
        <f>0.1012*3</f>
        <v>0.30359999999999998</v>
      </c>
      <c r="K20" s="203">
        <f>0.0795*3</f>
        <v>0.23849999999999999</v>
      </c>
      <c r="L20" s="203">
        <f>0.0884*3</f>
        <v>0.26519999999999999</v>
      </c>
      <c r="M20" s="203">
        <f>0.098*3</f>
        <v>0.29400000000000004</v>
      </c>
      <c r="N20" s="203">
        <f>0.0938*3</f>
        <v>0.28139999999999998</v>
      </c>
      <c r="O20" s="203">
        <f>0.0889*3</f>
        <v>0.26670000000000005</v>
      </c>
      <c r="P20" s="203">
        <f>0.0869*3</f>
        <v>0.26070000000000004</v>
      </c>
      <c r="Q20" s="203">
        <f>0.0882*3</f>
        <v>0.2646</v>
      </c>
      <c r="R20" s="203">
        <f>0.0846*3</f>
        <v>0.25379999999999997</v>
      </c>
      <c r="S20" s="203">
        <f>0.0879*3</f>
        <v>0.26370000000000005</v>
      </c>
      <c r="T20" s="203">
        <f>0.0909*3</f>
        <v>0.2727</v>
      </c>
      <c r="U20" s="203">
        <f>0.0931*3</f>
        <v>0.27929999999999999</v>
      </c>
      <c r="V20" s="203">
        <f>0.0932*3</f>
        <v>0.27960000000000002</v>
      </c>
      <c r="W20" s="203">
        <f>0.0861*3</f>
        <v>0.25829999999999997</v>
      </c>
      <c r="X20" s="302">
        <f>0.057*3</f>
        <v>0.17100000000000001</v>
      </c>
      <c r="Y20" s="203">
        <f>0.041*3</f>
        <v>0.123</v>
      </c>
      <c r="Z20" s="203">
        <f>0.0416*3</f>
        <v>0.12479999999999999</v>
      </c>
      <c r="AA20" s="203">
        <f>(30695+2777+7112)*3/1000000</f>
        <v>0.121752</v>
      </c>
      <c r="AB20" s="203">
        <v>0.13276199999999999</v>
      </c>
      <c r="AC20" s="203">
        <f>(34.69+3.718+6.582)*3/1000</f>
        <v>0.13497000000000001</v>
      </c>
      <c r="AD20" s="203">
        <f>(33.938+2.98+6.741)*3/1000</f>
        <v>0.13097700000000001</v>
      </c>
      <c r="AE20" s="203">
        <f>(32.341+1.986+6.848)*3/1000</f>
        <v>0.123525</v>
      </c>
      <c r="AF20" s="203">
        <f>3*(32.724+2.089+7.804)/1000</f>
        <v>0.12785099999999999</v>
      </c>
      <c r="AG20" s="293">
        <f>AF20/AE20*100-100</f>
        <v>3.5021250758955631</v>
      </c>
      <c r="AH20" s="191" t="s">
        <v>17</v>
      </c>
      <c r="AO20" s="518"/>
    </row>
    <row r="21" spans="1:41" ht="12.75" customHeight="1">
      <c r="B21" s="187" t="s">
        <v>18</v>
      </c>
      <c r="C21" s="299" t="s">
        <v>43</v>
      </c>
      <c r="D21" s="299" t="s">
        <v>43</v>
      </c>
      <c r="E21" s="298" t="s">
        <v>43</v>
      </c>
      <c r="F21" s="298" t="s">
        <v>43</v>
      </c>
      <c r="G21" s="298" t="s">
        <v>43</v>
      </c>
      <c r="H21" s="298" t="s">
        <v>43</v>
      </c>
      <c r="I21" s="298" t="s">
        <v>43</v>
      </c>
      <c r="J21" s="298" t="s">
        <v>43</v>
      </c>
      <c r="K21" s="298" t="s">
        <v>43</v>
      </c>
      <c r="L21" s="298" t="s">
        <v>43</v>
      </c>
      <c r="M21" s="298" t="s">
        <v>43</v>
      </c>
      <c r="N21" s="298" t="s">
        <v>43</v>
      </c>
      <c r="O21" s="298" t="s">
        <v>43</v>
      </c>
      <c r="P21" s="298" t="s">
        <v>43</v>
      </c>
      <c r="Q21" s="298" t="s">
        <v>43</v>
      </c>
      <c r="R21" s="298" t="s">
        <v>43</v>
      </c>
      <c r="S21" s="298" t="s">
        <v>43</v>
      </c>
      <c r="T21" s="298" t="s">
        <v>43</v>
      </c>
      <c r="U21" s="298" t="s">
        <v>43</v>
      </c>
      <c r="V21" s="298" t="s">
        <v>43</v>
      </c>
      <c r="W21" s="298" t="s">
        <v>43</v>
      </c>
      <c r="X21" s="298" t="s">
        <v>43</v>
      </c>
      <c r="Y21" s="298" t="s">
        <v>43</v>
      </c>
      <c r="Z21" s="298" t="s">
        <v>43</v>
      </c>
      <c r="AA21" s="298" t="s">
        <v>43</v>
      </c>
      <c r="AB21" s="298" t="s">
        <v>43</v>
      </c>
      <c r="AC21" s="298" t="s">
        <v>43</v>
      </c>
      <c r="AD21" s="298" t="s">
        <v>43</v>
      </c>
      <c r="AE21" s="298" t="s">
        <v>43</v>
      </c>
      <c r="AF21" s="298" t="s">
        <v>43</v>
      </c>
      <c r="AG21" s="297" t="s">
        <v>43</v>
      </c>
      <c r="AH21" s="187" t="s">
        <v>18</v>
      </c>
    </row>
    <row r="22" spans="1:41" s="201" customFormat="1" ht="12.75" customHeight="1">
      <c r="A22" s="206"/>
      <c r="B22" s="191" t="s">
        <v>35</v>
      </c>
      <c r="C22" s="296" t="s">
        <v>43</v>
      </c>
      <c r="D22" s="296" t="s">
        <v>43</v>
      </c>
      <c r="E22" s="295" t="s">
        <v>43</v>
      </c>
      <c r="F22" s="295" t="s">
        <v>43</v>
      </c>
      <c r="G22" s="295" t="s">
        <v>43</v>
      </c>
      <c r="H22" s="295" t="s">
        <v>43</v>
      </c>
      <c r="I22" s="295" t="s">
        <v>43</v>
      </c>
      <c r="J22" s="295" t="s">
        <v>43</v>
      </c>
      <c r="K22" s="295" t="s">
        <v>43</v>
      </c>
      <c r="L22" s="295" t="s">
        <v>43</v>
      </c>
      <c r="M22" s="295" t="s">
        <v>43</v>
      </c>
      <c r="N22" s="295" t="s">
        <v>43</v>
      </c>
      <c r="O22" s="295" t="s">
        <v>43</v>
      </c>
      <c r="P22" s="295" t="s">
        <v>43</v>
      </c>
      <c r="Q22" s="295" t="s">
        <v>43</v>
      </c>
      <c r="R22" s="295" t="s">
        <v>43</v>
      </c>
      <c r="S22" s="295" t="s">
        <v>43</v>
      </c>
      <c r="T22" s="295" t="s">
        <v>43</v>
      </c>
      <c r="U22" s="295" t="s">
        <v>43</v>
      </c>
      <c r="V22" s="295" t="s">
        <v>43</v>
      </c>
      <c r="W22" s="295" t="s">
        <v>43</v>
      </c>
      <c r="X22" s="295" t="s">
        <v>43</v>
      </c>
      <c r="Y22" s="295" t="s">
        <v>43</v>
      </c>
      <c r="Z22" s="295" t="s">
        <v>43</v>
      </c>
      <c r="AA22" s="295" t="s">
        <v>43</v>
      </c>
      <c r="AB22" s="295" t="s">
        <v>43</v>
      </c>
      <c r="AC22" s="295" t="s">
        <v>43</v>
      </c>
      <c r="AD22" s="295" t="s">
        <v>43</v>
      </c>
      <c r="AE22" s="295" t="s">
        <v>43</v>
      </c>
      <c r="AF22" s="295" t="s">
        <v>43</v>
      </c>
      <c r="AG22" s="301" t="s">
        <v>43</v>
      </c>
      <c r="AH22" s="191" t="s">
        <v>35</v>
      </c>
    </row>
    <row r="23" spans="1:41" ht="12.75" customHeight="1">
      <c r="B23" s="187" t="s">
        <v>16</v>
      </c>
      <c r="C23" s="190" t="s">
        <v>41</v>
      </c>
      <c r="D23" s="190" t="s">
        <v>41</v>
      </c>
      <c r="E23" s="189" t="s">
        <v>41</v>
      </c>
      <c r="F23" s="189" t="s">
        <v>41</v>
      </c>
      <c r="G23" s="189" t="s">
        <v>41</v>
      </c>
      <c r="H23" s="189" t="s">
        <v>41</v>
      </c>
      <c r="I23" s="189" t="s">
        <v>41</v>
      </c>
      <c r="J23" s="208">
        <v>2.5</v>
      </c>
      <c r="K23" s="208">
        <v>2.5</v>
      </c>
      <c r="L23" s="208">
        <v>2.5</v>
      </c>
      <c r="M23" s="208">
        <v>2.5499999999999998</v>
      </c>
      <c r="N23" s="189">
        <f>1.193+1.327</f>
        <v>2.52</v>
      </c>
      <c r="O23" s="189">
        <f>1.212+1.358</f>
        <v>2.5700000000000003</v>
      </c>
      <c r="P23" s="189">
        <f>1.214+1.357</f>
        <v>2.5709999999999997</v>
      </c>
      <c r="Q23" s="189">
        <f>1.201+1.335</f>
        <v>2.536</v>
      </c>
      <c r="R23" s="189">
        <f>1.193+1.323</f>
        <v>2.516</v>
      </c>
      <c r="S23" s="189">
        <f>1.169+1.251</f>
        <v>2.42</v>
      </c>
      <c r="T23" s="189">
        <f>1.144+1.209</f>
        <v>2.3529999999999998</v>
      </c>
      <c r="U23" s="189">
        <f>1.113+1.17</f>
        <v>2.2829999999999999</v>
      </c>
      <c r="V23" s="189">
        <f>1.104+1.176</f>
        <v>2.2800000000000002</v>
      </c>
      <c r="W23" s="189">
        <f>1.095+1.24</f>
        <v>2.335</v>
      </c>
      <c r="X23" s="189">
        <f>1.185+1.339</f>
        <v>2.524</v>
      </c>
      <c r="Y23" s="189">
        <f>1.15+1.339</f>
        <v>2.4889999999999999</v>
      </c>
      <c r="Z23" s="189">
        <f>1.161535+1.342378</f>
        <v>2.5039129999999998</v>
      </c>
      <c r="AA23" s="189">
        <v>2.4990787000000001</v>
      </c>
      <c r="AB23" s="189">
        <v>2.5104894</v>
      </c>
      <c r="AC23" s="189">
        <f>2819469.2/1000000</f>
        <v>2.8194692000000003</v>
      </c>
      <c r="AD23" s="189">
        <f>(1162368.4+1784301)/1000000</f>
        <v>2.9466693999999998</v>
      </c>
      <c r="AE23" s="189">
        <f>(1232727.1+1829977)/1000000</f>
        <v>3.0627040999999999</v>
      </c>
      <c r="AF23" s="189">
        <f>1.2649857+1.780647</f>
        <v>3.0456327000000001</v>
      </c>
      <c r="AG23" s="297">
        <f>AF23/AE23*100-100</f>
        <v>-0.55739632176677389</v>
      </c>
      <c r="AH23" s="187" t="s">
        <v>16</v>
      </c>
    </row>
    <row r="24" spans="1:41" s="201" customFormat="1" ht="12.75" customHeight="1">
      <c r="A24" s="206"/>
      <c r="B24" s="191" t="s">
        <v>19</v>
      </c>
      <c r="C24" s="296" t="s">
        <v>43</v>
      </c>
      <c r="D24" s="296" t="s">
        <v>43</v>
      </c>
      <c r="E24" s="295" t="s">
        <v>43</v>
      </c>
      <c r="F24" s="295" t="s">
        <v>43</v>
      </c>
      <c r="G24" s="295" t="s">
        <v>43</v>
      </c>
      <c r="H24" s="295" t="s">
        <v>43</v>
      </c>
      <c r="I24" s="295" t="s">
        <v>43</v>
      </c>
      <c r="J24" s="295" t="s">
        <v>43</v>
      </c>
      <c r="K24" s="295" t="s">
        <v>43</v>
      </c>
      <c r="L24" s="295" t="s">
        <v>43</v>
      </c>
      <c r="M24" s="295" t="s">
        <v>43</v>
      </c>
      <c r="N24" s="295" t="s">
        <v>43</v>
      </c>
      <c r="O24" s="295" t="s">
        <v>43</v>
      </c>
      <c r="P24" s="295" t="s">
        <v>43</v>
      </c>
      <c r="Q24" s="295" t="s">
        <v>43</v>
      </c>
      <c r="R24" s="295" t="s">
        <v>43</v>
      </c>
      <c r="S24" s="295" t="s">
        <v>43</v>
      </c>
      <c r="T24" s="295" t="s">
        <v>43</v>
      </c>
      <c r="U24" s="295" t="s">
        <v>43</v>
      </c>
      <c r="V24" s="295" t="s">
        <v>43</v>
      </c>
      <c r="W24" s="295" t="s">
        <v>43</v>
      </c>
      <c r="X24" s="295" t="s">
        <v>43</v>
      </c>
      <c r="Y24" s="295" t="s">
        <v>43</v>
      </c>
      <c r="Z24" s="295" t="s">
        <v>43</v>
      </c>
      <c r="AA24" s="295" t="s">
        <v>43</v>
      </c>
      <c r="AB24" s="295" t="s">
        <v>43</v>
      </c>
      <c r="AC24" s="295" t="s">
        <v>43</v>
      </c>
      <c r="AD24" s="295" t="s">
        <v>43</v>
      </c>
      <c r="AE24" s="295" t="s">
        <v>43</v>
      </c>
      <c r="AF24" s="295" t="s">
        <v>43</v>
      </c>
      <c r="AG24" s="293" t="s">
        <v>43</v>
      </c>
      <c r="AH24" s="191" t="s">
        <v>19</v>
      </c>
    </row>
    <row r="25" spans="1:41" ht="12.75" customHeight="1">
      <c r="B25" s="187" t="s">
        <v>27</v>
      </c>
      <c r="C25" s="190">
        <v>1.24</v>
      </c>
      <c r="D25" s="190">
        <v>1.35</v>
      </c>
      <c r="E25" s="189">
        <v>1.26</v>
      </c>
      <c r="F25" s="189">
        <v>1.29</v>
      </c>
      <c r="G25" s="189">
        <v>1.32</v>
      </c>
      <c r="H25" s="189">
        <v>1.34</v>
      </c>
      <c r="I25" s="189">
        <v>1.39</v>
      </c>
      <c r="J25" s="189">
        <v>1.38</v>
      </c>
      <c r="K25" s="189">
        <v>1.39</v>
      </c>
      <c r="L25" s="208">
        <v>1.4</v>
      </c>
      <c r="M25" s="208">
        <v>1.4</v>
      </c>
      <c r="N25" s="208">
        <v>1.42</v>
      </c>
      <c r="O25" s="373">
        <v>0.66920240257135821</v>
      </c>
      <c r="P25" s="208">
        <v>0.6847210123896893</v>
      </c>
      <c r="Q25" s="208">
        <v>0.66353207777210854</v>
      </c>
      <c r="R25" s="208">
        <v>0.68664863736082971</v>
      </c>
      <c r="S25" s="208">
        <v>0.72726197782688473</v>
      </c>
      <c r="T25" s="208">
        <v>0.7464064132044701</v>
      </c>
      <c r="U25" s="208">
        <v>0.77799993045455174</v>
      </c>
      <c r="V25" s="208">
        <v>0.79498608407233573</v>
      </c>
      <c r="W25" s="208">
        <v>0.82532326498806596</v>
      </c>
      <c r="X25" s="208">
        <v>0.8248953383354507</v>
      </c>
      <c r="Y25" s="373">
        <v>0.85392506122981326</v>
      </c>
      <c r="Z25" s="208">
        <v>0.88990345909689639</v>
      </c>
      <c r="AA25" s="208">
        <v>0.81613047027735097</v>
      </c>
      <c r="AB25" s="208">
        <v>0.85355956538376276</v>
      </c>
      <c r="AC25" s="208">
        <v>0.85324253790568616</v>
      </c>
      <c r="AD25" s="208">
        <v>0.91644568886166289</v>
      </c>
      <c r="AE25" s="208">
        <v>0.92542674380315026</v>
      </c>
      <c r="AF25" s="368">
        <v>0.88160200214086182</v>
      </c>
      <c r="AG25" s="536">
        <f>AF25/AE25*100-100</f>
        <v>-4.7356251540976046</v>
      </c>
      <c r="AH25" s="187" t="s">
        <v>27</v>
      </c>
    </row>
    <row r="26" spans="1:41" s="201" customFormat="1" ht="12.75" customHeight="1">
      <c r="A26" s="206"/>
      <c r="B26" s="191" t="s">
        <v>36</v>
      </c>
      <c r="C26" s="205">
        <v>1.5</v>
      </c>
      <c r="D26" s="205">
        <v>1.65</v>
      </c>
      <c r="E26" s="203">
        <v>4.2442128983351068</v>
      </c>
      <c r="F26" s="203">
        <v>4.6251253039658984</v>
      </c>
      <c r="G26" s="203">
        <v>4.720742575409969</v>
      </c>
      <c r="H26" s="203">
        <v>4.6971417071642572</v>
      </c>
      <c r="I26" s="203">
        <v>4.8920301285804797</v>
      </c>
      <c r="J26" s="203">
        <v>5.1272031782380516</v>
      </c>
      <c r="K26" s="203">
        <v>5.5820940424240515</v>
      </c>
      <c r="L26" s="203">
        <v>5.6763765221457625</v>
      </c>
      <c r="M26" s="203">
        <v>5.7708421623056294</v>
      </c>
      <c r="N26" s="203">
        <v>5.8654912351198902</v>
      </c>
      <c r="O26" s="203">
        <v>5.9603240131662325</v>
      </c>
      <c r="P26" s="203">
        <v>6.0553407693842383</v>
      </c>
      <c r="Q26" s="203">
        <v>6.150541777075853</v>
      </c>
      <c r="R26" s="203">
        <v>6.2459273099058166</v>
      </c>
      <c r="S26" s="203">
        <v>6.3414976419021301</v>
      </c>
      <c r="T26" s="203">
        <v>6.4372530474565073</v>
      </c>
      <c r="U26" s="203">
        <v>6.5331938013248179</v>
      </c>
      <c r="V26" s="203">
        <v>6.6293201786275553</v>
      </c>
      <c r="W26" s="203">
        <v>6.7256324548502837</v>
      </c>
      <c r="X26" s="203">
        <v>6.8221309058440927</v>
      </c>
      <c r="Y26" s="203">
        <v>6.9188158078260598</v>
      </c>
      <c r="Z26" s="203">
        <v>7.0156874373796958</v>
      </c>
      <c r="AA26" s="203">
        <v>7.1127460714554109</v>
      </c>
      <c r="AB26" s="203">
        <v>7.2099919873709704</v>
      </c>
      <c r="AC26" s="203">
        <v>7.0100583629872597</v>
      </c>
      <c r="AD26" s="203">
        <v>7.1820429883220598</v>
      </c>
      <c r="AE26" s="203">
        <v>7.1853302929799696</v>
      </c>
      <c r="AF26" s="203">
        <v>7.1890000000000001</v>
      </c>
      <c r="AG26" s="293">
        <f>AF26/AE26*100-100</f>
        <v>5.1072210606875501E-2</v>
      </c>
      <c r="AH26" s="191" t="s">
        <v>36</v>
      </c>
    </row>
    <row r="27" spans="1:41" ht="12.75" customHeight="1">
      <c r="B27" s="187" t="s">
        <v>20</v>
      </c>
      <c r="C27" s="190" t="s">
        <v>41</v>
      </c>
      <c r="D27" s="190" t="s">
        <v>41</v>
      </c>
      <c r="E27" s="189" t="s">
        <v>41</v>
      </c>
      <c r="F27" s="189" t="s">
        <v>41</v>
      </c>
      <c r="G27" s="189" t="s">
        <v>41</v>
      </c>
      <c r="H27" s="189" t="s">
        <v>41</v>
      </c>
      <c r="I27" s="189" t="s">
        <v>41</v>
      </c>
      <c r="J27" s="208">
        <v>5</v>
      </c>
      <c r="K27" s="208">
        <v>4.9000000000000004</v>
      </c>
      <c r="L27" s="208">
        <v>4.8499999999999996</v>
      </c>
      <c r="M27" s="208">
        <v>4.8</v>
      </c>
      <c r="N27" s="208">
        <v>4.75</v>
      </c>
      <c r="O27" s="208">
        <v>4.7</v>
      </c>
      <c r="P27" s="208">
        <v>4.6500000000000004</v>
      </c>
      <c r="Q27" s="208">
        <v>4.62</v>
      </c>
      <c r="R27" s="208">
        <v>4.5</v>
      </c>
      <c r="S27" s="208">
        <v>4.5</v>
      </c>
      <c r="T27" s="208">
        <v>4.4000000000000004</v>
      </c>
      <c r="U27" s="208">
        <v>4.45</v>
      </c>
      <c r="V27" s="208">
        <v>4.5999999999999996</v>
      </c>
      <c r="W27" s="208">
        <v>4.5999999999999996</v>
      </c>
      <c r="X27" s="208">
        <v>4.32</v>
      </c>
      <c r="Y27" s="208">
        <f>4.34</f>
        <v>4.34</v>
      </c>
      <c r="Z27" s="208">
        <v>4.4037127814014561</v>
      </c>
      <c r="AA27" s="208">
        <v>4.3922452068246658</v>
      </c>
      <c r="AB27" s="208">
        <f>AA27*(3620.9+113.1)/(3867.5+132.5)</f>
        <v>4.1001609005708248</v>
      </c>
      <c r="AC27" s="208">
        <f>AB27*(3711.1+147.7)/(3620.9+113.1)</f>
        <v>4.2371989510237542</v>
      </c>
      <c r="AD27" s="208">
        <f>AC27*((3672.2+171.3)/(3711.1+147.7))</f>
        <v>4.2203986131076503</v>
      </c>
      <c r="AE27" s="208">
        <f>(3766.3+183.7)/(3672.2+171.3)*AD27</f>
        <v>4.3373421417393576</v>
      </c>
      <c r="AF27" s="208">
        <f>(3739.3+187.1)/(3766.3+183.7)*AE27</f>
        <v>4.3114278950190927</v>
      </c>
      <c r="AG27" s="536">
        <f>AF27/AE27*100-100</f>
        <v>-0.59746835443036161</v>
      </c>
      <c r="AH27" s="187" t="s">
        <v>20</v>
      </c>
    </row>
    <row r="28" spans="1:41" s="201" customFormat="1" ht="12.75" customHeight="1">
      <c r="A28" s="206"/>
      <c r="B28" s="191" t="s">
        <v>37</v>
      </c>
      <c r="C28" s="205">
        <v>0.93</v>
      </c>
      <c r="D28" s="205">
        <v>0.74</v>
      </c>
      <c r="E28" s="193">
        <v>0.67</v>
      </c>
      <c r="F28" s="193">
        <v>0.65</v>
      </c>
      <c r="G28" s="193">
        <v>0.63</v>
      </c>
      <c r="H28" s="193">
        <v>0.61</v>
      </c>
      <c r="I28" s="193">
        <v>0.57999999999999996</v>
      </c>
      <c r="J28" s="193">
        <v>0.53</v>
      </c>
      <c r="K28" s="193">
        <v>0.54</v>
      </c>
      <c r="L28" s="193">
        <v>0.5</v>
      </c>
      <c r="M28" s="193">
        <v>0.5</v>
      </c>
      <c r="N28" s="193">
        <v>0.5</v>
      </c>
      <c r="O28" s="193">
        <v>0.53</v>
      </c>
      <c r="P28" s="193">
        <v>0.54500000000000004</v>
      </c>
      <c r="Q28" s="193">
        <v>0.55000000000000004</v>
      </c>
      <c r="R28" s="193">
        <v>0.77</v>
      </c>
      <c r="S28" s="193">
        <v>0.84699999999999998</v>
      </c>
      <c r="T28" s="193">
        <f>0.80121+0.046506</f>
        <v>0.84771600000000003</v>
      </c>
      <c r="U28" s="193">
        <f>0.785327+0.202473</f>
        <v>0.98780000000000001</v>
      </c>
      <c r="V28" s="193">
        <f>0.803969+0.245921</f>
        <v>1.04989</v>
      </c>
      <c r="W28" s="193">
        <f>0.8354+0.259361</f>
        <v>1.0947610000000001</v>
      </c>
      <c r="X28" s="193">
        <f>0.829067+0.261117</f>
        <v>1.090184</v>
      </c>
      <c r="Y28" s="193">
        <f>0.866169+0.267064</f>
        <v>1.1332329999999999</v>
      </c>
      <c r="Z28" s="193">
        <v>1.1479999999999999</v>
      </c>
      <c r="AA28" s="193">
        <f>0.745589+0.28248</f>
        <v>1.0280689999999999</v>
      </c>
      <c r="AB28" s="193">
        <f>0.655705+0.285591</f>
        <v>0.94129599999999991</v>
      </c>
      <c r="AC28" s="193">
        <f>0.650711+0.288136+0.027714</f>
        <v>0.966561</v>
      </c>
      <c r="AD28" s="193">
        <f>0.685636+0.29445+0.028566</f>
        <v>1.0086520000000001</v>
      </c>
      <c r="AE28" s="193">
        <f>0.735151+0.296076+0.030072</f>
        <v>1.061299</v>
      </c>
      <c r="AF28" s="193">
        <v>1.1210770000000001</v>
      </c>
      <c r="AG28" s="301">
        <f>AF28/AE28*100-100</f>
        <v>5.6325314543780962</v>
      </c>
      <c r="AH28" s="191" t="s">
        <v>37</v>
      </c>
    </row>
    <row r="29" spans="1:41" ht="12.75" customHeight="1">
      <c r="B29" s="187" t="s">
        <v>21</v>
      </c>
      <c r="C29" s="190"/>
      <c r="D29" s="190"/>
      <c r="E29" s="189"/>
      <c r="F29" s="189"/>
      <c r="G29" s="189"/>
      <c r="H29" s="189"/>
      <c r="I29" s="189"/>
      <c r="J29" s="208">
        <v>6</v>
      </c>
      <c r="K29" s="208">
        <v>6</v>
      </c>
      <c r="L29" s="208">
        <v>6</v>
      </c>
      <c r="M29" s="208">
        <v>6</v>
      </c>
      <c r="N29" s="208">
        <v>6</v>
      </c>
      <c r="O29" s="208">
        <v>6</v>
      </c>
      <c r="P29" s="208">
        <v>6</v>
      </c>
      <c r="Q29" s="208">
        <v>6</v>
      </c>
      <c r="R29" s="189">
        <v>5.777215</v>
      </c>
      <c r="S29" s="189">
        <v>6.1920450000000002</v>
      </c>
      <c r="T29" s="189">
        <v>6.5969080000000009</v>
      </c>
      <c r="U29" s="208">
        <v>6.8</v>
      </c>
      <c r="V29" s="208">
        <v>6.9</v>
      </c>
      <c r="W29" s="208">
        <v>7</v>
      </c>
      <c r="X29" s="208">
        <v>7.0469999999999997</v>
      </c>
      <c r="Y29" s="208">
        <v>7.1387100977760349</v>
      </c>
      <c r="Z29" s="208">
        <f>AVERAGE(W29:Y29)</f>
        <v>7.0619033659253452</v>
      </c>
      <c r="AA29" s="208">
        <v>7.548372713565322</v>
      </c>
      <c r="AB29" s="208">
        <v>7.7517181005566318</v>
      </c>
      <c r="AC29" s="208">
        <v>8</v>
      </c>
      <c r="AD29" s="208">
        <f>AC29*(1-0.047)</f>
        <v>7.6239999999999997</v>
      </c>
      <c r="AE29" s="208">
        <f>AD29*(1.073)</f>
        <v>8.1805519999999987</v>
      </c>
      <c r="AF29" s="208">
        <f>AE29*0.97</f>
        <v>7.9351354399999989</v>
      </c>
      <c r="AG29" s="536">
        <f>AF29/AE29*100-100</f>
        <v>-3</v>
      </c>
      <c r="AH29" s="187" t="s">
        <v>21</v>
      </c>
    </row>
    <row r="30" spans="1:41" s="201" customFormat="1" ht="12.75" customHeight="1">
      <c r="A30" s="206"/>
      <c r="B30" s="191" t="s">
        <v>23</v>
      </c>
      <c r="C30" s="296" t="s">
        <v>43</v>
      </c>
      <c r="D30" s="296" t="s">
        <v>43</v>
      </c>
      <c r="E30" s="295" t="s">
        <v>43</v>
      </c>
      <c r="F30" s="295" t="s">
        <v>43</v>
      </c>
      <c r="G30" s="295" t="s">
        <v>43</v>
      </c>
      <c r="H30" s="295" t="s">
        <v>43</v>
      </c>
      <c r="I30" s="295" t="s">
        <v>43</v>
      </c>
      <c r="J30" s="295" t="s">
        <v>43</v>
      </c>
      <c r="K30" s="295" t="s">
        <v>43</v>
      </c>
      <c r="L30" s="295" t="s">
        <v>43</v>
      </c>
      <c r="M30" s="295" t="s">
        <v>43</v>
      </c>
      <c r="N30" s="295" t="s">
        <v>43</v>
      </c>
      <c r="O30" s="295" t="s">
        <v>43</v>
      </c>
      <c r="P30" s="295" t="s">
        <v>43</v>
      </c>
      <c r="Q30" s="295" t="s">
        <v>43</v>
      </c>
      <c r="R30" s="295" t="s">
        <v>43</v>
      </c>
      <c r="S30" s="295" t="s">
        <v>43</v>
      </c>
      <c r="T30" s="295" t="s">
        <v>43</v>
      </c>
      <c r="U30" s="295" t="s">
        <v>43</v>
      </c>
      <c r="V30" s="295" t="s">
        <v>43</v>
      </c>
      <c r="W30" s="295" t="s">
        <v>43</v>
      </c>
      <c r="X30" s="295" t="s">
        <v>43</v>
      </c>
      <c r="Y30" s="295" t="s">
        <v>43</v>
      </c>
      <c r="Z30" s="295" t="s">
        <v>43</v>
      </c>
      <c r="AA30" s="295" t="s">
        <v>43</v>
      </c>
      <c r="AB30" s="295" t="s">
        <v>43</v>
      </c>
      <c r="AC30" s="295" t="s">
        <v>43</v>
      </c>
      <c r="AD30" s="295" t="s">
        <v>43</v>
      </c>
      <c r="AE30" s="295" t="s">
        <v>43</v>
      </c>
      <c r="AF30" s="295" t="s">
        <v>43</v>
      </c>
      <c r="AG30" s="301" t="s">
        <v>43</v>
      </c>
      <c r="AH30" s="191" t="s">
        <v>23</v>
      </c>
    </row>
    <row r="31" spans="1:41" ht="12.75" customHeight="1">
      <c r="B31" s="187" t="s">
        <v>22</v>
      </c>
      <c r="C31" s="190"/>
      <c r="D31" s="190"/>
      <c r="E31" s="189"/>
      <c r="F31" s="189"/>
      <c r="G31" s="189"/>
      <c r="H31" s="189" t="s">
        <v>41</v>
      </c>
      <c r="I31" s="189" t="s">
        <v>41</v>
      </c>
      <c r="J31" s="208">
        <f>0.14623*3</f>
        <v>0.43869000000000002</v>
      </c>
      <c r="K31" s="208">
        <v>0.42</v>
      </c>
      <c r="L31" s="208">
        <v>0.4</v>
      </c>
      <c r="M31" s="208">
        <f>0.126488*3</f>
        <v>0.37946399999999997</v>
      </c>
      <c r="N31" s="208">
        <f>0.117714*3</f>
        <v>0.35314200000000001</v>
      </c>
      <c r="O31" s="208">
        <v>0.35</v>
      </c>
      <c r="P31" s="208">
        <v>0.35736277999999999</v>
      </c>
      <c r="Q31" s="208">
        <v>0.35821163</v>
      </c>
      <c r="R31" s="208">
        <v>0.36700559999999993</v>
      </c>
      <c r="S31" s="208">
        <v>0.36223677000000004</v>
      </c>
      <c r="T31" s="208">
        <v>0.38621753999999997</v>
      </c>
      <c r="U31" s="208">
        <v>0.38442599999999999</v>
      </c>
      <c r="V31" s="208">
        <f>0.109705*3.6</f>
        <v>0.39493800000000001</v>
      </c>
      <c r="W31" s="208">
        <f>0.10708*3.43</f>
        <v>0.36728440000000001</v>
      </c>
      <c r="X31" s="208">
        <v>0.29252590000000001</v>
      </c>
      <c r="Y31" s="208">
        <v>0.2834431</v>
      </c>
      <c r="Z31" s="208">
        <f>2.81*0.109182</f>
        <v>0.30680141999999999</v>
      </c>
      <c r="AA31" s="208">
        <f>0.098788*2.93</f>
        <v>0.28944884000000004</v>
      </c>
      <c r="AB31" s="208">
        <f>3.1*88.841/1000</f>
        <v>0.27540710000000002</v>
      </c>
      <c r="AC31" s="208">
        <f>87.672*2.93/1000</f>
        <v>0.25687895999999999</v>
      </c>
      <c r="AD31" s="208">
        <f>85.017*2.95/1000</f>
        <v>0.25080015</v>
      </c>
      <c r="AE31" s="208">
        <f>95.028*3.17/1000</f>
        <v>0.30123875999999999</v>
      </c>
      <c r="AF31" s="208">
        <f>89.859*3.17/1000</f>
        <v>0.28485303000000001</v>
      </c>
      <c r="AG31" s="536">
        <f>AF31/AE31*100-100</f>
        <v>-5.4394494254324997</v>
      </c>
      <c r="AH31" s="187" t="s">
        <v>22</v>
      </c>
      <c r="AK31" s="362"/>
    </row>
    <row r="32" spans="1:41" ht="12.75" customHeight="1">
      <c r="B32" s="191" t="s">
        <v>38</v>
      </c>
      <c r="C32" s="205">
        <v>0.1</v>
      </c>
      <c r="D32" s="205">
        <v>0.13</v>
      </c>
      <c r="E32" s="193">
        <v>0.35</v>
      </c>
      <c r="F32" s="193">
        <v>0.34</v>
      </c>
      <c r="G32" s="193">
        <v>0.34499999999999997</v>
      </c>
      <c r="H32" s="193">
        <f>0.0993+0.2581</f>
        <v>0.3574</v>
      </c>
      <c r="I32" s="193">
        <v>0.37</v>
      </c>
      <c r="J32" s="193">
        <f>0.1091+0.2785</f>
        <v>0.38760000000000006</v>
      </c>
      <c r="K32" s="193">
        <v>0.4</v>
      </c>
      <c r="L32" s="193">
        <f>0.1162+0.3006</f>
        <v>0.41679999999999995</v>
      </c>
      <c r="M32" s="193">
        <v>0.439</v>
      </c>
      <c r="N32" s="193">
        <f>0.1205+0.3598</f>
        <v>0.4803</v>
      </c>
      <c r="O32" s="193">
        <f>0.118+0.379</f>
        <v>0.497</v>
      </c>
      <c r="P32" s="193">
        <f>0.1193+0.3853</f>
        <v>0.50459999999999994</v>
      </c>
      <c r="Q32" s="193">
        <f>0.1167+0.4008</f>
        <v>0.51749999999999996</v>
      </c>
      <c r="R32" s="193">
        <f>0.1182+0.4041</f>
        <v>0.52229999999999999</v>
      </c>
      <c r="S32" s="193">
        <f>0.119+0.404</f>
        <v>0.52300000000000002</v>
      </c>
      <c r="T32" s="193">
        <f>0.117+0.409</f>
        <v>0.52600000000000002</v>
      </c>
      <c r="U32" s="193">
        <f>0.11+0.414</f>
        <v>0.52400000000000002</v>
      </c>
      <c r="V32" s="193">
        <f>0.11+0.41</f>
        <v>0.52</v>
      </c>
      <c r="W32" s="193">
        <f>0.112+0.42</f>
        <v>0.53200000000000003</v>
      </c>
      <c r="X32" s="193">
        <v>0.53200000000000003</v>
      </c>
      <c r="Y32" s="193">
        <f>0.113+0.417</f>
        <v>0.53</v>
      </c>
      <c r="Z32" s="193">
        <f>0.397+0.118</f>
        <v>0.51500000000000001</v>
      </c>
      <c r="AA32" s="193">
        <f>0.401+0.125</f>
        <v>0.52600000000000002</v>
      </c>
      <c r="AB32" s="193">
        <f>0.124+0.401</f>
        <v>0.52500000000000002</v>
      </c>
      <c r="AC32" s="203">
        <f>(62.1+55.5)/(63.5+56.7)*AB32</f>
        <v>0.51364392678868553</v>
      </c>
      <c r="AD32" s="203">
        <f>(62.9+55.2)/(62.1+55.5)*AC32</f>
        <v>0.51582778702163057</v>
      </c>
      <c r="AE32" s="203">
        <f>(64.1+56.6)/(62.9+55.2)*AD32</f>
        <v>0.52718386023294506</v>
      </c>
      <c r="AF32" s="352">
        <f>(60.2+67.5)/(64.1+56.6)*AE32</f>
        <v>0.55775790349417642</v>
      </c>
      <c r="AG32" s="301">
        <f>AF32/AE32*100-100</f>
        <v>5.7995028997514595</v>
      </c>
      <c r="AH32" s="191" t="s">
        <v>38</v>
      </c>
    </row>
    <row r="33" spans="1:34" ht="12.75" customHeight="1">
      <c r="B33" s="187" t="s">
        <v>39</v>
      </c>
      <c r="C33" s="190">
        <v>1.44</v>
      </c>
      <c r="D33" s="190">
        <v>1.97</v>
      </c>
      <c r="E33" s="189">
        <v>2.0099999999999998</v>
      </c>
      <c r="F33" s="189">
        <v>1.93</v>
      </c>
      <c r="G33" s="189">
        <v>1.91</v>
      </c>
      <c r="H33" s="189">
        <v>1.91</v>
      </c>
      <c r="I33" s="189">
        <v>1.89</v>
      </c>
      <c r="J33" s="189">
        <v>1.94</v>
      </c>
      <c r="K33" s="223">
        <v>1.98</v>
      </c>
      <c r="L33" s="189">
        <f>1.496+0.375</f>
        <v>1.871</v>
      </c>
      <c r="M33" s="189">
        <f>1.505+0.374</f>
        <v>1.879</v>
      </c>
      <c r="N33" s="189">
        <f>1.526+0.38</f>
        <v>1.9060000000000001</v>
      </c>
      <c r="O33" s="189">
        <f>1.588+0.394</f>
        <v>1.9820000000000002</v>
      </c>
      <c r="P33" s="189">
        <f>1.581+0.41</f>
        <v>1.9909999999999999</v>
      </c>
      <c r="Q33" s="189">
        <f>1.578+0.415</f>
        <v>1.9930000000000001</v>
      </c>
      <c r="R33" s="189">
        <f>1.558+0.436</f>
        <v>1.994</v>
      </c>
      <c r="S33" s="189">
        <f>1.556+0.462</f>
        <v>2.0180000000000002</v>
      </c>
      <c r="T33" s="189">
        <f>1.541+0.473</f>
        <v>2.0139999999999998</v>
      </c>
      <c r="U33" s="189">
        <f>1.657+0.482</f>
        <v>2.1390000000000002</v>
      </c>
      <c r="V33" s="189">
        <f>1.69+0.514</f>
        <v>2.2039999999999997</v>
      </c>
      <c r="W33" s="189">
        <f>1.715+0.524</f>
        <v>2.2389999999999999</v>
      </c>
      <c r="X33" s="189">
        <f>1.715+0.524</f>
        <v>2.2389999999999999</v>
      </c>
      <c r="Y33" s="189">
        <f>1.731+0.549</f>
        <v>2.2800000000000002</v>
      </c>
      <c r="Z33" s="189">
        <f>1.725+0.615</f>
        <v>2.34</v>
      </c>
      <c r="AA33" s="189">
        <f>1.796+0.577</f>
        <v>2.3730000000000002</v>
      </c>
      <c r="AB33" s="189">
        <v>2.4489999999999998</v>
      </c>
      <c r="AC33" s="189">
        <v>2.4430000000000001</v>
      </c>
      <c r="AD33" s="189">
        <f>1.892+0.6078</f>
        <v>2.4998</v>
      </c>
      <c r="AE33" s="189">
        <f>1.953+0.655</f>
        <v>2.6080000000000001</v>
      </c>
      <c r="AF33" s="189">
        <f>1.979+0.668</f>
        <v>2.6470000000000002</v>
      </c>
      <c r="AG33" s="297">
        <f>AF33/AE33*100-100</f>
        <v>1.4953987730061442</v>
      </c>
      <c r="AH33" s="187" t="s">
        <v>39</v>
      </c>
    </row>
    <row r="34" spans="1:34" ht="12.75" customHeight="1">
      <c r="B34" s="191" t="s">
        <v>28</v>
      </c>
      <c r="C34" s="205">
        <v>5.2</v>
      </c>
      <c r="D34" s="205">
        <v>4.3</v>
      </c>
      <c r="E34" s="193">
        <v>6.5</v>
      </c>
      <c r="F34" s="193">
        <v>6.24</v>
      </c>
      <c r="G34" s="193">
        <v>6.15</v>
      </c>
      <c r="H34" s="193">
        <v>6.24</v>
      </c>
      <c r="I34" s="193">
        <v>6.5069999999999997</v>
      </c>
      <c r="J34" s="193">
        <v>6.8109999999999999</v>
      </c>
      <c r="K34" s="193">
        <v>6.6479999999999997</v>
      </c>
      <c r="L34" s="193">
        <v>6.9980000000000002</v>
      </c>
      <c r="M34" s="193">
        <f>6.716+0.632</f>
        <v>7.3479999999999999</v>
      </c>
      <c r="N34" s="193">
        <f>7.171+0.714</f>
        <v>7.8849999999999998</v>
      </c>
      <c r="O34" s="193">
        <f>7.47+0.869</f>
        <v>8.3390000000000004</v>
      </c>
      <c r="P34" s="193">
        <f>7.451+0.895</f>
        <v>8.3460000000000001</v>
      </c>
      <c r="Q34" s="193">
        <f>7.367+0.961</f>
        <v>8.3279999999999994</v>
      </c>
      <c r="R34" s="193">
        <f>7.34+0.96</f>
        <v>8.3000000000000007</v>
      </c>
      <c r="S34" s="193">
        <f>7.606+1.079</f>
        <v>8.6850000000000005</v>
      </c>
      <c r="T34" s="193">
        <f>7.586+1.1</f>
        <v>8.6859999999999999</v>
      </c>
      <c r="U34" s="193">
        <f>7.947+1.177</f>
        <v>9.1240000000000006</v>
      </c>
      <c r="V34" s="193">
        <f>8.352+1.1244</f>
        <v>9.4763999999999999</v>
      </c>
      <c r="W34" s="193">
        <f>8.646+1.251</f>
        <v>9.8970000000000002</v>
      </c>
      <c r="X34" s="193">
        <f>8.457+1.271</f>
        <v>9.7280000000000015</v>
      </c>
      <c r="Y34" s="193">
        <f>8.875+1.31</f>
        <v>10.185</v>
      </c>
      <c r="Z34" s="193">
        <f>9.519+0.8249*1.60934+0.0412</f>
        <v>10.887744566</v>
      </c>
      <c r="AA34" s="193">
        <f>10.099+0.0402+0.8822*1.609</f>
        <v>11.558659800000001</v>
      </c>
      <c r="AB34" s="300">
        <f>10.422+0.0406+1.4845</f>
        <v>11.947100000000001</v>
      </c>
      <c r="AC34" s="300">
        <f>10.847+0.0414+1.6047+0.009</f>
        <v>12.502099999999999</v>
      </c>
      <c r="AD34" s="422">
        <f>11.457+0.0363+1.0703*1.609344+0.011</f>
        <v>13.2267808832</v>
      </c>
      <c r="AE34" s="422">
        <f>1.1462*1.609344+11.797+0.0353+0.012</f>
        <v>13.688930092800002</v>
      </c>
      <c r="AF34" s="422">
        <f>12.578+0.014+1.1325*1.609344+0.0353</f>
        <v>14.449882079999998</v>
      </c>
      <c r="AG34" s="301">
        <f>AF34/AE34*100-100</f>
        <v>5.5588857715055155</v>
      </c>
      <c r="AH34" s="191" t="s">
        <v>28</v>
      </c>
    </row>
    <row r="35" spans="1:34" ht="12.75" customHeight="1">
      <c r="B35" s="210" t="s">
        <v>112</v>
      </c>
      <c r="C35" s="326" t="s">
        <v>43</v>
      </c>
      <c r="D35" s="326" t="s">
        <v>43</v>
      </c>
      <c r="E35" s="327" t="s">
        <v>43</v>
      </c>
      <c r="F35" s="327" t="s">
        <v>43</v>
      </c>
      <c r="G35" s="327" t="s">
        <v>43</v>
      </c>
      <c r="H35" s="327" t="s">
        <v>43</v>
      </c>
      <c r="I35" s="327" t="s">
        <v>43</v>
      </c>
      <c r="J35" s="327" t="s">
        <v>43</v>
      </c>
      <c r="K35" s="327" t="s">
        <v>43</v>
      </c>
      <c r="L35" s="327" t="s">
        <v>43</v>
      </c>
      <c r="M35" s="327" t="s">
        <v>43</v>
      </c>
      <c r="N35" s="327" t="s">
        <v>43</v>
      </c>
      <c r="O35" s="327" t="s">
        <v>43</v>
      </c>
      <c r="P35" s="327" t="s">
        <v>43</v>
      </c>
      <c r="Q35" s="327" t="s">
        <v>43</v>
      </c>
      <c r="R35" s="327" t="s">
        <v>43</v>
      </c>
      <c r="S35" s="327" t="s">
        <v>43</v>
      </c>
      <c r="T35" s="327" t="s">
        <v>43</v>
      </c>
      <c r="U35" s="327" t="s">
        <v>43</v>
      </c>
      <c r="V35" s="327" t="s">
        <v>43</v>
      </c>
      <c r="W35" s="327" t="s">
        <v>43</v>
      </c>
      <c r="X35" s="327" t="s">
        <v>43</v>
      </c>
      <c r="Y35" s="327" t="s">
        <v>43</v>
      </c>
      <c r="Z35" s="327" t="s">
        <v>43</v>
      </c>
      <c r="AA35" s="327" t="s">
        <v>43</v>
      </c>
      <c r="AB35" s="327" t="s">
        <v>43</v>
      </c>
      <c r="AC35" s="327" t="s">
        <v>43</v>
      </c>
      <c r="AD35" s="327" t="s">
        <v>43</v>
      </c>
      <c r="AE35" s="327" t="s">
        <v>43</v>
      </c>
      <c r="AF35" s="327" t="s">
        <v>43</v>
      </c>
      <c r="AG35" s="328" t="s">
        <v>43</v>
      </c>
      <c r="AH35" s="210" t="s">
        <v>112</v>
      </c>
    </row>
    <row r="36" spans="1:34" ht="12.75" customHeight="1">
      <c r="B36" s="191" t="s">
        <v>103</v>
      </c>
      <c r="C36" s="296" t="s">
        <v>43</v>
      </c>
      <c r="D36" s="296" t="s">
        <v>43</v>
      </c>
      <c r="E36" s="295" t="s">
        <v>43</v>
      </c>
      <c r="F36" s="295" t="s">
        <v>43</v>
      </c>
      <c r="G36" s="295" t="s">
        <v>43</v>
      </c>
      <c r="H36" s="294" t="s">
        <v>43</v>
      </c>
      <c r="I36" s="294" t="s">
        <v>43</v>
      </c>
      <c r="J36" s="294" t="s">
        <v>43</v>
      </c>
      <c r="K36" s="294" t="s">
        <v>43</v>
      </c>
      <c r="L36" s="294" t="s">
        <v>43</v>
      </c>
      <c r="M36" s="294" t="s">
        <v>43</v>
      </c>
      <c r="N36" s="294" t="s">
        <v>43</v>
      </c>
      <c r="O36" s="294" t="s">
        <v>43</v>
      </c>
      <c r="P36" s="294" t="s">
        <v>43</v>
      </c>
      <c r="Q36" s="294" t="s">
        <v>43</v>
      </c>
      <c r="R36" s="294" t="s">
        <v>43</v>
      </c>
      <c r="S36" s="294" t="s">
        <v>43</v>
      </c>
      <c r="T36" s="294" t="s">
        <v>43</v>
      </c>
      <c r="U36" s="294" t="s">
        <v>43</v>
      </c>
      <c r="V36" s="294" t="s">
        <v>43</v>
      </c>
      <c r="W36" s="294" t="s">
        <v>43</v>
      </c>
      <c r="X36" s="294" t="s">
        <v>43</v>
      </c>
      <c r="Y36" s="294" t="s">
        <v>43</v>
      </c>
      <c r="Z36" s="294" t="s">
        <v>43</v>
      </c>
      <c r="AA36" s="294" t="s">
        <v>43</v>
      </c>
      <c r="AB36" s="294" t="s">
        <v>43</v>
      </c>
      <c r="AC36" s="294" t="s">
        <v>43</v>
      </c>
      <c r="AD36" s="294" t="s">
        <v>43</v>
      </c>
      <c r="AE36" s="294" t="s">
        <v>43</v>
      </c>
      <c r="AF36" s="294" t="s">
        <v>43</v>
      </c>
      <c r="AG36" s="293" t="s">
        <v>43</v>
      </c>
      <c r="AH36" s="191" t="s">
        <v>103</v>
      </c>
    </row>
    <row r="37" spans="1:34" ht="12.75" customHeight="1">
      <c r="B37" s="187" t="s">
        <v>6</v>
      </c>
      <c r="C37" s="299" t="s">
        <v>43</v>
      </c>
      <c r="D37" s="299" t="s">
        <v>43</v>
      </c>
      <c r="E37" s="298" t="s">
        <v>43</v>
      </c>
      <c r="F37" s="298" t="s">
        <v>43</v>
      </c>
      <c r="G37" s="298" t="s">
        <v>43</v>
      </c>
      <c r="H37" s="298" t="s">
        <v>43</v>
      </c>
      <c r="I37" s="298" t="s">
        <v>43</v>
      </c>
      <c r="J37" s="298" t="s">
        <v>43</v>
      </c>
      <c r="K37" s="298" t="s">
        <v>43</v>
      </c>
      <c r="L37" s="298" t="s">
        <v>43</v>
      </c>
      <c r="M37" s="298" t="s">
        <v>43</v>
      </c>
      <c r="N37" s="298" t="s">
        <v>43</v>
      </c>
      <c r="O37" s="298" t="s">
        <v>43</v>
      </c>
      <c r="P37" s="298" t="s">
        <v>43</v>
      </c>
      <c r="Q37" s="298" t="s">
        <v>43</v>
      </c>
      <c r="R37" s="298" t="s">
        <v>43</v>
      </c>
      <c r="S37" s="298" t="s">
        <v>43</v>
      </c>
      <c r="T37" s="298" t="s">
        <v>43</v>
      </c>
      <c r="U37" s="298" t="s">
        <v>43</v>
      </c>
      <c r="V37" s="298" t="s">
        <v>43</v>
      </c>
      <c r="W37" s="298" t="s">
        <v>43</v>
      </c>
      <c r="X37" s="298" t="s">
        <v>43</v>
      </c>
      <c r="Y37" s="298" t="s">
        <v>43</v>
      </c>
      <c r="Z37" s="298" t="s">
        <v>43</v>
      </c>
      <c r="AA37" s="298" t="s">
        <v>43</v>
      </c>
      <c r="AB37" s="298" t="s">
        <v>43</v>
      </c>
      <c r="AC37" s="298" t="s">
        <v>43</v>
      </c>
      <c r="AD37" s="298" t="s">
        <v>43</v>
      </c>
      <c r="AE37" s="298" t="s">
        <v>43</v>
      </c>
      <c r="AF37" s="298" t="s">
        <v>43</v>
      </c>
      <c r="AG37" s="297" t="s">
        <v>43</v>
      </c>
      <c r="AH37" s="187" t="s">
        <v>6</v>
      </c>
    </row>
    <row r="38" spans="1:34" ht="12.75" customHeight="1">
      <c r="B38" s="191" t="s">
        <v>104</v>
      </c>
      <c r="C38" s="296"/>
      <c r="D38" s="296"/>
      <c r="E38" s="295"/>
      <c r="F38" s="295"/>
      <c r="G38" s="295"/>
      <c r="H38" s="295"/>
      <c r="I38" s="295"/>
      <c r="J38" s="295"/>
      <c r="K38" s="295"/>
      <c r="L38" s="295"/>
      <c r="M38" s="295"/>
      <c r="N38" s="295"/>
      <c r="O38" s="295"/>
      <c r="P38" s="295"/>
      <c r="Q38" s="295"/>
      <c r="R38" s="295"/>
      <c r="S38" s="295"/>
      <c r="T38" s="295"/>
      <c r="U38" s="295"/>
      <c r="V38" s="295"/>
      <c r="W38" s="294"/>
      <c r="X38" s="294"/>
      <c r="Y38" s="203">
        <v>0.43019567558770144</v>
      </c>
      <c r="Z38" s="203">
        <v>0.43539520546182431</v>
      </c>
      <c r="AA38" s="203">
        <v>0.45043191350042133</v>
      </c>
      <c r="AB38" s="203">
        <v>0.46382932349263195</v>
      </c>
      <c r="AC38" s="203">
        <v>0.46490978492133023</v>
      </c>
      <c r="AD38" s="203">
        <v>0.42586941274663298</v>
      </c>
      <c r="AE38" s="203">
        <v>0.48753510761497898</v>
      </c>
      <c r="AF38" s="203">
        <v>0.63100000000000001</v>
      </c>
      <c r="AG38" s="293">
        <f>AF38/AE38*100-100</f>
        <v>29.426576700671063</v>
      </c>
      <c r="AH38" s="191" t="s">
        <v>104</v>
      </c>
    </row>
    <row r="39" spans="1:34" s="201" customFormat="1" ht="12.75" customHeight="1">
      <c r="A39" s="206"/>
      <c r="B39" s="195" t="s">
        <v>24</v>
      </c>
      <c r="C39" s="190"/>
      <c r="D39" s="190"/>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292"/>
      <c r="AH39" s="195" t="s">
        <v>24</v>
      </c>
    </row>
    <row r="40" spans="1:34" s="201" customFormat="1" ht="12.75" customHeight="1">
      <c r="A40" s="206"/>
      <c r="B40" s="191" t="s">
        <v>10</v>
      </c>
      <c r="C40" s="291" t="s">
        <v>43</v>
      </c>
      <c r="D40" s="291" t="s">
        <v>43</v>
      </c>
      <c r="E40" s="290" t="s">
        <v>43</v>
      </c>
      <c r="F40" s="290" t="s">
        <v>43</v>
      </c>
      <c r="G40" s="290" t="s">
        <v>43</v>
      </c>
      <c r="H40" s="290" t="s">
        <v>43</v>
      </c>
      <c r="I40" s="290" t="s">
        <v>43</v>
      </c>
      <c r="J40" s="290" t="s">
        <v>43</v>
      </c>
      <c r="K40" s="290" t="s">
        <v>43</v>
      </c>
      <c r="L40" s="290" t="s">
        <v>43</v>
      </c>
      <c r="M40" s="290" t="s">
        <v>43</v>
      </c>
      <c r="N40" s="290" t="s">
        <v>43</v>
      </c>
      <c r="O40" s="290" t="s">
        <v>43</v>
      </c>
      <c r="P40" s="290" t="s">
        <v>43</v>
      </c>
      <c r="Q40" s="290" t="s">
        <v>43</v>
      </c>
      <c r="R40" s="290" t="s">
        <v>43</v>
      </c>
      <c r="S40" s="290" t="s">
        <v>43</v>
      </c>
      <c r="T40" s="290" t="s">
        <v>43</v>
      </c>
      <c r="U40" s="290" t="s">
        <v>43</v>
      </c>
      <c r="V40" s="290" t="s">
        <v>43</v>
      </c>
      <c r="W40" s="290" t="s">
        <v>43</v>
      </c>
      <c r="X40" s="290" t="s">
        <v>43</v>
      </c>
      <c r="Y40" s="290" t="s">
        <v>43</v>
      </c>
      <c r="Z40" s="290" t="s">
        <v>43</v>
      </c>
      <c r="AA40" s="290" t="s">
        <v>43</v>
      </c>
      <c r="AB40" s="290" t="s">
        <v>43</v>
      </c>
      <c r="AC40" s="350" t="s">
        <v>43</v>
      </c>
      <c r="AD40" s="350" t="s">
        <v>43</v>
      </c>
      <c r="AE40" s="350" t="s">
        <v>43</v>
      </c>
      <c r="AF40" s="350" t="s">
        <v>43</v>
      </c>
      <c r="AG40" s="289" t="s">
        <v>43</v>
      </c>
      <c r="AH40" s="191" t="s">
        <v>10</v>
      </c>
    </row>
    <row r="41" spans="1:34" ht="12.75" customHeight="1">
      <c r="B41" s="187" t="s">
        <v>40</v>
      </c>
      <c r="C41" s="190">
        <v>0.42799999999999999</v>
      </c>
      <c r="D41" s="190">
        <v>0.501</v>
      </c>
      <c r="E41" s="189">
        <v>0.41899999999999998</v>
      </c>
      <c r="F41" s="223">
        <v>0.42</v>
      </c>
      <c r="G41" s="189">
        <v>0.34899999999999998</v>
      </c>
      <c r="H41" s="189">
        <v>0.37</v>
      </c>
      <c r="I41" s="189">
        <v>0.375</v>
      </c>
      <c r="J41" s="189">
        <v>0.38100000000000001</v>
      </c>
      <c r="K41" s="189">
        <v>0.41899999999999998</v>
      </c>
      <c r="L41" s="189">
        <v>0.42699999999999999</v>
      </c>
      <c r="M41" s="189">
        <v>0.46899999999999997</v>
      </c>
      <c r="N41" s="189">
        <v>0.50700000000000001</v>
      </c>
      <c r="O41" s="189">
        <v>0.496</v>
      </c>
      <c r="P41" s="189">
        <v>0.50800000000000001</v>
      </c>
      <c r="Q41" s="189">
        <v>0.498</v>
      </c>
      <c r="R41" s="189">
        <v>0.47599999999999998</v>
      </c>
      <c r="S41" s="189">
        <v>0.45800000000000002</v>
      </c>
      <c r="T41" s="189">
        <v>0.51800000000000002</v>
      </c>
      <c r="U41" s="189">
        <v>0.50800000000000001</v>
      </c>
      <c r="V41" s="189">
        <v>0.53500000000000003</v>
      </c>
      <c r="W41" s="189">
        <v>0.57199999999999995</v>
      </c>
      <c r="X41" s="189">
        <v>0.58799999999999997</v>
      </c>
      <c r="Y41" s="189">
        <v>0.62</v>
      </c>
      <c r="Z41" s="189">
        <v>0.63100000000000001</v>
      </c>
      <c r="AA41" s="189">
        <v>0.66038399999999997</v>
      </c>
      <c r="AB41" s="189">
        <v>0.72891899999999998</v>
      </c>
      <c r="AC41" s="189">
        <v>0.752</v>
      </c>
      <c r="AD41" s="189">
        <v>0.80900000000000005</v>
      </c>
      <c r="AE41" s="189">
        <v>0.88300000000000001</v>
      </c>
      <c r="AF41" s="288">
        <v>0.95799999999999996</v>
      </c>
      <c r="AG41" s="541">
        <f>AF41/AE41*100-100</f>
        <v>8.4937712344280669</v>
      </c>
      <c r="AH41" s="187" t="s">
        <v>40</v>
      </c>
    </row>
    <row r="42" spans="1:34" s="201" customFormat="1" ht="12.75" customHeight="1">
      <c r="A42" s="206"/>
      <c r="B42" s="182" t="s">
        <v>11</v>
      </c>
      <c r="C42" s="186"/>
      <c r="D42" s="186"/>
      <c r="E42" s="184"/>
      <c r="F42" s="184"/>
      <c r="G42" s="184"/>
      <c r="H42" s="184"/>
      <c r="I42" s="184"/>
      <c r="J42" s="184">
        <v>1.5002</v>
      </c>
      <c r="K42" s="184">
        <v>1.5463</v>
      </c>
      <c r="L42" s="184">
        <v>1.5072000000000001</v>
      </c>
      <c r="M42" s="184">
        <v>1.3951</v>
      </c>
      <c r="N42" s="184">
        <v>1.403</v>
      </c>
      <c r="O42" s="184">
        <v>1.403</v>
      </c>
      <c r="P42" s="184">
        <v>1.4358</v>
      </c>
      <c r="Q42" s="184">
        <v>1.4478</v>
      </c>
      <c r="R42" s="184">
        <v>1.4394</v>
      </c>
      <c r="S42" s="214">
        <v>1.4695</v>
      </c>
      <c r="T42" s="184">
        <v>0.78149999999999997</v>
      </c>
      <c r="U42" s="184">
        <v>0.78639999999999999</v>
      </c>
      <c r="V42" s="184">
        <v>0.8226</v>
      </c>
      <c r="W42" s="184">
        <v>0.90310000000000001</v>
      </c>
      <c r="X42" s="184">
        <v>0.93459999999999999</v>
      </c>
      <c r="Y42" s="184">
        <v>0.97819999999999996</v>
      </c>
      <c r="Z42" s="184">
        <v>1.0706</v>
      </c>
      <c r="AA42" s="184">
        <v>1.1303000000000001</v>
      </c>
      <c r="AB42" s="184">
        <v>1.1200000000000001</v>
      </c>
      <c r="AC42" s="344">
        <v>1.1303000000000001</v>
      </c>
      <c r="AD42" s="344">
        <v>1.1533</v>
      </c>
      <c r="AE42" s="389">
        <v>1.1751</v>
      </c>
      <c r="AF42" s="410">
        <v>1.177</v>
      </c>
      <c r="AG42" s="542">
        <f>AF42/AE42*100-100</f>
        <v>0.16168836694750155</v>
      </c>
      <c r="AH42" s="182" t="s">
        <v>11</v>
      </c>
    </row>
    <row r="43" spans="1:34" ht="12.75" customHeight="1">
      <c r="B43" s="566" t="s">
        <v>76</v>
      </c>
      <c r="C43" s="566"/>
      <c r="D43" s="566"/>
      <c r="E43" s="566"/>
      <c r="F43" s="566"/>
      <c r="G43" s="566"/>
      <c r="H43" s="566"/>
      <c r="I43" s="566"/>
      <c r="J43" s="566"/>
      <c r="K43" s="566"/>
      <c r="L43" s="566"/>
      <c r="M43" s="566"/>
      <c r="N43" s="566"/>
      <c r="O43" s="566"/>
      <c r="P43" s="566"/>
      <c r="Q43" s="566"/>
      <c r="R43" s="566"/>
      <c r="S43" s="566"/>
      <c r="T43" s="566"/>
      <c r="U43" s="566"/>
      <c r="V43" s="566"/>
      <c r="W43" s="566"/>
      <c r="X43" s="566"/>
      <c r="Y43" s="566"/>
      <c r="Z43" s="566"/>
      <c r="AA43" s="566"/>
      <c r="AB43" s="566"/>
      <c r="AC43" s="566"/>
      <c r="AD43" s="566"/>
      <c r="AE43" s="566"/>
      <c r="AF43" s="566"/>
      <c r="AG43" s="566"/>
    </row>
    <row r="44" spans="1:34" s="201" customFormat="1" ht="12.75" customHeight="1">
      <c r="A44" s="206"/>
      <c r="B44" s="263" t="s">
        <v>7</v>
      </c>
      <c r="C44" s="287"/>
      <c r="D44" s="287"/>
      <c r="E44" s="287"/>
      <c r="F44" s="287"/>
      <c r="G44" s="287"/>
      <c r="H44" s="259"/>
      <c r="I44" s="287"/>
      <c r="J44" s="287"/>
      <c r="K44" s="287"/>
      <c r="L44" s="287"/>
      <c r="M44" s="287"/>
      <c r="N44" s="287"/>
      <c r="O44" s="287"/>
      <c r="P44" s="268"/>
      <c r="Q44" s="259"/>
      <c r="R44" s="260"/>
      <c r="S44" s="287"/>
      <c r="T44" s="287"/>
      <c r="U44" s="287"/>
      <c r="V44" s="287"/>
      <c r="W44" s="287"/>
      <c r="X44" s="287"/>
      <c r="Y44" s="287"/>
      <c r="Z44" s="287"/>
      <c r="AA44" s="287"/>
      <c r="AB44" s="287"/>
      <c r="AC44" s="287"/>
      <c r="AD44" s="287"/>
      <c r="AE44" s="287"/>
      <c r="AF44" s="287"/>
      <c r="AG44" s="180"/>
      <c r="AH44" s="249"/>
    </row>
    <row r="45" spans="1:34" ht="14.25" customHeight="1">
      <c r="B45" s="169" t="s">
        <v>156</v>
      </c>
      <c r="C45" s="169"/>
      <c r="D45" s="169"/>
      <c r="E45" s="169"/>
      <c r="F45" s="169"/>
      <c r="G45" s="169"/>
      <c r="H45" s="169"/>
      <c r="I45" s="169"/>
      <c r="J45" s="169"/>
      <c r="K45" s="169"/>
      <c r="L45" s="169"/>
      <c r="M45" s="169"/>
      <c r="N45" s="169"/>
      <c r="O45" s="169"/>
      <c r="P45" s="169"/>
      <c r="Q45" s="169"/>
      <c r="R45" s="169"/>
      <c r="S45" s="285"/>
      <c r="T45" s="285"/>
      <c r="U45" s="285"/>
      <c r="V45" s="285"/>
      <c r="W45" s="285"/>
      <c r="X45" s="285"/>
      <c r="Y45" s="285"/>
      <c r="Z45" s="285"/>
      <c r="AA45" s="285"/>
      <c r="AB45" s="285"/>
      <c r="AC45" s="285"/>
      <c r="AD45" s="285"/>
      <c r="AE45" s="285"/>
      <c r="AF45" s="285"/>
      <c r="AG45" s="284"/>
    </row>
    <row r="46" spans="1:34" ht="12.75" customHeight="1">
      <c r="B46" s="168" t="s">
        <v>118</v>
      </c>
      <c r="N46" s="286"/>
      <c r="O46" s="286"/>
      <c r="P46" s="286"/>
      <c r="Q46" s="286"/>
      <c r="R46" s="286"/>
      <c r="S46" s="286"/>
      <c r="T46" s="371"/>
      <c r="U46" s="371"/>
      <c r="V46" s="371"/>
      <c r="W46" s="371"/>
      <c r="X46" s="371"/>
      <c r="Y46" s="371"/>
      <c r="Z46" s="371"/>
      <c r="AA46" s="371"/>
      <c r="AB46" s="371"/>
      <c r="AC46" s="371"/>
      <c r="AD46" s="371"/>
      <c r="AE46" s="371"/>
      <c r="AF46" s="371"/>
      <c r="AG46" s="543"/>
    </row>
    <row r="47" spans="1:34" ht="12.75" customHeight="1">
      <c r="B47" s="168" t="s">
        <v>119</v>
      </c>
      <c r="C47" s="169"/>
      <c r="D47" s="169"/>
      <c r="E47" s="169"/>
      <c r="F47" s="169"/>
      <c r="G47" s="169"/>
      <c r="H47" s="169"/>
      <c r="I47" s="169"/>
      <c r="J47" s="164"/>
      <c r="K47" s="164"/>
      <c r="L47" s="164"/>
      <c r="M47" s="164"/>
      <c r="N47" s="164"/>
      <c r="O47" s="164"/>
      <c r="P47" s="169"/>
      <c r="Q47" s="169"/>
      <c r="R47" s="169"/>
      <c r="S47" s="284"/>
      <c r="T47" s="284"/>
      <c r="U47" s="284"/>
      <c r="V47" s="284"/>
      <c r="W47" s="284"/>
      <c r="X47" s="284"/>
      <c r="Y47" s="284"/>
      <c r="Z47" s="284"/>
      <c r="AA47" s="323"/>
      <c r="AB47" s="284"/>
      <c r="AC47" s="284"/>
      <c r="AD47" s="284"/>
      <c r="AE47" s="284"/>
      <c r="AF47" s="284"/>
      <c r="AG47" s="284"/>
    </row>
    <row r="48" spans="1:34" ht="12.75" customHeight="1">
      <c r="B48" s="169" t="s">
        <v>117</v>
      </c>
      <c r="V48" s="284"/>
      <c r="W48" s="284"/>
      <c r="X48" s="284"/>
      <c r="Y48" s="284"/>
      <c r="Z48" s="284"/>
      <c r="AA48" s="323"/>
      <c r="AB48" s="284"/>
      <c r="AC48" s="284"/>
      <c r="AD48" s="284"/>
      <c r="AE48" s="284"/>
      <c r="AF48" s="284"/>
      <c r="AG48" s="284"/>
    </row>
    <row r="49" spans="1:33" ht="12.75" customHeight="1">
      <c r="A49" s="165"/>
      <c r="B49" s="222" t="s">
        <v>121</v>
      </c>
      <c r="V49" s="284"/>
      <c r="W49" s="284"/>
      <c r="X49" s="284"/>
      <c r="Y49" s="284"/>
      <c r="Z49" s="284"/>
      <c r="AA49" s="323"/>
      <c r="AB49" s="284"/>
      <c r="AC49" s="284"/>
      <c r="AD49" s="284"/>
      <c r="AE49" s="284"/>
      <c r="AF49" s="284"/>
      <c r="AG49" s="284"/>
    </row>
    <row r="50" spans="1:33" ht="12.75" customHeight="1">
      <c r="A50" s="165"/>
      <c r="B50" s="222" t="s">
        <v>134</v>
      </c>
      <c r="V50" s="284"/>
      <c r="W50" s="284"/>
      <c r="X50" s="284"/>
      <c r="Y50" s="284"/>
      <c r="Z50" s="284"/>
    </row>
    <row r="51" spans="1:33">
      <c r="A51" s="165"/>
      <c r="V51" s="284"/>
      <c r="W51" s="284"/>
      <c r="X51" s="284"/>
      <c r="Y51" s="284"/>
      <c r="Z51" s="284"/>
    </row>
    <row r="52" spans="1:33">
      <c r="A52" s="165"/>
      <c r="P52" s="482"/>
      <c r="V52" s="284"/>
      <c r="W52" s="284"/>
      <c r="X52" s="284"/>
      <c r="Y52" s="284"/>
      <c r="Z52" s="284"/>
    </row>
  </sheetData>
  <mergeCells count="2">
    <mergeCell ref="B2:AG2"/>
    <mergeCell ref="B43:AG43"/>
  </mergeCells>
  <printOptions horizontalCentered="1"/>
  <pageMargins left="0.47244094488188981" right="0.47244094488188981" top="0.51181102362204722" bottom="0.27559055118110237" header="0" footer="0"/>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0"/>
  </sheetPr>
  <dimension ref="A1:AR46"/>
  <sheetViews>
    <sheetView topLeftCell="J4" zoomScaleNormal="100" workbookViewId="0">
      <selection activeCell="P46" sqref="P46"/>
    </sheetView>
  </sheetViews>
  <sheetFormatPr defaultRowHeight="11.25"/>
  <cols>
    <col min="1" max="1" width="2.7109375" style="165" customWidth="1"/>
    <col min="2" max="2" width="4" style="165" customWidth="1"/>
    <col min="3" max="20" width="6.7109375" style="165" customWidth="1"/>
    <col min="21" max="32" width="7.28515625" style="165" customWidth="1"/>
    <col min="33" max="38" width="9" style="165" customWidth="1"/>
    <col min="39" max="39" width="6" style="496" customWidth="1"/>
    <col min="40" max="40" width="5.42578125" style="165" customWidth="1"/>
    <col min="41" max="16384" width="9.140625" style="165"/>
  </cols>
  <sheetData>
    <row r="1" spans="1:43" ht="14.25" customHeight="1">
      <c r="B1" s="254"/>
      <c r="C1" s="253"/>
      <c r="D1" s="253"/>
      <c r="E1" s="253"/>
      <c r="F1" s="253"/>
      <c r="G1" s="253"/>
      <c r="H1" s="253"/>
      <c r="I1" s="253"/>
      <c r="J1" s="253"/>
      <c r="K1" s="253"/>
      <c r="L1" s="253"/>
      <c r="M1" s="253"/>
      <c r="N1" s="253"/>
      <c r="O1" s="253"/>
      <c r="P1" s="253"/>
      <c r="Q1" s="322"/>
      <c r="U1" s="251"/>
      <c r="V1" s="251"/>
      <c r="W1" s="251"/>
      <c r="X1" s="251"/>
      <c r="Y1" s="251"/>
      <c r="Z1" s="251"/>
      <c r="AA1" s="251"/>
      <c r="AB1" s="251"/>
      <c r="AC1" s="251"/>
      <c r="AD1" s="251"/>
      <c r="AE1" s="251"/>
      <c r="AF1" s="251"/>
      <c r="AG1" s="251"/>
      <c r="AH1" s="251"/>
      <c r="AI1" s="251"/>
      <c r="AJ1" s="251"/>
      <c r="AK1" s="251"/>
      <c r="AL1" s="251"/>
      <c r="AN1" s="251" t="s">
        <v>90</v>
      </c>
    </row>
    <row r="2" spans="1:43" s="169" customFormat="1" ht="30" customHeight="1">
      <c r="B2" s="567" t="s">
        <v>47</v>
      </c>
      <c r="C2" s="567"/>
      <c r="D2" s="567"/>
      <c r="E2" s="567"/>
      <c r="F2" s="567"/>
      <c r="G2" s="567"/>
      <c r="H2" s="567"/>
      <c r="I2" s="567"/>
      <c r="J2" s="567"/>
      <c r="K2" s="567"/>
      <c r="L2" s="567"/>
      <c r="M2" s="567"/>
      <c r="N2" s="567"/>
      <c r="O2" s="567"/>
      <c r="P2" s="567"/>
      <c r="Q2" s="567"/>
      <c r="R2" s="567"/>
      <c r="S2" s="567"/>
      <c r="T2" s="567"/>
      <c r="U2" s="567"/>
      <c r="V2" s="567"/>
      <c r="W2" s="567"/>
      <c r="X2" s="567"/>
      <c r="Y2" s="567"/>
      <c r="Z2" s="567"/>
      <c r="AA2" s="567"/>
      <c r="AB2" s="567"/>
      <c r="AC2" s="567"/>
      <c r="AD2" s="567"/>
      <c r="AE2" s="567"/>
      <c r="AF2" s="567"/>
      <c r="AG2" s="567"/>
      <c r="AH2" s="567"/>
      <c r="AI2" s="567"/>
      <c r="AJ2" s="567"/>
      <c r="AK2" s="567"/>
      <c r="AL2" s="567"/>
      <c r="AM2" s="567"/>
      <c r="AN2" s="567"/>
    </row>
    <row r="3" spans="1:43" ht="8.25" customHeight="1">
      <c r="C3" s="249"/>
      <c r="D3" s="249"/>
      <c r="E3" s="249"/>
      <c r="F3" s="249"/>
      <c r="G3" s="249"/>
      <c r="H3" s="249"/>
      <c r="I3" s="249"/>
      <c r="J3" s="249"/>
      <c r="K3" s="249"/>
      <c r="L3" s="249"/>
      <c r="M3" s="249"/>
      <c r="N3" s="249"/>
      <c r="O3" s="249"/>
      <c r="P3" s="249"/>
      <c r="Q3" s="249"/>
      <c r="R3" s="249"/>
      <c r="Y3" s="249"/>
      <c r="Z3" s="249"/>
      <c r="AA3" s="249"/>
      <c r="AB3" s="249"/>
      <c r="AF3" s="249" t="s">
        <v>105</v>
      </c>
      <c r="AG3" s="249"/>
      <c r="AH3" s="249"/>
      <c r="AI3" s="249"/>
      <c r="AJ3" s="249"/>
      <c r="AK3" s="249"/>
      <c r="AL3" s="249"/>
      <c r="AM3" s="497"/>
      <c r="AN3" s="249"/>
    </row>
    <row r="4" spans="1:43" ht="24.75" customHeight="1">
      <c r="B4" s="247"/>
      <c r="C4" s="246">
        <v>1970</v>
      </c>
      <c r="D4" s="246">
        <v>1980</v>
      </c>
      <c r="E4" s="245">
        <v>1990</v>
      </c>
      <c r="F4" s="245">
        <v>1991</v>
      </c>
      <c r="G4" s="245">
        <v>1992</v>
      </c>
      <c r="H4" s="245">
        <v>1993</v>
      </c>
      <c r="I4" s="245">
        <v>1994</v>
      </c>
      <c r="J4" s="245">
        <v>1995</v>
      </c>
      <c r="K4" s="245">
        <v>1996</v>
      </c>
      <c r="L4" s="245">
        <v>1997</v>
      </c>
      <c r="M4" s="245">
        <v>1998</v>
      </c>
      <c r="N4" s="245">
        <v>1999</v>
      </c>
      <c r="O4" s="245">
        <v>2000</v>
      </c>
      <c r="P4" s="245">
        <v>2001</v>
      </c>
      <c r="Q4" s="245">
        <v>2002</v>
      </c>
      <c r="R4" s="245">
        <v>2003</v>
      </c>
      <c r="S4" s="245">
        <v>2004</v>
      </c>
      <c r="T4" s="245">
        <v>2005</v>
      </c>
      <c r="U4" s="245">
        <v>2006</v>
      </c>
      <c r="V4" s="245">
        <v>2007</v>
      </c>
      <c r="W4" s="245">
        <v>2008</v>
      </c>
      <c r="X4" s="245">
        <v>2009</v>
      </c>
      <c r="Y4" s="245">
        <v>2010</v>
      </c>
      <c r="Z4" s="245">
        <v>2011</v>
      </c>
      <c r="AA4" s="245">
        <v>2012</v>
      </c>
      <c r="AB4" s="245">
        <v>2013</v>
      </c>
      <c r="AC4" s="245">
        <v>2014</v>
      </c>
      <c r="AD4" s="245">
        <v>2015</v>
      </c>
      <c r="AE4" s="245">
        <v>2016</v>
      </c>
      <c r="AF4" s="245">
        <v>2017</v>
      </c>
      <c r="AG4" s="321"/>
      <c r="AH4" s="321"/>
      <c r="AI4" s="321"/>
      <c r="AJ4" s="321"/>
      <c r="AK4" s="511" t="s">
        <v>111</v>
      </c>
      <c r="AL4" s="321" t="s">
        <v>111</v>
      </c>
      <c r="AM4" s="494" t="s">
        <v>141</v>
      </c>
      <c r="AN4" s="281"/>
      <c r="AQ4" s="362"/>
    </row>
    <row r="5" spans="1:43" ht="9.9499999999999993" customHeight="1">
      <c r="B5" s="243"/>
      <c r="C5" s="242"/>
      <c r="D5" s="242"/>
      <c r="E5" s="241"/>
      <c r="F5" s="241"/>
      <c r="G5" s="241"/>
      <c r="H5" s="241"/>
      <c r="I5" s="241"/>
      <c r="J5" s="241"/>
      <c r="K5" s="241"/>
      <c r="L5" s="241"/>
      <c r="M5" s="241"/>
      <c r="N5" s="241"/>
      <c r="O5" s="241"/>
      <c r="P5" s="241"/>
      <c r="Q5" s="241"/>
      <c r="R5" s="241"/>
      <c r="S5" s="241"/>
      <c r="T5" s="241"/>
      <c r="U5" s="241"/>
      <c r="V5" s="241"/>
      <c r="W5" s="241"/>
      <c r="X5" s="241"/>
      <c r="Y5" s="241"/>
      <c r="Z5" s="241"/>
      <c r="AA5" s="240"/>
      <c r="AB5" s="240"/>
      <c r="AC5" s="240"/>
      <c r="AD5" s="240"/>
      <c r="AE5" s="240"/>
      <c r="AF5" s="240"/>
      <c r="AG5" s="320">
        <v>2012</v>
      </c>
      <c r="AH5" s="320">
        <v>2013</v>
      </c>
      <c r="AI5" s="354">
        <v>2014</v>
      </c>
      <c r="AJ5" s="354">
        <v>2015</v>
      </c>
      <c r="AK5" s="512">
        <v>2016</v>
      </c>
      <c r="AL5" s="354">
        <v>2017</v>
      </c>
      <c r="AM5" s="495" t="s">
        <v>42</v>
      </c>
      <c r="AN5" s="281"/>
    </row>
    <row r="6" spans="1:43" ht="12.75" customHeight="1">
      <c r="B6" s="393" t="s">
        <v>113</v>
      </c>
      <c r="C6" s="399">
        <f>20.5+SUM(C7:C34)</f>
        <v>330.16699999999997</v>
      </c>
      <c r="D6" s="399">
        <f>18+SUM(D7:D34)</f>
        <v>369.59900000000005</v>
      </c>
      <c r="E6" s="394">
        <f t="shared" ref="E6:Y6" si="0">SUM(E7:E34)</f>
        <v>395.45299999999997</v>
      </c>
      <c r="F6" s="395">
        <f t="shared" si="0"/>
        <v>378.25400000000002</v>
      </c>
      <c r="G6" s="396">
        <f t="shared" si="0"/>
        <v>366.755</v>
      </c>
      <c r="H6" s="396">
        <f t="shared" si="0"/>
        <v>341.69099999999997</v>
      </c>
      <c r="I6" s="396">
        <f t="shared" si="0"/>
        <v>335.39</v>
      </c>
      <c r="J6" s="396">
        <f t="shared" si="0"/>
        <v>342.92070000000007</v>
      </c>
      <c r="K6" s="396">
        <f t="shared" si="0"/>
        <v>347.81880000000012</v>
      </c>
      <c r="L6" s="396">
        <f t="shared" si="0"/>
        <v>348.03559999999993</v>
      </c>
      <c r="M6" s="396">
        <f t="shared" si="0"/>
        <v>348.1452000000001</v>
      </c>
      <c r="N6" s="396">
        <f t="shared" si="0"/>
        <v>355.20069999999998</v>
      </c>
      <c r="O6" s="396">
        <f>SUM(O7:O34)</f>
        <v>376.99288502490822</v>
      </c>
      <c r="P6" s="396">
        <f t="shared" si="0"/>
        <v>379.27528030944148</v>
      </c>
      <c r="Q6" s="396">
        <f t="shared" si="0"/>
        <v>371.8311026138046</v>
      </c>
      <c r="R6" s="396">
        <f t="shared" si="0"/>
        <v>367.94294756335341</v>
      </c>
      <c r="S6" s="396">
        <f t="shared" si="0"/>
        <v>375.42099999999999</v>
      </c>
      <c r="T6" s="396">
        <f t="shared" si="0"/>
        <v>384.46600000000007</v>
      </c>
      <c r="U6" s="396">
        <f t="shared" si="0"/>
        <v>396.67600000000004</v>
      </c>
      <c r="V6" s="396">
        <f t="shared" si="0"/>
        <v>403.83000000000004</v>
      </c>
      <c r="W6" s="396">
        <f t="shared" si="0"/>
        <v>419.58782500000007</v>
      </c>
      <c r="X6" s="396">
        <f t="shared" si="0"/>
        <v>412.01500000000004</v>
      </c>
      <c r="Y6" s="396">
        <f t="shared" si="0"/>
        <v>414.11799999999994</v>
      </c>
      <c r="Z6" s="396">
        <f>SUM(Z7:Z34)</f>
        <v>422.51200000000006</v>
      </c>
      <c r="AA6" s="396">
        <f t="shared" ref="AA6:AF6" si="1">SUM(AA7:AA34)</f>
        <v>428.07900000000006</v>
      </c>
      <c r="AB6" s="396">
        <f t="shared" si="1"/>
        <v>433.74399999999991</v>
      </c>
      <c r="AC6" s="396">
        <f t="shared" si="1"/>
        <v>440.98699999999997</v>
      </c>
      <c r="AD6" s="396">
        <f t="shared" si="1"/>
        <v>448.25299999999999</v>
      </c>
      <c r="AE6" s="396">
        <f t="shared" si="1"/>
        <v>454.61426499999999</v>
      </c>
      <c r="AF6" s="396">
        <f t="shared" si="1"/>
        <v>469.73400000000004</v>
      </c>
      <c r="AG6" s="397">
        <v>63.990086231276713</v>
      </c>
      <c r="AH6" s="397">
        <v>67.011692304499093</v>
      </c>
      <c r="AI6" s="397">
        <f>0.680708332962707*100</f>
        <v>68.070833296270706</v>
      </c>
      <c r="AJ6" s="397">
        <f>0.663340459*100</f>
        <v>66.334045900000007</v>
      </c>
      <c r="AK6" s="398">
        <v>64.240618342907354</v>
      </c>
      <c r="AL6" s="398">
        <v>64.373131184394211</v>
      </c>
      <c r="AM6" s="498">
        <f t="shared" ref="AM6:AM18" si="2">AF6/AE6*100-100</f>
        <v>3.325838224632065</v>
      </c>
      <c r="AN6" s="393" t="s">
        <v>113</v>
      </c>
    </row>
    <row r="7" spans="1:43" ht="12.75" customHeight="1">
      <c r="A7" s="180"/>
      <c r="B7" s="187" t="s">
        <v>29</v>
      </c>
      <c r="C7" s="227">
        <v>8.26</v>
      </c>
      <c r="D7" s="227">
        <v>6.9630000000000001</v>
      </c>
      <c r="E7" s="228">
        <v>6.5389999999999997</v>
      </c>
      <c r="F7" s="228">
        <v>6.77</v>
      </c>
      <c r="G7" s="228">
        <v>6.798</v>
      </c>
      <c r="H7" s="228">
        <v>6.694</v>
      </c>
      <c r="I7" s="228">
        <v>6.6379999999999999</v>
      </c>
      <c r="J7" s="228">
        <v>6.7569999999999997</v>
      </c>
      <c r="K7" s="228">
        <v>6.7880000000000003</v>
      </c>
      <c r="L7" s="228">
        <v>6.98</v>
      </c>
      <c r="M7" s="228">
        <v>7.0970000000000004</v>
      </c>
      <c r="N7" s="228">
        <v>7.3540000000000001</v>
      </c>
      <c r="O7" s="228">
        <v>7.734</v>
      </c>
      <c r="P7" s="228">
        <v>8.0380000000000003</v>
      </c>
      <c r="Q7" s="228">
        <v>8.26</v>
      </c>
      <c r="R7" s="228">
        <v>8.2650000000000006</v>
      </c>
      <c r="S7" s="228">
        <v>9.2249999999999996</v>
      </c>
      <c r="T7" s="228">
        <v>8.51</v>
      </c>
      <c r="U7" s="228">
        <v>8.9640000000000004</v>
      </c>
      <c r="V7" s="228">
        <v>9.4030000000000005</v>
      </c>
      <c r="W7" s="228">
        <v>10.138999999999999</v>
      </c>
      <c r="X7" s="228">
        <v>10.237</v>
      </c>
      <c r="Y7" s="228">
        <v>10.564</v>
      </c>
      <c r="Z7" s="228">
        <v>10.669</v>
      </c>
      <c r="AA7" s="228">
        <v>10.856999999999999</v>
      </c>
      <c r="AB7" s="228">
        <v>10.885999999999999</v>
      </c>
      <c r="AC7" s="228">
        <v>10.974</v>
      </c>
      <c r="AD7" s="436">
        <v>10.333</v>
      </c>
      <c r="AE7" s="228">
        <v>10.025</v>
      </c>
      <c r="AF7" s="228">
        <v>10.167</v>
      </c>
      <c r="AG7" s="314"/>
      <c r="AH7" s="314">
        <v>89.334925592504135</v>
      </c>
      <c r="AI7" s="314">
        <v>90.4</v>
      </c>
      <c r="AJ7" s="314"/>
      <c r="AK7" s="313"/>
      <c r="AL7" s="313"/>
      <c r="AM7" s="499">
        <f t="shared" si="2"/>
        <v>1.4164588528678337</v>
      </c>
      <c r="AN7" s="187" t="s">
        <v>29</v>
      </c>
    </row>
    <row r="8" spans="1:43" ht="12.75" customHeight="1">
      <c r="A8" s="180"/>
      <c r="B8" s="191" t="s">
        <v>12</v>
      </c>
      <c r="C8" s="213">
        <v>6.2240000000000002</v>
      </c>
      <c r="D8" s="213">
        <v>7.0549999999999997</v>
      </c>
      <c r="E8" s="193">
        <v>7.7930000000000001</v>
      </c>
      <c r="F8" s="193">
        <v>4.8659999999999997</v>
      </c>
      <c r="G8" s="193">
        <v>5.3929999999999998</v>
      </c>
      <c r="H8" s="193">
        <v>5.8369999999999997</v>
      </c>
      <c r="I8" s="193">
        <v>5.0590000000000002</v>
      </c>
      <c r="J8" s="193">
        <v>4.6929999999999996</v>
      </c>
      <c r="K8" s="193">
        <v>5.0650000000000004</v>
      </c>
      <c r="L8" s="193">
        <v>5.8860000000000001</v>
      </c>
      <c r="M8" s="193">
        <v>4.74</v>
      </c>
      <c r="N8" s="193">
        <v>3.819</v>
      </c>
      <c r="O8" s="193">
        <v>3.472</v>
      </c>
      <c r="P8" s="193">
        <v>2.99</v>
      </c>
      <c r="Q8" s="193">
        <v>2.5979999999999999</v>
      </c>
      <c r="R8" s="193">
        <v>2.5169999999999999</v>
      </c>
      <c r="S8" s="193">
        <v>2.4039999999999999</v>
      </c>
      <c r="T8" s="193">
        <v>2.3889999999999998</v>
      </c>
      <c r="U8" s="193">
        <v>2.411</v>
      </c>
      <c r="V8" s="193">
        <v>2.4039999999999999</v>
      </c>
      <c r="W8" s="193">
        <v>2.3170000000000002</v>
      </c>
      <c r="X8" s="193">
        <v>2.1379999999999999</v>
      </c>
      <c r="Y8" s="193">
        <v>2.09</v>
      </c>
      <c r="Z8" s="193">
        <v>2.0590000000000002</v>
      </c>
      <c r="AA8" s="193">
        <v>1.87</v>
      </c>
      <c r="AB8" s="193">
        <v>1.821</v>
      </c>
      <c r="AC8" s="193">
        <v>1.698</v>
      </c>
      <c r="AD8" s="193">
        <v>1.5489999999999999</v>
      </c>
      <c r="AE8" s="193">
        <v>1.4550000000000001</v>
      </c>
      <c r="AF8" s="193">
        <v>1.4339999999999999</v>
      </c>
      <c r="AG8" s="314">
        <v>85.273416350839199</v>
      </c>
      <c r="AH8" s="314">
        <v>88.083470620538165</v>
      </c>
      <c r="AI8" s="314">
        <v>91.2</v>
      </c>
      <c r="AJ8" s="314">
        <v>94.150238371343903</v>
      </c>
      <c r="AK8" s="313">
        <f>0.921942520063104*100</f>
        <v>92.194252006310393</v>
      </c>
      <c r="AL8" s="510">
        <v>94.150238371343903</v>
      </c>
      <c r="AM8" s="493">
        <f t="shared" si="2"/>
        <v>-1.443298969072174</v>
      </c>
      <c r="AN8" s="191" t="s">
        <v>12</v>
      </c>
      <c r="AO8" s="181"/>
      <c r="AP8" s="181"/>
    </row>
    <row r="9" spans="1:43" ht="12.75" customHeight="1">
      <c r="A9" s="180"/>
      <c r="B9" s="187" t="s">
        <v>14</v>
      </c>
      <c r="C9" s="235"/>
      <c r="D9" s="235"/>
      <c r="E9" s="236">
        <v>13.313000000000001</v>
      </c>
      <c r="F9" s="308">
        <v>12.5</v>
      </c>
      <c r="G9" s="236">
        <v>11.147</v>
      </c>
      <c r="H9" s="236">
        <v>8.548</v>
      </c>
      <c r="I9" s="236">
        <v>8.4809999999999999</v>
      </c>
      <c r="J9" s="236">
        <v>8.0229999999999997</v>
      </c>
      <c r="K9" s="236">
        <v>8.1110000000000007</v>
      </c>
      <c r="L9" s="236">
        <v>7.71</v>
      </c>
      <c r="M9" s="236">
        <v>7.0010000000000003</v>
      </c>
      <c r="N9" s="236">
        <v>6.9290000000000003</v>
      </c>
      <c r="O9" s="236">
        <v>7.3</v>
      </c>
      <c r="P9" s="236">
        <v>7.2990000000000004</v>
      </c>
      <c r="Q9" s="236">
        <v>6.5970000000000004</v>
      </c>
      <c r="R9" s="236">
        <v>6.5179999999999998</v>
      </c>
      <c r="S9" s="236">
        <v>6.58</v>
      </c>
      <c r="T9" s="236">
        <v>6.6669999999999998</v>
      </c>
      <c r="U9" s="236">
        <v>6.9219999999999997</v>
      </c>
      <c r="V9" s="236">
        <v>6.8979999999999997</v>
      </c>
      <c r="W9" s="236">
        <v>6.7729999999999997</v>
      </c>
      <c r="X9" s="236">
        <v>6.4720000000000004</v>
      </c>
      <c r="Y9" s="236">
        <v>6.5590000000000002</v>
      </c>
      <c r="Z9" s="236">
        <v>6.6689999999999996</v>
      </c>
      <c r="AA9" s="236">
        <v>7.1959999999999997</v>
      </c>
      <c r="AB9" s="236">
        <v>7.5119999999999996</v>
      </c>
      <c r="AC9" s="236">
        <v>7.6440000000000001</v>
      </c>
      <c r="AD9" s="236">
        <v>8.125</v>
      </c>
      <c r="AE9" s="236">
        <v>8.7379999999999995</v>
      </c>
      <c r="AF9" s="236">
        <v>9.4030000000000005</v>
      </c>
      <c r="AG9" s="314">
        <v>92.307692307692307</v>
      </c>
      <c r="AH9" s="314"/>
      <c r="AI9" s="314">
        <v>93.2</v>
      </c>
      <c r="AJ9" s="314">
        <v>99.998794919380103</v>
      </c>
      <c r="AK9" s="313">
        <f>0.949903878774172*100</f>
        <v>94.990387877417206</v>
      </c>
      <c r="AL9" s="510">
        <v>84.3</v>
      </c>
      <c r="AM9" s="499">
        <f t="shared" si="2"/>
        <v>7.6104371709773631</v>
      </c>
      <c r="AN9" s="187" t="s">
        <v>14</v>
      </c>
    </row>
    <row r="10" spans="1:43" ht="12.75" customHeight="1">
      <c r="A10" s="180"/>
      <c r="B10" s="191" t="s">
        <v>25</v>
      </c>
      <c r="C10" s="213">
        <v>3.8980000000000001</v>
      </c>
      <c r="D10" s="213">
        <v>3.8029999999999999</v>
      </c>
      <c r="E10" s="193">
        <v>5.0510000000000002</v>
      </c>
      <c r="F10" s="193">
        <v>4.9130000000000003</v>
      </c>
      <c r="G10" s="193">
        <v>4.9740000000000002</v>
      </c>
      <c r="H10" s="193">
        <v>4.9390000000000001</v>
      </c>
      <c r="I10" s="193">
        <v>5.0519999999999996</v>
      </c>
      <c r="J10" s="193">
        <v>4.8879999999999999</v>
      </c>
      <c r="K10" s="193">
        <v>4.8209999999999997</v>
      </c>
      <c r="L10" s="193">
        <v>5.173</v>
      </c>
      <c r="M10" s="193">
        <v>5.3650000000000002</v>
      </c>
      <c r="N10" s="193">
        <v>5.31</v>
      </c>
      <c r="O10" s="193">
        <v>5.5369999999999999</v>
      </c>
      <c r="P10" s="193">
        <v>5.7210000000000001</v>
      </c>
      <c r="Q10" s="193">
        <v>5.7450000000000001</v>
      </c>
      <c r="R10" s="193">
        <v>5.8259999999999996</v>
      </c>
      <c r="S10" s="193">
        <v>5.9459999999999997</v>
      </c>
      <c r="T10" s="193">
        <v>5.9740000000000002</v>
      </c>
      <c r="U10" s="193">
        <v>6.11</v>
      </c>
      <c r="V10" s="193">
        <v>6.1760000000000002</v>
      </c>
      <c r="W10" s="193">
        <v>6.28</v>
      </c>
      <c r="X10" s="193">
        <v>6.1520000000000001</v>
      </c>
      <c r="Y10" s="193">
        <v>6.3380000000000001</v>
      </c>
      <c r="Z10" s="193">
        <v>6.3650000000000002</v>
      </c>
      <c r="AA10" s="193">
        <v>6.5170000000000003</v>
      </c>
      <c r="AB10" s="193">
        <v>6.5510000000000002</v>
      </c>
      <c r="AC10" s="193">
        <v>6.5129999999999999</v>
      </c>
      <c r="AD10" s="193">
        <v>6.5060000000000002</v>
      </c>
      <c r="AE10" s="193">
        <f>6.653-0.321</f>
        <v>6.3319999999999999</v>
      </c>
      <c r="AF10" s="193">
        <v>6.28</v>
      </c>
      <c r="AG10" s="314">
        <v>90.592086535724448</v>
      </c>
      <c r="AH10" s="314">
        <v>95.972300734878459</v>
      </c>
      <c r="AI10" s="314">
        <v>100</v>
      </c>
      <c r="AJ10" s="314">
        <v>100</v>
      </c>
      <c r="AK10" s="313">
        <v>100</v>
      </c>
      <c r="AL10" s="313"/>
      <c r="AM10" s="493">
        <f t="shared" si="2"/>
        <v>-0.82122552116233294</v>
      </c>
      <c r="AN10" s="191" t="s">
        <v>25</v>
      </c>
      <c r="AQ10" s="362"/>
    </row>
    <row r="11" spans="1:43" s="201" customFormat="1" ht="12.75" customHeight="1">
      <c r="A11" s="206"/>
      <c r="B11" s="187" t="s">
        <v>30</v>
      </c>
      <c r="C11" s="235">
        <v>62.4</v>
      </c>
      <c r="D11" s="235">
        <v>62.499000000000002</v>
      </c>
      <c r="E11" s="236">
        <v>61.024000000000001</v>
      </c>
      <c r="F11" s="236">
        <v>67.31</v>
      </c>
      <c r="G11" s="278">
        <v>67.55</v>
      </c>
      <c r="H11" s="236">
        <v>63.360999999999997</v>
      </c>
      <c r="I11" s="236">
        <v>65.2</v>
      </c>
      <c r="J11" s="236">
        <v>70.977000000000004</v>
      </c>
      <c r="K11" s="236">
        <v>71.73</v>
      </c>
      <c r="L11" s="236">
        <v>72.402999999999992</v>
      </c>
      <c r="M11" s="236">
        <v>72.665999999999997</v>
      </c>
      <c r="N11" s="236">
        <v>73.795999999999992</v>
      </c>
      <c r="O11" s="236">
        <v>75.403999999999996</v>
      </c>
      <c r="P11" s="236">
        <v>75.753999999999991</v>
      </c>
      <c r="Q11" s="236">
        <v>70.819000000000003</v>
      </c>
      <c r="R11" s="236">
        <v>71.293000000000006</v>
      </c>
      <c r="S11" s="236">
        <v>72.900000000000006</v>
      </c>
      <c r="T11" s="236">
        <v>76.8</v>
      </c>
      <c r="U11" s="236">
        <v>79</v>
      </c>
      <c r="V11" s="236">
        <v>79.106999999999999</v>
      </c>
      <c r="W11" s="236">
        <v>82.538825000000003</v>
      </c>
      <c r="X11" s="236">
        <v>82.254000000000005</v>
      </c>
      <c r="Y11" s="236">
        <v>83.891999999999996</v>
      </c>
      <c r="Z11" s="236">
        <v>85.412999999999997</v>
      </c>
      <c r="AA11" s="236">
        <v>88.795000000000002</v>
      </c>
      <c r="AB11" s="236">
        <v>89.614999999999995</v>
      </c>
      <c r="AC11" s="236">
        <v>90.975999999999999</v>
      </c>
      <c r="AD11" s="236">
        <v>91.709000000000003</v>
      </c>
      <c r="AE11" s="236">
        <v>94.195999999999998</v>
      </c>
      <c r="AF11" s="236">
        <v>95.757000000000005</v>
      </c>
      <c r="AG11" s="314"/>
      <c r="AH11" s="314">
        <v>60.311042341965873</v>
      </c>
      <c r="AI11" s="314">
        <v>60.1</v>
      </c>
      <c r="AJ11" s="314">
        <v>59.391965255157444</v>
      </c>
      <c r="AK11" s="313">
        <f>0.585263157894737*100</f>
        <v>58.526315789473706</v>
      </c>
      <c r="AL11" s="313">
        <v>58.6</v>
      </c>
      <c r="AM11" s="499">
        <f t="shared" si="2"/>
        <v>1.6571828952397283</v>
      </c>
      <c r="AN11" s="187" t="s">
        <v>30</v>
      </c>
    </row>
    <row r="12" spans="1:43" ht="12.75" customHeight="1">
      <c r="A12" s="180"/>
      <c r="B12" s="191" t="s">
        <v>15</v>
      </c>
      <c r="C12" s="213">
        <v>1.2310000000000001</v>
      </c>
      <c r="D12" s="213">
        <v>1.5529999999999999</v>
      </c>
      <c r="E12" s="193">
        <v>1.51</v>
      </c>
      <c r="F12" s="193">
        <v>1.2729999999999999</v>
      </c>
      <c r="G12" s="193">
        <v>0.95</v>
      </c>
      <c r="H12" s="193">
        <v>0.72199999999999998</v>
      </c>
      <c r="I12" s="193">
        <v>0.53700000000000003</v>
      </c>
      <c r="J12" s="193">
        <v>0.42099999999999999</v>
      </c>
      <c r="K12" s="193">
        <v>0.309</v>
      </c>
      <c r="L12" s="193">
        <v>0.26200000000000001</v>
      </c>
      <c r="M12" s="193">
        <v>0.23599999999999999</v>
      </c>
      <c r="N12" s="193">
        <v>0.23799999999999999</v>
      </c>
      <c r="O12" s="193">
        <v>0.26100000000000001</v>
      </c>
      <c r="P12" s="193">
        <v>0.18264900000000001</v>
      </c>
      <c r="Q12" s="193">
        <v>0.17695</v>
      </c>
      <c r="R12" s="193">
        <v>0.181814</v>
      </c>
      <c r="S12" s="193">
        <v>0.193</v>
      </c>
      <c r="T12" s="193">
        <v>0.248</v>
      </c>
      <c r="U12" s="193">
        <v>0.25700000000000001</v>
      </c>
      <c r="V12" s="193">
        <v>0.27400000000000002</v>
      </c>
      <c r="W12" s="193">
        <v>0.27400000000000002</v>
      </c>
      <c r="X12" s="193">
        <v>0.249</v>
      </c>
      <c r="Y12" s="193">
        <v>0.247</v>
      </c>
      <c r="Z12" s="193">
        <v>0.24299999999999999</v>
      </c>
      <c r="AA12" s="193">
        <v>0.23499999999999999</v>
      </c>
      <c r="AB12" s="193">
        <v>0.223</v>
      </c>
      <c r="AC12" s="193">
        <v>0.28000000000000003</v>
      </c>
      <c r="AD12" s="193">
        <v>0.28599999999999998</v>
      </c>
      <c r="AE12" s="193">
        <v>0.316</v>
      </c>
      <c r="AF12" s="193">
        <v>0.36599999999999999</v>
      </c>
      <c r="AG12" s="314">
        <v>92.765957446808514</v>
      </c>
      <c r="AH12" s="314">
        <v>90.016143497757838</v>
      </c>
      <c r="AI12" s="314">
        <v>93.4</v>
      </c>
      <c r="AJ12" s="314">
        <v>100</v>
      </c>
      <c r="AK12" s="313">
        <f>0.940057088487155*100</f>
        <v>94.0057088487155</v>
      </c>
      <c r="AL12" s="313">
        <v>94.4</v>
      </c>
      <c r="AM12" s="493">
        <f t="shared" si="2"/>
        <v>15.822784810126578</v>
      </c>
      <c r="AN12" s="191" t="s">
        <v>15</v>
      </c>
    </row>
    <row r="13" spans="1:43" s="201" customFormat="1" ht="12.75" customHeight="1">
      <c r="A13" s="206"/>
      <c r="B13" s="187" t="s">
        <v>33</v>
      </c>
      <c r="C13" s="227">
        <v>0.58199999999999996</v>
      </c>
      <c r="D13" s="227">
        <v>1.032</v>
      </c>
      <c r="E13" s="228">
        <v>1.226</v>
      </c>
      <c r="F13" s="228">
        <v>1.29</v>
      </c>
      <c r="G13" s="228">
        <v>1.226</v>
      </c>
      <c r="H13" s="228">
        <v>1.274</v>
      </c>
      <c r="I13" s="228">
        <v>1.26</v>
      </c>
      <c r="J13" s="228">
        <v>1.2909999999999999</v>
      </c>
      <c r="K13" s="228">
        <v>1.2949999999999999</v>
      </c>
      <c r="L13" s="228">
        <v>1.387</v>
      </c>
      <c r="M13" s="228">
        <v>1.421</v>
      </c>
      <c r="N13" s="228">
        <v>1.458</v>
      </c>
      <c r="O13" s="228">
        <v>1.389</v>
      </c>
      <c r="P13" s="228">
        <v>1.5149999999999999</v>
      </c>
      <c r="Q13" s="228">
        <v>1.6279999999999999</v>
      </c>
      <c r="R13" s="228">
        <v>1.601</v>
      </c>
      <c r="S13" s="228">
        <v>1.5820000000000001</v>
      </c>
      <c r="T13" s="228">
        <v>1.7809999999999999</v>
      </c>
      <c r="U13" s="228">
        <v>1.8720000000000001</v>
      </c>
      <c r="V13" s="228">
        <v>2.0070000000000001</v>
      </c>
      <c r="W13" s="228">
        <v>1.976</v>
      </c>
      <c r="X13" s="228">
        <v>1.6830000000000001</v>
      </c>
      <c r="Y13" s="228">
        <v>1.6779999999999999</v>
      </c>
      <c r="Z13" s="228">
        <v>1.6379999999999999</v>
      </c>
      <c r="AA13" s="228">
        <v>1.5780000000000001</v>
      </c>
      <c r="AB13" s="228">
        <v>1.569</v>
      </c>
      <c r="AC13" s="228">
        <v>1.728</v>
      </c>
      <c r="AD13" s="228">
        <v>1.9179999999999999</v>
      </c>
      <c r="AE13" s="228">
        <v>1.9910000000000001</v>
      </c>
      <c r="AF13" s="228">
        <v>2.1219999999999999</v>
      </c>
      <c r="AG13" s="314">
        <v>93.931731984829327</v>
      </c>
      <c r="AH13" s="314">
        <v>100</v>
      </c>
      <c r="AI13" s="314"/>
      <c r="AJ13" s="314"/>
      <c r="AK13" s="313">
        <f>0.953065134099617*100</f>
        <v>95.306513409961696</v>
      </c>
      <c r="AL13" s="313">
        <v>100</v>
      </c>
      <c r="AM13" s="499">
        <f t="shared" si="2"/>
        <v>6.579608237066779</v>
      </c>
      <c r="AN13" s="187" t="s">
        <v>33</v>
      </c>
    </row>
    <row r="14" spans="1:43" ht="12.75" customHeight="1">
      <c r="A14" s="180"/>
      <c r="B14" s="191" t="s">
        <v>26</v>
      </c>
      <c r="C14" s="213">
        <v>1.9510000000000001</v>
      </c>
      <c r="D14" s="213">
        <v>1.464</v>
      </c>
      <c r="E14" s="193">
        <v>1.9770000000000001</v>
      </c>
      <c r="F14" s="193">
        <v>1.9950000000000001</v>
      </c>
      <c r="G14" s="193">
        <v>2.0459999999999998</v>
      </c>
      <c r="H14" s="193">
        <v>1.726</v>
      </c>
      <c r="I14" s="193">
        <v>1.599</v>
      </c>
      <c r="J14" s="193">
        <v>1.5680000000000001</v>
      </c>
      <c r="K14" s="193">
        <v>1.7509999999999999</v>
      </c>
      <c r="L14" s="193">
        <v>1.8839999999999999</v>
      </c>
      <c r="M14" s="193">
        <v>1.552</v>
      </c>
      <c r="N14" s="193">
        <v>1.583</v>
      </c>
      <c r="O14" s="193">
        <v>1.8859999999999999</v>
      </c>
      <c r="P14" s="193">
        <v>1.7470000000000001</v>
      </c>
      <c r="Q14" s="193">
        <v>1.8360000000000001</v>
      </c>
      <c r="R14" s="193">
        <v>1.5740000000000001</v>
      </c>
      <c r="S14" s="193">
        <v>1.6679999999999999</v>
      </c>
      <c r="T14" s="193">
        <v>1.8540000000000001</v>
      </c>
      <c r="U14" s="193">
        <v>1.8109999999999999</v>
      </c>
      <c r="V14" s="193">
        <v>1.93</v>
      </c>
      <c r="W14" s="193">
        <v>1.657</v>
      </c>
      <c r="X14" s="193">
        <v>1.4670000000000001</v>
      </c>
      <c r="Y14" s="193">
        <v>1.383</v>
      </c>
      <c r="Z14" s="193">
        <v>0.95799999999999996</v>
      </c>
      <c r="AA14" s="193">
        <v>0.83199999999999996</v>
      </c>
      <c r="AB14" s="193">
        <v>1.056</v>
      </c>
      <c r="AC14" s="193">
        <v>1.0720000000000001</v>
      </c>
      <c r="AD14" s="193">
        <v>1.2629999999999999</v>
      </c>
      <c r="AE14" s="193">
        <v>1.1919999999999999</v>
      </c>
      <c r="AF14" s="193">
        <v>1.1120000000000001</v>
      </c>
      <c r="AG14" s="314">
        <v>100</v>
      </c>
      <c r="AH14" s="314"/>
      <c r="AI14" s="314"/>
      <c r="AJ14" s="314">
        <v>93.013861386138615</v>
      </c>
      <c r="AK14" s="313">
        <f>0.972830188679245*100</f>
        <v>97.283018867924497</v>
      </c>
      <c r="AL14" s="313">
        <v>97.5</v>
      </c>
      <c r="AM14" s="493">
        <f t="shared" si="2"/>
        <v>-6.7114093959731491</v>
      </c>
      <c r="AN14" s="191" t="s">
        <v>26</v>
      </c>
    </row>
    <row r="15" spans="1:43" ht="12.75" customHeight="1">
      <c r="A15" s="180"/>
      <c r="B15" s="187" t="s">
        <v>31</v>
      </c>
      <c r="C15" s="227">
        <v>14.013</v>
      </c>
      <c r="D15" s="227">
        <v>13.526999999999999</v>
      </c>
      <c r="E15" s="228">
        <v>16.733000000000001</v>
      </c>
      <c r="F15" s="228">
        <v>16.356999999999999</v>
      </c>
      <c r="G15" s="228">
        <v>17.422000000000001</v>
      </c>
      <c r="H15" s="228">
        <v>16.486000000000001</v>
      </c>
      <c r="I15" s="228">
        <v>16.138999999999999</v>
      </c>
      <c r="J15" s="228">
        <v>16.594000000000001</v>
      </c>
      <c r="K15" s="229">
        <v>16.8</v>
      </c>
      <c r="L15" s="229">
        <v>17.878</v>
      </c>
      <c r="M15" s="229">
        <v>18.869</v>
      </c>
      <c r="N15" s="228">
        <v>19.655000000000001</v>
      </c>
      <c r="O15" s="228">
        <v>20.143999999999998</v>
      </c>
      <c r="P15" s="228">
        <v>20.827999999999999</v>
      </c>
      <c r="Q15" s="228">
        <v>21.210999999999999</v>
      </c>
      <c r="R15" s="228">
        <v>21.126999999999999</v>
      </c>
      <c r="S15" s="228">
        <v>20.385999999999999</v>
      </c>
      <c r="T15" s="228">
        <v>21.623999999999999</v>
      </c>
      <c r="U15" s="228">
        <v>22.105</v>
      </c>
      <c r="V15" s="228">
        <v>21.856999999999999</v>
      </c>
      <c r="W15" s="189">
        <v>23.969000000000001</v>
      </c>
      <c r="X15" s="189">
        <v>23.137</v>
      </c>
      <c r="Y15" s="189">
        <v>22.456</v>
      </c>
      <c r="Z15" s="189">
        <v>22.795000000000002</v>
      </c>
      <c r="AA15" s="189">
        <v>22.475999999999999</v>
      </c>
      <c r="AB15" s="189">
        <v>23.788</v>
      </c>
      <c r="AC15" s="189">
        <v>25.071999999999999</v>
      </c>
      <c r="AD15" s="189">
        <v>26.141999999999999</v>
      </c>
      <c r="AE15" s="189">
        <v>26.670100000000001</v>
      </c>
      <c r="AF15" s="189">
        <v>27.515999999999998</v>
      </c>
      <c r="AG15" s="314">
        <v>50.858063904427794</v>
      </c>
      <c r="AH15" s="314"/>
      <c r="AI15" s="314"/>
      <c r="AJ15" s="314"/>
      <c r="AK15" s="313">
        <f>0.430469336918271*100</f>
        <v>43.0469336918271</v>
      </c>
      <c r="AL15" s="313">
        <v>43.1</v>
      </c>
      <c r="AM15" s="499">
        <f t="shared" si="2"/>
        <v>3.1717166414823907</v>
      </c>
      <c r="AN15" s="187" t="s">
        <v>31</v>
      </c>
    </row>
    <row r="16" spans="1:43" ht="12.75" customHeight="1">
      <c r="A16" s="180"/>
      <c r="B16" s="191" t="s">
        <v>32</v>
      </c>
      <c r="C16" s="213">
        <v>40.978999999999999</v>
      </c>
      <c r="D16" s="213">
        <v>54.496000000000002</v>
      </c>
      <c r="E16" s="193">
        <v>53.8</v>
      </c>
      <c r="F16" s="193">
        <v>52.5</v>
      </c>
      <c r="G16" s="193">
        <v>53.1</v>
      </c>
      <c r="H16" s="193">
        <v>48.7</v>
      </c>
      <c r="I16" s="193">
        <v>49.7</v>
      </c>
      <c r="J16" s="193">
        <v>46.8</v>
      </c>
      <c r="K16" s="193">
        <v>50.7</v>
      </c>
      <c r="L16" s="193">
        <v>52.2</v>
      </c>
      <c r="M16" s="193">
        <v>55.7</v>
      </c>
      <c r="N16" s="193">
        <v>57</v>
      </c>
      <c r="O16" s="193">
        <v>74.900000000000006</v>
      </c>
      <c r="P16" s="193">
        <v>76.8</v>
      </c>
      <c r="Q16" s="193">
        <v>78.599999999999994</v>
      </c>
      <c r="R16" s="193">
        <v>76.599999999999994</v>
      </c>
      <c r="S16" s="193">
        <v>80.2</v>
      </c>
      <c r="T16" s="193">
        <v>82.3</v>
      </c>
      <c r="U16" s="193">
        <v>85.8</v>
      </c>
      <c r="V16" s="193">
        <v>87.9</v>
      </c>
      <c r="W16" s="193">
        <v>93.2</v>
      </c>
      <c r="X16" s="193">
        <v>92.3</v>
      </c>
      <c r="Y16" s="193">
        <v>92.4</v>
      </c>
      <c r="Z16" s="193">
        <v>95.7</v>
      </c>
      <c r="AA16" s="193">
        <v>95.8</v>
      </c>
      <c r="AB16" s="193">
        <v>95.1</v>
      </c>
      <c r="AC16" s="193">
        <v>94.4</v>
      </c>
      <c r="AD16" s="193">
        <v>94.7</v>
      </c>
      <c r="AE16" s="193">
        <v>94</v>
      </c>
      <c r="AF16" s="193">
        <v>100.1</v>
      </c>
      <c r="AG16" s="314">
        <v>37.609649122807014</v>
      </c>
      <c r="AH16" s="314">
        <v>37.086092715231786</v>
      </c>
      <c r="AI16" s="314">
        <v>38.200000000000003</v>
      </c>
      <c r="AJ16" s="314">
        <v>37.655068573860099</v>
      </c>
      <c r="AK16" s="313">
        <f>0.380275452814313*100</f>
        <v>38.027545281431301</v>
      </c>
      <c r="AL16" s="313">
        <v>40.4</v>
      </c>
      <c r="AM16" s="493">
        <f t="shared" si="2"/>
        <v>6.4893617021276668</v>
      </c>
      <c r="AN16" s="191" t="s">
        <v>32</v>
      </c>
    </row>
    <row r="17" spans="1:44" ht="12.75" customHeight="1">
      <c r="A17" s="180"/>
      <c r="B17" s="187" t="s">
        <v>44</v>
      </c>
      <c r="C17" s="188">
        <v>3.7320000000000002</v>
      </c>
      <c r="D17" s="188">
        <v>3.6190000000000002</v>
      </c>
      <c r="E17" s="189">
        <v>3.4289999999999998</v>
      </c>
      <c r="F17" s="189">
        <v>1.427</v>
      </c>
      <c r="G17" s="189">
        <v>1.145</v>
      </c>
      <c r="H17" s="189">
        <v>1.0940000000000001</v>
      </c>
      <c r="I17" s="189">
        <v>1.1819999999999999</v>
      </c>
      <c r="J17" s="189">
        <v>1.139</v>
      </c>
      <c r="K17" s="189">
        <v>1.2050000000000001</v>
      </c>
      <c r="L17" s="189">
        <v>1.1579999999999999</v>
      </c>
      <c r="M17" s="189">
        <v>1.0920000000000001</v>
      </c>
      <c r="N17" s="189">
        <v>1.137</v>
      </c>
      <c r="O17" s="189">
        <v>1.252</v>
      </c>
      <c r="P17" s="189">
        <v>1.2410000000000001</v>
      </c>
      <c r="Q17" s="189">
        <v>1.1950000000000001</v>
      </c>
      <c r="R17" s="189">
        <v>1.163</v>
      </c>
      <c r="S17" s="189">
        <v>1.169</v>
      </c>
      <c r="T17" s="189">
        <v>1.2270000000000001</v>
      </c>
      <c r="U17" s="189">
        <v>1.3220000000000001</v>
      </c>
      <c r="V17" s="189">
        <v>1.573</v>
      </c>
      <c r="W17" s="189">
        <v>1.7689999999999999</v>
      </c>
      <c r="X17" s="189">
        <v>1.802</v>
      </c>
      <c r="Y17" s="189">
        <v>1.7110000000000001</v>
      </c>
      <c r="Z17" s="189">
        <v>1.4570000000000001</v>
      </c>
      <c r="AA17" s="189">
        <v>1.08</v>
      </c>
      <c r="AB17" s="189">
        <v>0.93500000000000005</v>
      </c>
      <c r="AC17" s="189">
        <v>0.91700000000000004</v>
      </c>
      <c r="AD17" s="189">
        <v>0.94099999999999995</v>
      </c>
      <c r="AE17" s="189">
        <v>0.82699999999999996</v>
      </c>
      <c r="AF17" s="189">
        <v>0.73599999999999999</v>
      </c>
      <c r="AG17" s="314"/>
      <c r="AH17" s="314">
        <v>100</v>
      </c>
      <c r="AI17" s="314">
        <v>100</v>
      </c>
      <c r="AJ17" s="314">
        <v>100</v>
      </c>
      <c r="AK17" s="313">
        <v>100</v>
      </c>
      <c r="AL17" s="313">
        <v>99.2</v>
      </c>
      <c r="AM17" s="499">
        <f t="shared" si="2"/>
        <v>-11.003627569528419</v>
      </c>
      <c r="AN17" s="187" t="s">
        <v>44</v>
      </c>
    </row>
    <row r="18" spans="1:44" ht="12.75" customHeight="1">
      <c r="A18" s="180"/>
      <c r="B18" s="191" t="s">
        <v>34</v>
      </c>
      <c r="C18" s="213">
        <v>32.457000000000001</v>
      </c>
      <c r="D18" s="213">
        <v>39.587000000000003</v>
      </c>
      <c r="E18" s="193">
        <v>44.709000000000003</v>
      </c>
      <c r="F18" s="193">
        <v>45.064999999999998</v>
      </c>
      <c r="G18" s="193">
        <v>44.408999999999999</v>
      </c>
      <c r="H18" s="193">
        <v>42.72</v>
      </c>
      <c r="I18" s="225">
        <v>43.375</v>
      </c>
      <c r="J18" s="193">
        <f>43.859+2.792</f>
        <v>46.651000000000003</v>
      </c>
      <c r="K18" s="193">
        <f>44.78+2.8</f>
        <v>47.58</v>
      </c>
      <c r="L18" s="193">
        <f>43.591+2.8</f>
        <v>46.390999999999998</v>
      </c>
      <c r="M18" s="193">
        <f>41.391+2.8</f>
        <v>44.190999999999995</v>
      </c>
      <c r="N18" s="193">
        <f>43.424+2.878</f>
        <v>46.302</v>
      </c>
      <c r="O18" s="193">
        <f>47.133+2.439</f>
        <v>49.572000000000003</v>
      </c>
      <c r="P18" s="193">
        <f>46.752+3.324</f>
        <v>50.076000000000001</v>
      </c>
      <c r="Q18" s="193">
        <f>45.956+3.348</f>
        <v>49.304000000000002</v>
      </c>
      <c r="R18" s="193">
        <f>45.222+3.475</f>
        <v>48.697000000000003</v>
      </c>
      <c r="S18" s="193">
        <v>49.253999999999998</v>
      </c>
      <c r="T18" s="193">
        <v>50.088000000000001</v>
      </c>
      <c r="U18" s="193">
        <v>50.185000000000002</v>
      </c>
      <c r="V18" s="193">
        <v>49.78</v>
      </c>
      <c r="W18" s="193">
        <v>49.524000000000001</v>
      </c>
      <c r="X18" s="193">
        <v>48.124000000000002</v>
      </c>
      <c r="Y18" s="193">
        <v>47.171999999999997</v>
      </c>
      <c r="Z18" s="193">
        <v>46.844999999999999</v>
      </c>
      <c r="AA18" s="193">
        <v>46.759</v>
      </c>
      <c r="AB18" s="193">
        <v>48.738999999999997</v>
      </c>
      <c r="AC18" s="193">
        <v>49.957000000000001</v>
      </c>
      <c r="AD18" s="193">
        <v>52.207000000000001</v>
      </c>
      <c r="AE18" s="193">
        <v>52.178064999999997</v>
      </c>
      <c r="AF18" s="193">
        <v>53.231000000000002</v>
      </c>
      <c r="AG18" s="314">
        <v>51.367123467313611</v>
      </c>
      <c r="AH18" s="314">
        <v>61.089518687367381</v>
      </c>
      <c r="AI18" s="314">
        <v>66.7</v>
      </c>
      <c r="AJ18" s="314">
        <v>60.161833826318691</v>
      </c>
      <c r="AK18" s="313">
        <f>0.566308941822644*100</f>
        <v>56.630894182264399</v>
      </c>
      <c r="AL18" s="313">
        <v>57.3</v>
      </c>
      <c r="AM18" s="493">
        <f t="shared" si="2"/>
        <v>2.0179648287072354</v>
      </c>
      <c r="AN18" s="191" t="s">
        <v>34</v>
      </c>
    </row>
    <row r="19" spans="1:44" ht="12.75" customHeight="1">
      <c r="A19" s="180"/>
      <c r="B19" s="187" t="s">
        <v>13</v>
      </c>
      <c r="C19" s="297" t="s">
        <v>43</v>
      </c>
      <c r="D19" s="297" t="s">
        <v>43</v>
      </c>
      <c r="E19" s="298" t="s">
        <v>43</v>
      </c>
      <c r="F19" s="298" t="s">
        <v>43</v>
      </c>
      <c r="G19" s="298" t="s">
        <v>43</v>
      </c>
      <c r="H19" s="298" t="s">
        <v>43</v>
      </c>
      <c r="I19" s="298" t="s">
        <v>43</v>
      </c>
      <c r="J19" s="298" t="s">
        <v>43</v>
      </c>
      <c r="K19" s="298" t="s">
        <v>43</v>
      </c>
      <c r="L19" s="298" t="s">
        <v>43</v>
      </c>
      <c r="M19" s="298" t="s">
        <v>43</v>
      </c>
      <c r="N19" s="298" t="s">
        <v>43</v>
      </c>
      <c r="O19" s="298" t="s">
        <v>43</v>
      </c>
      <c r="P19" s="298" t="s">
        <v>43</v>
      </c>
      <c r="Q19" s="298" t="s">
        <v>43</v>
      </c>
      <c r="R19" s="298" t="s">
        <v>43</v>
      </c>
      <c r="S19" s="298" t="s">
        <v>43</v>
      </c>
      <c r="T19" s="298" t="s">
        <v>43</v>
      </c>
      <c r="U19" s="298" t="s">
        <v>43</v>
      </c>
      <c r="V19" s="298" t="s">
        <v>43</v>
      </c>
      <c r="W19" s="298" t="s">
        <v>43</v>
      </c>
      <c r="X19" s="298" t="s">
        <v>43</v>
      </c>
      <c r="Y19" s="298" t="s">
        <v>43</v>
      </c>
      <c r="Z19" s="298" t="s">
        <v>43</v>
      </c>
      <c r="AA19" s="298" t="s">
        <v>43</v>
      </c>
      <c r="AB19" s="298" t="s">
        <v>43</v>
      </c>
      <c r="AC19" s="298" t="s">
        <v>43</v>
      </c>
      <c r="AD19" s="298" t="s">
        <v>43</v>
      </c>
      <c r="AE19" s="298" t="s">
        <v>43</v>
      </c>
      <c r="AF19" s="298" t="s">
        <v>43</v>
      </c>
      <c r="AG19" s="314" t="s">
        <v>43</v>
      </c>
      <c r="AH19" s="314" t="s">
        <v>43</v>
      </c>
      <c r="AI19" s="314" t="s">
        <v>43</v>
      </c>
      <c r="AJ19" s="314" t="s">
        <v>43</v>
      </c>
      <c r="AK19" s="313" t="s">
        <v>43</v>
      </c>
      <c r="AL19" s="313" t="s">
        <v>43</v>
      </c>
      <c r="AM19" s="492" t="s">
        <v>43</v>
      </c>
      <c r="AN19" s="187" t="s">
        <v>13</v>
      </c>
    </row>
    <row r="20" spans="1:44" s="201" customFormat="1" ht="12.75" customHeight="1">
      <c r="A20" s="206"/>
      <c r="B20" s="191" t="s">
        <v>17</v>
      </c>
      <c r="C20" s="213">
        <v>3.7469999999999999</v>
      </c>
      <c r="D20" s="213">
        <v>4.6870000000000003</v>
      </c>
      <c r="E20" s="193">
        <v>5.3659999999999997</v>
      </c>
      <c r="F20" s="193">
        <v>3.93</v>
      </c>
      <c r="G20" s="193">
        <v>3.6560000000000001</v>
      </c>
      <c r="H20" s="193">
        <v>2.359</v>
      </c>
      <c r="I20" s="193">
        <v>1.794</v>
      </c>
      <c r="J20" s="193">
        <v>1.373</v>
      </c>
      <c r="K20" s="193">
        <v>1.149</v>
      </c>
      <c r="L20" s="193">
        <v>1.1539999999999999</v>
      </c>
      <c r="M20" s="193">
        <v>1.0589999999999999</v>
      </c>
      <c r="N20" s="193">
        <v>0.98399999999999999</v>
      </c>
      <c r="O20" s="193">
        <v>0.71499999999999997</v>
      </c>
      <c r="P20" s="193">
        <v>0.70599999999999996</v>
      </c>
      <c r="Q20" s="193">
        <v>0.74399999999999999</v>
      </c>
      <c r="R20" s="193">
        <v>0.76200000000000001</v>
      </c>
      <c r="S20" s="193">
        <v>0.80600000000000005</v>
      </c>
      <c r="T20" s="193">
        <v>0.88900000000000001</v>
      </c>
      <c r="U20" s="193">
        <v>0.98599999999999999</v>
      </c>
      <c r="V20" s="193">
        <v>0.97499999999999998</v>
      </c>
      <c r="W20" s="193">
        <v>0.94099999999999995</v>
      </c>
      <c r="X20" s="193">
        <v>0.748</v>
      </c>
      <c r="Y20" s="193">
        <v>0.74099999999999999</v>
      </c>
      <c r="Z20" s="193">
        <v>0.73299999999999998</v>
      </c>
      <c r="AA20" s="193">
        <v>0.71699999999999997</v>
      </c>
      <c r="AB20" s="193">
        <v>0.72099999999999997</v>
      </c>
      <c r="AC20" s="193">
        <v>0.64400000000000002</v>
      </c>
      <c r="AD20" s="193">
        <v>0.59</v>
      </c>
      <c r="AE20" s="193">
        <v>0.58399999999999996</v>
      </c>
      <c r="AF20" s="193">
        <v>0.59599999999999997</v>
      </c>
      <c r="AG20" s="314">
        <v>88.275862068965523</v>
      </c>
      <c r="AH20" s="314">
        <v>88.520055325034576</v>
      </c>
      <c r="AI20" s="314">
        <v>89.8</v>
      </c>
      <c r="AJ20" s="314">
        <v>91.832148900169202</v>
      </c>
      <c r="AK20" s="313">
        <f>0.931258549931601*100</f>
        <v>93.12585499316009</v>
      </c>
      <c r="AL20" s="313">
        <v>92.9</v>
      </c>
      <c r="AM20" s="493">
        <f>AF20/AE20*100-100</f>
        <v>2.0547945205479579</v>
      </c>
      <c r="AN20" s="191" t="s">
        <v>17</v>
      </c>
      <c r="AR20" s="519"/>
    </row>
    <row r="21" spans="1:44" ht="12.75" customHeight="1">
      <c r="A21" s="180"/>
      <c r="B21" s="187" t="s">
        <v>18</v>
      </c>
      <c r="C21" s="188">
        <v>2.1320000000000001</v>
      </c>
      <c r="D21" s="188">
        <v>3.258</v>
      </c>
      <c r="E21" s="189">
        <v>3.64</v>
      </c>
      <c r="F21" s="189">
        <v>3.2250000000000001</v>
      </c>
      <c r="G21" s="189">
        <v>2.74</v>
      </c>
      <c r="H21" s="189">
        <v>2.7</v>
      </c>
      <c r="I21" s="189">
        <v>1.5740000000000001</v>
      </c>
      <c r="J21" s="189">
        <v>1.1299999999999999</v>
      </c>
      <c r="K21" s="189">
        <v>0.95399999999999996</v>
      </c>
      <c r="L21" s="189">
        <v>0.84199999999999997</v>
      </c>
      <c r="M21" s="189">
        <v>0.8</v>
      </c>
      <c r="N21" s="189">
        <v>0.745</v>
      </c>
      <c r="O21" s="189">
        <v>0.61099999999999999</v>
      </c>
      <c r="P21" s="189">
        <v>0.53300000000000003</v>
      </c>
      <c r="Q21" s="189">
        <v>0.498</v>
      </c>
      <c r="R21" s="189">
        <v>0.432</v>
      </c>
      <c r="S21" s="189">
        <v>0.44400000000000001</v>
      </c>
      <c r="T21" s="189">
        <v>0.28000000000000003</v>
      </c>
      <c r="U21" s="189">
        <v>0.26800000000000002</v>
      </c>
      <c r="V21" s="189">
        <v>0.246</v>
      </c>
      <c r="W21" s="189">
        <v>0.25800000000000001</v>
      </c>
      <c r="X21" s="189">
        <v>0.23100000000000001</v>
      </c>
      <c r="Y21" s="189">
        <v>0.24399999999999999</v>
      </c>
      <c r="Z21" s="189">
        <v>0.26900000000000002</v>
      </c>
      <c r="AA21" s="189">
        <v>0.27800000000000002</v>
      </c>
      <c r="AB21" s="189">
        <v>0.27800000000000002</v>
      </c>
      <c r="AC21" s="189">
        <v>0.27</v>
      </c>
      <c r="AD21" s="189">
        <v>0.26200000000000001</v>
      </c>
      <c r="AE21" s="189">
        <v>0.28000000000000003</v>
      </c>
      <c r="AF21" s="189">
        <v>0.315</v>
      </c>
      <c r="AG21" s="314">
        <v>100</v>
      </c>
      <c r="AH21" s="355">
        <v>64.514066496163679</v>
      </c>
      <c r="AI21" s="314">
        <v>67.2</v>
      </c>
      <c r="AJ21" s="314">
        <v>68.69806094182826</v>
      </c>
      <c r="AK21" s="313">
        <f>0.674242424242424*100</f>
        <v>67.424242424242394</v>
      </c>
      <c r="AL21" s="313">
        <v>71.3</v>
      </c>
      <c r="AM21" s="499">
        <f>AF21/AE21*100-100</f>
        <v>12.5</v>
      </c>
      <c r="AN21" s="187" t="s">
        <v>18</v>
      </c>
    </row>
    <row r="22" spans="1:44" s="201" customFormat="1" ht="12.75" customHeight="1">
      <c r="A22" s="206"/>
      <c r="B22" s="191" t="s">
        <v>35</v>
      </c>
      <c r="C22" s="213">
        <v>0.25600000000000001</v>
      </c>
      <c r="D22" s="213">
        <v>0.246</v>
      </c>
      <c r="E22" s="193">
        <v>0.20799999999999999</v>
      </c>
      <c r="F22" s="193">
        <v>0.22</v>
      </c>
      <c r="G22" s="193">
        <v>0.255</v>
      </c>
      <c r="H22" s="193">
        <v>0.26200000000000001</v>
      </c>
      <c r="I22" s="193">
        <v>0.28899999999999998</v>
      </c>
      <c r="J22" s="193">
        <v>0.28699999999999998</v>
      </c>
      <c r="K22" s="193">
        <v>0.28399999999999997</v>
      </c>
      <c r="L22" s="193">
        <v>0.29499999999999998</v>
      </c>
      <c r="M22" s="193">
        <v>0.3</v>
      </c>
      <c r="N22" s="193">
        <v>0.31</v>
      </c>
      <c r="O22" s="193">
        <v>0.33200000000000002</v>
      </c>
      <c r="P22" s="193">
        <v>0.34599999999999997</v>
      </c>
      <c r="Q22" s="193">
        <v>0.26800000000000002</v>
      </c>
      <c r="R22" s="193">
        <v>0.26200000000000001</v>
      </c>
      <c r="S22" s="193">
        <v>0.253</v>
      </c>
      <c r="T22" s="193">
        <v>0.26700000000000002</v>
      </c>
      <c r="U22" s="193">
        <v>0.29799999999999999</v>
      </c>
      <c r="V22" s="193">
        <v>0.316</v>
      </c>
      <c r="W22" s="193">
        <v>0.34499999999999997</v>
      </c>
      <c r="X22" s="193">
        <v>0.33300000000000002</v>
      </c>
      <c r="Y22" s="193">
        <v>0.34699999999999998</v>
      </c>
      <c r="Z22" s="193">
        <f>0.349</f>
        <v>0.34899999999999998</v>
      </c>
      <c r="AA22" s="193">
        <v>0.373</v>
      </c>
      <c r="AB22" s="193">
        <v>0.39400000000000002</v>
      </c>
      <c r="AC22" s="193">
        <v>0.36599999999999999</v>
      </c>
      <c r="AD22" s="193">
        <v>0.41799999999999998</v>
      </c>
      <c r="AE22" s="193">
        <v>0.41699999999999998</v>
      </c>
      <c r="AF22" s="193">
        <v>0.438</v>
      </c>
      <c r="AG22" s="319"/>
      <c r="AH22" s="314">
        <v>100</v>
      </c>
      <c r="AI22" s="314">
        <v>100</v>
      </c>
      <c r="AJ22" s="314"/>
      <c r="AK22" s="313"/>
      <c r="AL22" s="313"/>
      <c r="AM22" s="493">
        <f>AF22/AE22*100-100</f>
        <v>5.0359712230215905</v>
      </c>
      <c r="AN22" s="191" t="s">
        <v>35</v>
      </c>
    </row>
    <row r="23" spans="1:44" ht="12.75" customHeight="1">
      <c r="A23" s="180"/>
      <c r="B23" s="187" t="s">
        <v>16</v>
      </c>
      <c r="C23" s="188">
        <v>16.350000000000001</v>
      </c>
      <c r="D23" s="188">
        <v>13.544</v>
      </c>
      <c r="E23" s="189">
        <v>11.403</v>
      </c>
      <c r="F23" s="189">
        <v>9.8610000000000007</v>
      </c>
      <c r="G23" s="189">
        <v>9.1829999999999998</v>
      </c>
      <c r="H23" s="189">
        <v>8.4320000000000004</v>
      </c>
      <c r="I23" s="189">
        <v>8.5079999999999991</v>
      </c>
      <c r="J23" s="189">
        <v>8.4410000000000007</v>
      </c>
      <c r="K23" s="189">
        <v>8.5820000000000007</v>
      </c>
      <c r="L23" s="189">
        <v>8.6690000000000005</v>
      </c>
      <c r="M23" s="189">
        <v>8.8840000000000003</v>
      </c>
      <c r="N23" s="189">
        <v>9.5139999999999993</v>
      </c>
      <c r="O23" s="189">
        <v>9.6929999999999996</v>
      </c>
      <c r="P23" s="189">
        <v>10.005000000000001</v>
      </c>
      <c r="Q23" s="189">
        <v>10.531000000000001</v>
      </c>
      <c r="R23" s="189">
        <v>10.286</v>
      </c>
      <c r="S23" s="189">
        <v>10.164999999999999</v>
      </c>
      <c r="T23" s="189">
        <v>9.8510000000000009</v>
      </c>
      <c r="U23" s="189">
        <v>9.6579999999999995</v>
      </c>
      <c r="V23" s="189">
        <v>8.7520000000000007</v>
      </c>
      <c r="W23" s="189">
        <v>8.2919999999999998</v>
      </c>
      <c r="X23" s="189">
        <v>8.0719999999999992</v>
      </c>
      <c r="Y23" s="189">
        <v>7.681</v>
      </c>
      <c r="Z23" s="189">
        <v>7.7629999999999999</v>
      </c>
      <c r="AA23" s="189">
        <v>7.806</v>
      </c>
      <c r="AB23" s="189">
        <v>7.8419999999999996</v>
      </c>
      <c r="AC23" s="189">
        <v>7.7380000000000004</v>
      </c>
      <c r="AD23" s="189">
        <v>7.609</v>
      </c>
      <c r="AE23" s="189">
        <v>7.6529999999999996</v>
      </c>
      <c r="AF23" s="189">
        <v>7.7309999999999999</v>
      </c>
      <c r="AG23" s="314">
        <v>94.260089686098652</v>
      </c>
      <c r="AH23" s="314">
        <v>95.349135169762974</v>
      </c>
      <c r="AI23" s="314">
        <v>95.5</v>
      </c>
      <c r="AJ23" s="314">
        <v>95.088271969547804</v>
      </c>
      <c r="AK23" s="313">
        <f>0.953600836491962*100</f>
        <v>95.360083649196199</v>
      </c>
      <c r="AL23" s="313">
        <v>95.3</v>
      </c>
      <c r="AM23" s="499">
        <f>AF23/AE23*100-100</f>
        <v>1.0192081536652324</v>
      </c>
      <c r="AN23" s="187" t="s">
        <v>16</v>
      </c>
    </row>
    <row r="24" spans="1:44" s="201" customFormat="1" ht="12.75" customHeight="1">
      <c r="A24" s="206"/>
      <c r="B24" s="191" t="s">
        <v>19</v>
      </c>
      <c r="C24" s="301" t="s">
        <v>43</v>
      </c>
      <c r="D24" s="301" t="s">
        <v>43</v>
      </c>
      <c r="E24" s="295" t="s">
        <v>43</v>
      </c>
      <c r="F24" s="295" t="s">
        <v>43</v>
      </c>
      <c r="G24" s="295" t="s">
        <v>43</v>
      </c>
      <c r="H24" s="295" t="s">
        <v>43</v>
      </c>
      <c r="I24" s="295" t="s">
        <v>43</v>
      </c>
      <c r="J24" s="295" t="s">
        <v>43</v>
      </c>
      <c r="K24" s="295" t="s">
        <v>43</v>
      </c>
      <c r="L24" s="295" t="s">
        <v>43</v>
      </c>
      <c r="M24" s="295" t="s">
        <v>43</v>
      </c>
      <c r="N24" s="295" t="s">
        <v>43</v>
      </c>
      <c r="O24" s="295" t="s">
        <v>43</v>
      </c>
      <c r="P24" s="295" t="s">
        <v>43</v>
      </c>
      <c r="Q24" s="295" t="s">
        <v>43</v>
      </c>
      <c r="R24" s="295" t="s">
        <v>43</v>
      </c>
      <c r="S24" s="295" t="s">
        <v>43</v>
      </c>
      <c r="T24" s="295" t="s">
        <v>43</v>
      </c>
      <c r="U24" s="295" t="s">
        <v>43</v>
      </c>
      <c r="V24" s="295" t="s">
        <v>43</v>
      </c>
      <c r="W24" s="295" t="s">
        <v>43</v>
      </c>
      <c r="X24" s="295" t="s">
        <v>43</v>
      </c>
      <c r="Y24" s="295" t="s">
        <v>43</v>
      </c>
      <c r="Z24" s="295" t="s">
        <v>43</v>
      </c>
      <c r="AA24" s="295" t="s">
        <v>43</v>
      </c>
      <c r="AB24" s="295" t="s">
        <v>43</v>
      </c>
      <c r="AC24" s="295" t="s">
        <v>43</v>
      </c>
      <c r="AD24" s="295" t="s">
        <v>43</v>
      </c>
      <c r="AE24" s="295" t="s">
        <v>43</v>
      </c>
      <c r="AF24" s="295" t="s">
        <v>43</v>
      </c>
      <c r="AG24" s="314" t="s">
        <v>43</v>
      </c>
      <c r="AH24" s="314" t="s">
        <v>43</v>
      </c>
      <c r="AI24" s="314" t="s">
        <v>43</v>
      </c>
      <c r="AJ24" s="314" t="s">
        <v>43</v>
      </c>
      <c r="AK24" s="313" t="s">
        <v>43</v>
      </c>
      <c r="AL24" s="313" t="s">
        <v>43</v>
      </c>
      <c r="AM24" s="493" t="s">
        <v>43</v>
      </c>
      <c r="AN24" s="191" t="s">
        <v>19</v>
      </c>
    </row>
    <row r="25" spans="1:44" ht="12.75" customHeight="1">
      <c r="A25" s="180"/>
      <c r="B25" s="187" t="s">
        <v>27</v>
      </c>
      <c r="C25" s="188">
        <v>8.0109999999999992</v>
      </c>
      <c r="D25" s="188">
        <v>8.91</v>
      </c>
      <c r="E25" s="189">
        <v>11.06</v>
      </c>
      <c r="F25" s="189">
        <v>15.195</v>
      </c>
      <c r="G25" s="189">
        <v>15.35</v>
      </c>
      <c r="H25" s="189">
        <v>15.244999999999999</v>
      </c>
      <c r="I25" s="189">
        <v>14.439</v>
      </c>
      <c r="J25" s="189">
        <v>16.350000000000001</v>
      </c>
      <c r="K25" s="189">
        <v>14.092000000000001</v>
      </c>
      <c r="L25" s="189">
        <v>13.875</v>
      </c>
      <c r="M25" s="189">
        <v>14.106999999999999</v>
      </c>
      <c r="N25" s="189">
        <v>14.281000000000001</v>
      </c>
      <c r="O25" s="189">
        <v>14.666</v>
      </c>
      <c r="P25" s="189">
        <v>14.391999999999999</v>
      </c>
      <c r="Q25" s="189">
        <v>14.288</v>
      </c>
      <c r="R25" s="189">
        <v>13.848000000000001</v>
      </c>
      <c r="S25" s="189">
        <v>14.509</v>
      </c>
      <c r="T25" s="189">
        <v>15.153</v>
      </c>
      <c r="U25" s="189">
        <v>15.888999999999999</v>
      </c>
      <c r="V25" s="189">
        <v>16.324999999999999</v>
      </c>
      <c r="W25" s="189">
        <v>16.343</v>
      </c>
      <c r="X25" s="189">
        <v>16.454999999999998</v>
      </c>
      <c r="Y25" s="189">
        <v>16.899999999999999</v>
      </c>
      <c r="Z25" s="189">
        <v>17.478999999999999</v>
      </c>
      <c r="AA25" s="189">
        <v>17.771000000000001</v>
      </c>
      <c r="AB25" s="189">
        <v>19.044</v>
      </c>
      <c r="AC25" s="189">
        <v>20.004999999999999</v>
      </c>
      <c r="AD25" s="189">
        <v>17.523</v>
      </c>
      <c r="AE25" s="189">
        <v>17.98</v>
      </c>
      <c r="AF25" s="189">
        <v>18.437000000000001</v>
      </c>
      <c r="AG25" s="314"/>
      <c r="AH25" s="314">
        <v>96.315580961005153</v>
      </c>
      <c r="AI25" s="314">
        <v>94.7</v>
      </c>
      <c r="AJ25" s="314">
        <v>100</v>
      </c>
      <c r="AK25" s="313"/>
      <c r="AL25" s="313">
        <v>99.5</v>
      </c>
      <c r="AM25" s="499">
        <f t="shared" ref="AM25:AM39" si="3">AF25/AE25*100-100</f>
        <v>2.5417130144605125</v>
      </c>
      <c r="AN25" s="187" t="s">
        <v>27</v>
      </c>
    </row>
    <row r="26" spans="1:44" s="201" customFormat="1" ht="12.75" customHeight="1">
      <c r="A26" s="206"/>
      <c r="B26" s="191" t="s">
        <v>36</v>
      </c>
      <c r="C26" s="213">
        <v>6.4379999999999997</v>
      </c>
      <c r="D26" s="213">
        <v>7.5860000000000003</v>
      </c>
      <c r="E26" s="193">
        <v>8.9120000000000008</v>
      </c>
      <c r="F26" s="193">
        <v>9.59</v>
      </c>
      <c r="G26" s="193">
        <v>9.9570000000000007</v>
      </c>
      <c r="H26" s="193">
        <v>9.7639999999999993</v>
      </c>
      <c r="I26" s="193">
        <v>9.9489999999999998</v>
      </c>
      <c r="J26" s="193">
        <v>10.124000000000001</v>
      </c>
      <c r="K26" s="193">
        <v>10.222</v>
      </c>
      <c r="L26" s="193">
        <v>8.7089999999999996</v>
      </c>
      <c r="M26" s="193">
        <v>8.5370000000000008</v>
      </c>
      <c r="N26" s="193">
        <v>8.5540000000000003</v>
      </c>
      <c r="O26" s="193">
        <v>8.73978502490829</v>
      </c>
      <c r="P26" s="193">
        <v>8.7609313094415793</v>
      </c>
      <c r="Q26" s="193">
        <v>8.8098526138045195</v>
      </c>
      <c r="R26" s="193">
        <v>8.6731335633535007</v>
      </c>
      <c r="S26" s="193">
        <v>8.2739999999999991</v>
      </c>
      <c r="T26" s="193">
        <v>8.6850000000000005</v>
      </c>
      <c r="U26" s="193">
        <v>8.907</v>
      </c>
      <c r="V26" s="193">
        <v>9.1669999999999998</v>
      </c>
      <c r="W26" s="193">
        <v>10.365</v>
      </c>
      <c r="X26" s="193">
        <v>10.183999999999999</v>
      </c>
      <c r="Y26" s="193">
        <v>10.263</v>
      </c>
      <c r="Z26" s="193">
        <v>10.778</v>
      </c>
      <c r="AA26" s="193">
        <v>11.211</v>
      </c>
      <c r="AB26" s="193">
        <v>11.804</v>
      </c>
      <c r="AC26" s="193">
        <v>11.981</v>
      </c>
      <c r="AD26" s="193">
        <v>12.211</v>
      </c>
      <c r="AE26" s="193">
        <v>12.578099999999999</v>
      </c>
      <c r="AF26" s="193">
        <v>12.657</v>
      </c>
      <c r="AG26" s="319"/>
      <c r="AH26" s="319"/>
      <c r="AI26" s="314">
        <v>71.099999999999994</v>
      </c>
      <c r="AJ26" s="314">
        <v>69.107289107289105</v>
      </c>
      <c r="AK26" s="313">
        <f>0.693914218706523*100</f>
        <v>69.391421870652309</v>
      </c>
      <c r="AL26" s="313">
        <v>67.8</v>
      </c>
      <c r="AM26" s="493">
        <f t="shared" si="3"/>
        <v>0.62728074987478522</v>
      </c>
      <c r="AN26" s="191" t="s">
        <v>36</v>
      </c>
    </row>
    <row r="27" spans="1:44" ht="12.75" customHeight="1">
      <c r="A27" s="180"/>
      <c r="B27" s="187" t="s">
        <v>20</v>
      </c>
      <c r="C27" s="188">
        <v>36.890999999999998</v>
      </c>
      <c r="D27" s="188">
        <v>46.323999999999998</v>
      </c>
      <c r="E27" s="189">
        <v>50.372999999999998</v>
      </c>
      <c r="F27" s="189">
        <v>40.115000000000002</v>
      </c>
      <c r="G27" s="189">
        <v>32.570999999999998</v>
      </c>
      <c r="H27" s="189">
        <v>30.864999999999998</v>
      </c>
      <c r="I27" s="189">
        <v>27.61</v>
      </c>
      <c r="J27" s="189">
        <v>26.635000000000002</v>
      </c>
      <c r="K27" s="189">
        <v>26.568999999999999</v>
      </c>
      <c r="L27" s="189">
        <v>25.806000000000001</v>
      </c>
      <c r="M27" s="189">
        <v>25.664000000000001</v>
      </c>
      <c r="N27" s="189">
        <v>26.198</v>
      </c>
      <c r="O27" s="189">
        <v>24.091999999999999</v>
      </c>
      <c r="P27" s="189">
        <v>22.469000000000001</v>
      </c>
      <c r="Q27" s="189">
        <v>20.748999999999999</v>
      </c>
      <c r="R27" s="189">
        <v>19.638000000000002</v>
      </c>
      <c r="S27" s="189">
        <v>18.690000000000001</v>
      </c>
      <c r="T27" s="189">
        <v>18.157</v>
      </c>
      <c r="U27" s="189">
        <v>18.552</v>
      </c>
      <c r="V27" s="189">
        <v>19.859000000000002</v>
      </c>
      <c r="W27" s="189">
        <v>20.195</v>
      </c>
      <c r="X27" s="189">
        <v>18.637</v>
      </c>
      <c r="Y27" s="189">
        <v>17.920999999999999</v>
      </c>
      <c r="Z27" s="189">
        <v>18.177</v>
      </c>
      <c r="AA27" s="189">
        <v>17.826000000000001</v>
      </c>
      <c r="AB27" s="189">
        <v>16.797000000000001</v>
      </c>
      <c r="AC27" s="189">
        <v>16.015000000000001</v>
      </c>
      <c r="AD27" s="189">
        <v>17.367000000000001</v>
      </c>
      <c r="AE27" s="189">
        <v>19.175000000000001</v>
      </c>
      <c r="AF27" s="189">
        <v>20.318999999999999</v>
      </c>
      <c r="AG27" s="314">
        <v>81.909772752714645</v>
      </c>
      <c r="AH27" s="314">
        <v>86.513510296393278</v>
      </c>
      <c r="AI27" s="314">
        <v>86.2</v>
      </c>
      <c r="AJ27" s="314">
        <v>82.21272664279941</v>
      </c>
      <c r="AK27" s="313">
        <f>0.854388116653039*100</f>
        <v>85.438811665303902</v>
      </c>
      <c r="AL27" s="313">
        <v>88.9</v>
      </c>
      <c r="AM27" s="499">
        <f t="shared" si="3"/>
        <v>5.9661016949152526</v>
      </c>
      <c r="AN27" s="187" t="s">
        <v>20</v>
      </c>
    </row>
    <row r="28" spans="1:44" s="201" customFormat="1" ht="12.75" customHeight="1">
      <c r="A28" s="206"/>
      <c r="B28" s="191" t="s">
        <v>37</v>
      </c>
      <c r="C28" s="213">
        <v>3.5459999999999998</v>
      </c>
      <c r="D28" s="213">
        <v>6.0759999999999996</v>
      </c>
      <c r="E28" s="193">
        <v>5.6639999999999997</v>
      </c>
      <c r="F28" s="193">
        <v>5.6920000000000002</v>
      </c>
      <c r="G28" s="193">
        <v>5.694</v>
      </c>
      <c r="H28" s="193">
        <v>5.3970000000000002</v>
      </c>
      <c r="I28" s="193">
        <v>5.1100000000000003</v>
      </c>
      <c r="J28" s="193">
        <v>4.8090000000000002</v>
      </c>
      <c r="K28" s="193">
        <v>4.5019999999999998</v>
      </c>
      <c r="L28" s="193">
        <v>4.5679999999999996</v>
      </c>
      <c r="M28" s="193">
        <v>4.601</v>
      </c>
      <c r="N28" s="193">
        <v>4.3289999999999997</v>
      </c>
      <c r="O28" s="203">
        <v>4.032</v>
      </c>
      <c r="P28" s="203">
        <v>3.992</v>
      </c>
      <c r="Q28" s="193">
        <v>3.9249999999999998</v>
      </c>
      <c r="R28" s="193">
        <v>3.7530000000000001</v>
      </c>
      <c r="S28" s="193">
        <v>3.7519999999999998</v>
      </c>
      <c r="T28" s="193">
        <v>3.8090000000000002</v>
      </c>
      <c r="U28" s="193">
        <v>3.8759999999999999</v>
      </c>
      <c r="V28" s="193">
        <v>3.9870000000000001</v>
      </c>
      <c r="W28" s="193">
        <v>4.2130000000000001</v>
      </c>
      <c r="X28" s="193">
        <v>4.2130000000000001</v>
      </c>
      <c r="Y28" s="193">
        <v>4.1109999999999998</v>
      </c>
      <c r="Z28" s="193">
        <v>4.2370000000000001</v>
      </c>
      <c r="AA28" s="193">
        <v>3.8029999999999999</v>
      </c>
      <c r="AB28" s="193">
        <v>3.649</v>
      </c>
      <c r="AC28" s="193">
        <v>3.8519999999999999</v>
      </c>
      <c r="AD28" s="193">
        <v>3.9569999999999999</v>
      </c>
      <c r="AE28" s="193">
        <v>4.266</v>
      </c>
      <c r="AF28" s="193">
        <v>4.516</v>
      </c>
      <c r="AG28" s="314"/>
      <c r="AH28" s="314">
        <v>67.753424657534239</v>
      </c>
      <c r="AI28" s="314">
        <v>65</v>
      </c>
      <c r="AJ28" s="314"/>
      <c r="AK28" s="313"/>
      <c r="AL28" s="313">
        <v>8.1999999999999993</v>
      </c>
      <c r="AM28" s="493">
        <f t="shared" si="3"/>
        <v>5.8602906704172426</v>
      </c>
      <c r="AN28" s="191" t="s">
        <v>37</v>
      </c>
    </row>
    <row r="29" spans="1:44" ht="12.75" customHeight="1">
      <c r="A29" s="180"/>
      <c r="B29" s="187" t="s">
        <v>21</v>
      </c>
      <c r="C29" s="188">
        <v>17.792999999999999</v>
      </c>
      <c r="D29" s="188">
        <v>23.22</v>
      </c>
      <c r="E29" s="189">
        <v>30.582000000000001</v>
      </c>
      <c r="F29" s="189">
        <v>25.428999999999998</v>
      </c>
      <c r="G29" s="189">
        <v>24.268999999999998</v>
      </c>
      <c r="H29" s="189">
        <v>19.402000000000001</v>
      </c>
      <c r="I29" s="189">
        <v>18.312999999999999</v>
      </c>
      <c r="J29" s="189">
        <v>18.879000000000001</v>
      </c>
      <c r="K29" s="189">
        <v>18.356000000000002</v>
      </c>
      <c r="L29" s="189">
        <v>15.794</v>
      </c>
      <c r="M29" s="189">
        <v>13.422000000000001</v>
      </c>
      <c r="N29" s="189">
        <v>12.304</v>
      </c>
      <c r="O29" s="189">
        <v>11.632</v>
      </c>
      <c r="P29" s="189">
        <v>10.965</v>
      </c>
      <c r="Q29" s="189">
        <v>8.5020000000000007</v>
      </c>
      <c r="R29" s="189">
        <v>8.4969999999999999</v>
      </c>
      <c r="S29" s="189">
        <v>8.6379999999999999</v>
      </c>
      <c r="T29" s="189">
        <v>7.9850000000000003</v>
      </c>
      <c r="U29" s="189">
        <v>8.0920000000000005</v>
      </c>
      <c r="V29" s="189">
        <v>7.476</v>
      </c>
      <c r="W29" s="189">
        <v>6.9580000000000002</v>
      </c>
      <c r="X29" s="189">
        <v>6.1280000000000001</v>
      </c>
      <c r="Y29" s="189">
        <v>5.4370000000000003</v>
      </c>
      <c r="Z29" s="189">
        <v>5.0730000000000004</v>
      </c>
      <c r="AA29" s="189">
        <v>4.5709999999999997</v>
      </c>
      <c r="AB29" s="189">
        <v>4.4109999999999996</v>
      </c>
      <c r="AC29" s="189">
        <v>4.976</v>
      </c>
      <c r="AD29" s="189">
        <v>5.149</v>
      </c>
      <c r="AE29" s="189">
        <v>4.9880000000000004</v>
      </c>
      <c r="AF29" s="189">
        <v>5.6630000000000003</v>
      </c>
      <c r="AG29" s="314">
        <v>94.597550306211716</v>
      </c>
      <c r="AH29" s="314">
        <v>96.425379803395899</v>
      </c>
      <c r="AI29" s="314">
        <v>95.4</v>
      </c>
      <c r="AJ29" s="314">
        <v>100</v>
      </c>
      <c r="AK29" s="313">
        <v>100</v>
      </c>
      <c r="AL29" s="313"/>
      <c r="AM29" s="499">
        <f t="shared" si="3"/>
        <v>13.532477947072977</v>
      </c>
      <c r="AN29" s="187" t="s">
        <v>21</v>
      </c>
    </row>
    <row r="30" spans="1:44" s="201" customFormat="1" ht="12.75" customHeight="1">
      <c r="A30" s="206"/>
      <c r="B30" s="191" t="s">
        <v>23</v>
      </c>
      <c r="C30" s="213">
        <v>1.38</v>
      </c>
      <c r="D30" s="213">
        <v>1.4359999999999999</v>
      </c>
      <c r="E30" s="193">
        <v>1.429</v>
      </c>
      <c r="F30" s="193">
        <v>0.81399999999999995</v>
      </c>
      <c r="G30" s="193">
        <v>0.54700000000000004</v>
      </c>
      <c r="H30" s="193">
        <v>0.56599999999999995</v>
      </c>
      <c r="I30" s="193">
        <v>0.59</v>
      </c>
      <c r="J30" s="193">
        <v>0.59499999999999997</v>
      </c>
      <c r="K30" s="193">
        <v>0.61299999999999999</v>
      </c>
      <c r="L30" s="193">
        <v>0.61599999999999999</v>
      </c>
      <c r="M30" s="193">
        <v>0.64500000000000002</v>
      </c>
      <c r="N30" s="193">
        <v>0.623</v>
      </c>
      <c r="O30" s="193">
        <v>0.70499999999999996</v>
      </c>
      <c r="P30" s="193">
        <v>0.71499999999999997</v>
      </c>
      <c r="Q30" s="193">
        <v>0.749</v>
      </c>
      <c r="R30" s="193">
        <v>0.77700000000000002</v>
      </c>
      <c r="S30" s="193">
        <v>0.69499999999999995</v>
      </c>
      <c r="T30" s="193">
        <v>0.71599999999999997</v>
      </c>
      <c r="U30" s="193">
        <v>0.72399999999999998</v>
      </c>
      <c r="V30" s="193">
        <v>0.74</v>
      </c>
      <c r="W30" s="193">
        <v>0.76500000000000001</v>
      </c>
      <c r="X30" s="193">
        <v>0.77300000000000002</v>
      </c>
      <c r="Y30" s="193">
        <v>0.72899999999999998</v>
      </c>
      <c r="Z30" s="193">
        <v>0.68899999999999995</v>
      </c>
      <c r="AA30" s="193">
        <v>0.65900000000000003</v>
      </c>
      <c r="AB30" s="193">
        <v>0.67900000000000005</v>
      </c>
      <c r="AC30" s="193">
        <v>0.62</v>
      </c>
      <c r="AD30" s="193">
        <v>0.628</v>
      </c>
      <c r="AE30" s="193">
        <v>0.61099999999999999</v>
      </c>
      <c r="AF30" s="193">
        <v>0.56999999999999995</v>
      </c>
      <c r="AG30" s="314">
        <v>83.870967741935488</v>
      </c>
      <c r="AH30" s="355">
        <v>98.291721419185279</v>
      </c>
      <c r="AI30" s="314">
        <v>98.5</v>
      </c>
      <c r="AJ30" s="314">
        <v>94.555712270803951</v>
      </c>
      <c r="AK30" s="313">
        <v>97.412145272754003</v>
      </c>
      <c r="AL30" s="313">
        <v>98.4</v>
      </c>
      <c r="AM30" s="493">
        <f t="shared" si="3"/>
        <v>-6.7103109656301143</v>
      </c>
      <c r="AN30" s="191" t="s">
        <v>23</v>
      </c>
    </row>
    <row r="31" spans="1:44" ht="12.75" customHeight="1">
      <c r="A31" s="180"/>
      <c r="B31" s="187" t="s">
        <v>22</v>
      </c>
      <c r="C31" s="188"/>
      <c r="D31" s="188"/>
      <c r="E31" s="189">
        <v>6.3810000000000002</v>
      </c>
      <c r="F31" s="189">
        <v>6.0019999999999998</v>
      </c>
      <c r="G31" s="189">
        <v>5.4530000000000003</v>
      </c>
      <c r="H31" s="189">
        <v>4.569</v>
      </c>
      <c r="I31" s="189">
        <v>4.548</v>
      </c>
      <c r="J31" s="189">
        <v>4.202</v>
      </c>
      <c r="K31" s="189">
        <v>3.7690000000000001</v>
      </c>
      <c r="L31" s="189">
        <v>3.0950000000000002</v>
      </c>
      <c r="M31" s="189">
        <v>3.0920000000000001</v>
      </c>
      <c r="N31" s="189">
        <v>2.968</v>
      </c>
      <c r="O31" s="189">
        <v>2.87</v>
      </c>
      <c r="P31" s="189">
        <v>2.8050000000000002</v>
      </c>
      <c r="Q31" s="189">
        <v>2.6819999999999999</v>
      </c>
      <c r="R31" s="189">
        <v>2.3159999999999998</v>
      </c>
      <c r="S31" s="189">
        <v>2.2280000000000002</v>
      </c>
      <c r="T31" s="189">
        <v>2.1819999999999999</v>
      </c>
      <c r="U31" s="189">
        <v>2.2130000000000001</v>
      </c>
      <c r="V31" s="189">
        <v>2.165</v>
      </c>
      <c r="W31" s="189">
        <v>2.2959999999999998</v>
      </c>
      <c r="X31" s="189">
        <v>2.2639999999999998</v>
      </c>
      <c r="Y31" s="189">
        <v>2.3090000000000002</v>
      </c>
      <c r="Z31" s="189">
        <v>2.431</v>
      </c>
      <c r="AA31" s="189">
        <v>2.4590000000000001</v>
      </c>
      <c r="AB31" s="189">
        <v>2.4849999999999999</v>
      </c>
      <c r="AC31" s="189">
        <v>2.5830000000000002</v>
      </c>
      <c r="AD31" s="189">
        <v>3.411</v>
      </c>
      <c r="AE31" s="189">
        <v>3.484</v>
      </c>
      <c r="AF31" s="189">
        <v>3.754</v>
      </c>
      <c r="AG31" s="314">
        <v>92.288557213930346</v>
      </c>
      <c r="AH31" s="314">
        <v>90.214698596201487</v>
      </c>
      <c r="AI31" s="314">
        <v>91</v>
      </c>
      <c r="AJ31" s="314">
        <v>99.7</v>
      </c>
      <c r="AK31" s="313">
        <v>91.718960107575072</v>
      </c>
      <c r="AL31" s="313">
        <v>93.6</v>
      </c>
      <c r="AM31" s="499">
        <f t="shared" si="3"/>
        <v>7.7497129735935744</v>
      </c>
      <c r="AN31" s="187" t="s">
        <v>22</v>
      </c>
    </row>
    <row r="32" spans="1:44" ht="12.75" customHeight="1">
      <c r="A32" s="180"/>
      <c r="B32" s="191" t="s">
        <v>38</v>
      </c>
      <c r="C32" s="213">
        <v>2.1560000000000001</v>
      </c>
      <c r="D32" s="213">
        <v>3.2160000000000002</v>
      </c>
      <c r="E32" s="193">
        <v>3.331</v>
      </c>
      <c r="F32" s="193">
        <v>3.23</v>
      </c>
      <c r="G32" s="193">
        <v>3.0569999999999999</v>
      </c>
      <c r="H32" s="193">
        <v>3.0070000000000001</v>
      </c>
      <c r="I32" s="193">
        <v>3.0369999999999999</v>
      </c>
      <c r="J32" s="193">
        <v>3.1840000000000002</v>
      </c>
      <c r="K32" s="193">
        <v>3.254</v>
      </c>
      <c r="L32" s="193">
        <v>3.3759999999999999</v>
      </c>
      <c r="M32" s="193">
        <v>3.3769999999999998</v>
      </c>
      <c r="N32" s="193">
        <v>3.415</v>
      </c>
      <c r="O32" s="193">
        <v>3.4049999999999998</v>
      </c>
      <c r="P32" s="193">
        <v>3.282</v>
      </c>
      <c r="Q32" s="193">
        <v>3.3180000000000001</v>
      </c>
      <c r="R32" s="193">
        <v>3.3380000000000001</v>
      </c>
      <c r="S32" s="193">
        <v>3.3519999999999999</v>
      </c>
      <c r="T32" s="193">
        <v>3.4780000000000002</v>
      </c>
      <c r="U32" s="193">
        <v>3.54</v>
      </c>
      <c r="V32" s="193">
        <v>3.778</v>
      </c>
      <c r="W32" s="193">
        <v>4.0519999999999996</v>
      </c>
      <c r="X32" s="193">
        <v>3.8759999999999999</v>
      </c>
      <c r="Y32" s="193">
        <v>3.9590000000000001</v>
      </c>
      <c r="Z32" s="193">
        <v>3.8820000000000001</v>
      </c>
      <c r="AA32" s="193">
        <v>4.0350000000000001</v>
      </c>
      <c r="AB32" s="193">
        <v>4.0529999999999999</v>
      </c>
      <c r="AC32" s="193">
        <v>3.8740000000000001</v>
      </c>
      <c r="AD32" s="193">
        <v>4.1139999999999999</v>
      </c>
      <c r="AE32" s="193">
        <v>3.8679999999999999</v>
      </c>
      <c r="AF32" s="193">
        <v>4.2709999999999999</v>
      </c>
      <c r="AG32" s="314">
        <f>0.968277571251549*100</f>
        <v>96.827757125154903</v>
      </c>
      <c r="AH32" s="314">
        <f>0.961756723414754*100</f>
        <v>96.175672341475405</v>
      </c>
      <c r="AI32" s="314">
        <v>96.5</v>
      </c>
      <c r="AJ32" s="314">
        <v>97.301239970824213</v>
      </c>
      <c r="AK32" s="313">
        <f>0.969751809720786*100</f>
        <v>96.975180972078604</v>
      </c>
      <c r="AL32" s="313">
        <v>96.7</v>
      </c>
      <c r="AM32" s="493">
        <f t="shared" si="3"/>
        <v>10.41882109617373</v>
      </c>
      <c r="AN32" s="191" t="s">
        <v>38</v>
      </c>
    </row>
    <row r="33" spans="1:40" ht="12.75" customHeight="1">
      <c r="A33" s="180"/>
      <c r="B33" s="187" t="s">
        <v>39</v>
      </c>
      <c r="C33" s="188">
        <v>4.6399999999999997</v>
      </c>
      <c r="D33" s="188">
        <v>6.9980000000000002</v>
      </c>
      <c r="E33" s="189">
        <v>6.6</v>
      </c>
      <c r="F33" s="189">
        <v>5.9850000000000003</v>
      </c>
      <c r="G33" s="189">
        <v>5.9630000000000001</v>
      </c>
      <c r="H33" s="189">
        <v>6.4219999999999997</v>
      </c>
      <c r="I33" s="189">
        <v>6.5069999999999997</v>
      </c>
      <c r="J33" s="189">
        <v>6.8390000000000004</v>
      </c>
      <c r="K33" s="189">
        <v>6.97</v>
      </c>
      <c r="L33" s="189">
        <v>7.0389999999999997</v>
      </c>
      <c r="M33" s="189">
        <v>7.23</v>
      </c>
      <c r="N33" s="189">
        <v>7.7009999999999996</v>
      </c>
      <c r="O33" s="189">
        <v>8.2430000000000003</v>
      </c>
      <c r="P33" s="189">
        <v>8.7319999999999993</v>
      </c>
      <c r="Q33" s="189">
        <v>8.8740000000000006</v>
      </c>
      <c r="R33" s="189">
        <v>8.8339999999999996</v>
      </c>
      <c r="S33" s="189">
        <v>8.6340000000000003</v>
      </c>
      <c r="T33" s="189">
        <v>8.91</v>
      </c>
      <c r="U33" s="189">
        <v>9.6170000000000009</v>
      </c>
      <c r="V33" s="189">
        <v>10.260999999999999</v>
      </c>
      <c r="W33" s="189">
        <v>11.146000000000001</v>
      </c>
      <c r="X33" s="189">
        <v>11.321</v>
      </c>
      <c r="Y33" s="189">
        <v>11.154999999999999</v>
      </c>
      <c r="Z33" s="189">
        <v>11.379</v>
      </c>
      <c r="AA33" s="189">
        <v>11.792</v>
      </c>
      <c r="AB33" s="189">
        <v>11.842000000000001</v>
      </c>
      <c r="AC33" s="189">
        <v>12.121</v>
      </c>
      <c r="AD33" s="189">
        <v>12.741</v>
      </c>
      <c r="AE33" s="189">
        <v>12.8</v>
      </c>
      <c r="AF33" s="189">
        <v>13.331</v>
      </c>
      <c r="AG33" s="314">
        <v>46.530332848464106</v>
      </c>
      <c r="AH33" s="314">
        <v>50</v>
      </c>
      <c r="AI33" s="314">
        <v>49.8</v>
      </c>
      <c r="AJ33" s="314">
        <v>49.941134918766188</v>
      </c>
      <c r="AK33" s="313">
        <f>0.494453125*100</f>
        <v>49.4453125</v>
      </c>
      <c r="AL33" s="313">
        <v>51.3</v>
      </c>
      <c r="AM33" s="499">
        <f t="shared" si="3"/>
        <v>4.1484374999999858</v>
      </c>
      <c r="AN33" s="187" t="s">
        <v>39</v>
      </c>
    </row>
    <row r="34" spans="1:40" ht="12.75" customHeight="1">
      <c r="A34" s="180"/>
      <c r="B34" s="182" t="s">
        <v>28</v>
      </c>
      <c r="C34" s="401">
        <v>30.6</v>
      </c>
      <c r="D34" s="401">
        <v>30.5</v>
      </c>
      <c r="E34" s="400">
        <v>33.4</v>
      </c>
      <c r="F34" s="389">
        <v>32.700000000000003</v>
      </c>
      <c r="G34" s="184">
        <v>31.9</v>
      </c>
      <c r="H34" s="184">
        <v>30.6</v>
      </c>
      <c r="I34" s="184">
        <v>28.9</v>
      </c>
      <c r="J34" s="184">
        <f>30.039+0.2317</f>
        <v>30.270700000000001</v>
      </c>
      <c r="K34" s="184">
        <f>32.135+0.2128</f>
        <v>32.347799999999999</v>
      </c>
      <c r="L34" s="184">
        <f>34.66+0.2256</f>
        <v>34.885599999999997</v>
      </c>
      <c r="M34" s="184">
        <f>36.28+0.2172</f>
        <v>36.497199999999999</v>
      </c>
      <c r="N34" s="184">
        <f>38.472+0.2217</f>
        <v>38.6937</v>
      </c>
      <c r="O34" s="184">
        <f>38.179+0.2271</f>
        <v>38.406100000000002</v>
      </c>
      <c r="P34" s="184">
        <f>39.141+0.2397</f>
        <v>39.380699999999997</v>
      </c>
      <c r="Q34" s="184">
        <f>39.687+0.2363</f>
        <v>39.923299999999998</v>
      </c>
      <c r="R34" s="184">
        <f>40.931+0.233</f>
        <v>41.163999999999994</v>
      </c>
      <c r="S34" s="184">
        <v>43.473999999999997</v>
      </c>
      <c r="T34" s="184">
        <v>44.642000000000003</v>
      </c>
      <c r="U34" s="184">
        <v>47.296999999999997</v>
      </c>
      <c r="V34" s="184">
        <v>50.473999999999997</v>
      </c>
      <c r="W34" s="184">
        <v>53.002000000000002</v>
      </c>
      <c r="X34" s="184">
        <v>52.765000000000001</v>
      </c>
      <c r="Y34" s="184">
        <v>55.831000000000003</v>
      </c>
      <c r="Z34" s="184">
        <v>58.462000000000003</v>
      </c>
      <c r="AA34" s="184">
        <v>60.783000000000001</v>
      </c>
      <c r="AB34" s="184">
        <v>61.95</v>
      </c>
      <c r="AC34" s="344">
        <v>64.710999999999999</v>
      </c>
      <c r="AD34" s="344">
        <v>66.593999999999994</v>
      </c>
      <c r="AE34" s="389">
        <v>68.010000000000005</v>
      </c>
      <c r="AF34" s="389">
        <v>68.912000000000006</v>
      </c>
      <c r="AG34" s="318">
        <v>96.189491986942897</v>
      </c>
      <c r="AH34" s="353">
        <v>95.483870967741936</v>
      </c>
      <c r="AI34" s="353">
        <v>96.1</v>
      </c>
      <c r="AJ34" s="392">
        <v>96.907560983018925</v>
      </c>
      <c r="AK34" s="390">
        <f>0.97038069259962*100</f>
        <v>97.038069259962001</v>
      </c>
      <c r="AL34" s="390">
        <v>97</v>
      </c>
      <c r="AM34" s="500">
        <f t="shared" si="3"/>
        <v>1.3262755477135642</v>
      </c>
      <c r="AN34" s="445" t="s">
        <v>28</v>
      </c>
    </row>
    <row r="35" spans="1:40" ht="12.75" customHeight="1">
      <c r="A35" s="180"/>
      <c r="B35" s="187" t="s">
        <v>112</v>
      </c>
      <c r="C35" s="188">
        <v>0.253</v>
      </c>
      <c r="D35" s="188">
        <v>0.36899999999999999</v>
      </c>
      <c r="E35" s="189">
        <v>0.77900000000000003</v>
      </c>
      <c r="F35" s="189">
        <v>0.318</v>
      </c>
      <c r="G35" s="189">
        <v>0.191</v>
      </c>
      <c r="H35" s="189">
        <v>0.223</v>
      </c>
      <c r="I35" s="189">
        <v>0.215</v>
      </c>
      <c r="J35" s="189">
        <v>0.19700000000000001</v>
      </c>
      <c r="K35" s="189">
        <v>0.16800000000000001</v>
      </c>
      <c r="L35" s="189">
        <v>9.5000000000000001E-2</v>
      </c>
      <c r="M35" s="189">
        <v>0.11600000000000001</v>
      </c>
      <c r="N35" s="189">
        <v>0.121</v>
      </c>
      <c r="O35" s="189">
        <v>0.125</v>
      </c>
      <c r="P35" s="189">
        <v>0.13800000000000001</v>
      </c>
      <c r="Q35" s="189">
        <v>0.123</v>
      </c>
      <c r="R35" s="189">
        <v>0.105</v>
      </c>
      <c r="S35" s="189">
        <v>8.8999999999999996E-2</v>
      </c>
      <c r="T35" s="189">
        <v>7.2999999999999995E-2</v>
      </c>
      <c r="U35" s="189">
        <v>0.08</v>
      </c>
      <c r="V35" s="189">
        <v>5.0999999999999997E-2</v>
      </c>
      <c r="W35" s="189">
        <v>4.1000000000000002E-2</v>
      </c>
      <c r="X35" s="189">
        <v>3.2000000000000001E-2</v>
      </c>
      <c r="Y35" s="189">
        <v>1.9E-2</v>
      </c>
      <c r="Z35" s="189">
        <v>1.7999999999999999E-2</v>
      </c>
      <c r="AA35" s="189">
        <v>1.6E-2</v>
      </c>
      <c r="AB35" s="189">
        <v>1.2E-2</v>
      </c>
      <c r="AC35" s="189">
        <v>8.0000000000000002E-3</v>
      </c>
      <c r="AD35" s="189">
        <v>7.0000000000000001E-3</v>
      </c>
      <c r="AE35" s="189">
        <v>3.0000000000000001E-3</v>
      </c>
      <c r="AF35" s="189">
        <v>2E-3</v>
      </c>
      <c r="AG35" s="315"/>
      <c r="AH35" s="314"/>
      <c r="AI35" s="314"/>
      <c r="AJ35" s="314"/>
      <c r="AK35" s="313"/>
      <c r="AL35" s="313"/>
      <c r="AM35" s="499">
        <f t="shared" si="3"/>
        <v>-33.333333333333343</v>
      </c>
      <c r="AN35" s="187" t="s">
        <v>112</v>
      </c>
    </row>
    <row r="36" spans="1:40" ht="12.75" customHeight="1">
      <c r="A36" s="180"/>
      <c r="B36" s="191" t="s">
        <v>103</v>
      </c>
      <c r="C36" s="213"/>
      <c r="D36" s="213"/>
      <c r="E36" s="193"/>
      <c r="F36" s="193"/>
      <c r="G36" s="193"/>
      <c r="H36" s="193"/>
      <c r="I36" s="193"/>
      <c r="J36" s="193"/>
      <c r="K36" s="193"/>
      <c r="L36" s="193"/>
      <c r="M36" s="193"/>
      <c r="N36" s="193"/>
      <c r="O36" s="193"/>
      <c r="P36" s="193"/>
      <c r="Q36" s="193"/>
      <c r="R36" s="193"/>
      <c r="S36" s="193"/>
      <c r="T36" s="193"/>
      <c r="U36" s="193"/>
      <c r="V36" s="193"/>
      <c r="W36" s="193"/>
      <c r="X36" s="193"/>
      <c r="Y36" s="193">
        <v>9.0660000000000004E-2</v>
      </c>
      <c r="Z36" s="193">
        <v>6.5100000000000005E-2</v>
      </c>
      <c r="AA36" s="193">
        <v>6.2E-2</v>
      </c>
      <c r="AB36" s="193">
        <v>7.2999999999999995E-2</v>
      </c>
      <c r="AC36" s="193">
        <v>7.5999999999999998E-2</v>
      </c>
      <c r="AD36" s="193">
        <v>8.1000000000000003E-2</v>
      </c>
      <c r="AE36" s="193">
        <f>83897/1000000</f>
        <v>8.3896999999999999E-2</v>
      </c>
      <c r="AF36" s="193">
        <v>0.06</v>
      </c>
      <c r="AG36" s="317"/>
      <c r="AH36" s="317"/>
      <c r="AI36" s="317"/>
      <c r="AJ36" s="317"/>
      <c r="AK36" s="316"/>
      <c r="AL36" s="316"/>
      <c r="AM36" s="493">
        <f t="shared" si="3"/>
        <v>-28.48373600963086</v>
      </c>
      <c r="AN36" s="191" t="s">
        <v>103</v>
      </c>
    </row>
    <row r="37" spans="1:40" ht="12.75" customHeight="1">
      <c r="A37" s="180"/>
      <c r="B37" s="187" t="s">
        <v>6</v>
      </c>
      <c r="C37" s="402"/>
      <c r="D37" s="402"/>
      <c r="E37" s="217"/>
      <c r="F37" s="189"/>
      <c r="G37" s="189"/>
      <c r="H37" s="189"/>
      <c r="I37" s="189"/>
      <c r="J37" s="208">
        <v>0.1</v>
      </c>
      <c r="K37" s="208">
        <v>0.1</v>
      </c>
      <c r="L37" s="208">
        <v>0.1</v>
      </c>
      <c r="M37" s="208">
        <v>0.1</v>
      </c>
      <c r="N37" s="208">
        <v>0.1</v>
      </c>
      <c r="O37" s="208">
        <v>0.1</v>
      </c>
      <c r="P37" s="189">
        <v>0.13300000000000001</v>
      </c>
      <c r="Q37" s="189">
        <v>9.8000000000000004E-2</v>
      </c>
      <c r="R37" s="189">
        <v>9.1999999999999998E-2</v>
      </c>
      <c r="S37" s="189">
        <v>9.4E-2</v>
      </c>
      <c r="T37" s="189">
        <v>9.4E-2</v>
      </c>
      <c r="U37" s="189">
        <v>0.105</v>
      </c>
      <c r="V37" s="189">
        <v>0.109</v>
      </c>
      <c r="W37" s="189">
        <v>0.14799999999999999</v>
      </c>
      <c r="X37" s="189">
        <v>0.154</v>
      </c>
      <c r="Y37" s="189">
        <f>0.155</f>
        <v>0.155</v>
      </c>
      <c r="Z37" s="189">
        <f>0.145</f>
        <v>0.14499999999999999</v>
      </c>
      <c r="AA37" s="189">
        <f>0.099</f>
        <v>9.9000000000000005E-2</v>
      </c>
      <c r="AB37" s="189">
        <v>0.08</v>
      </c>
      <c r="AC37" s="189">
        <v>0.08</v>
      </c>
      <c r="AD37" s="189">
        <v>0.17699999999999999</v>
      </c>
      <c r="AE37" s="189">
        <v>8.3000000000000004E-2</v>
      </c>
      <c r="AF37" s="189">
        <v>5.8999999999999997E-2</v>
      </c>
      <c r="AG37" s="317"/>
      <c r="AH37" s="317"/>
      <c r="AI37" s="317"/>
      <c r="AJ37" s="317"/>
      <c r="AK37" s="316"/>
      <c r="AL37" s="316"/>
      <c r="AM37" s="499">
        <f t="shared" si="3"/>
        <v>-28.915662650602414</v>
      </c>
      <c r="AN37" s="187" t="s">
        <v>6</v>
      </c>
    </row>
    <row r="38" spans="1:40" ht="12.75" customHeight="1">
      <c r="A38" s="180"/>
      <c r="B38" s="191" t="s">
        <v>104</v>
      </c>
      <c r="C38" s="403">
        <v>3.6709999999999998</v>
      </c>
      <c r="D38" s="403">
        <v>3.3519999999999999</v>
      </c>
      <c r="E38" s="266">
        <v>4.452</v>
      </c>
      <c r="F38" s="193">
        <v>2.6749999999999998</v>
      </c>
      <c r="G38" s="193">
        <v>2.544</v>
      </c>
      <c r="H38" s="193">
        <v>3.0760000000000001</v>
      </c>
      <c r="I38" s="193">
        <v>2.2989999999999999</v>
      </c>
      <c r="J38" s="203">
        <v>2.3260000000000001</v>
      </c>
      <c r="K38" s="203">
        <v>1.415</v>
      </c>
      <c r="L38" s="203">
        <v>1.304</v>
      </c>
      <c r="M38" s="203">
        <v>1.3680000000000001</v>
      </c>
      <c r="N38" s="203">
        <v>0.78900000000000003</v>
      </c>
      <c r="O38" s="203">
        <v>1.236</v>
      </c>
      <c r="P38" s="193">
        <v>1.0469999999999999</v>
      </c>
      <c r="Q38" s="193">
        <v>0.95399999999999996</v>
      </c>
      <c r="R38" s="193">
        <v>0.80900000000000005</v>
      </c>
      <c r="S38" s="193">
        <v>0.82099999999999995</v>
      </c>
      <c r="T38" s="193">
        <v>0.71299999999999997</v>
      </c>
      <c r="U38" s="193">
        <v>0.68400000000000005</v>
      </c>
      <c r="V38" s="193">
        <v>0.68700000000000006</v>
      </c>
      <c r="W38" s="193">
        <v>0.58299999999999996</v>
      </c>
      <c r="X38" s="193">
        <v>0.52200000000000002</v>
      </c>
      <c r="Y38" s="193">
        <v>0.52200000000000002</v>
      </c>
      <c r="Z38" s="193">
        <v>0.54100000000000004</v>
      </c>
      <c r="AA38" s="193">
        <v>0.54</v>
      </c>
      <c r="AB38" s="193">
        <v>0.61199999999999999</v>
      </c>
      <c r="AC38" s="193">
        <v>0.45300000000000001</v>
      </c>
      <c r="AD38" s="193">
        <v>0.50900000000000001</v>
      </c>
      <c r="AE38" s="193">
        <v>0.438</v>
      </c>
      <c r="AF38" s="193">
        <v>0.377</v>
      </c>
      <c r="AG38" s="317"/>
      <c r="AH38" s="317"/>
      <c r="AI38" s="317"/>
      <c r="AJ38" s="317"/>
      <c r="AK38" s="316"/>
      <c r="AL38" s="316"/>
      <c r="AM38" s="493">
        <f t="shared" si="3"/>
        <v>-13.926940639269404</v>
      </c>
      <c r="AN38" s="191" t="s">
        <v>104</v>
      </c>
    </row>
    <row r="39" spans="1:40" s="201" customFormat="1" ht="12.75" customHeight="1">
      <c r="A39" s="206"/>
      <c r="B39" s="195" t="s">
        <v>24</v>
      </c>
      <c r="C39" s="188">
        <v>5.5609999999999999</v>
      </c>
      <c r="D39" s="188">
        <v>6.0110000000000001</v>
      </c>
      <c r="E39" s="189">
        <v>6.41</v>
      </c>
      <c r="F39" s="189">
        <v>6.048</v>
      </c>
      <c r="G39" s="189">
        <v>6.2590000000000003</v>
      </c>
      <c r="H39" s="189">
        <v>7.1470000000000002</v>
      </c>
      <c r="I39" s="189">
        <v>6.335</v>
      </c>
      <c r="J39" s="189">
        <v>5.7969999999999997</v>
      </c>
      <c r="K39" s="189">
        <v>5.2290000000000001</v>
      </c>
      <c r="L39" s="189">
        <v>5.84</v>
      </c>
      <c r="M39" s="189">
        <v>6.16</v>
      </c>
      <c r="N39" s="189">
        <v>6.1459999999999999</v>
      </c>
      <c r="O39" s="189">
        <v>5.8319999999999999</v>
      </c>
      <c r="P39" s="189">
        <v>5.5679999999999996</v>
      </c>
      <c r="Q39" s="189">
        <v>5.2039999999999997</v>
      </c>
      <c r="R39" s="189">
        <v>5.8780000000000001</v>
      </c>
      <c r="S39" s="189">
        <v>5.2370000000000001</v>
      </c>
      <c r="T39" s="189">
        <v>5.0359999999999996</v>
      </c>
      <c r="U39" s="189">
        <v>5.2770000000000001</v>
      </c>
      <c r="V39" s="189">
        <v>5.5529999999999999</v>
      </c>
      <c r="W39" s="189">
        <v>5.0970000000000004</v>
      </c>
      <c r="X39" s="189">
        <v>5.3739999999999997</v>
      </c>
      <c r="Y39" s="189">
        <v>5.4909999999999997</v>
      </c>
      <c r="Z39" s="189">
        <f>5.882</f>
        <v>5.8819999999999997</v>
      </c>
      <c r="AA39" s="189">
        <v>4.5979999999999999</v>
      </c>
      <c r="AB39" s="189">
        <v>3.7749999999999999</v>
      </c>
      <c r="AC39" s="189">
        <v>4.3929999999999998</v>
      </c>
      <c r="AD39" s="189">
        <v>4.8280000000000003</v>
      </c>
      <c r="AE39" s="189">
        <v>4.3250000000000002</v>
      </c>
      <c r="AF39" s="197">
        <v>4.5659999999999998</v>
      </c>
      <c r="AG39" s="446"/>
      <c r="AH39" s="446"/>
      <c r="AI39" s="446"/>
      <c r="AJ39" s="446"/>
      <c r="AK39" s="391"/>
      <c r="AL39" s="391"/>
      <c r="AM39" s="501">
        <f t="shared" si="3"/>
        <v>5.5722543352601122</v>
      </c>
      <c r="AN39" s="195" t="s">
        <v>24</v>
      </c>
    </row>
    <row r="40" spans="1:40" s="201" customFormat="1" ht="12.75" customHeight="1">
      <c r="A40" s="206"/>
      <c r="B40" s="191" t="s">
        <v>10</v>
      </c>
      <c r="C40" s="289" t="s">
        <v>43</v>
      </c>
      <c r="D40" s="289" t="s">
        <v>43</v>
      </c>
      <c r="E40" s="290" t="s">
        <v>43</v>
      </c>
      <c r="F40" s="290" t="s">
        <v>43</v>
      </c>
      <c r="G40" s="290" t="s">
        <v>43</v>
      </c>
      <c r="H40" s="290" t="s">
        <v>43</v>
      </c>
      <c r="I40" s="290" t="s">
        <v>43</v>
      </c>
      <c r="J40" s="290" t="s">
        <v>43</v>
      </c>
      <c r="K40" s="290" t="s">
        <v>43</v>
      </c>
      <c r="L40" s="290" t="s">
        <v>43</v>
      </c>
      <c r="M40" s="290" t="s">
        <v>43</v>
      </c>
      <c r="N40" s="290" t="s">
        <v>43</v>
      </c>
      <c r="O40" s="290" t="s">
        <v>43</v>
      </c>
      <c r="P40" s="290" t="s">
        <v>43</v>
      </c>
      <c r="Q40" s="290" t="s">
        <v>43</v>
      </c>
      <c r="R40" s="290" t="s">
        <v>43</v>
      </c>
      <c r="S40" s="290" t="s">
        <v>43</v>
      </c>
      <c r="T40" s="290" t="s">
        <v>43</v>
      </c>
      <c r="U40" s="290" t="s">
        <v>43</v>
      </c>
      <c r="V40" s="290" t="s">
        <v>43</v>
      </c>
      <c r="W40" s="290" t="s">
        <v>43</v>
      </c>
      <c r="X40" s="290" t="s">
        <v>43</v>
      </c>
      <c r="Y40" s="290" t="s">
        <v>43</v>
      </c>
      <c r="Z40" s="290" t="s">
        <v>43</v>
      </c>
      <c r="AA40" s="290" t="s">
        <v>43</v>
      </c>
      <c r="AB40" s="290" t="s">
        <v>43</v>
      </c>
      <c r="AC40" s="350" t="s">
        <v>43</v>
      </c>
      <c r="AD40" s="350" t="s">
        <v>43</v>
      </c>
      <c r="AE40" s="350" t="s">
        <v>43</v>
      </c>
      <c r="AF40" s="295" t="s">
        <v>43</v>
      </c>
      <c r="AG40" s="314" t="s">
        <v>43</v>
      </c>
      <c r="AH40" s="314" t="s">
        <v>43</v>
      </c>
      <c r="AI40" s="314" t="s">
        <v>43</v>
      </c>
      <c r="AJ40" s="314" t="s">
        <v>43</v>
      </c>
      <c r="AK40" s="313" t="s">
        <v>43</v>
      </c>
      <c r="AL40" s="313" t="s">
        <v>43</v>
      </c>
      <c r="AM40" s="493" t="s">
        <v>43</v>
      </c>
      <c r="AN40" s="191" t="s">
        <v>10</v>
      </c>
    </row>
    <row r="41" spans="1:40" ht="12.75" customHeight="1">
      <c r="A41" s="180"/>
      <c r="B41" s="187" t="s">
        <v>40</v>
      </c>
      <c r="C41" s="188">
        <v>1.86</v>
      </c>
      <c r="D41" s="188">
        <v>2.3940000000000001</v>
      </c>
      <c r="E41" s="189">
        <v>2.1040000000000001</v>
      </c>
      <c r="F41" s="189">
        <v>2.15</v>
      </c>
      <c r="G41" s="189">
        <v>2.2559999999999998</v>
      </c>
      <c r="H41" s="189">
        <v>2.3159999999999998</v>
      </c>
      <c r="I41" s="189">
        <v>2.3980000000000001</v>
      </c>
      <c r="J41" s="189">
        <v>2.3809999999999998</v>
      </c>
      <c r="K41" s="189">
        <v>2.4489999999999998</v>
      </c>
      <c r="L41" s="189">
        <v>2.5609999999999999</v>
      </c>
      <c r="M41" s="189">
        <v>2.59</v>
      </c>
      <c r="N41" s="189">
        <v>2.6739999999999999</v>
      </c>
      <c r="O41" s="189">
        <v>2.6349999999999998</v>
      </c>
      <c r="P41" s="189">
        <v>2.677</v>
      </c>
      <c r="Q41" s="189">
        <v>2.4769999999999999</v>
      </c>
      <c r="R41" s="189">
        <v>2.3809999999999998</v>
      </c>
      <c r="S41" s="189">
        <v>2.62</v>
      </c>
      <c r="T41" s="189">
        <v>2.7229999999999999</v>
      </c>
      <c r="U41" s="189">
        <v>2.8330000000000002</v>
      </c>
      <c r="V41" s="189">
        <v>2.9580000000000002</v>
      </c>
      <c r="W41" s="189">
        <v>3.1230000000000002</v>
      </c>
      <c r="X41" s="189">
        <v>3.08</v>
      </c>
      <c r="Y41" s="189">
        <v>3.1859999999999999</v>
      </c>
      <c r="Z41" s="189">
        <v>3.0760000000000001</v>
      </c>
      <c r="AA41" s="189">
        <v>3.0920000000000001</v>
      </c>
      <c r="AB41" s="189">
        <v>3.26</v>
      </c>
      <c r="AC41" s="189">
        <v>3.44</v>
      </c>
      <c r="AD41" s="189">
        <v>3.5550000000000002</v>
      </c>
      <c r="AE41" s="189">
        <v>3.6949999999999998</v>
      </c>
      <c r="AF41" s="189">
        <v>3.5840000000000001</v>
      </c>
      <c r="AG41" s="314">
        <v>74.141161773891312</v>
      </c>
      <c r="AH41" s="314">
        <v>74.577832361068459</v>
      </c>
      <c r="AI41" s="314">
        <v>74.400000000000006</v>
      </c>
      <c r="AJ41" s="314">
        <v>44.872513309050156</v>
      </c>
      <c r="AK41" s="313">
        <f>0.988950874722418*100</f>
        <v>98.895087472241812</v>
      </c>
      <c r="AL41" s="313">
        <f>0.988950874722418*100</f>
        <v>98.895087472241812</v>
      </c>
      <c r="AM41" s="499">
        <f>AF41/AE41*100-100</f>
        <v>-3.0040595399187993</v>
      </c>
      <c r="AN41" s="187" t="s">
        <v>40</v>
      </c>
    </row>
    <row r="42" spans="1:40" s="201" customFormat="1" ht="12.75" customHeight="1">
      <c r="A42" s="206"/>
      <c r="B42" s="182" t="s">
        <v>11</v>
      </c>
      <c r="C42" s="183">
        <v>9.3390000000000004</v>
      </c>
      <c r="D42" s="183">
        <v>9.9640000000000004</v>
      </c>
      <c r="E42" s="184">
        <v>12.68</v>
      </c>
      <c r="F42" s="184">
        <v>13.83</v>
      </c>
      <c r="G42" s="184">
        <v>13.21</v>
      </c>
      <c r="H42" s="184">
        <v>13.38</v>
      </c>
      <c r="I42" s="184">
        <v>13.84</v>
      </c>
      <c r="J42" s="184">
        <v>11.71</v>
      </c>
      <c r="K42" s="184">
        <v>11.89</v>
      </c>
      <c r="L42" s="184">
        <v>12.05</v>
      </c>
      <c r="M42" s="184">
        <v>12.15</v>
      </c>
      <c r="N42" s="184">
        <v>12.5</v>
      </c>
      <c r="O42" s="184">
        <v>12.62</v>
      </c>
      <c r="P42" s="184">
        <v>13.301</v>
      </c>
      <c r="Q42" s="184">
        <v>14.147</v>
      </c>
      <c r="R42" s="184">
        <v>14.509</v>
      </c>
      <c r="S42" s="184">
        <v>14.914</v>
      </c>
      <c r="T42" s="184">
        <v>16.143999999999998</v>
      </c>
      <c r="U42" s="184">
        <v>16.577999999999999</v>
      </c>
      <c r="V42" s="184">
        <v>17.434000000000001</v>
      </c>
      <c r="W42" s="184">
        <v>17.775500000000001</v>
      </c>
      <c r="X42" s="184">
        <v>18.570700000000002</v>
      </c>
      <c r="Y42" s="184">
        <v>19.176599999999997</v>
      </c>
      <c r="Z42" s="184">
        <v>19.471400000000003</v>
      </c>
      <c r="AA42" s="184">
        <v>19.262400000000003</v>
      </c>
      <c r="AB42" s="184">
        <v>19.447200000000002</v>
      </c>
      <c r="AC42" s="344">
        <v>20.010200000000001</v>
      </c>
      <c r="AD42" s="344">
        <v>20.389299999999999</v>
      </c>
      <c r="AE42" s="389">
        <v>20.812000000000001</v>
      </c>
      <c r="AF42" s="389">
        <v>20.864999999999998</v>
      </c>
      <c r="AG42" s="446"/>
      <c r="AH42" s="446"/>
      <c r="AI42" s="446"/>
      <c r="AJ42" s="446"/>
      <c r="AK42" s="391"/>
      <c r="AL42" s="391"/>
      <c r="AM42" s="502">
        <f>AF42/AE42*100-100</f>
        <v>0.25466077263116915</v>
      </c>
      <c r="AN42" s="182" t="s">
        <v>11</v>
      </c>
    </row>
    <row r="43" spans="1:40" ht="12.75" customHeight="1">
      <c r="A43" s="180"/>
      <c r="B43" s="568" t="s">
        <v>159</v>
      </c>
      <c r="C43" s="568"/>
      <c r="D43" s="568"/>
      <c r="E43" s="568"/>
      <c r="F43" s="568"/>
      <c r="G43" s="568"/>
      <c r="H43" s="568"/>
      <c r="I43" s="568"/>
      <c r="J43" s="568"/>
      <c r="K43" s="568"/>
      <c r="L43" s="568"/>
      <c r="M43" s="568"/>
      <c r="N43" s="568"/>
      <c r="O43" s="568"/>
      <c r="P43" s="568"/>
      <c r="Q43" s="568"/>
      <c r="R43" s="568"/>
      <c r="S43" s="568"/>
      <c r="T43" s="568"/>
      <c r="U43" s="568"/>
      <c r="V43" s="568"/>
      <c r="W43" s="568"/>
      <c r="X43" s="568"/>
      <c r="Y43" s="568"/>
      <c r="Z43" s="568"/>
      <c r="AA43" s="568"/>
      <c r="AB43" s="568"/>
      <c r="AC43" s="568"/>
      <c r="AD43" s="568"/>
      <c r="AE43" s="568"/>
      <c r="AF43" s="568"/>
      <c r="AG43" s="568"/>
      <c r="AH43" s="568"/>
      <c r="AI43" s="568"/>
      <c r="AJ43" s="568"/>
      <c r="AK43" s="568"/>
      <c r="AL43" s="568"/>
      <c r="AM43" s="568"/>
      <c r="AN43" s="568"/>
    </row>
    <row r="44" spans="1:40" s="201" customFormat="1" ht="12.75" customHeight="1">
      <c r="A44" s="206"/>
      <c r="B44" s="312" t="s">
        <v>132</v>
      </c>
      <c r="C44" s="311"/>
      <c r="D44" s="311"/>
      <c r="E44" s="311"/>
      <c r="F44" s="311"/>
      <c r="G44" s="311"/>
      <c r="H44" s="311"/>
      <c r="I44" s="311"/>
      <c r="J44" s="311"/>
      <c r="K44" s="311"/>
      <c r="L44" s="311"/>
      <c r="M44" s="311"/>
      <c r="N44" s="311"/>
      <c r="O44" s="311"/>
      <c r="P44" s="311"/>
      <c r="Q44" s="311"/>
      <c r="R44" s="311"/>
      <c r="S44" s="311"/>
      <c r="T44" s="311"/>
      <c r="U44" s="311"/>
      <c r="V44" s="311"/>
      <c r="W44" s="311"/>
      <c r="X44" s="311"/>
      <c r="Y44" s="311"/>
      <c r="Z44" s="311"/>
      <c r="AA44" s="311"/>
      <c r="AB44" s="311"/>
      <c r="AC44" s="311"/>
      <c r="AD44" s="311"/>
      <c r="AE44" s="311"/>
      <c r="AF44" s="311"/>
      <c r="AG44" s="311"/>
      <c r="AH44" s="311"/>
      <c r="AI44" s="311"/>
      <c r="AJ44" s="311"/>
      <c r="AK44" s="311"/>
      <c r="AL44" s="311"/>
      <c r="AM44" s="503"/>
      <c r="AN44" s="311"/>
    </row>
    <row r="45" spans="1:40" ht="15" customHeight="1">
      <c r="B45" s="263" t="s">
        <v>158</v>
      </c>
      <c r="AN45" s="362"/>
    </row>
    <row r="46" spans="1:40" ht="18.75" customHeight="1">
      <c r="B46" s="263"/>
    </row>
  </sheetData>
  <mergeCells count="2">
    <mergeCell ref="B2:AN2"/>
    <mergeCell ref="B43:AN43"/>
  </mergeCells>
  <printOptions horizontalCentered="1"/>
  <pageMargins left="0.47244094488188981" right="0.47244094488188981" top="0.51181102362204722" bottom="0.27559055118110237" header="0" footer="0"/>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B1:S62"/>
  <sheetViews>
    <sheetView zoomScale="85" zoomScaleNormal="85" workbookViewId="0">
      <selection activeCell="V51" sqref="V51"/>
    </sheetView>
  </sheetViews>
  <sheetFormatPr defaultRowHeight="12.75"/>
  <cols>
    <col min="1" max="1" width="3.28515625" customWidth="1"/>
    <col min="2" max="2" width="2.5703125" customWidth="1"/>
    <col min="3" max="3" width="7.28515625" customWidth="1"/>
    <col min="4" max="4" width="5.28515625" customWidth="1"/>
    <col min="5" max="11" width="5.7109375" customWidth="1"/>
    <col min="12" max="12" width="5" customWidth="1"/>
    <col min="13" max="15" width="5.7109375" customWidth="1"/>
    <col min="16" max="16" width="4.85546875" customWidth="1"/>
    <col min="17" max="17" width="10.5703125" customWidth="1"/>
    <col min="18" max="18" width="7.140625" customWidth="1"/>
  </cols>
  <sheetData>
    <row r="1" spans="2:18" ht="14.25" customHeight="1">
      <c r="C1" s="573"/>
      <c r="D1" s="573"/>
      <c r="E1" s="81"/>
      <c r="F1" s="39"/>
      <c r="G1" s="39"/>
      <c r="H1" s="39"/>
      <c r="I1" s="39"/>
      <c r="J1" s="39"/>
      <c r="K1" s="39"/>
      <c r="L1" s="39"/>
      <c r="M1" s="39"/>
      <c r="N1" s="39"/>
      <c r="O1" s="39"/>
      <c r="P1" s="40"/>
      <c r="R1" s="59" t="s">
        <v>91</v>
      </c>
    </row>
    <row r="2" spans="2:18" s="17" customFormat="1" ht="30" customHeight="1">
      <c r="C2" s="574" t="s">
        <v>60</v>
      </c>
      <c r="D2" s="574"/>
      <c r="E2" s="574"/>
      <c r="F2" s="574"/>
      <c r="G2" s="574"/>
      <c r="H2" s="574"/>
      <c r="I2" s="574"/>
      <c r="J2" s="574"/>
      <c r="K2" s="574"/>
      <c r="L2" s="574"/>
      <c r="M2" s="574"/>
      <c r="N2" s="574"/>
      <c r="O2" s="574"/>
      <c r="P2" s="574"/>
      <c r="Q2" s="574"/>
      <c r="R2" s="574"/>
    </row>
    <row r="3" spans="2:18" ht="10.5" customHeight="1">
      <c r="C3" s="575" t="s">
        <v>108</v>
      </c>
      <c r="D3" s="576"/>
      <c r="E3" s="576"/>
      <c r="F3" s="576"/>
      <c r="G3" s="576"/>
      <c r="H3" s="576"/>
      <c r="I3" s="576"/>
      <c r="J3" s="576"/>
      <c r="K3" s="576"/>
      <c r="L3" s="576"/>
      <c r="M3" s="576"/>
      <c r="N3" s="576"/>
      <c r="O3" s="576"/>
      <c r="P3" s="576"/>
      <c r="Q3" s="576"/>
    </row>
    <row r="4" spans="2:18" ht="24.95" customHeight="1">
      <c r="C4" s="41"/>
      <c r="D4" s="55" t="s">
        <v>29</v>
      </c>
      <c r="E4" s="55" t="s">
        <v>14</v>
      </c>
      <c r="F4" s="55" t="s">
        <v>30</v>
      </c>
      <c r="G4" s="56" t="s">
        <v>31</v>
      </c>
      <c r="H4" s="55" t="s">
        <v>32</v>
      </c>
      <c r="I4" s="55" t="s">
        <v>34</v>
      </c>
      <c r="J4" s="55" t="s">
        <v>27</v>
      </c>
      <c r="K4" s="163" t="s">
        <v>20</v>
      </c>
      <c r="L4" s="55" t="s">
        <v>37</v>
      </c>
      <c r="M4" s="55" t="s">
        <v>23</v>
      </c>
      <c r="N4" s="55" t="s">
        <v>38</v>
      </c>
      <c r="O4" s="55" t="s">
        <v>39</v>
      </c>
      <c r="P4" s="56" t="s">
        <v>28</v>
      </c>
      <c r="Q4" s="162" t="s">
        <v>113</v>
      </c>
      <c r="R4" s="103" t="s">
        <v>78</v>
      </c>
    </row>
    <row r="5" spans="2:18" ht="15" customHeight="1">
      <c r="C5" s="57">
        <v>1990</v>
      </c>
      <c r="D5" s="115" t="s">
        <v>43</v>
      </c>
      <c r="E5" s="114" t="s">
        <v>43</v>
      </c>
      <c r="F5" s="114" t="s">
        <v>43</v>
      </c>
      <c r="G5" s="114" t="s">
        <v>43</v>
      </c>
      <c r="H5" s="101">
        <v>14.92</v>
      </c>
      <c r="I5" s="101">
        <v>0.3</v>
      </c>
      <c r="J5" s="114" t="s">
        <v>43</v>
      </c>
      <c r="K5" s="387" t="s">
        <v>43</v>
      </c>
      <c r="L5" s="114" t="s">
        <v>43</v>
      </c>
      <c r="M5" s="114" t="s">
        <v>43</v>
      </c>
      <c r="N5" s="114" t="s">
        <v>43</v>
      </c>
      <c r="O5" s="114">
        <v>6.0000000000000001E-3</v>
      </c>
      <c r="P5" s="114" t="s">
        <v>43</v>
      </c>
      <c r="Q5" s="106">
        <f>SUM(D5:P5)</f>
        <v>15.226000000000001</v>
      </c>
      <c r="R5" s="116"/>
    </row>
    <row r="6" spans="2:18" ht="15" customHeight="1">
      <c r="C6" s="58">
        <v>1991</v>
      </c>
      <c r="D6" s="109" t="s">
        <v>43</v>
      </c>
      <c r="E6" s="100" t="s">
        <v>43</v>
      </c>
      <c r="F6" s="38">
        <v>2</v>
      </c>
      <c r="G6" s="100" t="s">
        <v>43</v>
      </c>
      <c r="H6" s="38">
        <v>17.87</v>
      </c>
      <c r="I6" s="38">
        <v>0.4</v>
      </c>
      <c r="J6" s="100" t="s">
        <v>43</v>
      </c>
      <c r="K6" s="388" t="s">
        <v>43</v>
      </c>
      <c r="L6" s="100" t="s">
        <v>43</v>
      </c>
      <c r="M6" s="100" t="s">
        <v>43</v>
      </c>
      <c r="N6" s="100" t="s">
        <v>43</v>
      </c>
      <c r="O6" s="38">
        <v>9.4E-2</v>
      </c>
      <c r="P6" s="100" t="s">
        <v>43</v>
      </c>
      <c r="Q6" s="107">
        <f>SUM(D6:P6)</f>
        <v>20.364000000000001</v>
      </c>
      <c r="R6" s="104">
        <f>Q6/Q5-1</f>
        <v>0.33744910022330221</v>
      </c>
    </row>
    <row r="7" spans="2:18" ht="15" customHeight="1">
      <c r="C7" s="58">
        <v>1992</v>
      </c>
      <c r="D7" s="109" t="s">
        <v>43</v>
      </c>
      <c r="E7" s="100" t="s">
        <v>43</v>
      </c>
      <c r="F7" s="38">
        <v>5.2</v>
      </c>
      <c r="G7" s="38">
        <v>0.4</v>
      </c>
      <c r="H7" s="38">
        <v>18.96</v>
      </c>
      <c r="I7" s="38">
        <v>0.4</v>
      </c>
      <c r="J7" s="100" t="s">
        <v>43</v>
      </c>
      <c r="K7" s="388" t="s">
        <v>43</v>
      </c>
      <c r="L7" s="100" t="s">
        <v>43</v>
      </c>
      <c r="M7" s="100" t="s">
        <v>43</v>
      </c>
      <c r="N7" s="100" t="s">
        <v>43</v>
      </c>
      <c r="O7" s="38">
        <v>0.154</v>
      </c>
      <c r="P7" s="100" t="s">
        <v>43</v>
      </c>
      <c r="Q7" s="107">
        <f>SUM(D7:P7)</f>
        <v>25.114000000000001</v>
      </c>
      <c r="R7" s="104">
        <f t="shared" ref="R7:R32" si="0">Q7/Q6-1</f>
        <v>0.23325476330779815</v>
      </c>
    </row>
    <row r="8" spans="2:18" ht="15" customHeight="1">
      <c r="B8" s="2"/>
      <c r="C8" s="58">
        <v>1993</v>
      </c>
      <c r="D8" s="109" t="s">
        <v>43</v>
      </c>
      <c r="E8" s="100" t="s">
        <v>43</v>
      </c>
      <c r="F8" s="38">
        <v>7</v>
      </c>
      <c r="G8" s="38">
        <v>0.9</v>
      </c>
      <c r="H8" s="38">
        <v>18.93</v>
      </c>
      <c r="I8" s="38">
        <v>0.5</v>
      </c>
      <c r="J8" s="100" t="s">
        <v>43</v>
      </c>
      <c r="K8" s="388" t="s">
        <v>43</v>
      </c>
      <c r="L8" s="100" t="s">
        <v>43</v>
      </c>
      <c r="M8" s="100" t="s">
        <v>43</v>
      </c>
      <c r="N8" s="100" t="s">
        <v>43</v>
      </c>
      <c r="O8" s="38">
        <v>0.27200000000000002</v>
      </c>
      <c r="P8" s="100" t="s">
        <v>43</v>
      </c>
      <c r="Q8" s="107">
        <f>SUM(D8:P8)</f>
        <v>27.601999999999997</v>
      </c>
      <c r="R8" s="104">
        <f t="shared" si="0"/>
        <v>9.9068248785537882E-2</v>
      </c>
    </row>
    <row r="9" spans="2:18" ht="15" customHeight="1" thickBot="1">
      <c r="B9" s="2"/>
      <c r="C9" s="58">
        <v>1994</v>
      </c>
      <c r="D9" s="109" t="s">
        <v>43</v>
      </c>
      <c r="E9" s="100" t="s">
        <v>43</v>
      </c>
      <c r="F9" s="38">
        <v>8.1999999999999993</v>
      </c>
      <c r="G9" s="38">
        <v>0.9</v>
      </c>
      <c r="H9" s="462">
        <v>20.51</v>
      </c>
      <c r="I9" s="38">
        <v>0.8</v>
      </c>
      <c r="J9" s="100" t="s">
        <v>43</v>
      </c>
      <c r="K9" s="388" t="s">
        <v>43</v>
      </c>
      <c r="L9" s="100" t="s">
        <v>43</v>
      </c>
      <c r="M9" s="100" t="s">
        <v>43</v>
      </c>
      <c r="N9" s="100" t="s">
        <v>43</v>
      </c>
      <c r="O9" s="38">
        <v>0.30499999999999999</v>
      </c>
      <c r="P9" s="339" t="s">
        <v>43</v>
      </c>
      <c r="Q9" s="108">
        <f>SUM(D9:P9)</f>
        <v>30.715</v>
      </c>
      <c r="R9" s="104">
        <f t="shared" si="0"/>
        <v>0.11278168248677645</v>
      </c>
    </row>
    <row r="10" spans="2:18" ht="15" customHeight="1" thickTop="1">
      <c r="C10" s="58">
        <v>1995</v>
      </c>
      <c r="D10" s="109" t="s">
        <v>43</v>
      </c>
      <c r="E10" s="100" t="s">
        <v>43</v>
      </c>
      <c r="F10" s="38">
        <v>8.6999999999999993</v>
      </c>
      <c r="G10" s="38">
        <v>1.294</v>
      </c>
      <c r="H10" s="38">
        <v>21.43</v>
      </c>
      <c r="I10" s="38">
        <v>1.1000000000000001</v>
      </c>
      <c r="J10" s="100" t="s">
        <v>43</v>
      </c>
      <c r="K10" s="388" t="s">
        <v>43</v>
      </c>
      <c r="L10" s="100" t="s">
        <v>43</v>
      </c>
      <c r="M10" s="100" t="s">
        <v>43</v>
      </c>
      <c r="N10" s="100" t="s">
        <v>43</v>
      </c>
      <c r="O10" s="38">
        <v>0.41499999999999998</v>
      </c>
      <c r="P10" s="339" t="s">
        <v>43</v>
      </c>
      <c r="Q10" s="108">
        <f t="shared" ref="Q10:Q30" si="1">SUM(D10:P10)</f>
        <v>32.939</v>
      </c>
      <c r="R10" s="104">
        <f t="shared" si="0"/>
        <v>7.2407618427478448E-2</v>
      </c>
    </row>
    <row r="11" spans="2:18" ht="15" customHeight="1">
      <c r="C11" s="58">
        <v>1996</v>
      </c>
      <c r="D11" s="109">
        <v>0.32</v>
      </c>
      <c r="E11" s="100" t="s">
        <v>43</v>
      </c>
      <c r="F11" s="38">
        <v>8.85</v>
      </c>
      <c r="G11" s="38">
        <v>1.1000000000000001</v>
      </c>
      <c r="H11" s="38">
        <v>24.79</v>
      </c>
      <c r="I11" s="38">
        <v>1.3</v>
      </c>
      <c r="J11" s="100">
        <v>3.1E-2</v>
      </c>
      <c r="K11" s="388" t="s">
        <v>43</v>
      </c>
      <c r="L11" s="100" t="s">
        <v>43</v>
      </c>
      <c r="M11" s="100" t="s">
        <v>43</v>
      </c>
      <c r="N11" s="100">
        <v>2.4E-2</v>
      </c>
      <c r="O11" s="38">
        <v>1.101</v>
      </c>
      <c r="P11" s="339" t="s">
        <v>43</v>
      </c>
      <c r="Q11" s="108">
        <f t="shared" si="1"/>
        <v>37.515999999999998</v>
      </c>
      <c r="R11" s="104">
        <f t="shared" si="0"/>
        <v>0.13895382373478249</v>
      </c>
    </row>
    <row r="12" spans="2:18" ht="15" customHeight="1">
      <c r="C12" s="58">
        <v>1997</v>
      </c>
      <c r="D12" s="102">
        <v>0.55500000000000005</v>
      </c>
      <c r="E12" s="100" t="s">
        <v>43</v>
      </c>
      <c r="F12" s="38">
        <v>10.073</v>
      </c>
      <c r="G12" s="38">
        <v>1.3</v>
      </c>
      <c r="H12" s="38">
        <v>27.58</v>
      </c>
      <c r="I12" s="38">
        <v>2.4</v>
      </c>
      <c r="J12" s="100">
        <v>7.2999999999999995E-2</v>
      </c>
      <c r="K12" s="388" t="s">
        <v>43</v>
      </c>
      <c r="L12" s="100" t="s">
        <v>43</v>
      </c>
      <c r="M12" s="100" t="s">
        <v>43</v>
      </c>
      <c r="N12" s="100">
        <v>5.2999999999999999E-2</v>
      </c>
      <c r="O12" s="38">
        <v>1.3280000000000001</v>
      </c>
      <c r="P12" s="339" t="s">
        <v>43</v>
      </c>
      <c r="Q12" s="108">
        <f t="shared" si="1"/>
        <v>43.361999999999995</v>
      </c>
      <c r="R12" s="104">
        <f t="shared" si="0"/>
        <v>0.15582684721185625</v>
      </c>
    </row>
    <row r="13" spans="2:18" ht="15" customHeight="1">
      <c r="C13" s="58">
        <v>1998</v>
      </c>
      <c r="D13" s="102">
        <v>0.78800000000000003</v>
      </c>
      <c r="E13" s="100" t="s">
        <v>43</v>
      </c>
      <c r="F13" s="38">
        <v>10.154999999999999</v>
      </c>
      <c r="G13" s="38">
        <v>1.516</v>
      </c>
      <c r="H13" s="38">
        <v>30.619</v>
      </c>
      <c r="I13" s="38">
        <v>3.6379999999999999</v>
      </c>
      <c r="J13" s="38">
        <v>0.09</v>
      </c>
      <c r="K13" s="339" t="s">
        <v>43</v>
      </c>
      <c r="L13" s="100" t="s">
        <v>43</v>
      </c>
      <c r="M13" s="100" t="s">
        <v>43</v>
      </c>
      <c r="N13" s="38">
        <v>5.6000000000000001E-2</v>
      </c>
      <c r="O13" s="38">
        <v>1.605</v>
      </c>
      <c r="P13" s="339" t="s">
        <v>43</v>
      </c>
      <c r="Q13" s="108">
        <f t="shared" si="1"/>
        <v>48.466999999999999</v>
      </c>
      <c r="R13" s="104">
        <f t="shared" si="0"/>
        <v>0.11772980951063161</v>
      </c>
    </row>
    <row r="14" spans="2:18" ht="15" customHeight="1">
      <c r="C14" s="58">
        <v>1999</v>
      </c>
      <c r="D14" s="102">
        <v>0.80400000000000005</v>
      </c>
      <c r="E14" s="100" t="s">
        <v>43</v>
      </c>
      <c r="F14" s="38">
        <v>11.590999999999999</v>
      </c>
      <c r="G14" s="38">
        <v>1.6739999999999999</v>
      </c>
      <c r="H14" s="38">
        <v>32.192</v>
      </c>
      <c r="I14" s="38">
        <v>4.4640000000000004</v>
      </c>
      <c r="J14" s="38">
        <v>0.1</v>
      </c>
      <c r="K14" s="339" t="s">
        <v>43</v>
      </c>
      <c r="L14" s="100" t="s">
        <v>43</v>
      </c>
      <c r="M14" s="100" t="s">
        <v>43</v>
      </c>
      <c r="N14" s="38">
        <v>5.3999999999999999E-2</v>
      </c>
      <c r="O14" s="38">
        <v>1.8120000000000001</v>
      </c>
      <c r="P14" s="339" t="s">
        <v>43</v>
      </c>
      <c r="Q14" s="108">
        <f t="shared" si="1"/>
        <v>52.690999999999995</v>
      </c>
      <c r="R14" s="104">
        <f t="shared" si="0"/>
        <v>8.7152082860503022E-2</v>
      </c>
    </row>
    <row r="15" spans="2:18" ht="15" customHeight="1">
      <c r="C15" s="58">
        <v>2000</v>
      </c>
      <c r="D15" s="102">
        <v>0.86499999999999999</v>
      </c>
      <c r="E15" s="100" t="s">
        <v>43</v>
      </c>
      <c r="F15" s="38">
        <v>13.925000000000001</v>
      </c>
      <c r="G15" s="38">
        <v>1.9419999999999999</v>
      </c>
      <c r="H15" s="38">
        <v>34.747</v>
      </c>
      <c r="I15" s="38">
        <v>5.0860000000000003</v>
      </c>
      <c r="J15" s="38">
        <v>0.113</v>
      </c>
      <c r="K15" s="339" t="s">
        <v>43</v>
      </c>
      <c r="L15" s="100" t="s">
        <v>43</v>
      </c>
      <c r="M15" s="100" t="s">
        <v>43</v>
      </c>
      <c r="N15" s="38">
        <v>7.0999999999999994E-2</v>
      </c>
      <c r="O15" s="38">
        <v>2.0470000000000002</v>
      </c>
      <c r="P15" s="339" t="s">
        <v>43</v>
      </c>
      <c r="Q15" s="108">
        <f t="shared" si="1"/>
        <v>58.795999999999992</v>
      </c>
      <c r="R15" s="104">
        <f t="shared" si="0"/>
        <v>0.11586418933024611</v>
      </c>
    </row>
    <row r="16" spans="2:18" ht="15" customHeight="1">
      <c r="C16" s="58">
        <v>2001</v>
      </c>
      <c r="D16" s="102">
        <v>0.88900000000000001</v>
      </c>
      <c r="E16" s="100" t="s">
        <v>43</v>
      </c>
      <c r="F16" s="38">
        <v>15.515000000000001</v>
      </c>
      <c r="G16" s="38">
        <v>2.077</v>
      </c>
      <c r="H16" s="38">
        <v>37.404000000000003</v>
      </c>
      <c r="I16" s="38">
        <v>6.7629999999999999</v>
      </c>
      <c r="J16" s="38">
        <v>0.191</v>
      </c>
      <c r="K16" s="339" t="s">
        <v>43</v>
      </c>
      <c r="L16" s="100" t="s">
        <v>43</v>
      </c>
      <c r="M16" s="100" t="s">
        <v>43</v>
      </c>
      <c r="N16" s="38">
        <v>0.06</v>
      </c>
      <c r="O16" s="38">
        <v>2.2269999999999999</v>
      </c>
      <c r="P16" s="339" t="s">
        <v>43</v>
      </c>
      <c r="Q16" s="108">
        <f t="shared" si="1"/>
        <v>65.126000000000005</v>
      </c>
      <c r="R16" s="104">
        <f t="shared" si="0"/>
        <v>0.10766038506020847</v>
      </c>
    </row>
    <row r="17" spans="2:19" ht="15" customHeight="1">
      <c r="C17" s="58">
        <v>2002</v>
      </c>
      <c r="D17" s="102">
        <v>0.90900000000000003</v>
      </c>
      <c r="E17" s="100" t="s">
        <v>43</v>
      </c>
      <c r="F17" s="38">
        <v>15.255000000000001</v>
      </c>
      <c r="G17" s="38">
        <v>2.181</v>
      </c>
      <c r="H17" s="38">
        <v>39.856000000000002</v>
      </c>
      <c r="I17" s="38">
        <v>7.0780000000000003</v>
      </c>
      <c r="J17" s="38">
        <v>0.20100000000000001</v>
      </c>
      <c r="K17" s="339" t="s">
        <v>43</v>
      </c>
      <c r="L17" s="100" t="s">
        <v>43</v>
      </c>
      <c r="M17" s="100" t="s">
        <v>43</v>
      </c>
      <c r="N17" s="38">
        <v>0.13500000000000001</v>
      </c>
      <c r="O17" s="38">
        <v>2.39</v>
      </c>
      <c r="P17" s="339" t="s">
        <v>43</v>
      </c>
      <c r="Q17" s="108">
        <f t="shared" si="1"/>
        <v>68.00500000000001</v>
      </c>
      <c r="R17" s="104">
        <f t="shared" si="0"/>
        <v>4.4206614869637395E-2</v>
      </c>
    </row>
    <row r="18" spans="2:19" ht="15" customHeight="1">
      <c r="C18" s="58">
        <v>2003</v>
      </c>
      <c r="D18" s="102">
        <v>0.878</v>
      </c>
      <c r="E18" s="100" t="s">
        <v>43</v>
      </c>
      <c r="F18" s="38">
        <v>17.457000000000001</v>
      </c>
      <c r="G18" s="38">
        <v>2.0270000000000001</v>
      </c>
      <c r="H18" s="38">
        <v>39.603999999999999</v>
      </c>
      <c r="I18" s="38">
        <v>7.431</v>
      </c>
      <c r="J18" s="38">
        <v>0.66400000000000003</v>
      </c>
      <c r="K18" s="339" t="s">
        <v>43</v>
      </c>
      <c r="L18" s="100" t="s">
        <v>43</v>
      </c>
      <c r="M18" s="100" t="s">
        <v>43</v>
      </c>
      <c r="N18" s="38">
        <v>0.2</v>
      </c>
      <c r="O18" s="38">
        <v>2.4</v>
      </c>
      <c r="P18" s="339" t="s">
        <v>43</v>
      </c>
      <c r="Q18" s="108">
        <f t="shared" si="1"/>
        <v>70.661000000000016</v>
      </c>
      <c r="R18" s="104">
        <f t="shared" si="0"/>
        <v>3.9055951768252495E-2</v>
      </c>
    </row>
    <row r="19" spans="2:19" ht="15" customHeight="1">
      <c r="C19" s="58">
        <v>2004</v>
      </c>
      <c r="D19" s="102">
        <v>0.94</v>
      </c>
      <c r="E19" s="38">
        <v>1E-3</v>
      </c>
      <c r="F19" s="38">
        <v>19.603999999999999</v>
      </c>
      <c r="G19" s="38">
        <v>2.085</v>
      </c>
      <c r="H19" s="38">
        <v>41.439</v>
      </c>
      <c r="I19" s="38">
        <v>7.9249999999999998</v>
      </c>
      <c r="J19" s="38">
        <v>0.65700000000000003</v>
      </c>
      <c r="K19" s="339" t="s">
        <v>43</v>
      </c>
      <c r="L19" s="38">
        <v>0.436</v>
      </c>
      <c r="M19" s="38" t="s">
        <v>43</v>
      </c>
      <c r="N19" s="38">
        <v>0.16200000000000001</v>
      </c>
      <c r="O19" s="38">
        <v>2.4220000000000002</v>
      </c>
      <c r="P19" s="38">
        <v>0.44</v>
      </c>
      <c r="Q19" s="108">
        <f t="shared" si="1"/>
        <v>76.111000000000004</v>
      </c>
      <c r="R19" s="104">
        <f t="shared" si="0"/>
        <v>7.7128826368151993E-2</v>
      </c>
    </row>
    <row r="20" spans="2:19" ht="15" customHeight="1">
      <c r="C20" s="58">
        <v>2005</v>
      </c>
      <c r="D20" s="102">
        <v>0.98199999999999998</v>
      </c>
      <c r="E20" s="38">
        <v>6.0000000000000001E-3</v>
      </c>
      <c r="F20" s="38">
        <v>20.853000000000002</v>
      </c>
      <c r="G20" s="38">
        <v>2.3239999999999998</v>
      </c>
      <c r="H20" s="38">
        <v>43.13</v>
      </c>
      <c r="I20" s="38">
        <v>8.5500000000000007</v>
      </c>
      <c r="J20" s="38">
        <v>0.68700000000000006</v>
      </c>
      <c r="K20" s="339" t="s">
        <v>43</v>
      </c>
      <c r="L20" s="38">
        <v>0.49</v>
      </c>
      <c r="M20" s="38" t="s">
        <v>43</v>
      </c>
      <c r="N20" s="38">
        <v>0.311</v>
      </c>
      <c r="O20" s="38">
        <v>2.33</v>
      </c>
      <c r="P20" s="45">
        <v>0.45</v>
      </c>
      <c r="Q20" s="108">
        <f t="shared" si="1"/>
        <v>80.113</v>
      </c>
      <c r="R20" s="104">
        <f t="shared" si="0"/>
        <v>5.2581098658538217E-2</v>
      </c>
    </row>
    <row r="21" spans="2:19" ht="15" customHeight="1">
      <c r="C21" s="58">
        <v>2006</v>
      </c>
      <c r="D21" s="102">
        <v>1</v>
      </c>
      <c r="E21" s="38">
        <v>0.14799999999999999</v>
      </c>
      <c r="F21" s="38">
        <v>21.635000000000002</v>
      </c>
      <c r="G21" s="38">
        <v>2.6970000000000001</v>
      </c>
      <c r="H21" s="38">
        <v>44.853000000000002</v>
      </c>
      <c r="I21" s="38">
        <v>8.9120000000000008</v>
      </c>
      <c r="J21" s="38">
        <v>0.73299999999999998</v>
      </c>
      <c r="K21" s="339" t="s">
        <v>43</v>
      </c>
      <c r="L21" s="38">
        <v>0.50800000000000001</v>
      </c>
      <c r="M21" s="38" t="s">
        <v>43</v>
      </c>
      <c r="N21" s="38">
        <v>0.435</v>
      </c>
      <c r="O21" s="38">
        <v>2.4900000000000002</v>
      </c>
      <c r="P21" s="38">
        <v>0.90400000000000003</v>
      </c>
      <c r="Q21" s="108">
        <f t="shared" si="1"/>
        <v>84.314999999999998</v>
      </c>
      <c r="R21" s="104">
        <f t="shared" si="0"/>
        <v>5.2450913085267059E-2</v>
      </c>
    </row>
    <row r="22" spans="2:19" ht="15" customHeight="1">
      <c r="C22" s="58">
        <v>2007</v>
      </c>
      <c r="D22" s="102">
        <v>1.018</v>
      </c>
      <c r="E22" s="38">
        <v>0.32900000000000001</v>
      </c>
      <c r="F22" s="38">
        <v>21.919</v>
      </c>
      <c r="G22" s="38">
        <v>2.5920000000000001</v>
      </c>
      <c r="H22" s="38">
        <v>47.966000000000001</v>
      </c>
      <c r="I22" s="38">
        <v>8.8179999999999996</v>
      </c>
      <c r="J22" s="38">
        <v>0.8</v>
      </c>
      <c r="K22" s="339" t="s">
        <v>43</v>
      </c>
      <c r="L22" s="38">
        <v>0.50600000000000001</v>
      </c>
      <c r="M22" s="38" t="s">
        <v>43</v>
      </c>
      <c r="N22" s="38">
        <v>0.57999999999999996</v>
      </c>
      <c r="O22" s="38">
        <v>2.7749999999999999</v>
      </c>
      <c r="P22" s="38">
        <v>1.3919999999999999</v>
      </c>
      <c r="Q22" s="108">
        <f t="shared" si="1"/>
        <v>88.694999999999993</v>
      </c>
      <c r="R22" s="104">
        <f t="shared" si="0"/>
        <v>5.1948051948051965E-2</v>
      </c>
    </row>
    <row r="23" spans="2:19" ht="15" customHeight="1">
      <c r="C23" s="58">
        <v>2008</v>
      </c>
      <c r="D23" s="102">
        <v>1.079</v>
      </c>
      <c r="E23" s="38">
        <v>0.253</v>
      </c>
      <c r="F23" s="38">
        <v>23.332999999999998</v>
      </c>
      <c r="G23" s="38">
        <v>5.4829999999999997</v>
      </c>
      <c r="H23" s="38">
        <v>52.564</v>
      </c>
      <c r="I23" s="38">
        <v>8.8780000000000001</v>
      </c>
      <c r="J23" s="38">
        <v>0.86699999999999999</v>
      </c>
      <c r="K23" s="339" t="s">
        <v>43</v>
      </c>
      <c r="L23" s="38">
        <v>0.52500000000000002</v>
      </c>
      <c r="M23" s="38">
        <v>1.4E-2</v>
      </c>
      <c r="N23" s="38">
        <v>0.622</v>
      </c>
      <c r="O23" s="38">
        <v>2.992</v>
      </c>
      <c r="P23" s="38">
        <v>0.99299999999999999</v>
      </c>
      <c r="Q23" s="108">
        <f t="shared" si="1"/>
        <v>97.603000000000009</v>
      </c>
      <c r="R23" s="104">
        <f t="shared" si="0"/>
        <v>0.10043407181915565</v>
      </c>
    </row>
    <row r="24" spans="2:19" ht="15" customHeight="1" thickBot="1">
      <c r="B24" s="2"/>
      <c r="C24" s="58">
        <v>2009</v>
      </c>
      <c r="D24" s="38">
        <v>1.0609999999999999</v>
      </c>
      <c r="E24" s="38">
        <v>0.23499999999999999</v>
      </c>
      <c r="F24" s="38">
        <v>22.561</v>
      </c>
      <c r="G24" s="38">
        <v>11.505000000000001</v>
      </c>
      <c r="H24" s="38">
        <v>51.863999999999997</v>
      </c>
      <c r="I24" s="38">
        <v>10.746</v>
      </c>
      <c r="J24" s="38">
        <v>0.91500000000000004</v>
      </c>
      <c r="K24" s="339" t="s">
        <v>43</v>
      </c>
      <c r="L24" s="38">
        <v>0.52900000000000003</v>
      </c>
      <c r="M24" s="38">
        <v>1.6E-2</v>
      </c>
      <c r="N24" s="38">
        <v>0.60399999999999998</v>
      </c>
      <c r="O24" s="38">
        <v>3.05</v>
      </c>
      <c r="P24" s="38">
        <v>1.014</v>
      </c>
      <c r="Q24" s="107">
        <f t="shared" si="1"/>
        <v>104.1</v>
      </c>
      <c r="R24" s="104">
        <f t="shared" si="0"/>
        <v>6.6565576877759769E-2</v>
      </c>
    </row>
    <row r="25" spans="2:19" ht="15" customHeight="1" thickTop="1" thickBot="1">
      <c r="B25" s="2"/>
      <c r="C25" s="58">
        <v>2010</v>
      </c>
      <c r="D25" s="38">
        <v>1.0609999999999999</v>
      </c>
      <c r="E25" s="38">
        <v>0.27100000000000002</v>
      </c>
      <c r="F25" s="38">
        <v>23.903134902000001</v>
      </c>
      <c r="G25" s="38">
        <v>11.715</v>
      </c>
      <c r="H25" s="38">
        <v>51.890184043437998</v>
      </c>
      <c r="I25" s="38">
        <v>11.606199999999999</v>
      </c>
      <c r="J25" s="144">
        <v>0.28499999999999998</v>
      </c>
      <c r="K25" s="339" t="s">
        <v>43</v>
      </c>
      <c r="L25" s="38">
        <v>0.51925939799999998</v>
      </c>
      <c r="M25" s="38">
        <v>1.5100000000000001E-2</v>
      </c>
      <c r="N25" s="38">
        <v>0.65100000000000002</v>
      </c>
      <c r="O25" s="45">
        <f>AVERAGE(O24,O26)</f>
        <v>2.9384999999999999</v>
      </c>
      <c r="P25" s="38">
        <v>1.014</v>
      </c>
      <c r="Q25" s="108">
        <f t="shared" si="1"/>
        <v>105.869378343438</v>
      </c>
      <c r="R25" s="104">
        <f t="shared" si="0"/>
        <v>1.6996910119481345E-2</v>
      </c>
    </row>
    <row r="26" spans="2:19" ht="15" customHeight="1" thickTop="1">
      <c r="B26" s="2"/>
      <c r="C26" s="58">
        <v>2011</v>
      </c>
      <c r="D26" s="38">
        <v>0.90500000000000003</v>
      </c>
      <c r="E26" s="38">
        <v>0.28499999999999998</v>
      </c>
      <c r="F26" s="38">
        <v>23.306000000000001</v>
      </c>
      <c r="G26" s="38">
        <v>11.231</v>
      </c>
      <c r="H26" s="38">
        <v>51.365000000000002</v>
      </c>
      <c r="I26" s="38">
        <v>12.282999999999999</v>
      </c>
      <c r="J26" s="38">
        <v>0.30499999999999999</v>
      </c>
      <c r="K26" s="339" t="s">
        <v>43</v>
      </c>
      <c r="L26" s="38">
        <v>0.46600000000000003</v>
      </c>
      <c r="M26" s="38">
        <v>1.3339999999999999E-2</v>
      </c>
      <c r="N26" s="38">
        <v>0.70899999999999996</v>
      </c>
      <c r="O26" s="38">
        <v>2.827</v>
      </c>
      <c r="P26" s="341">
        <v>4.3639999999999999</v>
      </c>
      <c r="Q26" s="107">
        <f t="shared" si="1"/>
        <v>108.05934000000002</v>
      </c>
      <c r="R26" s="104">
        <f t="shared" si="0"/>
        <v>2.0685505958652373E-2</v>
      </c>
    </row>
    <row r="27" spans="2:19" ht="15" customHeight="1">
      <c r="B27" s="2"/>
      <c r="C27" s="58">
        <v>2012</v>
      </c>
      <c r="D27" s="45">
        <v>0.90500000000000003</v>
      </c>
      <c r="E27" s="38">
        <v>0.27100000000000002</v>
      </c>
      <c r="F27" s="38">
        <v>24.753</v>
      </c>
      <c r="G27" s="38">
        <v>11.177</v>
      </c>
      <c r="H27" s="38">
        <v>51.085999999999999</v>
      </c>
      <c r="I27" s="38">
        <v>12.794</v>
      </c>
      <c r="J27" s="38">
        <v>0.32400000000000001</v>
      </c>
      <c r="K27" s="339" t="s">
        <v>43</v>
      </c>
      <c r="L27" s="38">
        <v>0.46200000000000002</v>
      </c>
      <c r="M27" s="38">
        <v>1.1888480999999999E-2</v>
      </c>
      <c r="N27" s="38">
        <v>0.70799999999999996</v>
      </c>
      <c r="O27" s="38">
        <v>2.948</v>
      </c>
      <c r="P27" s="45">
        <v>4.3639999999999999</v>
      </c>
      <c r="Q27" s="108">
        <f t="shared" si="1"/>
        <v>109.803888481</v>
      </c>
      <c r="R27" s="104">
        <f t="shared" si="0"/>
        <v>1.6144356249075509E-2</v>
      </c>
    </row>
    <row r="28" spans="2:19" ht="15" customHeight="1">
      <c r="B28" s="2"/>
      <c r="C28" s="58">
        <v>2013</v>
      </c>
      <c r="D28" s="359">
        <v>0.90500000000000003</v>
      </c>
      <c r="E28" s="38">
        <v>0.246</v>
      </c>
      <c r="F28" s="38">
        <v>25.178000000000001</v>
      </c>
      <c r="G28" s="38">
        <v>12.744</v>
      </c>
      <c r="H28" s="38">
        <v>50.786000000000001</v>
      </c>
      <c r="I28" s="45">
        <v>12.794</v>
      </c>
      <c r="J28" s="38">
        <v>0.36299999999999999</v>
      </c>
      <c r="K28" s="339" t="s">
        <v>43</v>
      </c>
      <c r="L28" s="38">
        <v>0.46500000000000002</v>
      </c>
      <c r="M28" s="38">
        <v>1.1050687999999999E-2</v>
      </c>
      <c r="N28" s="38">
        <v>0.75700000000000001</v>
      </c>
      <c r="O28" s="38">
        <v>3.0550000000000002</v>
      </c>
      <c r="P28" s="45">
        <v>4.3639999999999999</v>
      </c>
      <c r="Q28" s="108">
        <f t="shared" si="1"/>
        <v>111.66805068800002</v>
      </c>
      <c r="R28" s="104">
        <f t="shared" si="0"/>
        <v>1.6977196643838344E-2</v>
      </c>
    </row>
    <row r="29" spans="2:19" ht="15" customHeight="1">
      <c r="B29" s="2"/>
      <c r="C29" s="380">
        <v>2014</v>
      </c>
      <c r="D29" s="359">
        <v>0.91</v>
      </c>
      <c r="E29" s="45">
        <v>0.246</v>
      </c>
      <c r="F29" s="38">
        <v>24.315999999999999</v>
      </c>
      <c r="G29" s="38">
        <v>12.788</v>
      </c>
      <c r="H29" s="38">
        <v>50.658999999999999</v>
      </c>
      <c r="I29" s="45">
        <v>12.794</v>
      </c>
      <c r="J29" s="38">
        <v>0.24199999999999999</v>
      </c>
      <c r="K29" s="339" t="s">
        <v>43</v>
      </c>
      <c r="L29" s="38">
        <v>0.53800000000000003</v>
      </c>
      <c r="M29" s="38">
        <v>7.7131480000000004E-3</v>
      </c>
      <c r="N29" s="38">
        <v>0.65100000000000002</v>
      </c>
      <c r="O29" s="38">
        <v>3.2280000000000002</v>
      </c>
      <c r="P29" s="404">
        <v>2.9</v>
      </c>
      <c r="Q29" s="108">
        <f t="shared" si="1"/>
        <v>109.27971314799998</v>
      </c>
      <c r="R29" s="104">
        <f t="shared" si="0"/>
        <v>-2.1387832287616759E-2</v>
      </c>
    </row>
    <row r="30" spans="2:19" ht="15" customHeight="1">
      <c r="B30" s="2"/>
      <c r="C30" s="58">
        <v>2015</v>
      </c>
      <c r="D30" s="339">
        <v>1.2</v>
      </c>
      <c r="E30" s="339">
        <v>0.56699999999999995</v>
      </c>
      <c r="F30" s="38">
        <v>25.28</v>
      </c>
      <c r="G30" s="38">
        <v>14.129</v>
      </c>
      <c r="H30" s="38">
        <v>49.98</v>
      </c>
      <c r="I30" s="45">
        <v>12.794</v>
      </c>
      <c r="J30" s="38">
        <v>0.996</v>
      </c>
      <c r="K30" s="38">
        <v>0.46700000000000003</v>
      </c>
      <c r="L30" s="38">
        <v>0.56899999999999995</v>
      </c>
      <c r="M30" s="38">
        <v>5.6291070000000004E-3</v>
      </c>
      <c r="N30" s="38">
        <v>0.57099999999999995</v>
      </c>
      <c r="O30" s="38">
        <v>3.3650000000000002</v>
      </c>
      <c r="P30" s="339">
        <v>2.9</v>
      </c>
      <c r="Q30" s="108">
        <f t="shared" si="1"/>
        <v>112.823629107</v>
      </c>
      <c r="R30" s="104">
        <f t="shared" si="0"/>
        <v>3.2429769962887933E-2</v>
      </c>
    </row>
    <row r="31" spans="2:19" ht="15" customHeight="1">
      <c r="B31" s="2"/>
      <c r="C31" s="58">
        <v>2016</v>
      </c>
      <c r="D31" s="339">
        <v>1.5</v>
      </c>
      <c r="E31" s="339">
        <v>0.69799999999999995</v>
      </c>
      <c r="F31" s="38">
        <v>27.213000000000001</v>
      </c>
      <c r="G31" s="38">
        <v>15.058999999999999</v>
      </c>
      <c r="H31" s="38">
        <v>50.539000000000001</v>
      </c>
      <c r="I31" s="45">
        <v>12.794</v>
      </c>
      <c r="J31" s="38">
        <v>0.36499999999999999</v>
      </c>
      <c r="K31" s="339">
        <v>1.4354899999999999</v>
      </c>
      <c r="L31" s="38">
        <v>0.61411000000000004</v>
      </c>
      <c r="M31" s="38">
        <v>3.9076960000000004E-3</v>
      </c>
      <c r="N31" s="38">
        <v>0.61299999999999999</v>
      </c>
      <c r="O31" s="38">
        <v>3.4809999999999999</v>
      </c>
      <c r="P31" s="404">
        <v>2.8</v>
      </c>
      <c r="Q31" s="108">
        <f>SUM(D31:P31)</f>
        <v>117.11550769599998</v>
      </c>
      <c r="R31" s="104">
        <f t="shared" si="0"/>
        <v>3.8040600386375134E-2</v>
      </c>
    </row>
    <row r="32" spans="2:19" ht="14.25" customHeight="1">
      <c r="B32" s="2"/>
      <c r="C32" s="486">
        <v>2017</v>
      </c>
      <c r="D32" s="487">
        <v>1.5640000000000001</v>
      </c>
      <c r="E32" s="488">
        <v>0.76900000000000002</v>
      </c>
      <c r="F32" s="386">
        <v>28.501999999999999</v>
      </c>
      <c r="G32" s="386">
        <v>15.54</v>
      </c>
      <c r="H32" s="386">
        <v>58.28</v>
      </c>
      <c r="I32" s="491">
        <v>12.79</v>
      </c>
      <c r="J32" s="386">
        <v>0.41299999999999998</v>
      </c>
      <c r="K32" s="491">
        <v>1.44</v>
      </c>
      <c r="L32" s="386">
        <v>0.65300000000000002</v>
      </c>
      <c r="M32" s="386">
        <v>1.5E-3</v>
      </c>
      <c r="N32" s="386">
        <v>0.67800000000000005</v>
      </c>
      <c r="O32" s="386">
        <v>3.6040000000000001</v>
      </c>
      <c r="P32" s="461">
        <v>2.8</v>
      </c>
      <c r="Q32" s="382">
        <f>SUM(D32:P32)</f>
        <v>127.03449999999998</v>
      </c>
      <c r="R32" s="489">
        <f t="shared" si="0"/>
        <v>8.469409815262896E-2</v>
      </c>
      <c r="S32" s="490"/>
    </row>
    <row r="33" spans="2:18" ht="21.75" customHeight="1">
      <c r="B33" s="2"/>
      <c r="C33" s="9" t="s">
        <v>77</v>
      </c>
      <c r="D33" s="53"/>
      <c r="E33" s="53"/>
      <c r="F33" s="53"/>
      <c r="G33" s="53"/>
      <c r="H33" s="53"/>
      <c r="I33" s="53"/>
      <c r="J33" s="53"/>
      <c r="K33" s="53"/>
      <c r="L33" s="53"/>
      <c r="M33" s="53"/>
      <c r="N33" s="53"/>
      <c r="O33" s="53"/>
      <c r="P33" s="53"/>
      <c r="Q33" s="53"/>
      <c r="R33" s="1"/>
    </row>
    <row r="34" spans="2:18" ht="27" customHeight="1">
      <c r="B34" s="2"/>
      <c r="C34" s="577" t="s">
        <v>98</v>
      </c>
      <c r="D34" s="578"/>
      <c r="E34" s="578"/>
      <c r="F34" s="578"/>
      <c r="G34" s="578"/>
      <c r="H34" s="578"/>
      <c r="I34" s="578"/>
      <c r="J34" s="578"/>
      <c r="K34" s="578"/>
      <c r="L34" s="578"/>
      <c r="M34" s="578"/>
      <c r="N34" s="578"/>
      <c r="O34" s="578"/>
      <c r="P34" s="578"/>
      <c r="Q34" s="578"/>
      <c r="R34" s="1"/>
    </row>
    <row r="35" spans="2:18" ht="15" customHeight="1">
      <c r="B35" s="2"/>
      <c r="C35" s="43"/>
      <c r="D35" s="23"/>
      <c r="E35" s="23"/>
      <c r="F35" s="23"/>
      <c r="G35" s="23"/>
      <c r="H35" s="23"/>
      <c r="I35" s="23"/>
      <c r="J35" s="42"/>
      <c r="K35" s="42"/>
      <c r="L35" s="42"/>
      <c r="M35" s="42"/>
      <c r="N35" s="23"/>
      <c r="O35" s="42"/>
      <c r="P35" s="23"/>
      <c r="Q35" s="44"/>
      <c r="R35" s="1"/>
    </row>
    <row r="36" spans="2:18" ht="24.95" customHeight="1">
      <c r="B36" s="2"/>
      <c r="C36" s="569" t="s">
        <v>51</v>
      </c>
      <c r="D36" s="569"/>
      <c r="E36" s="569"/>
      <c r="F36" s="569"/>
      <c r="G36" s="569"/>
      <c r="H36" s="569"/>
      <c r="I36" s="569"/>
      <c r="J36" s="569"/>
      <c r="K36" s="569"/>
      <c r="L36" s="569"/>
      <c r="M36" s="569"/>
      <c r="N36" s="569"/>
      <c r="O36" s="569"/>
      <c r="P36" s="569"/>
      <c r="Q36" s="569"/>
      <c r="R36" s="1"/>
    </row>
    <row r="37" spans="2:18" ht="15" customHeight="1">
      <c r="B37" s="2"/>
      <c r="C37" s="570" t="s">
        <v>42</v>
      </c>
      <c r="D37" s="570"/>
      <c r="E37" s="570"/>
      <c r="F37" s="570"/>
      <c r="G37" s="570"/>
      <c r="H37" s="570"/>
      <c r="I37" s="570"/>
      <c r="J37" s="570"/>
      <c r="K37" s="570"/>
      <c r="L37" s="570"/>
      <c r="M37" s="570"/>
      <c r="N37" s="570"/>
      <c r="O37" s="570"/>
      <c r="P37" s="570"/>
      <c r="Q37" s="570"/>
      <c r="R37" s="1"/>
    </row>
    <row r="38" spans="2:18" ht="15" customHeight="1">
      <c r="B38" s="2"/>
      <c r="C38" s="43"/>
      <c r="D38" s="55" t="s">
        <v>29</v>
      </c>
      <c r="E38" s="55" t="s">
        <v>14</v>
      </c>
      <c r="F38" s="55" t="s">
        <v>30</v>
      </c>
      <c r="G38" s="56" t="s">
        <v>31</v>
      </c>
      <c r="H38" s="55" t="s">
        <v>32</v>
      </c>
      <c r="I38" s="55" t="s">
        <v>34</v>
      </c>
      <c r="J38" s="55" t="s">
        <v>27</v>
      </c>
      <c r="K38" s="163" t="s">
        <v>20</v>
      </c>
      <c r="L38" s="55" t="s">
        <v>37</v>
      </c>
      <c r="M38" s="55" t="s">
        <v>23</v>
      </c>
      <c r="N38" s="55" t="s">
        <v>38</v>
      </c>
      <c r="O38" s="55" t="s">
        <v>39</v>
      </c>
      <c r="P38" s="105" t="s">
        <v>28</v>
      </c>
      <c r="Q38" s="163" t="s">
        <v>113</v>
      </c>
      <c r="R38" s="83"/>
    </row>
    <row r="39" spans="2:18" ht="15" customHeight="1">
      <c r="B39" s="2"/>
      <c r="C39" s="57">
        <v>2000</v>
      </c>
      <c r="D39" s="110">
        <v>11.184380656839927</v>
      </c>
      <c r="E39" s="110" t="s">
        <v>43</v>
      </c>
      <c r="F39" s="110">
        <v>18.467190069492336</v>
      </c>
      <c r="G39" s="110">
        <v>9.6405877680698975</v>
      </c>
      <c r="H39" s="110">
        <v>46.391188251001331</v>
      </c>
      <c r="I39" s="110">
        <v>10.259824094246753</v>
      </c>
      <c r="J39" s="110">
        <v>0.77048956770762311</v>
      </c>
      <c r="K39" s="110" t="s">
        <v>43</v>
      </c>
      <c r="L39" s="110" t="s">
        <v>43</v>
      </c>
      <c r="M39" s="110" t="s">
        <v>43</v>
      </c>
      <c r="N39" s="110">
        <v>2.0851688693098382</v>
      </c>
      <c r="O39" s="110">
        <v>24.83319179910227</v>
      </c>
      <c r="P39" s="110" t="s">
        <v>43</v>
      </c>
      <c r="Q39" s="111">
        <v>15.596050306391138</v>
      </c>
      <c r="R39" s="1"/>
    </row>
    <row r="40" spans="2:18" ht="15" customHeight="1">
      <c r="B40" s="2"/>
      <c r="C40" s="58">
        <v>2001</v>
      </c>
      <c r="D40" s="110">
        <v>11.059965165464046</v>
      </c>
      <c r="E40" s="110" t="s">
        <v>43</v>
      </c>
      <c r="F40" s="110">
        <v>20.480766692187874</v>
      </c>
      <c r="G40" s="110">
        <v>9.9721528711350107</v>
      </c>
      <c r="H40" s="110">
        <v>48.703125000000007</v>
      </c>
      <c r="I40" s="110">
        <v>13.505471683041776</v>
      </c>
      <c r="J40" s="110">
        <v>1.3271261812117845</v>
      </c>
      <c r="K40" s="110" t="s">
        <v>43</v>
      </c>
      <c r="L40" s="110" t="s">
        <v>43</v>
      </c>
      <c r="M40" s="110" t="s">
        <v>43</v>
      </c>
      <c r="N40" s="110">
        <v>1.8281535648994516</v>
      </c>
      <c r="O40" s="110">
        <v>25.503893724232707</v>
      </c>
      <c r="P40" s="110" t="s">
        <v>43</v>
      </c>
      <c r="Q40" s="113">
        <v>17.171169169492217</v>
      </c>
      <c r="R40" s="1"/>
    </row>
    <row r="41" spans="2:18" ht="15" customHeight="1">
      <c r="B41" s="2"/>
      <c r="C41" s="58">
        <v>2002</v>
      </c>
      <c r="D41" s="110">
        <v>11.004842615012107</v>
      </c>
      <c r="E41" s="110" t="s">
        <v>43</v>
      </c>
      <c r="F41" s="110">
        <v>21.54082943842754</v>
      </c>
      <c r="G41" s="110">
        <v>10.28240064117675</v>
      </c>
      <c r="H41" s="110">
        <v>50.707379134860055</v>
      </c>
      <c r="I41" s="110">
        <v>14.355833198117802</v>
      </c>
      <c r="J41" s="110">
        <v>1.406774916013438</v>
      </c>
      <c r="K41" s="110" t="s">
        <v>43</v>
      </c>
      <c r="L41" s="110" t="s">
        <v>43</v>
      </c>
      <c r="M41" s="110" t="s">
        <v>43</v>
      </c>
      <c r="N41" s="110">
        <v>4.06871609403255</v>
      </c>
      <c r="O41" s="110">
        <v>26.932612125309895</v>
      </c>
      <c r="P41" s="110" t="s">
        <v>43</v>
      </c>
      <c r="Q41" s="113">
        <v>18.289217744818977</v>
      </c>
      <c r="R41" s="1"/>
    </row>
    <row r="42" spans="2:18" ht="15" customHeight="1">
      <c r="B42" s="2"/>
      <c r="C42" s="58">
        <v>2003</v>
      </c>
      <c r="D42" s="110">
        <v>10.623109497882636</v>
      </c>
      <c r="E42" s="110" t="s">
        <v>43</v>
      </c>
      <c r="F42" s="110">
        <v>24.48627494985482</v>
      </c>
      <c r="G42" s="110">
        <v>9.594357930610121</v>
      </c>
      <c r="H42" s="110">
        <v>51.702349869451702</v>
      </c>
      <c r="I42" s="110">
        <v>15.259666919933466</v>
      </c>
      <c r="J42" s="110">
        <v>4.7949162333911035</v>
      </c>
      <c r="K42" s="110" t="s">
        <v>43</v>
      </c>
      <c r="L42" s="110" t="s">
        <v>43</v>
      </c>
      <c r="M42" s="110" t="s">
        <v>43</v>
      </c>
      <c r="N42" s="110">
        <v>5.9916117435590177</v>
      </c>
      <c r="O42" s="110">
        <v>27.16776092370387</v>
      </c>
      <c r="P42" s="110" t="s">
        <v>43</v>
      </c>
      <c r="Q42" s="113">
        <v>19.204336016749828</v>
      </c>
      <c r="R42" s="1"/>
    </row>
    <row r="43" spans="2:18" ht="15" customHeight="1">
      <c r="B43" s="2"/>
      <c r="C43" s="58">
        <v>2004</v>
      </c>
      <c r="D43" s="110">
        <v>10.189701897018971</v>
      </c>
      <c r="E43" s="110">
        <v>1.5197568389057751E-2</v>
      </c>
      <c r="F43" s="110">
        <v>26.89163237311385</v>
      </c>
      <c r="G43" s="110">
        <v>10.227607181399</v>
      </c>
      <c r="H43" s="110">
        <v>51.669576059850378</v>
      </c>
      <c r="I43" s="110">
        <v>16.09006375116742</v>
      </c>
      <c r="J43" s="110">
        <v>4.5282238610517611</v>
      </c>
      <c r="K43" s="110" t="s">
        <v>43</v>
      </c>
      <c r="L43" s="110">
        <v>11.620469083155651</v>
      </c>
      <c r="M43" s="110" t="s">
        <v>43</v>
      </c>
      <c r="N43" s="110">
        <v>4.8329355608591893</v>
      </c>
      <c r="O43" s="110">
        <v>28.051887885105398</v>
      </c>
      <c r="P43" s="112">
        <v>1.0120991857202006</v>
      </c>
      <c r="Q43" s="113">
        <v>20.273506276953075</v>
      </c>
      <c r="R43" s="1"/>
    </row>
    <row r="44" spans="2:18" ht="15" customHeight="1">
      <c r="B44" s="2"/>
      <c r="C44" s="58">
        <v>2005</v>
      </c>
      <c r="D44" s="110">
        <v>11.539365452408932</v>
      </c>
      <c r="E44" s="110">
        <v>8.9995500224988756E-2</v>
      </c>
      <c r="F44" s="110">
        <v>27.152343750000004</v>
      </c>
      <c r="G44" s="110">
        <v>10.747317795042544</v>
      </c>
      <c r="H44" s="110">
        <v>52.405832320777648</v>
      </c>
      <c r="I44" s="110">
        <v>17.06995687589842</v>
      </c>
      <c r="J44" s="110">
        <v>4.53375569194219</v>
      </c>
      <c r="K44" s="110" t="s">
        <v>43</v>
      </c>
      <c r="L44" s="110">
        <v>12.864268836965081</v>
      </c>
      <c r="M44" s="110" t="s">
        <v>43</v>
      </c>
      <c r="N44" s="110">
        <v>8.9419206440483023</v>
      </c>
      <c r="O44" s="110">
        <v>26.150392817059487</v>
      </c>
      <c r="P44" s="147">
        <v>1.0080193539715963</v>
      </c>
      <c r="Q44" s="113">
        <v>20.837473274619857</v>
      </c>
      <c r="R44" s="1"/>
    </row>
    <row r="45" spans="2:18" ht="15" customHeight="1">
      <c r="B45" s="2"/>
      <c r="C45" s="58">
        <v>2006</v>
      </c>
      <c r="D45" s="110">
        <v>11.155734047300312</v>
      </c>
      <c r="E45" s="110">
        <v>2.138110372724646</v>
      </c>
      <c r="F45" s="110">
        <v>27.38607594936709</v>
      </c>
      <c r="G45" s="110">
        <v>12.200859534042072</v>
      </c>
      <c r="H45" s="110">
        <v>52.276223776223787</v>
      </c>
      <c r="I45" s="110">
        <v>17.75829431104912</v>
      </c>
      <c r="J45" s="110">
        <v>4.6132544527660651</v>
      </c>
      <c r="K45" s="110" t="s">
        <v>43</v>
      </c>
      <c r="L45" s="110">
        <v>13.106295149638802</v>
      </c>
      <c r="M45" s="110" t="s">
        <v>43</v>
      </c>
      <c r="N45" s="110">
        <v>12.288135593220337</v>
      </c>
      <c r="O45" s="110">
        <v>25.891650202765938</v>
      </c>
      <c r="P45" s="112">
        <v>1.9113262997653129</v>
      </c>
      <c r="Q45" s="113">
        <v>21.255382226300554</v>
      </c>
      <c r="R45" s="1"/>
    </row>
    <row r="46" spans="2:18" ht="15" customHeight="1">
      <c r="B46" s="2"/>
      <c r="C46" s="58">
        <v>2007</v>
      </c>
      <c r="D46" s="110">
        <v>10.826332021695203</v>
      </c>
      <c r="E46" s="110">
        <v>4.7694984053348799</v>
      </c>
      <c r="F46" s="110">
        <v>27.708041007749003</v>
      </c>
      <c r="G46" s="110">
        <v>11.858901038568881</v>
      </c>
      <c r="H46" s="110">
        <v>54.568828213879407</v>
      </c>
      <c r="I46" s="110">
        <v>17.713941341904377</v>
      </c>
      <c r="J46" s="110">
        <v>4.9004594180704446</v>
      </c>
      <c r="K46" s="110" t="s">
        <v>43</v>
      </c>
      <c r="L46" s="110">
        <v>12.691246551291698</v>
      </c>
      <c r="M46" s="110" t="s">
        <v>43</v>
      </c>
      <c r="N46" s="110">
        <v>15.352038115404977</v>
      </c>
      <c r="O46" s="110">
        <v>27.044147743884611</v>
      </c>
      <c r="P46" s="112">
        <v>2.7578555295795852</v>
      </c>
      <c r="Q46" s="113">
        <v>21.963449966570085</v>
      </c>
      <c r="R46" s="1"/>
    </row>
    <row r="47" spans="2:18" ht="15.75" customHeight="1">
      <c r="C47" s="58">
        <v>2008</v>
      </c>
      <c r="D47" s="110">
        <v>10.642075155340763</v>
      </c>
      <c r="E47" s="110">
        <v>3.7354200501993207</v>
      </c>
      <c r="F47" s="110">
        <v>28.269120622931084</v>
      </c>
      <c r="G47" s="110">
        <v>22.87538070007092</v>
      </c>
      <c r="H47" s="110">
        <v>56.399141630901283</v>
      </c>
      <c r="I47" s="110">
        <v>17.926661820531457</v>
      </c>
      <c r="J47" s="110">
        <v>5.3050235574863862</v>
      </c>
      <c r="K47" s="110" t="s">
        <v>43</v>
      </c>
      <c r="L47" s="110">
        <v>12.461428910515073</v>
      </c>
      <c r="M47" s="110">
        <v>1.8300653594771243</v>
      </c>
      <c r="N47" s="110">
        <v>15.350444225074039</v>
      </c>
      <c r="O47" s="110">
        <v>26.843710748250494</v>
      </c>
      <c r="P47" s="112">
        <v>1.873514207011056</v>
      </c>
      <c r="Q47" s="113">
        <v>23.261637775118952</v>
      </c>
      <c r="R47" s="1"/>
    </row>
    <row r="48" spans="2:18" ht="15.75" customHeight="1" thickBot="1">
      <c r="C48" s="58">
        <v>2009</v>
      </c>
      <c r="D48" s="139">
        <v>10.364364559929665</v>
      </c>
      <c r="E48" s="139">
        <v>3.6310259579728053</v>
      </c>
      <c r="F48" s="139">
        <v>27.428453327497749</v>
      </c>
      <c r="G48" s="139">
        <v>49.72554782383196</v>
      </c>
      <c r="H48" s="139">
        <v>56.190682556879736</v>
      </c>
      <c r="I48" s="139">
        <v>22.329814645499127</v>
      </c>
      <c r="J48" s="139">
        <v>5.5606198723792168</v>
      </c>
      <c r="K48" s="139" t="s">
        <v>43</v>
      </c>
      <c r="L48" s="139">
        <v>12.556373130785664</v>
      </c>
      <c r="M48" s="139">
        <v>2.0698576972833118</v>
      </c>
      <c r="N48" s="139">
        <v>15.583075335397318</v>
      </c>
      <c r="O48" s="139">
        <v>26.9410829432029</v>
      </c>
      <c r="P48" s="112">
        <v>1.9217284184592058</v>
      </c>
      <c r="Q48" s="113">
        <v>25.266070410057885</v>
      </c>
      <c r="R48" s="140"/>
    </row>
    <row r="49" spans="3:18" ht="15.75" customHeight="1" thickTop="1" thickBot="1">
      <c r="C49" s="58">
        <v>2010</v>
      </c>
      <c r="D49" s="139">
        <v>10.043544112078758</v>
      </c>
      <c r="E49" s="139">
        <v>4.1317273974691267</v>
      </c>
      <c r="F49" s="139">
        <v>28.492746509798316</v>
      </c>
      <c r="G49" s="139">
        <v>52.168685429283933</v>
      </c>
      <c r="H49" s="139">
        <v>56.158207839218612</v>
      </c>
      <c r="I49" s="139">
        <v>24.604002374289831</v>
      </c>
      <c r="J49" s="145">
        <v>1.6863905325443789</v>
      </c>
      <c r="K49" s="139" t="s">
        <v>43</v>
      </c>
      <c r="L49" s="139">
        <v>12.630975383118463</v>
      </c>
      <c r="M49" s="139">
        <v>2.0713305898491083</v>
      </c>
      <c r="N49" s="139">
        <v>16.443546350088408</v>
      </c>
      <c r="O49" s="146">
        <v>26.342447333034514</v>
      </c>
      <c r="P49" s="112">
        <v>1.8161953036843328</v>
      </c>
      <c r="Q49" s="148">
        <v>25.565026959329956</v>
      </c>
      <c r="R49" s="140"/>
    </row>
    <row r="50" spans="3:18" ht="15.75" customHeight="1" thickTop="1">
      <c r="C50" s="58">
        <v>2011</v>
      </c>
      <c r="D50" s="139">
        <v>8.4825194488705602</v>
      </c>
      <c r="E50" s="139">
        <v>4.2735042735042734</v>
      </c>
      <c r="F50" s="139">
        <v>27.286244482689991</v>
      </c>
      <c r="G50" s="139">
        <v>49.269576661548584</v>
      </c>
      <c r="H50" s="139">
        <v>54.38244514106583</v>
      </c>
      <c r="I50" s="139">
        <v>26.220514462589389</v>
      </c>
      <c r="J50" s="139">
        <v>1.7449510841581326</v>
      </c>
      <c r="K50" s="139" t="s">
        <v>43</v>
      </c>
      <c r="L50" s="139">
        <v>10.998347887656362</v>
      </c>
      <c r="M50" s="139">
        <v>1.9361393323657476</v>
      </c>
      <c r="N50" s="139">
        <v>18.263781555899019</v>
      </c>
      <c r="O50" s="139">
        <v>24.844010897266898</v>
      </c>
      <c r="P50" s="342">
        <v>7.4646779104375494</v>
      </c>
      <c r="Q50" s="113">
        <v>25.736154239406218</v>
      </c>
      <c r="R50" s="1"/>
    </row>
    <row r="51" spans="3:18" ht="15.75" customHeight="1">
      <c r="C51" s="58">
        <v>2012</v>
      </c>
      <c r="D51" s="146">
        <v>8.3356359952104633</v>
      </c>
      <c r="E51" s="139">
        <v>3.7659811006114512</v>
      </c>
      <c r="F51" s="139">
        <v>27.876569626668168</v>
      </c>
      <c r="G51" s="139">
        <v>49.728599394910127</v>
      </c>
      <c r="H51" s="139">
        <v>53.325678496868477</v>
      </c>
      <c r="I51" s="139">
        <v>27.361577450330422</v>
      </c>
      <c r="J51" s="139">
        <v>1.8231950931292553</v>
      </c>
      <c r="K51" s="139" t="s">
        <v>43</v>
      </c>
      <c r="L51" s="139">
        <v>12.148303970549566</v>
      </c>
      <c r="M51" s="139">
        <v>1.8040183611532625</v>
      </c>
      <c r="N51" s="139">
        <v>17.546468401486987</v>
      </c>
      <c r="O51" s="139">
        <v>25</v>
      </c>
      <c r="P51" s="146">
        <v>7.1796390438115925</v>
      </c>
      <c r="Q51" s="148">
        <v>25.650379598391883</v>
      </c>
      <c r="R51" s="1"/>
    </row>
    <row r="52" spans="3:18" ht="15.75" customHeight="1">
      <c r="C52" s="58">
        <v>2013</v>
      </c>
      <c r="D52" s="146">
        <v>8.3134300936983294</v>
      </c>
      <c r="E52" s="139">
        <v>3.2747603833865817</v>
      </c>
      <c r="F52" s="139">
        <v>28.095742900184124</v>
      </c>
      <c r="G52" s="139">
        <v>53.573230200100888</v>
      </c>
      <c r="H52" s="139">
        <v>53.402733964248164</v>
      </c>
      <c r="I52" s="146">
        <v>26.25002564681262</v>
      </c>
      <c r="J52" s="139">
        <v>1.9061121613106489</v>
      </c>
      <c r="K52" s="139" t="s">
        <v>43</v>
      </c>
      <c r="L52" s="139">
        <v>12.743217319813649</v>
      </c>
      <c r="M52" s="139">
        <v>1.6274945508100145</v>
      </c>
      <c r="N52" s="139">
        <v>18.677522822600544</v>
      </c>
      <c r="O52" s="139">
        <v>25.798007093396386</v>
      </c>
      <c r="P52" s="146">
        <v>7.0443906376109755</v>
      </c>
      <c r="Q52" s="148">
        <v>25.745151676564987</v>
      </c>
      <c r="R52" s="1"/>
    </row>
    <row r="53" spans="3:18" ht="15.75" customHeight="1">
      <c r="C53" s="380">
        <v>2014</v>
      </c>
      <c r="D53" s="383">
        <v>8.2923273191179145</v>
      </c>
      <c r="E53" s="146">
        <v>3.2182103610675035</v>
      </c>
      <c r="F53" s="139">
        <v>26.727928244811817</v>
      </c>
      <c r="G53" s="139">
        <v>51.005105296745377</v>
      </c>
      <c r="H53" s="139">
        <v>53.664194915254235</v>
      </c>
      <c r="I53" s="146">
        <v>25.610024621174212</v>
      </c>
      <c r="J53" s="139">
        <v>1.2096975756060986</v>
      </c>
      <c r="K53" s="139" t="s">
        <v>43</v>
      </c>
      <c r="L53" s="139">
        <v>13.966770508826585</v>
      </c>
      <c r="M53" s="139">
        <v>1.244056129032258</v>
      </c>
      <c r="N53" s="139">
        <v>16.804336602994322</v>
      </c>
      <c r="O53" s="139">
        <v>26.631466050655888</v>
      </c>
      <c r="P53" s="112">
        <v>4.4814637387770233</v>
      </c>
      <c r="Q53" s="147">
        <v>24.780710802812781</v>
      </c>
      <c r="R53" s="1"/>
    </row>
    <row r="54" spans="3:18" ht="15.75" customHeight="1">
      <c r="C54" s="380">
        <v>2015</v>
      </c>
      <c r="D54" s="406">
        <v>11.613277847672505</v>
      </c>
      <c r="E54" s="139">
        <v>6.9784615384615378</v>
      </c>
      <c r="F54" s="139">
        <v>27.565451591446859</v>
      </c>
      <c r="G54" s="139">
        <v>54.047127228215132</v>
      </c>
      <c r="H54" s="139">
        <v>52.777191129883839</v>
      </c>
      <c r="I54" s="146">
        <v>24.506292259658665</v>
      </c>
      <c r="J54" s="139">
        <v>5.6839582263311081</v>
      </c>
      <c r="K54" s="139">
        <v>2.6890078885242126</v>
      </c>
      <c r="L54" s="139">
        <v>14.379580490270405</v>
      </c>
      <c r="M54" s="139">
        <v>0.89635461783439496</v>
      </c>
      <c r="N54" s="139">
        <v>13.879436071949442</v>
      </c>
      <c r="O54" s="139">
        <v>26.410799780237031</v>
      </c>
      <c r="P54" s="112">
        <v>4.3547466738745229</v>
      </c>
      <c r="Q54" s="147">
        <v>25.169631682777361</v>
      </c>
      <c r="R54" s="1"/>
    </row>
    <row r="55" spans="3:18" ht="15.75" customHeight="1">
      <c r="C55" s="380">
        <v>2016</v>
      </c>
      <c r="D55" s="406">
        <v>14.962593516209477</v>
      </c>
      <c r="E55" s="139">
        <v>9.4579945799457992</v>
      </c>
      <c r="F55" s="139">
        <v>28.397161640404882</v>
      </c>
      <c r="G55" s="139">
        <v>56.463980262541192</v>
      </c>
      <c r="H55" s="139">
        <v>53.764893617021279</v>
      </c>
      <c r="I55" s="146">
        <v>25.079389971380404</v>
      </c>
      <c r="J55" s="139">
        <v>2.0300333704115681</v>
      </c>
      <c r="K55" s="139">
        <v>7.4862581486310296</v>
      </c>
      <c r="L55" s="139">
        <v>16.152288269331933</v>
      </c>
      <c r="M55" s="139">
        <v>0.63955744680851079</v>
      </c>
      <c r="N55" s="139">
        <v>15.847983453981385</v>
      </c>
      <c r="O55" s="139">
        <v>27.195312499999996</v>
      </c>
      <c r="P55" s="112">
        <v>4.117041611527716</v>
      </c>
      <c r="Q55" s="147">
        <v>25.761511838173394</v>
      </c>
      <c r="R55" s="1"/>
    </row>
    <row r="56" spans="3:18" ht="13.5" customHeight="1">
      <c r="C56" s="381">
        <v>2017</v>
      </c>
      <c r="D56" s="407">
        <v>15.333333333333336</v>
      </c>
      <c r="E56" s="385">
        <v>8.8390804597701162</v>
      </c>
      <c r="F56" s="385">
        <v>29.751565762004173</v>
      </c>
      <c r="G56" s="385">
        <v>56.509090909090908</v>
      </c>
      <c r="H56" s="385">
        <v>58.22177822177823</v>
      </c>
      <c r="I56" s="405">
        <v>24.041353383458645</v>
      </c>
      <c r="J56" s="385">
        <v>2.2445652173913042</v>
      </c>
      <c r="K56" s="385">
        <v>7.0935960591132998</v>
      </c>
      <c r="L56" s="385">
        <v>14.511111111111111</v>
      </c>
      <c r="M56" s="385">
        <v>0.26315789473684215</v>
      </c>
      <c r="N56" s="385">
        <v>15.874502458440649</v>
      </c>
      <c r="O56" s="385">
        <v>27.097744360902254</v>
      </c>
      <c r="P56" s="408">
        <v>4.0638606676342519</v>
      </c>
      <c r="Q56" s="384">
        <v>27.043922730736963</v>
      </c>
      <c r="R56" s="1"/>
    </row>
    <row r="57" spans="3:18">
      <c r="C57" s="571" t="s">
        <v>100</v>
      </c>
      <c r="D57" s="572"/>
      <c r="E57" s="572"/>
      <c r="F57" s="572"/>
      <c r="G57" s="572"/>
      <c r="H57" s="572"/>
      <c r="I57" s="572"/>
      <c r="J57" s="572"/>
      <c r="K57" s="572"/>
      <c r="L57" s="572"/>
      <c r="M57" s="572"/>
      <c r="N57" s="572"/>
      <c r="O57" s="572"/>
      <c r="P57" s="572"/>
      <c r="Q57" s="572"/>
    </row>
    <row r="61" spans="3:18">
      <c r="I61" s="1"/>
    </row>
    <row r="62" spans="3:18">
      <c r="M62" s="1"/>
    </row>
  </sheetData>
  <mergeCells count="7">
    <mergeCell ref="C36:Q36"/>
    <mergeCell ref="C37:Q37"/>
    <mergeCell ref="C57:Q57"/>
    <mergeCell ref="C1:D1"/>
    <mergeCell ref="C2:R2"/>
    <mergeCell ref="C3:Q3"/>
    <mergeCell ref="C34:Q34"/>
  </mergeCells>
  <phoneticPr fontId="4" type="noConversion"/>
  <printOptions horizontalCentered="1"/>
  <pageMargins left="0.6692913385826772" right="0.47244094488188981" top="0.51181102362204722" bottom="0.27559055118110237" header="0" footer="0"/>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0263AD8BEE4941834FE004F60150AA" ma:contentTypeVersion="13" ma:contentTypeDescription="Create a new document." ma:contentTypeScope="" ma:versionID="5c4e5ff5f289c92fc6d12a98d93e92c9">
  <xsd:schema xmlns:xsd="http://www.w3.org/2001/XMLSchema" xmlns:xs="http://www.w3.org/2001/XMLSchema" xmlns:p="http://schemas.microsoft.com/office/2006/metadata/properties" xmlns:ns3="999dc423-9687-4322-85f9-baead3dd93fc" xmlns:ns4="08cae4cc-de0c-4553-8184-e6a3e480a70c" targetNamespace="http://schemas.microsoft.com/office/2006/metadata/properties" ma:root="true" ma:fieldsID="a40f73cf1cbd97a095928e72d7edb16e" ns3:_="" ns4:_="">
    <xsd:import namespace="999dc423-9687-4322-85f9-baead3dd93fc"/>
    <xsd:import namespace="08cae4cc-de0c-4553-8184-e6a3e480a70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AutoKeyPoints" minOccurs="0"/>
                <xsd:element ref="ns4:MediaServiceKeyPoint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9dc423-9687-4322-85f9-baead3dd93f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cae4cc-de0c-4553-8184-e6a3e480a70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69158F-C51F-46F1-8953-6CE113277FEB}">
  <ds:schemaRefs>
    <ds:schemaRef ds:uri="http://purl.org/dc/elements/1.1/"/>
    <ds:schemaRef ds:uri="http://schemas.microsoft.com/office/2006/metadata/properties"/>
    <ds:schemaRef ds:uri="http://purl.org/dc/terms/"/>
    <ds:schemaRef ds:uri="08cae4cc-de0c-4553-8184-e6a3e480a70c"/>
    <ds:schemaRef ds:uri="http://schemas.microsoft.com/office/infopath/2007/PartnerControls"/>
    <ds:schemaRef ds:uri="http://schemas.microsoft.com/office/2006/documentManagement/types"/>
    <ds:schemaRef ds:uri="http://schemas.openxmlformats.org/package/2006/metadata/core-properties"/>
    <ds:schemaRef ds:uri="999dc423-9687-4322-85f9-baead3dd93fc"/>
    <ds:schemaRef ds:uri="http://www.w3.org/XML/1998/namespace"/>
    <ds:schemaRef ds:uri="http://purl.org/dc/dcmitype/"/>
  </ds:schemaRefs>
</ds:datastoreItem>
</file>

<file path=customXml/itemProps2.xml><?xml version="1.0" encoding="utf-8"?>
<ds:datastoreItem xmlns:ds="http://schemas.openxmlformats.org/officeDocument/2006/customXml" ds:itemID="{AD888095-BF02-46B9-9483-6E30BE3AF4F8}">
  <ds:schemaRefs>
    <ds:schemaRef ds:uri="http://schemas.microsoft.com/sharepoint/v3/contenttype/forms"/>
  </ds:schemaRefs>
</ds:datastoreItem>
</file>

<file path=customXml/itemProps3.xml><?xml version="1.0" encoding="utf-8"?>
<ds:datastoreItem xmlns:ds="http://schemas.openxmlformats.org/officeDocument/2006/customXml" ds:itemID="{D05AD89D-F65E-495A-87D3-9712519F5B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9dc423-9687-4322-85f9-baead3dd93fc"/>
    <ds:schemaRef ds:uri="08cae4cc-de0c-4553-8184-e6a3e480a7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T2.3</vt:lpstr>
      <vt:lpstr>passeng_graph</vt:lpstr>
      <vt:lpstr>perf_mode_pkm</vt:lpstr>
      <vt:lpstr>split_mode_pkm</vt:lpstr>
      <vt:lpstr>cars</vt:lpstr>
      <vt:lpstr>bus_coach</vt:lpstr>
      <vt:lpstr>tram_metro</vt:lpstr>
      <vt:lpstr>rail_pkm</vt:lpstr>
      <vt:lpstr>hs_rail</vt:lpstr>
      <vt:lpstr>USA</vt:lpstr>
      <vt:lpstr>T2.3!A</vt:lpstr>
      <vt:lpstr>bus_coach!Print_Area</vt:lpstr>
      <vt:lpstr>cars!Print_Area</vt:lpstr>
      <vt:lpstr>passeng_graph!Print_Area</vt:lpstr>
      <vt:lpstr>perf_mode_pkm!Print_Area</vt:lpstr>
      <vt:lpstr>rail_pkm!Print_Area</vt:lpstr>
      <vt:lpstr>T2.3!Print_Area</vt:lpstr>
      <vt:lpstr>tram_metro!Print_Area</vt:lpstr>
      <vt:lpstr>USA!Print_Area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georgpi</dc:creator>
  <cp:lastModifiedBy>madhukar mayakonda</cp:lastModifiedBy>
  <cp:lastPrinted>2012-03-29T14:37:27Z</cp:lastPrinted>
  <dcterms:created xsi:type="dcterms:W3CDTF">2003-09-05T14:33:05Z</dcterms:created>
  <dcterms:modified xsi:type="dcterms:W3CDTF">2020-04-24T02:06:40Z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0x010100820263AD8BEE4941834FE004F60150AA</vt:lpwstr>
  </property>
</Properties>
</file>