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esman.000\Google Drive\Personal\Personal from Dropbox Innovation\Presentations\Spreadsheets and Models\"/>
    </mc:Choice>
  </mc:AlternateContent>
  <bookViews>
    <workbookView xWindow="0" yWindow="0" windowWidth="20490" windowHeight="7755"/>
  </bookViews>
  <sheets>
    <sheet name="Historical Sales" sheetId="16" r:id="rId1"/>
    <sheet name="Cashflow" sheetId="17" r:id="rId2"/>
    <sheet name="Customer Acquisition" sheetId="18" r:id="rId3"/>
    <sheet name="Customer Acquisition Exp Growth" sheetId="19" r:id="rId4"/>
    <sheet name="Linear growth constant" sheetId="1" r:id="rId5"/>
    <sheet name="Linear growth proportionate" sheetId="2" r:id="rId6"/>
    <sheet name="Linear growth exponential" sheetId="3" r:id="rId7"/>
    <sheet name="Probability tree" sheetId="4" r:id="rId8"/>
    <sheet name="Regression analysis" sheetId="5" r:id="rId9"/>
    <sheet name="Regression analysis 2" sheetId="7" r:id="rId10"/>
    <sheet name="Regression report" sheetId="20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18" i="19" l="1"/>
  <c r="L7" i="18"/>
  <c r="K7" i="18"/>
  <c r="J7" i="18"/>
  <c r="I7" i="18"/>
  <c r="H7" i="18"/>
  <c r="G7" i="18"/>
  <c r="F7" i="18"/>
  <c r="E7" i="18"/>
  <c r="D7" i="18"/>
  <c r="C7" i="18"/>
  <c r="B7" i="18"/>
  <c r="O66" i="17" l="1"/>
  <c r="O65" i="17"/>
  <c r="O64" i="17"/>
  <c r="O63" i="17"/>
  <c r="O62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1" i="17"/>
  <c r="O40" i="17"/>
  <c r="O39" i="17"/>
  <c r="O38" i="17"/>
  <c r="O37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O36" i="17" s="1"/>
  <c r="B33" i="17"/>
  <c r="B68" i="17" s="1"/>
  <c r="O31" i="17"/>
  <c r="O30" i="17"/>
  <c r="O29" i="17"/>
  <c r="O28" i="17"/>
  <c r="N26" i="17"/>
  <c r="N27" i="17" s="1"/>
  <c r="N32" i="17" s="1"/>
  <c r="M26" i="17"/>
  <c r="M42" i="17" s="1"/>
  <c r="L26" i="17"/>
  <c r="L42" i="17" s="1"/>
  <c r="K26" i="17"/>
  <c r="K42" i="17" s="1"/>
  <c r="K61" i="17" s="1"/>
  <c r="K67" i="17" s="1"/>
  <c r="J26" i="17"/>
  <c r="J27" i="17" s="1"/>
  <c r="J32" i="17" s="1"/>
  <c r="I26" i="17"/>
  <c r="I42" i="17" s="1"/>
  <c r="H26" i="17"/>
  <c r="H42" i="17" s="1"/>
  <c r="G26" i="17"/>
  <c r="G42" i="17" s="1"/>
  <c r="G61" i="17" s="1"/>
  <c r="G67" i="17" s="1"/>
  <c r="F26" i="17"/>
  <c r="F27" i="17" s="1"/>
  <c r="F32" i="17" s="1"/>
  <c r="E26" i="17"/>
  <c r="E42" i="17" s="1"/>
  <c r="D26" i="17"/>
  <c r="D42" i="17" s="1"/>
  <c r="C26" i="17"/>
  <c r="C7" i="17"/>
  <c r="N5" i="17"/>
  <c r="P19" i="16"/>
  <c r="O19" i="16"/>
  <c r="N19" i="16"/>
  <c r="P18" i="16"/>
  <c r="O18" i="16"/>
  <c r="N18" i="16"/>
  <c r="P17" i="16"/>
  <c r="O17" i="16"/>
  <c r="N17" i="16"/>
  <c r="P16" i="16"/>
  <c r="O16" i="16"/>
  <c r="N16" i="16"/>
  <c r="P15" i="16"/>
  <c r="O15" i="16"/>
  <c r="N15" i="16"/>
  <c r="P14" i="16"/>
  <c r="O14" i="16"/>
  <c r="N14" i="16"/>
  <c r="P13" i="16"/>
  <c r="O13" i="16"/>
  <c r="N13" i="16"/>
  <c r="P12" i="16"/>
  <c r="O12" i="16"/>
  <c r="N12" i="16"/>
  <c r="P11" i="16"/>
  <c r="O11" i="16"/>
  <c r="N11" i="16"/>
  <c r="A11" i="16"/>
  <c r="A12" i="16" s="1"/>
  <c r="A13" i="16" s="1"/>
  <c r="A14" i="16" s="1"/>
  <c r="A15" i="16" s="1"/>
  <c r="A16" i="16" s="1"/>
  <c r="A17" i="16" s="1"/>
  <c r="A18" i="16" s="1"/>
  <c r="A19" i="16" s="1"/>
  <c r="P10" i="16"/>
  <c r="O10" i="16"/>
  <c r="N10" i="16"/>
  <c r="M8" i="16"/>
  <c r="L8" i="16"/>
  <c r="K8" i="16"/>
  <c r="J8" i="16"/>
  <c r="I8" i="16"/>
  <c r="H8" i="16"/>
  <c r="G8" i="16"/>
  <c r="F8" i="16"/>
  <c r="E8" i="16"/>
  <c r="D8" i="16"/>
  <c r="C8" i="16"/>
  <c r="B8" i="16"/>
  <c r="R5" i="16"/>
  <c r="S5" i="16" s="1"/>
  <c r="Q5" i="16"/>
  <c r="O5" i="16"/>
  <c r="N5" i="16"/>
  <c r="R4" i="16"/>
  <c r="S4" i="16" s="1"/>
  <c r="Q4" i="16"/>
  <c r="P4" i="16"/>
  <c r="O4" i="16"/>
  <c r="N4" i="16"/>
  <c r="R3" i="16"/>
  <c r="Q3" i="16"/>
  <c r="O3" i="16"/>
  <c r="N3" i="16"/>
  <c r="P3" i="16" s="1"/>
  <c r="O26" i="17" l="1"/>
  <c r="G27" i="17"/>
  <c r="G32" i="17" s="1"/>
  <c r="F42" i="17"/>
  <c r="F61" i="17" s="1"/>
  <c r="F67" i="17" s="1"/>
  <c r="N42" i="17"/>
  <c r="N61" i="17" s="1"/>
  <c r="N67" i="17" s="1"/>
  <c r="C27" i="17"/>
  <c r="C32" i="17" s="1"/>
  <c r="K27" i="17"/>
  <c r="K32" i="17" s="1"/>
  <c r="J42" i="17"/>
  <c r="J61" i="17" s="1"/>
  <c r="J67" i="17" s="1"/>
  <c r="B23" i="17"/>
  <c r="C22" i="17"/>
  <c r="C33" i="17" s="1"/>
  <c r="D61" i="17"/>
  <c r="D67" i="17" s="1"/>
  <c r="H61" i="17"/>
  <c r="H67" i="17" s="1"/>
  <c r="L61" i="17"/>
  <c r="L67" i="17" s="1"/>
  <c r="E61" i="17"/>
  <c r="E67" i="17" s="1"/>
  <c r="I61" i="17"/>
  <c r="I67" i="17" s="1"/>
  <c r="M61" i="17"/>
  <c r="M67" i="17" s="1"/>
  <c r="D27" i="17"/>
  <c r="D32" i="17" s="1"/>
  <c r="H27" i="17"/>
  <c r="H32" i="17" s="1"/>
  <c r="L27" i="17"/>
  <c r="L32" i="17" s="1"/>
  <c r="C42" i="17"/>
  <c r="E27" i="17"/>
  <c r="E32" i="17" s="1"/>
  <c r="I27" i="17"/>
  <c r="I32" i="17" s="1"/>
  <c r="M27" i="17"/>
  <c r="M32" i="17" s="1"/>
  <c r="O9" i="16"/>
  <c r="N9" i="16"/>
  <c r="P5" i="16"/>
  <c r="P9" i="16" s="1"/>
  <c r="O42" i="17" l="1"/>
  <c r="C61" i="17"/>
  <c r="O27" i="17"/>
  <c r="O32" i="17" s="1"/>
  <c r="K9" i="16"/>
  <c r="G9" i="16"/>
  <c r="C9" i="16"/>
  <c r="J9" i="16"/>
  <c r="F9" i="16"/>
  <c r="B9" i="16"/>
  <c r="M9" i="16"/>
  <c r="I9" i="16"/>
  <c r="E9" i="16"/>
  <c r="L9" i="16"/>
  <c r="H9" i="16"/>
  <c r="D9" i="16"/>
  <c r="C67" i="17" l="1"/>
  <c r="O61" i="17"/>
  <c r="O67" i="17" l="1"/>
  <c r="B7" i="17" s="1"/>
  <c r="C68" i="17"/>
  <c r="C23" i="17" l="1"/>
  <c r="D22" i="17"/>
  <c r="D33" i="17" s="1"/>
  <c r="D68" i="17" s="1"/>
  <c r="D23" i="17" l="1"/>
  <c r="E22" i="17"/>
  <c r="E33" i="17" s="1"/>
  <c r="E68" i="17" s="1"/>
  <c r="E23" i="17" l="1"/>
  <c r="F22" i="17"/>
  <c r="F33" i="17" s="1"/>
  <c r="F68" i="17" s="1"/>
  <c r="F23" i="17" l="1"/>
  <c r="G22" i="17"/>
  <c r="G33" i="17" s="1"/>
  <c r="G68" i="17" s="1"/>
  <c r="G23" i="17" l="1"/>
  <c r="H22" i="17"/>
  <c r="H33" i="17" s="1"/>
  <c r="H68" i="17" s="1"/>
  <c r="H23" i="17" l="1"/>
  <c r="I22" i="17"/>
  <c r="I33" i="17" s="1"/>
  <c r="I68" i="17" s="1"/>
  <c r="I23" i="17" l="1"/>
  <c r="J22" i="17"/>
  <c r="J33" i="17" s="1"/>
  <c r="J68" i="17" s="1"/>
  <c r="J23" i="17" l="1"/>
  <c r="K22" i="17"/>
  <c r="K33" i="17" s="1"/>
  <c r="K68" i="17" s="1"/>
  <c r="K23" i="17" l="1"/>
  <c r="L22" i="17"/>
  <c r="L33" i="17" s="1"/>
  <c r="L68" i="17" s="1"/>
  <c r="L23" i="17" l="1"/>
  <c r="M22" i="17"/>
  <c r="M33" i="17" s="1"/>
  <c r="M68" i="17" s="1"/>
  <c r="M23" i="17" l="1"/>
  <c r="N22" i="17"/>
  <c r="N33" i="17" s="1"/>
  <c r="N68" i="17" s="1"/>
  <c r="N23" i="17" l="1"/>
  <c r="B6" i="17" s="1"/>
  <c r="B8" i="17"/>
  <c r="N10" i="4" l="1"/>
  <c r="N30" i="4"/>
  <c r="N27" i="4"/>
  <c r="N21" i="4"/>
  <c r="N12" i="4"/>
  <c r="N9" i="4"/>
  <c r="O17" i="4" l="1"/>
  <c r="O23" i="4"/>
  <c r="O10" i="4"/>
  <c r="O5" i="4"/>
  <c r="N23" i="4"/>
  <c r="N17" i="4"/>
  <c r="N5" i="4"/>
  <c r="B13" i="3" l="1"/>
  <c r="B9" i="2" l="1"/>
  <c r="C9" i="2" s="1"/>
  <c r="D9" i="2" s="1"/>
  <c r="E9" i="2" s="1"/>
  <c r="F9" i="2" s="1"/>
  <c r="G9" i="2" s="1"/>
  <c r="H9" i="2" s="1"/>
  <c r="I9" i="2" s="1"/>
  <c r="J9" i="2" s="1"/>
  <c r="K9" i="2" s="1"/>
  <c r="B6" i="2" s="1"/>
  <c r="C8" i="2"/>
  <c r="D8" i="2" s="1"/>
  <c r="E8" i="2" s="1"/>
  <c r="F8" i="2" s="1"/>
  <c r="G8" i="2" s="1"/>
  <c r="H8" i="2" s="1"/>
  <c r="I8" i="2" s="1"/>
  <c r="J8" i="2" s="1"/>
  <c r="K8" i="2" s="1"/>
  <c r="C8" i="1"/>
  <c r="D8" i="1"/>
  <c r="E8" i="1"/>
  <c r="F8" i="1"/>
  <c r="G8" i="1"/>
  <c r="H8" i="1"/>
  <c r="I8" i="1"/>
  <c r="J8" i="1"/>
  <c r="K8" i="1"/>
  <c r="B8" i="1"/>
  <c r="B9" i="1" s="1"/>
  <c r="C9" i="1" s="1"/>
  <c r="D9" i="1" s="1"/>
  <c r="E9" i="1" s="1"/>
  <c r="F9" i="1" l="1"/>
  <c r="G9" i="1" s="1"/>
  <c r="H9" i="1" s="1"/>
  <c r="I9" i="1" s="1"/>
  <c r="J9" i="1" s="1"/>
  <c r="K9" i="1" s="1"/>
  <c r="B5" i="1"/>
  <c r="C7" i="1"/>
  <c r="D7" i="1" s="1"/>
  <c r="E7" i="1" s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<sst xmlns="http://schemas.openxmlformats.org/spreadsheetml/2006/main" count="263" uniqueCount="159">
  <si>
    <t>Saving for retirement</t>
  </si>
  <si>
    <t>Savings after 10 years</t>
  </si>
  <si>
    <t>deposits per period</t>
  </si>
  <si>
    <t>cumulative deposits</t>
  </si>
  <si>
    <t>Deposit amount</t>
  </si>
  <si>
    <t xml:space="preserve">Example 1 linear growth through a constant increase </t>
  </si>
  <si>
    <t xml:space="preserve">Example 2 proportionate growth through a constant percent increase </t>
  </si>
  <si>
    <t>Interest rate on savings</t>
  </si>
  <si>
    <t>One time deposit amount</t>
  </si>
  <si>
    <t>Value</t>
  </si>
  <si>
    <t xml:space="preserve">Example 3 exponential  growth </t>
  </si>
  <si>
    <t>Rapid growth of an epidemic</t>
  </si>
  <si>
    <t>Variables</t>
  </si>
  <si>
    <t>r</t>
  </si>
  <si>
    <t>growth rate per period</t>
  </si>
  <si>
    <t>t</t>
  </si>
  <si>
    <t>number of periods after base</t>
  </si>
  <si>
    <t>e</t>
  </si>
  <si>
    <t xml:space="preserve">mathematical constant </t>
  </si>
  <si>
    <t>infections at base period</t>
  </si>
  <si>
    <t>Infections at a future period</t>
  </si>
  <si>
    <t>Pb</t>
  </si>
  <si>
    <t>Pf</t>
  </si>
  <si>
    <t>Pf =</t>
  </si>
  <si>
    <t>Pf=Pb*e^(r*t)</t>
  </si>
  <si>
    <t>Cost of test market</t>
  </si>
  <si>
    <t>Cost of market research</t>
  </si>
  <si>
    <t>success</t>
  </si>
  <si>
    <t>failure</t>
  </si>
  <si>
    <t>market research</t>
  </si>
  <si>
    <t>test market</t>
  </si>
  <si>
    <t>national market</t>
  </si>
  <si>
    <t>Research?</t>
  </si>
  <si>
    <t>Yes</t>
  </si>
  <si>
    <t>test market?</t>
  </si>
  <si>
    <t>yes</t>
  </si>
  <si>
    <t>no</t>
  </si>
  <si>
    <t>No</t>
  </si>
  <si>
    <t>national?</t>
  </si>
  <si>
    <t xml:space="preserve"> Outcome = 0</t>
  </si>
  <si>
    <t>Outcome = 0</t>
  </si>
  <si>
    <t>New product market tests</t>
  </si>
  <si>
    <t>Combined probability</t>
  </si>
  <si>
    <t>Cost of national campaign</t>
  </si>
  <si>
    <t>Forecast revenues - test</t>
  </si>
  <si>
    <t>Forecast revenues - national</t>
  </si>
  <si>
    <t>Forecast</t>
  </si>
  <si>
    <t>total</t>
  </si>
  <si>
    <t>Regression Analysis</t>
  </si>
  <si>
    <t>Weight (carats)</t>
  </si>
  <si>
    <t>Price (Singapore dollars)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</si>
  <si>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</si>
  <si>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</si>
  <si>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</si>
  <si>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</si>
  <si>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</si>
  <si>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</si>
  <si>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</si>
  <si>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</si>
  <si>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</si>
  <si>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</si>
  <si>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</si>
  <si>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</si>
  <si>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</si>
  <si>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</si>
  <si>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</si>
  <si>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</si>
  <si>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</si>
  <si>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</si>
  <si>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</si>
  <si>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</si>
  <si>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</si>
  <si>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</si>
  <si>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</si>
  <si>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</si>
  <si>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Historical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</si>
  <si>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</si>
  <si>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</si>
  <si>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</si>
  <si>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</si>
  <si>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</si>
  <si>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</si>
  <si>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</si>
  <si>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</si>
  <si>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</si>
  <si>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</si>
  <si>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</si>
  <si>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</si>
  <si>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</si>
  <si>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</si>
  <si>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Average</t>
  </si>
  <si>
    <t>Stdev</t>
  </si>
  <si>
    <t xml:space="preserve">Y/Y </t>
  </si>
  <si>
    <t>Projected sales</t>
  </si>
  <si>
    <t>SMALL BUSINESS CASH FLOW PROJECTION</t>
  </si>
  <si>
    <t>Innovative Speakers</t>
  </si>
  <si>
    <t>Starting date</t>
  </si>
  <si>
    <t>Cashflow minimum</t>
  </si>
  <si>
    <t>Margin</t>
  </si>
  <si>
    <t>End period cash balance</t>
  </si>
  <si>
    <t>Return rate</t>
  </si>
  <si>
    <t>Annual sales growth rate</t>
  </si>
  <si>
    <t>Unit price</t>
  </si>
  <si>
    <t>Advertising budget</t>
  </si>
  <si>
    <t>SALES FORECAST</t>
  </si>
  <si>
    <t>Prior year speaker sales</t>
  </si>
  <si>
    <t>CASHFLOW PROJECTION</t>
  </si>
  <si>
    <t>Beginning</t>
  </si>
  <si>
    <t>Cash on hand (beginning of month)</t>
  </si>
  <si>
    <t>Cash on hand (end of month)</t>
  </si>
  <si>
    <t>CASH RECEIPTS</t>
  </si>
  <si>
    <t>Cash sales</t>
  </si>
  <si>
    <t>Returns and allowances</t>
  </si>
  <si>
    <t>Collections on accounts receivable</t>
  </si>
  <si>
    <t>Interest, other income</t>
  </si>
  <si>
    <t>Loan proceeds</t>
  </si>
  <si>
    <t>Owner contributions</t>
  </si>
  <si>
    <t>TOTAL CASH RECEIPTS</t>
  </si>
  <si>
    <t>Total cash available</t>
  </si>
  <si>
    <t>CASH PAID OUT</t>
  </si>
  <si>
    <t>Advertising</t>
  </si>
  <si>
    <t>Commissions and fees</t>
  </si>
  <si>
    <t>Contract labor</t>
  </si>
  <si>
    <t>Employee benefit programs</t>
  </si>
  <si>
    <t>Insurance (other than health)</t>
  </si>
  <si>
    <t>Interest expense</t>
  </si>
  <si>
    <t>Materials and supplies (in COGS)</t>
  </si>
  <si>
    <t>Meals and entertainment</t>
  </si>
  <si>
    <t>Mortgage interest</t>
  </si>
  <si>
    <t>Office expense</t>
  </si>
  <si>
    <t>Other interest expense</t>
  </si>
  <si>
    <t>Pension and profit-sharing plan</t>
  </si>
  <si>
    <t>Purchases for resale</t>
  </si>
  <si>
    <t>Rent or lease</t>
  </si>
  <si>
    <t>Rent or lease: vehicles, equipment</t>
  </si>
  <si>
    <t>Repairs and maintenance</t>
  </si>
  <si>
    <t>Supplies (not in COGS)</t>
  </si>
  <si>
    <t>Taxes and licenses</t>
  </si>
  <si>
    <t>Travel</t>
  </si>
  <si>
    <t>Utilities</t>
  </si>
  <si>
    <t>Wages (less emp. credits)</t>
  </si>
  <si>
    <t>Other expenses</t>
  </si>
  <si>
    <t>Miscellaneous</t>
  </si>
  <si>
    <t>SUBTOTAL</t>
  </si>
  <si>
    <t>Loan principal payment</t>
  </si>
  <si>
    <t>Capital purchases</t>
  </si>
  <si>
    <t>Other startup costs</t>
  </si>
  <si>
    <t>To reserve and/or escrow</t>
  </si>
  <si>
    <t>Owners' withdrawal</t>
  </si>
  <si>
    <t>TOTAL CASH PAID OUT</t>
  </si>
  <si>
    <t>Projections of customer growth</t>
  </si>
  <si>
    <t>Historical data cumulative customer count</t>
  </si>
  <si>
    <t>Cb</t>
  </si>
  <si>
    <t>customers at base period</t>
  </si>
  <si>
    <t>Cf</t>
  </si>
  <si>
    <t>Customers at a future period</t>
  </si>
  <si>
    <t>CF =</t>
  </si>
  <si>
    <t>Cf=Cb*e^(r*t)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</si>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</sst>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1" tint="0.34998626667073579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medium">
        <color theme="5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/>
      <diagonal/>
    </border>
    <border>
      <left/>
      <right/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95">
    <xf numFmtId="0" fontId="0" fillId="0" borderId="0" xfId="0"/>
    <xf numFmtId="0" fontId="1" fillId="0" borderId="0" xfId="0" applyFont="1"/>
    <xf numFmtId="0" fontId="0" fillId="3" borderId="0" xfId="0" applyFill="1"/>
    <xf numFmtId="0" fontId="3" fillId="4" borderId="0" xfId="0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4" borderId="0" xfId="0" applyNumberFormat="1" applyFont="1" applyFill="1"/>
    <xf numFmtId="0" fontId="0" fillId="5" borderId="0" xfId="0" applyFill="1"/>
    <xf numFmtId="10" fontId="0" fillId="5" borderId="0" xfId="0" applyNumberFormat="1" applyFill="1"/>
    <xf numFmtId="0" fontId="0" fillId="0" borderId="0" xfId="0" applyAlignment="1">
      <alignment horizontal="right"/>
    </xf>
    <xf numFmtId="0" fontId="4" fillId="2" borderId="0" xfId="1" applyFont="1"/>
    <xf numFmtId="0" fontId="4" fillId="2" borderId="0" xfId="1" quotePrefix="1" applyFont="1"/>
    <xf numFmtId="0" fontId="2" fillId="2" borderId="0" xfId="1"/>
    <xf numFmtId="0" fontId="0" fillId="6" borderId="0" xfId="0" applyFill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 vertic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2" applyNumberFormat="1" applyFont="1"/>
    <xf numFmtId="164" fontId="0" fillId="0" borderId="0" xfId="2" applyNumberFormat="1" applyFont="1" applyAlignment="1">
      <alignment horizontal="center" vertical="center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 wrapText="1"/>
    </xf>
    <xf numFmtId="0" fontId="1" fillId="0" borderId="0" xfId="0" applyFont="1" applyAlignment="1">
      <alignment horizontal="center" vertical="top" wrapText="1"/>
    </xf>
    <xf numFmtId="9" fontId="0" fillId="0" borderId="0" xfId="3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/>
    <xf numFmtId="1" fontId="0" fillId="0" borderId="0" xfId="0" applyNumberFormat="1"/>
    <xf numFmtId="0" fontId="8" fillId="0" borderId="3" xfId="5"/>
    <xf numFmtId="0" fontId="9" fillId="0" borderId="4" xfId="6" applyNumberFormat="1"/>
    <xf numFmtId="0" fontId="9" fillId="0" borderId="4" xfId="6"/>
    <xf numFmtId="0" fontId="10" fillId="0" borderId="5" xfId="7"/>
    <xf numFmtId="14" fontId="10" fillId="0" borderId="5" xfId="7" applyNumberFormat="1"/>
    <xf numFmtId="9" fontId="10" fillId="0" borderId="5" xfId="7" applyNumberFormat="1"/>
    <xf numFmtId="8" fontId="11" fillId="0" borderId="0" xfId="0" applyNumberFormat="1" applyFont="1"/>
    <xf numFmtId="0" fontId="10" fillId="4" borderId="5" xfId="7" applyFill="1"/>
    <xf numFmtId="8" fontId="10" fillId="4" borderId="5" xfId="7" applyNumberFormat="1" applyFill="1"/>
    <xf numFmtId="165" fontId="0" fillId="0" borderId="0" xfId="4" applyNumberFormat="1" applyFont="1"/>
    <xf numFmtId="10" fontId="10" fillId="4" borderId="5" xfId="7" applyNumberFormat="1" applyFill="1"/>
    <xf numFmtId="9" fontId="0" fillId="0" borderId="0" xfId="3" applyFont="1"/>
    <xf numFmtId="8" fontId="10" fillId="0" borderId="5" xfId="7" applyNumberFormat="1"/>
    <xf numFmtId="0" fontId="10" fillId="7" borderId="5" xfId="7" applyFill="1"/>
    <xf numFmtId="9" fontId="12" fillId="7" borderId="0" xfId="0" applyNumberFormat="1" applyFont="1" applyFill="1"/>
    <xf numFmtId="9" fontId="10" fillId="7" borderId="5" xfId="7" applyNumberFormat="1" applyFill="1"/>
    <xf numFmtId="6" fontId="10" fillId="7" borderId="5" xfId="7" applyNumberFormat="1" applyFill="1"/>
    <xf numFmtId="0" fontId="10" fillId="7" borderId="6" xfId="7" applyFill="1" applyBorder="1"/>
    <xf numFmtId="8" fontId="10" fillId="7" borderId="5" xfId="7" applyNumberFormat="1" applyFill="1"/>
    <xf numFmtId="0" fontId="13" fillId="8" borderId="7" xfId="0" applyFont="1" applyFill="1" applyBorder="1"/>
    <xf numFmtId="14" fontId="14" fillId="9" borderId="8" xfId="0" applyNumberFormat="1" applyFont="1" applyFill="1" applyBorder="1"/>
    <xf numFmtId="0" fontId="10" fillId="0" borderId="6" xfId="7" applyFill="1" applyBorder="1"/>
    <xf numFmtId="1" fontId="10" fillId="0" borderId="6" xfId="7" applyNumberFormat="1" applyFill="1" applyBorder="1"/>
    <xf numFmtId="0" fontId="14" fillId="9" borderId="9" xfId="0" applyFont="1" applyFill="1" applyBorder="1"/>
    <xf numFmtId="0" fontId="14" fillId="9" borderId="10" xfId="0" applyFont="1" applyFill="1" applyBorder="1"/>
    <xf numFmtId="3" fontId="10" fillId="0" borderId="5" xfId="7" applyNumberFormat="1"/>
    <xf numFmtId="3" fontId="10" fillId="10" borderId="5" xfId="7" applyNumberFormat="1" applyFill="1"/>
    <xf numFmtId="3" fontId="15" fillId="11" borderId="11" xfId="0" applyNumberFormat="1" applyFont="1" applyFill="1" applyBorder="1"/>
    <xf numFmtId="3" fontId="15" fillId="11" borderId="12" xfId="0" applyNumberFormat="1" applyFont="1" applyFill="1" applyBorder="1"/>
    <xf numFmtId="3" fontId="16" fillId="0" borderId="0" xfId="0" applyNumberFormat="1" applyFont="1" applyFill="1" applyBorder="1"/>
    <xf numFmtId="3" fontId="16" fillId="0" borderId="13" xfId="0" applyNumberFormat="1" applyFont="1" applyFill="1" applyBorder="1"/>
    <xf numFmtId="3" fontId="17" fillId="8" borderId="13" xfId="0" applyNumberFormat="1" applyFont="1" applyFill="1" applyBorder="1"/>
    <xf numFmtId="3" fontId="17" fillId="8" borderId="0" xfId="0" applyNumberFormat="1" applyFont="1" applyFill="1" applyBorder="1"/>
    <xf numFmtId="3" fontId="17" fillId="8" borderId="14" xfId="0" applyNumberFormat="1" applyFont="1" applyFill="1" applyBorder="1"/>
    <xf numFmtId="3" fontId="16" fillId="11" borderId="15" xfId="0" applyNumberFormat="1" applyFont="1" applyFill="1" applyBorder="1"/>
    <xf numFmtId="3" fontId="16" fillId="0" borderId="13" xfId="0" applyNumberFormat="1" applyFont="1" applyBorder="1"/>
    <xf numFmtId="3" fontId="16" fillId="10" borderId="11" xfId="0" applyNumberFormat="1" applyFont="1" applyFill="1" applyBorder="1"/>
    <xf numFmtId="3" fontId="16" fillId="11" borderId="16" xfId="0" applyNumberFormat="1" applyFont="1" applyFill="1" applyBorder="1"/>
    <xf numFmtId="0" fontId="16" fillId="0" borderId="17" xfId="0" applyFont="1" applyBorder="1"/>
    <xf numFmtId="0" fontId="18" fillId="10" borderId="18" xfId="0" applyFont="1" applyFill="1" applyBorder="1"/>
    <xf numFmtId="3" fontId="16" fillId="11" borderId="19" xfId="0" applyNumberFormat="1" applyFont="1" applyFill="1" applyBorder="1"/>
    <xf numFmtId="3" fontId="16" fillId="10" borderId="20" xfId="0" applyNumberFormat="1" applyFont="1" applyFill="1" applyBorder="1"/>
    <xf numFmtId="3" fontId="16" fillId="10" borderId="21" xfId="0" applyNumberFormat="1" applyFont="1" applyFill="1" applyBorder="1"/>
    <xf numFmtId="3" fontId="19" fillId="10" borderId="22" xfId="0" applyNumberFormat="1" applyFont="1" applyFill="1" applyBorder="1"/>
    <xf numFmtId="3" fontId="19" fillId="11" borderId="12" xfId="0" applyNumberFormat="1" applyFont="1" applyFill="1" applyBorder="1"/>
    <xf numFmtId="0" fontId="18" fillId="10" borderId="17" xfId="0" applyFont="1" applyFill="1" applyBorder="1"/>
    <xf numFmtId="3" fontId="16" fillId="10" borderId="13" xfId="0" applyNumberFormat="1" applyFont="1" applyFill="1" applyBorder="1"/>
    <xf numFmtId="3" fontId="16" fillId="11" borderId="23" xfId="0" applyNumberFormat="1" applyFont="1" applyFill="1" applyBorder="1"/>
    <xf numFmtId="3" fontId="5" fillId="10" borderId="24" xfId="0" applyNumberFormat="1" applyFont="1" applyFill="1" applyBorder="1"/>
    <xf numFmtId="3" fontId="5" fillId="11" borderId="25" xfId="0" applyNumberFormat="1" applyFont="1" applyFill="1" applyBorder="1"/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0" fillId="0" borderId="0" xfId="0" applyNumberFormat="1" applyFont="1"/>
  </cellXfs>
  <cellStyles count="8">
    <cellStyle name="Accent6" xfId="1" builtinId="49"/>
    <cellStyle name="Comma" xfId="2" builtinId="3"/>
    <cellStyle name="Currency" xfId="4" builtinId="4"/>
    <cellStyle name="Heading 1" xfId="5" builtinId="16"/>
    <cellStyle name="Heading 2" xfId="6" builtinId="17"/>
    <cellStyle name="Heading 3" xfId="7" builtinId="1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[1]Sheet3!$A$6:$L$6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55</c:v>
                </c:pt>
                <c:pt idx="5">
                  <c:v>69</c:v>
                </c:pt>
                <c:pt idx="6">
                  <c:v>87</c:v>
                </c:pt>
                <c:pt idx="7">
                  <c:v>110</c:v>
                </c:pt>
                <c:pt idx="8">
                  <c:v>140</c:v>
                </c:pt>
                <c:pt idx="9">
                  <c:v>179</c:v>
                </c:pt>
                <c:pt idx="10">
                  <c:v>232</c:v>
                </c:pt>
                <c:pt idx="11">
                  <c:v>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8840"/>
        <c:axId val="519149232"/>
      </c:scatterChart>
      <c:valAx>
        <c:axId val="51914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9232"/>
        <c:crosses val="autoZero"/>
        <c:crossBetween val="midCat"/>
      </c:valAx>
      <c:valAx>
        <c:axId val="519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analysis'!$A$4:$A$51</c:f>
              <c:numCache>
                <c:formatCode>General</c:formatCode>
                <c:ptCount val="48"/>
                <c:pt idx="0">
                  <c:v>0.17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0.25</c:v>
                </c:pt>
                <c:pt idx="5">
                  <c:v>0.16</c:v>
                </c:pt>
                <c:pt idx="6">
                  <c:v>0.15</c:v>
                </c:pt>
                <c:pt idx="7">
                  <c:v>0.19</c:v>
                </c:pt>
                <c:pt idx="8">
                  <c:v>0.21</c:v>
                </c:pt>
                <c:pt idx="9">
                  <c:v>0.15</c:v>
                </c:pt>
                <c:pt idx="10">
                  <c:v>0.18</c:v>
                </c:pt>
                <c:pt idx="11">
                  <c:v>0.28000000000000003</c:v>
                </c:pt>
                <c:pt idx="12">
                  <c:v>0.16</c:v>
                </c:pt>
                <c:pt idx="13">
                  <c:v>0.2</c:v>
                </c:pt>
                <c:pt idx="14">
                  <c:v>0.23</c:v>
                </c:pt>
                <c:pt idx="15">
                  <c:v>0.28999999999999998</c:v>
                </c:pt>
                <c:pt idx="16">
                  <c:v>0.12</c:v>
                </c:pt>
                <c:pt idx="17">
                  <c:v>0.26</c:v>
                </c:pt>
                <c:pt idx="18">
                  <c:v>0.25</c:v>
                </c:pt>
                <c:pt idx="19">
                  <c:v>0.27</c:v>
                </c:pt>
                <c:pt idx="20">
                  <c:v>0.18</c:v>
                </c:pt>
                <c:pt idx="21">
                  <c:v>0.16</c:v>
                </c:pt>
                <c:pt idx="22">
                  <c:v>0.17</c:v>
                </c:pt>
                <c:pt idx="23">
                  <c:v>0.16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0.15</c:v>
                </c:pt>
                <c:pt idx="30">
                  <c:v>0.17</c:v>
                </c:pt>
                <c:pt idx="31">
                  <c:v>0.32</c:v>
                </c:pt>
                <c:pt idx="32">
                  <c:v>0.32</c:v>
                </c:pt>
                <c:pt idx="33">
                  <c:v>0.15</c:v>
                </c:pt>
                <c:pt idx="34">
                  <c:v>0.16</c:v>
                </c:pt>
                <c:pt idx="35">
                  <c:v>0.16</c:v>
                </c:pt>
                <c:pt idx="36">
                  <c:v>0.23</c:v>
                </c:pt>
                <c:pt idx="37">
                  <c:v>0.23</c:v>
                </c:pt>
                <c:pt idx="38">
                  <c:v>0.17</c:v>
                </c:pt>
                <c:pt idx="39">
                  <c:v>0.33</c:v>
                </c:pt>
                <c:pt idx="40">
                  <c:v>0.25</c:v>
                </c:pt>
                <c:pt idx="41">
                  <c:v>0.35</c:v>
                </c:pt>
                <c:pt idx="42">
                  <c:v>0.18</c:v>
                </c:pt>
                <c:pt idx="43">
                  <c:v>0.25</c:v>
                </c:pt>
                <c:pt idx="44">
                  <c:v>0.25</c:v>
                </c:pt>
                <c:pt idx="45">
                  <c:v>0.15</c:v>
                </c:pt>
                <c:pt idx="46">
                  <c:v>0.26</c:v>
                </c:pt>
                <c:pt idx="47">
                  <c:v>0.15</c:v>
                </c:pt>
              </c:numCache>
            </c:numRef>
          </c:xVal>
          <c:yVal>
            <c:numRef>
              <c:f>'Regression analysis'!$B$4:$B$51</c:f>
              <c:numCache>
                <c:formatCode>General</c:formatCode>
                <c:ptCount val="48"/>
                <c:pt idx="0">
                  <c:v>355</c:v>
                </c:pt>
                <c:pt idx="1">
                  <c:v>328</c:v>
                </c:pt>
                <c:pt idx="2">
                  <c:v>350</c:v>
                </c:pt>
                <c:pt idx="3">
                  <c:v>325</c:v>
                </c:pt>
                <c:pt idx="4">
                  <c:v>642</c:v>
                </c:pt>
                <c:pt idx="5">
                  <c:v>342</c:v>
                </c:pt>
                <c:pt idx="6">
                  <c:v>322</c:v>
                </c:pt>
                <c:pt idx="7">
                  <c:v>485</c:v>
                </c:pt>
                <c:pt idx="8">
                  <c:v>483</c:v>
                </c:pt>
                <c:pt idx="9">
                  <c:v>323</c:v>
                </c:pt>
                <c:pt idx="10">
                  <c:v>462</c:v>
                </c:pt>
                <c:pt idx="11">
                  <c:v>823</c:v>
                </c:pt>
                <c:pt idx="12">
                  <c:v>336</c:v>
                </c:pt>
                <c:pt idx="13">
                  <c:v>498</c:v>
                </c:pt>
                <c:pt idx="14">
                  <c:v>595</c:v>
                </c:pt>
                <c:pt idx="15">
                  <c:v>860</c:v>
                </c:pt>
                <c:pt idx="16">
                  <c:v>223</c:v>
                </c:pt>
                <c:pt idx="17">
                  <c:v>663</c:v>
                </c:pt>
                <c:pt idx="18">
                  <c:v>750</c:v>
                </c:pt>
                <c:pt idx="19">
                  <c:v>720</c:v>
                </c:pt>
                <c:pt idx="20">
                  <c:v>468</c:v>
                </c:pt>
                <c:pt idx="21">
                  <c:v>345</c:v>
                </c:pt>
                <c:pt idx="22">
                  <c:v>352</c:v>
                </c:pt>
                <c:pt idx="23">
                  <c:v>332</c:v>
                </c:pt>
                <c:pt idx="24">
                  <c:v>353</c:v>
                </c:pt>
                <c:pt idx="25">
                  <c:v>438</c:v>
                </c:pt>
                <c:pt idx="26">
                  <c:v>318</c:v>
                </c:pt>
                <c:pt idx="27">
                  <c:v>419</c:v>
                </c:pt>
                <c:pt idx="28">
                  <c:v>346</c:v>
                </c:pt>
                <c:pt idx="29">
                  <c:v>315</c:v>
                </c:pt>
                <c:pt idx="30">
                  <c:v>350</c:v>
                </c:pt>
                <c:pt idx="31">
                  <c:v>918</c:v>
                </c:pt>
                <c:pt idx="32">
                  <c:v>919</c:v>
                </c:pt>
                <c:pt idx="33">
                  <c:v>298</c:v>
                </c:pt>
                <c:pt idx="34">
                  <c:v>339</c:v>
                </c:pt>
                <c:pt idx="35">
                  <c:v>338</c:v>
                </c:pt>
                <c:pt idx="36">
                  <c:v>595</c:v>
                </c:pt>
                <c:pt idx="37">
                  <c:v>553</c:v>
                </c:pt>
                <c:pt idx="38">
                  <c:v>345</c:v>
                </c:pt>
                <c:pt idx="39">
                  <c:v>945</c:v>
                </c:pt>
                <c:pt idx="40">
                  <c:v>655</c:v>
                </c:pt>
                <c:pt idx="41">
                  <c:v>1086</c:v>
                </c:pt>
                <c:pt idx="42">
                  <c:v>443</c:v>
                </c:pt>
                <c:pt idx="43">
                  <c:v>678</c:v>
                </c:pt>
                <c:pt idx="44">
                  <c:v>675</c:v>
                </c:pt>
                <c:pt idx="45">
                  <c:v>287</c:v>
                </c:pt>
                <c:pt idx="46">
                  <c:v>693</c:v>
                </c:pt>
                <c:pt idx="47">
                  <c:v>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51096"/>
        <c:axId val="259745608"/>
      </c:scatterChart>
      <c:valAx>
        <c:axId val="25975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5608"/>
        <c:crosses val="autoZero"/>
        <c:crossBetween val="midCat"/>
      </c:valAx>
      <c:valAx>
        <c:axId val="2597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5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133350</xdr:rowOff>
    </xdr:from>
    <xdr:to>
      <xdr:col>6</xdr:col>
      <xdr:colOff>523875</xdr:colOff>
      <xdr:row>22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295276</xdr:colOff>
      <xdr:row>10</xdr:row>
      <xdr:rowOff>38099</xdr:rowOff>
    </xdr:from>
    <xdr:to>
      <xdr:col>3</xdr:col>
      <xdr:colOff>714376</xdr:colOff>
      <xdr:row>10</xdr:row>
      <xdr:rowOff>428624</xdr:rowOff>
    </xdr:to>
    <xdr:sp macro="" textlink="">
      <xdr:nvSpPr>
        <xdr:cNvPr id="2" name="Oval 1"/>
        <xdr:cNvSpPr/>
      </xdr:nvSpPr>
      <xdr:spPr>
        <a:xfrm>
          <a:off x="3448051" y="1562099"/>
          <a:ext cx="419100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10</xdr:row>
      <xdr:rowOff>233362</xdr:rowOff>
    </xdr:from>
    <xdr:to>
      <xdr:col>3</xdr:col>
      <xdr:colOff>295276</xdr:colOff>
      <xdr:row>10</xdr:row>
      <xdr:rowOff>238125</xdr:rowOff>
    </xdr:to>
    <xdr:cxnSp macro="">
      <xdr:nvCxnSpPr>
        <xdr:cNvPr id="5" name="Straight Arrow Connector 4"/>
        <xdr:cNvCxnSpPr>
          <a:endCxn id="2" idx="2"/>
        </xdr:cNvCxnSpPr>
      </xdr:nvCxnSpPr>
      <xdr:spPr>
        <a:xfrm flipV="1">
          <a:off x="3181350" y="1947862"/>
          <a:ext cx="1295401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371475</xdr:colOff>
      <xdr:row>11</xdr:row>
      <xdr:rowOff>0</xdr:rowOff>
    </xdr:from>
    <xdr:to>
      <xdr:col>1</xdr:col>
      <xdr:colOff>371475</xdr:colOff>
      <xdr:row>15</xdr:row>
      <xdr:rowOff>190500</xdr:rowOff>
    </xdr:to>
    <xdr:cxnSp macro="">
      <xdr:nvCxnSpPr>
        <xdr:cNvPr id="9" name="Straight Connector 8"/>
        <xdr:cNvCxnSpPr/>
      </xdr:nvCxnSpPr>
      <xdr:spPr>
        <a:xfrm>
          <a:off x="2714625" y="2362200"/>
          <a:ext cx="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15</xdr:row>
      <xdr:rowOff>180975</xdr:rowOff>
    </xdr:from>
    <xdr:to>
      <xdr:col>2</xdr:col>
      <xdr:colOff>1019175</xdr:colOff>
      <xdr:row>15</xdr:row>
      <xdr:rowOff>190500</xdr:rowOff>
    </xdr:to>
    <xdr:cxnSp macro="">
      <xdr:nvCxnSpPr>
        <xdr:cNvPr id="11" name="Straight Arrow Connector 10"/>
        <xdr:cNvCxnSpPr/>
      </xdr:nvCxnSpPr>
      <xdr:spPr>
        <a:xfrm flipV="1">
          <a:off x="2724150" y="3495675"/>
          <a:ext cx="1447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190500</xdr:rowOff>
    </xdr:from>
    <xdr:to>
      <xdr:col>4</xdr:col>
      <xdr:colOff>28575</xdr:colOff>
      <xdr:row>8</xdr:row>
      <xdr:rowOff>190500</xdr:rowOff>
    </xdr:to>
    <xdr:cxnSp macro="">
      <xdr:nvCxnSpPr>
        <xdr:cNvPr id="15" name="Straight Arrow Connector 14"/>
        <xdr:cNvCxnSpPr/>
      </xdr:nvCxnSpPr>
      <xdr:spPr>
        <a:xfrm>
          <a:off x="4686300" y="1524000"/>
          <a:ext cx="552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180975</xdr:rowOff>
    </xdr:from>
    <xdr:to>
      <xdr:col>3</xdr:col>
      <xdr:colOff>504826</xdr:colOff>
      <xdr:row>10</xdr:row>
      <xdr:rowOff>38099</xdr:rowOff>
    </xdr:to>
    <xdr:cxnSp macro="">
      <xdr:nvCxnSpPr>
        <xdr:cNvPr id="19" name="Straight Connector 18"/>
        <xdr:cNvCxnSpPr>
          <a:endCxn id="2" idx="0"/>
        </xdr:cNvCxnSpPr>
      </xdr:nvCxnSpPr>
      <xdr:spPr>
        <a:xfrm>
          <a:off x="4686300" y="1514475"/>
          <a:ext cx="1" cy="4286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13</xdr:row>
      <xdr:rowOff>0</xdr:rowOff>
    </xdr:from>
    <xdr:to>
      <xdr:col>4</xdr:col>
      <xdr:colOff>381001</xdr:colOff>
      <xdr:row>14</xdr:row>
      <xdr:rowOff>123824</xdr:rowOff>
    </xdr:to>
    <xdr:cxnSp macro="">
      <xdr:nvCxnSpPr>
        <xdr:cNvPr id="20" name="Straight Connector 19"/>
        <xdr:cNvCxnSpPr/>
      </xdr:nvCxnSpPr>
      <xdr:spPr>
        <a:xfrm>
          <a:off x="5581650" y="2933700"/>
          <a:ext cx="9526" cy="3143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12</xdr:row>
      <xdr:rowOff>200025</xdr:rowOff>
    </xdr:from>
    <xdr:to>
      <xdr:col>4</xdr:col>
      <xdr:colOff>19050</xdr:colOff>
      <xdr:row>12</xdr:row>
      <xdr:rowOff>200025</xdr:rowOff>
    </xdr:to>
    <xdr:cxnSp macro="">
      <xdr:nvCxnSpPr>
        <xdr:cNvPr id="21" name="Straight Arrow Connector 20"/>
        <xdr:cNvCxnSpPr/>
      </xdr:nvCxnSpPr>
      <xdr:spPr>
        <a:xfrm>
          <a:off x="4705350" y="2943225"/>
          <a:ext cx="52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152401</xdr:colOff>
      <xdr:row>7</xdr:row>
      <xdr:rowOff>190499</xdr:rowOff>
    </xdr:from>
    <xdr:to>
      <xdr:col>6</xdr:col>
      <xdr:colOff>571501</xdr:colOff>
      <xdr:row>9</xdr:row>
      <xdr:rowOff>9524</xdr:rowOff>
    </xdr:to>
    <xdr:sp macro="" textlink="">
      <xdr:nvSpPr>
        <xdr:cNvPr id="25" name="Oval 24"/>
        <xdr:cNvSpPr/>
      </xdr:nvSpPr>
      <xdr:spPr>
        <a:xfrm>
          <a:off x="6896101" y="1333499"/>
          <a:ext cx="419100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8</xdr:row>
      <xdr:rowOff>195262</xdr:rowOff>
    </xdr:from>
    <xdr:to>
      <xdr:col>6</xdr:col>
      <xdr:colOff>152401</xdr:colOff>
      <xdr:row>8</xdr:row>
      <xdr:rowOff>200025</xdr:rowOff>
    </xdr:to>
    <xdr:cxnSp macro="">
      <xdr:nvCxnSpPr>
        <xdr:cNvPr id="26" name="Straight Arrow Connector 25"/>
        <xdr:cNvCxnSpPr>
          <a:endCxn id="25" idx="2"/>
        </xdr:cNvCxnSpPr>
      </xdr:nvCxnSpPr>
      <xdr:spPr>
        <a:xfrm flipV="1">
          <a:off x="6019800" y="1528762"/>
          <a:ext cx="876301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8</xdr:row>
      <xdr:rowOff>371475</xdr:rowOff>
    </xdr:from>
    <xdr:to>
      <xdr:col>4</xdr:col>
      <xdr:colOff>381000</xdr:colOff>
      <xdr:row>10</xdr:row>
      <xdr:rowOff>190500</xdr:rowOff>
    </xdr:to>
    <xdr:cxnSp macro="">
      <xdr:nvCxnSpPr>
        <xdr:cNvPr id="29" name="Straight Connector 28"/>
        <xdr:cNvCxnSpPr/>
      </xdr:nvCxnSpPr>
      <xdr:spPr>
        <a:xfrm>
          <a:off x="5581650" y="1704975"/>
          <a:ext cx="9525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10</xdr:row>
      <xdr:rowOff>190500</xdr:rowOff>
    </xdr:from>
    <xdr:to>
      <xdr:col>5</xdr:col>
      <xdr:colOff>19050</xdr:colOff>
      <xdr:row>10</xdr:row>
      <xdr:rowOff>190501</xdr:rowOff>
    </xdr:to>
    <xdr:cxnSp macro="">
      <xdr:nvCxnSpPr>
        <xdr:cNvPr id="30" name="Straight Arrow Connector 29"/>
        <xdr:cNvCxnSpPr/>
      </xdr:nvCxnSpPr>
      <xdr:spPr>
        <a:xfrm flipV="1">
          <a:off x="5591175" y="2095500"/>
          <a:ext cx="4286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12</xdr:row>
      <xdr:rowOff>214312</xdr:rowOff>
    </xdr:from>
    <xdr:to>
      <xdr:col>6</xdr:col>
      <xdr:colOff>152401</xdr:colOff>
      <xdr:row>12</xdr:row>
      <xdr:rowOff>219075</xdr:rowOff>
    </xdr:to>
    <xdr:cxnSp macro="">
      <xdr:nvCxnSpPr>
        <xdr:cNvPr id="36" name="Straight Arrow Connector 35"/>
        <xdr:cNvCxnSpPr/>
      </xdr:nvCxnSpPr>
      <xdr:spPr>
        <a:xfrm flipV="1">
          <a:off x="6019800" y="2767012"/>
          <a:ext cx="876301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161926</xdr:colOff>
      <xdr:row>12</xdr:row>
      <xdr:rowOff>9524</xdr:rowOff>
    </xdr:from>
    <xdr:to>
      <xdr:col>6</xdr:col>
      <xdr:colOff>581026</xdr:colOff>
      <xdr:row>13</xdr:row>
      <xdr:rowOff>19049</xdr:rowOff>
    </xdr:to>
    <xdr:sp macro="" textlink="">
      <xdr:nvSpPr>
        <xdr:cNvPr id="37" name="Oval 36"/>
        <xdr:cNvSpPr/>
      </xdr:nvSpPr>
      <xdr:spPr>
        <a:xfrm>
          <a:off x="6905626" y="2562224"/>
          <a:ext cx="419100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514350</xdr:colOff>
      <xdr:row>10</xdr:row>
      <xdr:rowOff>409575</xdr:rowOff>
    </xdr:from>
    <xdr:to>
      <xdr:col>3</xdr:col>
      <xdr:colOff>523875</xdr:colOff>
      <xdr:row>12</xdr:row>
      <xdr:rowOff>209550</xdr:rowOff>
    </xdr:to>
    <xdr:cxnSp macro="">
      <xdr:nvCxnSpPr>
        <xdr:cNvPr id="39" name="Straight Connector 38"/>
        <xdr:cNvCxnSpPr/>
      </xdr:nvCxnSpPr>
      <xdr:spPr>
        <a:xfrm>
          <a:off x="4695825" y="2505075"/>
          <a:ext cx="952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14</xdr:row>
      <xdr:rowOff>123825</xdr:rowOff>
    </xdr:from>
    <xdr:to>
      <xdr:col>5</xdr:col>
      <xdr:colOff>276225</xdr:colOff>
      <xdr:row>14</xdr:row>
      <xdr:rowOff>123825</xdr:rowOff>
    </xdr:to>
    <xdr:cxnSp macro="">
      <xdr:nvCxnSpPr>
        <xdr:cNvPr id="40" name="Straight Arrow Connector 39"/>
        <xdr:cNvCxnSpPr/>
      </xdr:nvCxnSpPr>
      <xdr:spPr>
        <a:xfrm>
          <a:off x="5581650" y="32480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6</xdr:row>
      <xdr:rowOff>90440</xdr:rowOff>
    </xdr:from>
    <xdr:to>
      <xdr:col>6</xdr:col>
      <xdr:colOff>371476</xdr:colOff>
      <xdr:row>8</xdr:row>
      <xdr:rowOff>138064</xdr:rowOff>
    </xdr:to>
    <xdr:cxnSp macro="">
      <xdr:nvCxnSpPr>
        <xdr:cNvPr id="43" name="Straight Connector 42"/>
        <xdr:cNvCxnSpPr/>
      </xdr:nvCxnSpPr>
      <xdr:spPr>
        <a:xfrm>
          <a:off x="7119136" y="1424883"/>
          <a:ext cx="1" cy="424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371570</xdr:colOff>
      <xdr:row>6</xdr:row>
      <xdr:rowOff>90535</xdr:rowOff>
    </xdr:from>
    <xdr:to>
      <xdr:col>7</xdr:col>
      <xdr:colOff>95</xdr:colOff>
      <xdr:row>6</xdr:row>
      <xdr:rowOff>90536</xdr:rowOff>
    </xdr:to>
    <xdr:cxnSp macro="">
      <xdr:nvCxnSpPr>
        <xdr:cNvPr id="44" name="Straight Arrow Connector 43"/>
        <xdr:cNvCxnSpPr/>
      </xdr:nvCxnSpPr>
      <xdr:spPr>
        <a:xfrm flipV="1">
          <a:off x="7119231" y="1424978"/>
          <a:ext cx="3735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376285</xdr:colOff>
      <xdr:row>8</xdr:row>
      <xdr:rowOff>90535</xdr:rowOff>
    </xdr:from>
    <xdr:to>
      <xdr:col>6</xdr:col>
      <xdr:colOff>376286</xdr:colOff>
      <xdr:row>9</xdr:row>
      <xdr:rowOff>138159</xdr:rowOff>
    </xdr:to>
    <xdr:cxnSp macro="">
      <xdr:nvCxnSpPr>
        <xdr:cNvPr id="47" name="Straight Connector 46"/>
        <xdr:cNvCxnSpPr/>
      </xdr:nvCxnSpPr>
      <xdr:spPr>
        <a:xfrm>
          <a:off x="7123946" y="1802206"/>
          <a:ext cx="1" cy="4295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376190</xdr:colOff>
      <xdr:row>9</xdr:row>
      <xdr:rowOff>138065</xdr:rowOff>
    </xdr:from>
    <xdr:to>
      <xdr:col>7</xdr:col>
      <xdr:colOff>4715</xdr:colOff>
      <xdr:row>9</xdr:row>
      <xdr:rowOff>138066</xdr:rowOff>
    </xdr:to>
    <xdr:cxnSp macro="">
      <xdr:nvCxnSpPr>
        <xdr:cNvPr id="48" name="Straight Arrow Connector 47"/>
        <xdr:cNvCxnSpPr/>
      </xdr:nvCxnSpPr>
      <xdr:spPr>
        <a:xfrm flipV="1">
          <a:off x="7123851" y="2231679"/>
          <a:ext cx="3735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10</xdr:row>
      <xdr:rowOff>47625</xdr:rowOff>
    </xdr:from>
    <xdr:to>
      <xdr:col>11</xdr:col>
      <xdr:colOff>466725</xdr:colOff>
      <xdr:row>10</xdr:row>
      <xdr:rowOff>438150</xdr:rowOff>
    </xdr:to>
    <xdr:sp macro="" textlink="">
      <xdr:nvSpPr>
        <xdr:cNvPr id="52" name="Oval 51"/>
        <xdr:cNvSpPr/>
      </xdr:nvSpPr>
      <xdr:spPr>
        <a:xfrm>
          <a:off x="10239375" y="2143125"/>
          <a:ext cx="419100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262087</xdr:colOff>
      <xdr:row>4</xdr:row>
      <xdr:rowOff>101055</xdr:rowOff>
    </xdr:from>
    <xdr:to>
      <xdr:col>12</xdr:col>
      <xdr:colOff>11608</xdr:colOff>
      <xdr:row>4</xdr:row>
      <xdr:rowOff>102096</xdr:rowOff>
    </xdr:to>
    <xdr:cxnSp macro="">
      <xdr:nvCxnSpPr>
        <xdr:cNvPr id="54" name="Straight Arrow Connector 53"/>
        <xdr:cNvCxnSpPr/>
      </xdr:nvCxnSpPr>
      <xdr:spPr>
        <a:xfrm flipV="1">
          <a:off x="10754950" y="1038192"/>
          <a:ext cx="548392" cy="10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9</xdr:row>
      <xdr:rowOff>66675</xdr:rowOff>
    </xdr:from>
    <xdr:to>
      <xdr:col>11</xdr:col>
      <xdr:colOff>266701</xdr:colOff>
      <xdr:row>10</xdr:row>
      <xdr:rowOff>304799</xdr:rowOff>
    </xdr:to>
    <xdr:cxnSp macro="">
      <xdr:nvCxnSpPr>
        <xdr:cNvPr id="55" name="Straight Connector 54"/>
        <xdr:cNvCxnSpPr/>
      </xdr:nvCxnSpPr>
      <xdr:spPr>
        <a:xfrm>
          <a:off x="10458450" y="1971675"/>
          <a:ext cx="1" cy="4286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9</xdr:row>
      <xdr:rowOff>66675</xdr:rowOff>
    </xdr:from>
    <xdr:to>
      <xdr:col>12</xdr:col>
      <xdr:colOff>28575</xdr:colOff>
      <xdr:row>9</xdr:row>
      <xdr:rowOff>66676</xdr:rowOff>
    </xdr:to>
    <xdr:cxnSp macro="">
      <xdr:nvCxnSpPr>
        <xdr:cNvPr id="56" name="Straight Arrow Connector 55"/>
        <xdr:cNvCxnSpPr/>
      </xdr:nvCxnSpPr>
      <xdr:spPr>
        <a:xfrm flipV="1">
          <a:off x="10458450" y="1971675"/>
          <a:ext cx="371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95250</xdr:rowOff>
    </xdr:from>
    <xdr:to>
      <xdr:col>8</xdr:col>
      <xdr:colOff>704850</xdr:colOff>
      <xdr:row>6</xdr:row>
      <xdr:rowOff>104777</xdr:rowOff>
    </xdr:to>
    <xdr:cxnSp macro="">
      <xdr:nvCxnSpPr>
        <xdr:cNvPr id="57" name="Straight Arrow Connector 56"/>
        <xdr:cNvCxnSpPr/>
      </xdr:nvCxnSpPr>
      <xdr:spPr>
        <a:xfrm flipV="1">
          <a:off x="8248650" y="1238250"/>
          <a:ext cx="685800" cy="9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6</xdr:row>
      <xdr:rowOff>71438</xdr:rowOff>
    </xdr:from>
    <xdr:to>
      <xdr:col>11</xdr:col>
      <xdr:colOff>57150</xdr:colOff>
      <xdr:row>6</xdr:row>
      <xdr:rowOff>76200</xdr:rowOff>
    </xdr:to>
    <xdr:cxnSp macro="">
      <xdr:nvCxnSpPr>
        <xdr:cNvPr id="59" name="Straight Arrow Connector 58"/>
        <xdr:cNvCxnSpPr>
          <a:endCxn id="51" idx="2"/>
        </xdr:cNvCxnSpPr>
      </xdr:nvCxnSpPr>
      <xdr:spPr>
        <a:xfrm flipV="1">
          <a:off x="9572625" y="1214438"/>
          <a:ext cx="6762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16899</xdr:colOff>
      <xdr:row>22</xdr:row>
      <xdr:rowOff>74049</xdr:rowOff>
    </xdr:from>
    <xdr:to>
      <xdr:col>8</xdr:col>
      <xdr:colOff>702699</xdr:colOff>
      <xdr:row>22</xdr:row>
      <xdr:rowOff>74051</xdr:rowOff>
    </xdr:to>
    <xdr:cxnSp macro="">
      <xdr:nvCxnSpPr>
        <xdr:cNvPr id="62" name="Straight Arrow Connector 61"/>
        <xdr:cNvCxnSpPr/>
      </xdr:nvCxnSpPr>
      <xdr:spPr>
        <a:xfrm flipV="1">
          <a:off x="8236052" y="4882638"/>
          <a:ext cx="685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</xdr:row>
      <xdr:rowOff>142875</xdr:rowOff>
    </xdr:from>
    <xdr:to>
      <xdr:col>9</xdr:col>
      <xdr:colOff>590550</xdr:colOff>
      <xdr:row>8</xdr:row>
      <xdr:rowOff>142876</xdr:rowOff>
    </xdr:to>
    <xdr:cxnSp macro="">
      <xdr:nvCxnSpPr>
        <xdr:cNvPr id="64" name="Straight Arrow Connector 63"/>
        <xdr:cNvCxnSpPr/>
      </xdr:nvCxnSpPr>
      <xdr:spPr>
        <a:xfrm flipV="1">
          <a:off x="9191625" y="1666875"/>
          <a:ext cx="371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7</xdr:row>
      <xdr:rowOff>0</xdr:rowOff>
    </xdr:from>
    <xdr:to>
      <xdr:col>9</xdr:col>
      <xdr:colOff>209550</xdr:colOff>
      <xdr:row>8</xdr:row>
      <xdr:rowOff>142875</xdr:rowOff>
    </xdr:to>
    <xdr:cxnSp macro="">
      <xdr:nvCxnSpPr>
        <xdr:cNvPr id="65" name="Straight Connector 64"/>
        <xdr:cNvCxnSpPr/>
      </xdr:nvCxnSpPr>
      <xdr:spPr>
        <a:xfrm>
          <a:off x="9172575" y="1333500"/>
          <a:ext cx="95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10</xdr:row>
      <xdr:rowOff>123825</xdr:rowOff>
    </xdr:from>
    <xdr:to>
      <xdr:col>11</xdr:col>
      <xdr:colOff>257176</xdr:colOff>
      <xdr:row>11</xdr:row>
      <xdr:rowOff>95249</xdr:rowOff>
    </xdr:to>
    <xdr:cxnSp macro="">
      <xdr:nvCxnSpPr>
        <xdr:cNvPr id="69" name="Straight Connector 68"/>
        <xdr:cNvCxnSpPr/>
      </xdr:nvCxnSpPr>
      <xdr:spPr>
        <a:xfrm>
          <a:off x="10448925" y="2219325"/>
          <a:ext cx="1" cy="4286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11</xdr:row>
      <xdr:rowOff>94229</xdr:rowOff>
    </xdr:from>
    <xdr:to>
      <xdr:col>12</xdr:col>
      <xdr:colOff>19050</xdr:colOff>
      <xdr:row>11</xdr:row>
      <xdr:rowOff>94230</xdr:rowOff>
    </xdr:to>
    <xdr:cxnSp macro="">
      <xdr:nvCxnSpPr>
        <xdr:cNvPr id="70" name="Straight Arrow Connector 69"/>
        <xdr:cNvCxnSpPr/>
      </xdr:nvCxnSpPr>
      <xdr:spPr>
        <a:xfrm flipV="1">
          <a:off x="10632621" y="2620055"/>
          <a:ext cx="37419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209926</xdr:colOff>
      <xdr:row>10</xdr:row>
      <xdr:rowOff>0</xdr:rowOff>
    </xdr:from>
    <xdr:to>
      <xdr:col>9</xdr:col>
      <xdr:colOff>213060</xdr:colOff>
      <xdr:row>10</xdr:row>
      <xdr:rowOff>260058</xdr:rowOff>
    </xdr:to>
    <xdr:cxnSp macro="">
      <xdr:nvCxnSpPr>
        <xdr:cNvPr id="71" name="Straight Connector 70"/>
        <xdr:cNvCxnSpPr/>
      </xdr:nvCxnSpPr>
      <xdr:spPr>
        <a:xfrm>
          <a:off x="9177212" y="2102393"/>
          <a:ext cx="3134" cy="2600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10</xdr:row>
      <xdr:rowOff>242888</xdr:rowOff>
    </xdr:from>
    <xdr:to>
      <xdr:col>11</xdr:col>
      <xdr:colOff>47625</xdr:colOff>
      <xdr:row>10</xdr:row>
      <xdr:rowOff>257175</xdr:rowOff>
    </xdr:to>
    <xdr:cxnSp macro="">
      <xdr:nvCxnSpPr>
        <xdr:cNvPr id="72" name="Straight Arrow Connector 71"/>
        <xdr:cNvCxnSpPr>
          <a:endCxn id="52" idx="2"/>
        </xdr:cNvCxnSpPr>
      </xdr:nvCxnSpPr>
      <xdr:spPr>
        <a:xfrm flipV="1">
          <a:off x="9182100" y="2338388"/>
          <a:ext cx="1247775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107901</xdr:rowOff>
    </xdr:from>
    <xdr:to>
      <xdr:col>11</xdr:col>
      <xdr:colOff>674688</xdr:colOff>
      <xdr:row>8</xdr:row>
      <xdr:rowOff>127794</xdr:rowOff>
    </xdr:to>
    <xdr:grpSp>
      <xdr:nvGrpSpPr>
        <xdr:cNvPr id="111" name="Group 110"/>
        <xdr:cNvGrpSpPr/>
      </xdr:nvGrpSpPr>
      <xdr:grpSpPr>
        <a:xfrm>
          <a:off x="10433627" y="1248015"/>
          <a:ext cx="617538" cy="770347"/>
          <a:chOff x="10550013" y="1045038"/>
          <a:chExt cx="617538" cy="757312"/>
        </a:xfrm>
      </xdr:grpSpPr>
      <xdr:sp macro="" textlink="">
        <xdr:nvSpPr>
          <xdr:cNvPr id="51" name="Oval 50"/>
          <xdr:cNvSpPr/>
        </xdr:nvSpPr>
        <xdr:spPr>
          <a:xfrm>
            <a:off x="10550013" y="1188167"/>
            <a:ext cx="419100" cy="37823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3" name="Straight Connector 52"/>
          <xdr:cNvCxnSpPr>
            <a:endCxn id="51" idx="0"/>
          </xdr:cNvCxnSpPr>
        </xdr:nvCxnSpPr>
        <xdr:spPr>
          <a:xfrm flipH="1">
            <a:off x="10759563" y="1045038"/>
            <a:ext cx="1191" cy="14312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/>
          <xdr:cNvCxnSpPr/>
        </xdr:nvCxnSpPr>
        <xdr:spPr>
          <a:xfrm>
            <a:off x="10768047" y="1504936"/>
            <a:ext cx="1041" cy="2839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Arrow Connector 81"/>
          <xdr:cNvCxnSpPr/>
        </xdr:nvCxnSpPr>
        <xdr:spPr>
          <a:xfrm flipV="1">
            <a:off x="10764326" y="1802349"/>
            <a:ext cx="403225" cy="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89297</xdr:colOff>
      <xdr:row>9</xdr:row>
      <xdr:rowOff>178594</xdr:rowOff>
    </xdr:from>
    <xdr:to>
      <xdr:col>9</xdr:col>
      <xdr:colOff>99219</xdr:colOff>
      <xdr:row>14</xdr:row>
      <xdr:rowOff>99219</xdr:rowOff>
    </xdr:to>
    <xdr:cxnSp macro="">
      <xdr:nvCxnSpPr>
        <xdr:cNvPr id="84" name="Straight Connector 83"/>
        <xdr:cNvCxnSpPr/>
      </xdr:nvCxnSpPr>
      <xdr:spPr>
        <a:xfrm>
          <a:off x="9078516" y="2262188"/>
          <a:ext cx="9922" cy="1319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103585</xdr:colOff>
      <xdr:row>14</xdr:row>
      <xdr:rowOff>89297</xdr:rowOff>
    </xdr:from>
    <xdr:to>
      <xdr:col>10</xdr:col>
      <xdr:colOff>734219</xdr:colOff>
      <xdr:row>14</xdr:row>
      <xdr:rowOff>90489</xdr:rowOff>
    </xdr:to>
    <xdr:cxnSp macro="">
      <xdr:nvCxnSpPr>
        <xdr:cNvPr id="87" name="Straight Arrow Connector 86"/>
        <xdr:cNvCxnSpPr/>
      </xdr:nvCxnSpPr>
      <xdr:spPr>
        <a:xfrm flipV="1">
          <a:off x="9092804" y="3571875"/>
          <a:ext cx="1235868" cy="1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12</xdr:row>
      <xdr:rowOff>368203</xdr:rowOff>
    </xdr:from>
    <xdr:to>
      <xdr:col>6</xdr:col>
      <xdr:colOff>362340</xdr:colOff>
      <xdr:row>17</xdr:row>
      <xdr:rowOff>104180</xdr:rowOff>
    </xdr:to>
    <xdr:cxnSp macro="">
      <xdr:nvCxnSpPr>
        <xdr:cNvPr id="90" name="Straight Connector 89"/>
        <xdr:cNvCxnSpPr/>
      </xdr:nvCxnSpPr>
      <xdr:spPr>
        <a:xfrm flipH="1">
          <a:off x="7084219" y="3344766"/>
          <a:ext cx="5152" cy="9563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362434</xdr:colOff>
      <xdr:row>17</xdr:row>
      <xdr:rowOff>100408</xdr:rowOff>
    </xdr:from>
    <xdr:to>
      <xdr:col>6</xdr:col>
      <xdr:colOff>735100</xdr:colOff>
      <xdr:row>17</xdr:row>
      <xdr:rowOff>100409</xdr:rowOff>
    </xdr:to>
    <xdr:cxnSp macro="">
      <xdr:nvCxnSpPr>
        <xdr:cNvPr id="92" name="Straight Arrow Connector 91"/>
        <xdr:cNvCxnSpPr/>
      </xdr:nvCxnSpPr>
      <xdr:spPr>
        <a:xfrm flipV="1">
          <a:off x="7089465" y="4297361"/>
          <a:ext cx="37266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440326</xdr:colOff>
      <xdr:row>13</xdr:row>
      <xdr:rowOff>14586</xdr:rowOff>
    </xdr:from>
    <xdr:to>
      <xdr:col>6</xdr:col>
      <xdr:colOff>445524</xdr:colOff>
      <xdr:row>22</xdr:row>
      <xdr:rowOff>76814</xdr:rowOff>
    </xdr:to>
    <xdr:cxnSp macro="">
      <xdr:nvCxnSpPr>
        <xdr:cNvPr id="93" name="Straight Connector 92"/>
        <xdr:cNvCxnSpPr/>
      </xdr:nvCxnSpPr>
      <xdr:spPr>
        <a:xfrm>
          <a:off x="7184641" y="3286884"/>
          <a:ext cx="5198" cy="17828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425537</xdr:colOff>
      <xdr:row>22</xdr:row>
      <xdr:rowOff>85044</xdr:rowOff>
    </xdr:from>
    <xdr:to>
      <xdr:col>7</xdr:col>
      <xdr:colOff>8504</xdr:colOff>
      <xdr:row>22</xdr:row>
      <xdr:rowOff>89099</xdr:rowOff>
    </xdr:to>
    <xdr:cxnSp macro="">
      <xdr:nvCxnSpPr>
        <xdr:cNvPr id="95" name="Straight Arrow Connector 94"/>
        <xdr:cNvCxnSpPr/>
      </xdr:nvCxnSpPr>
      <xdr:spPr>
        <a:xfrm flipV="1">
          <a:off x="7169577" y="4566897"/>
          <a:ext cx="322856" cy="4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14134</xdr:colOff>
      <xdr:row>17</xdr:row>
      <xdr:rowOff>86033</xdr:rowOff>
    </xdr:from>
    <xdr:to>
      <xdr:col>8</xdr:col>
      <xdr:colOff>699934</xdr:colOff>
      <xdr:row>17</xdr:row>
      <xdr:rowOff>95560</xdr:rowOff>
    </xdr:to>
    <xdr:cxnSp macro="">
      <xdr:nvCxnSpPr>
        <xdr:cNvPr id="98" name="Straight Arrow Connector 97"/>
        <xdr:cNvCxnSpPr/>
      </xdr:nvCxnSpPr>
      <xdr:spPr>
        <a:xfrm flipV="1">
          <a:off x="8233287" y="4157202"/>
          <a:ext cx="685800" cy="9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58072</xdr:colOff>
      <xdr:row>8</xdr:row>
      <xdr:rowOff>335219</xdr:rowOff>
    </xdr:from>
    <xdr:to>
      <xdr:col>9</xdr:col>
      <xdr:colOff>6452</xdr:colOff>
      <xdr:row>8</xdr:row>
      <xdr:rowOff>335221</xdr:rowOff>
    </xdr:to>
    <xdr:cxnSp macro="">
      <xdr:nvCxnSpPr>
        <xdr:cNvPr id="99" name="Straight Arrow Connector 98"/>
        <xdr:cNvCxnSpPr/>
      </xdr:nvCxnSpPr>
      <xdr:spPr>
        <a:xfrm flipV="1">
          <a:off x="8277225" y="2009775"/>
          <a:ext cx="685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</xdr:row>
      <xdr:rowOff>142875</xdr:rowOff>
    </xdr:from>
    <xdr:to>
      <xdr:col>9</xdr:col>
      <xdr:colOff>590550</xdr:colOff>
      <xdr:row>8</xdr:row>
      <xdr:rowOff>142876</xdr:rowOff>
    </xdr:to>
    <xdr:cxnSp macro="">
      <xdr:nvCxnSpPr>
        <xdr:cNvPr id="100" name="Straight Arrow Connector 99"/>
        <xdr:cNvCxnSpPr/>
      </xdr:nvCxnSpPr>
      <xdr:spPr>
        <a:xfrm flipV="1">
          <a:off x="9175648" y="1817431"/>
          <a:ext cx="371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7</xdr:row>
      <xdr:rowOff>0</xdr:rowOff>
    </xdr:from>
    <xdr:to>
      <xdr:col>9</xdr:col>
      <xdr:colOff>209550</xdr:colOff>
      <xdr:row>8</xdr:row>
      <xdr:rowOff>142875</xdr:rowOff>
    </xdr:to>
    <xdr:cxnSp macro="">
      <xdr:nvCxnSpPr>
        <xdr:cNvPr id="101" name="Straight Connector 100"/>
        <xdr:cNvCxnSpPr/>
      </xdr:nvCxnSpPr>
      <xdr:spPr>
        <a:xfrm>
          <a:off x="9156598" y="1490202"/>
          <a:ext cx="9525" cy="3272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58072</xdr:colOff>
      <xdr:row>8</xdr:row>
      <xdr:rowOff>335219</xdr:rowOff>
    </xdr:from>
    <xdr:to>
      <xdr:col>9</xdr:col>
      <xdr:colOff>6452</xdr:colOff>
      <xdr:row>8</xdr:row>
      <xdr:rowOff>335221</xdr:rowOff>
    </xdr:to>
    <xdr:cxnSp macro="">
      <xdr:nvCxnSpPr>
        <xdr:cNvPr id="102" name="Straight Arrow Connector 101"/>
        <xdr:cNvCxnSpPr/>
      </xdr:nvCxnSpPr>
      <xdr:spPr>
        <a:xfrm flipV="1">
          <a:off x="8277225" y="2009775"/>
          <a:ext cx="685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230445</xdr:colOff>
      <xdr:row>18</xdr:row>
      <xdr:rowOff>0</xdr:rowOff>
    </xdr:from>
    <xdr:to>
      <xdr:col>9</xdr:col>
      <xdr:colOff>239970</xdr:colOff>
      <xdr:row>19</xdr:row>
      <xdr:rowOff>142874</xdr:rowOff>
    </xdr:to>
    <xdr:cxnSp macro="">
      <xdr:nvCxnSpPr>
        <xdr:cNvPr id="103" name="Straight Connector 102"/>
        <xdr:cNvCxnSpPr/>
      </xdr:nvCxnSpPr>
      <xdr:spPr>
        <a:xfrm>
          <a:off x="9187018" y="4255524"/>
          <a:ext cx="9525" cy="3272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230605</xdr:colOff>
      <xdr:row>23</xdr:row>
      <xdr:rowOff>5014</xdr:rowOff>
    </xdr:from>
    <xdr:to>
      <xdr:col>9</xdr:col>
      <xdr:colOff>235618</xdr:colOff>
      <xdr:row>28</xdr:row>
      <xdr:rowOff>115303</xdr:rowOff>
    </xdr:to>
    <xdr:cxnSp macro="">
      <xdr:nvCxnSpPr>
        <xdr:cNvPr id="104" name="Straight Connector 103"/>
        <xdr:cNvCxnSpPr/>
      </xdr:nvCxnSpPr>
      <xdr:spPr>
        <a:xfrm>
          <a:off x="9048750" y="5479382"/>
          <a:ext cx="5013" cy="1062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15363</xdr:colOff>
      <xdr:row>17</xdr:row>
      <xdr:rowOff>107541</xdr:rowOff>
    </xdr:from>
    <xdr:to>
      <xdr:col>11</xdr:col>
      <xdr:colOff>86954</xdr:colOff>
      <xdr:row>17</xdr:row>
      <xdr:rowOff>112303</xdr:rowOff>
    </xdr:to>
    <xdr:cxnSp macro="">
      <xdr:nvCxnSpPr>
        <xdr:cNvPr id="105" name="Straight Arrow Connector 104"/>
        <xdr:cNvCxnSpPr/>
      </xdr:nvCxnSpPr>
      <xdr:spPr>
        <a:xfrm flipV="1">
          <a:off x="9586452" y="4178710"/>
          <a:ext cx="870462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235618</xdr:colOff>
      <xdr:row>28</xdr:row>
      <xdr:rowOff>110290</xdr:rowOff>
    </xdr:from>
    <xdr:to>
      <xdr:col>10</xdr:col>
      <xdr:colOff>64217</xdr:colOff>
      <xdr:row>28</xdr:row>
      <xdr:rowOff>112556</xdr:rowOff>
    </xdr:to>
    <xdr:cxnSp macro="">
      <xdr:nvCxnSpPr>
        <xdr:cNvPr id="106" name="Straight Arrow Connector 105"/>
        <xdr:cNvCxnSpPr/>
      </xdr:nvCxnSpPr>
      <xdr:spPr>
        <a:xfrm>
          <a:off x="9053763" y="6537158"/>
          <a:ext cx="440204" cy="22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30725</xdr:colOff>
      <xdr:row>22</xdr:row>
      <xdr:rowOff>107540</xdr:rowOff>
    </xdr:from>
    <xdr:to>
      <xdr:col>11</xdr:col>
      <xdr:colOff>102316</xdr:colOff>
      <xdr:row>22</xdr:row>
      <xdr:rowOff>112302</xdr:rowOff>
    </xdr:to>
    <xdr:cxnSp macro="">
      <xdr:nvCxnSpPr>
        <xdr:cNvPr id="107" name="Straight Arrow Connector 106"/>
        <xdr:cNvCxnSpPr/>
      </xdr:nvCxnSpPr>
      <xdr:spPr>
        <a:xfrm flipV="1">
          <a:off x="9601814" y="4916129"/>
          <a:ext cx="99336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229214</xdr:colOff>
      <xdr:row>19</xdr:row>
      <xdr:rowOff>137038</xdr:rowOff>
    </xdr:from>
    <xdr:to>
      <xdr:col>9</xdr:col>
      <xdr:colOff>600689</xdr:colOff>
      <xdr:row>19</xdr:row>
      <xdr:rowOff>137039</xdr:rowOff>
    </xdr:to>
    <xdr:cxnSp macro="">
      <xdr:nvCxnSpPr>
        <xdr:cNvPr id="110" name="Straight Arrow Connector 109"/>
        <xdr:cNvCxnSpPr/>
      </xdr:nvCxnSpPr>
      <xdr:spPr>
        <a:xfrm flipV="1">
          <a:off x="9185787" y="4576917"/>
          <a:ext cx="371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102010</xdr:colOff>
      <xdr:row>16</xdr:row>
      <xdr:rowOff>29857</xdr:rowOff>
    </xdr:from>
    <xdr:to>
      <xdr:col>11</xdr:col>
      <xdr:colOff>719548</xdr:colOff>
      <xdr:row>20</xdr:row>
      <xdr:rowOff>49750</xdr:rowOff>
    </xdr:to>
    <xdr:grpSp>
      <xdr:nvGrpSpPr>
        <xdr:cNvPr id="112" name="Group 111"/>
        <xdr:cNvGrpSpPr/>
      </xdr:nvGrpSpPr>
      <xdr:grpSpPr>
        <a:xfrm>
          <a:off x="10478487" y="4128493"/>
          <a:ext cx="617538" cy="770348"/>
          <a:chOff x="10550013" y="1045038"/>
          <a:chExt cx="617538" cy="757312"/>
        </a:xfrm>
      </xdr:grpSpPr>
      <xdr:sp macro="" textlink="">
        <xdr:nvSpPr>
          <xdr:cNvPr id="113" name="Oval 112"/>
          <xdr:cNvSpPr/>
        </xdr:nvSpPr>
        <xdr:spPr>
          <a:xfrm>
            <a:off x="10550013" y="1188167"/>
            <a:ext cx="419100" cy="37823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4" name="Straight Connector 113"/>
          <xdr:cNvCxnSpPr>
            <a:endCxn id="113" idx="0"/>
          </xdr:cNvCxnSpPr>
        </xdr:nvCxnSpPr>
        <xdr:spPr>
          <a:xfrm flipH="1">
            <a:off x="10759563" y="1045038"/>
            <a:ext cx="1191" cy="14312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>
            <a:off x="10768047" y="1504936"/>
            <a:ext cx="1041" cy="2839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Arrow Connector 115"/>
          <xdr:cNvCxnSpPr/>
        </xdr:nvCxnSpPr>
        <xdr:spPr>
          <a:xfrm flipV="1">
            <a:off x="10764326" y="1802349"/>
            <a:ext cx="403225" cy="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306947</xdr:colOff>
      <xdr:row>16</xdr:row>
      <xdr:rowOff>30725</xdr:rowOff>
    </xdr:from>
    <xdr:to>
      <xdr:col>11</xdr:col>
      <xdr:colOff>783508</xdr:colOff>
      <xdr:row>16</xdr:row>
      <xdr:rowOff>39415</xdr:rowOff>
    </xdr:to>
    <xdr:cxnSp macro="">
      <xdr:nvCxnSpPr>
        <xdr:cNvPr id="117" name="Straight Arrow Connector 116"/>
        <xdr:cNvCxnSpPr/>
      </xdr:nvCxnSpPr>
      <xdr:spPr>
        <a:xfrm flipV="1">
          <a:off x="10799810" y="3917540"/>
          <a:ext cx="476561" cy="8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54692</xdr:colOff>
      <xdr:row>22</xdr:row>
      <xdr:rowOff>74717</xdr:rowOff>
    </xdr:from>
    <xdr:to>
      <xdr:col>11</xdr:col>
      <xdr:colOff>672230</xdr:colOff>
      <xdr:row>26</xdr:row>
      <xdr:rowOff>94610</xdr:rowOff>
    </xdr:to>
    <xdr:grpSp>
      <xdr:nvGrpSpPr>
        <xdr:cNvPr id="120" name="Group 119"/>
        <xdr:cNvGrpSpPr/>
      </xdr:nvGrpSpPr>
      <xdr:grpSpPr>
        <a:xfrm>
          <a:off x="10431169" y="5299035"/>
          <a:ext cx="617538" cy="770348"/>
          <a:chOff x="10550013" y="1045038"/>
          <a:chExt cx="617538" cy="757312"/>
        </a:xfrm>
      </xdr:grpSpPr>
      <xdr:sp macro="" textlink="">
        <xdr:nvSpPr>
          <xdr:cNvPr id="121" name="Oval 120"/>
          <xdr:cNvSpPr/>
        </xdr:nvSpPr>
        <xdr:spPr>
          <a:xfrm>
            <a:off x="10550013" y="1188167"/>
            <a:ext cx="419100" cy="37823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2" name="Straight Connector 121"/>
          <xdr:cNvCxnSpPr>
            <a:endCxn id="121" idx="0"/>
          </xdr:cNvCxnSpPr>
        </xdr:nvCxnSpPr>
        <xdr:spPr>
          <a:xfrm flipH="1">
            <a:off x="10759563" y="1045038"/>
            <a:ext cx="1191" cy="14312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/>
          <xdr:cNvCxnSpPr/>
        </xdr:nvCxnSpPr>
        <xdr:spPr>
          <a:xfrm>
            <a:off x="10768047" y="1504936"/>
            <a:ext cx="1041" cy="2839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Arrow Connector 123"/>
          <xdr:cNvCxnSpPr/>
        </xdr:nvCxnSpPr>
        <xdr:spPr>
          <a:xfrm flipV="1">
            <a:off x="10764326" y="1802349"/>
            <a:ext cx="403225" cy="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274992</xdr:colOff>
      <xdr:row>22</xdr:row>
      <xdr:rowOff>75585</xdr:rowOff>
    </xdr:from>
    <xdr:to>
      <xdr:col>11</xdr:col>
      <xdr:colOff>751553</xdr:colOff>
      <xdr:row>22</xdr:row>
      <xdr:rowOff>84275</xdr:rowOff>
    </xdr:to>
    <xdr:cxnSp macro="">
      <xdr:nvCxnSpPr>
        <xdr:cNvPr id="125" name="Straight Arrow Connector 124"/>
        <xdr:cNvCxnSpPr/>
      </xdr:nvCxnSpPr>
      <xdr:spPr>
        <a:xfrm flipV="1">
          <a:off x="10767855" y="5068529"/>
          <a:ext cx="476561" cy="8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5</xdr:row>
      <xdr:rowOff>166687</xdr:rowOff>
    </xdr:from>
    <xdr:to>
      <xdr:col>11</xdr:col>
      <xdr:colOff>71437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Aquis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>
        <row r="6">
          <cell r="A6">
            <v>30</v>
          </cell>
          <cell r="B6">
            <v>32</v>
          </cell>
          <cell r="C6">
            <v>38</v>
          </cell>
          <cell r="D6">
            <v>45</v>
          </cell>
          <cell r="E6">
            <v>55</v>
          </cell>
          <cell r="F6">
            <v>69</v>
          </cell>
          <cell r="G6">
            <v>87</v>
          </cell>
          <cell r="H6">
            <v>110</v>
          </cell>
          <cell r="I6">
            <v>140</v>
          </cell>
          <cell r="J6">
            <v>179</v>
          </cell>
          <cell r="K6">
            <v>232</v>
          </cell>
          <cell r="L6">
            <v>303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M23" sqref="M23"/>
    </sheetView>
  </sheetViews>
  <sheetFormatPr defaultRowHeight="15" x14ac:dyDescent="0.25"/>
  <sheetData>
    <row r="1" spans="1:19" x14ac:dyDescent="0.25">
      <c r="B1" t="s">
        <v>75</v>
      </c>
    </row>
    <row r="2" spans="1:19" x14ac:dyDescent="0.25">
      <c r="B2" s="4" t="s">
        <v>76</v>
      </c>
      <c r="C2" s="4" t="s">
        <v>77</v>
      </c>
      <c r="D2" s="4" t="s">
        <v>78</v>
      </c>
      <c r="E2" s="4" t="s">
        <v>79</v>
      </c>
      <c r="F2" s="4" t="s">
        <v>80</v>
      </c>
      <c r="G2" s="4" t="s">
        <v>81</v>
      </c>
      <c r="H2" s="4" t="s">
        <v>82</v>
      </c>
      <c r="I2" s="4" t="s">
        <v>83</v>
      </c>
      <c r="J2" s="4" t="s">
        <v>84</v>
      </c>
      <c r="K2" s="4" t="s">
        <v>85</v>
      </c>
      <c r="L2" s="4" t="s">
        <v>86</v>
      </c>
      <c r="M2" s="4" t="s">
        <v>87</v>
      </c>
      <c r="N2" s="4" t="s">
        <v>88</v>
      </c>
      <c r="O2" s="4" t="s">
        <v>89</v>
      </c>
      <c r="P2" s="4" t="s">
        <v>90</v>
      </c>
      <c r="Q2" s="4" t="s">
        <v>91</v>
      </c>
      <c r="R2" s="4" t="s">
        <v>61</v>
      </c>
      <c r="S2" s="4" t="s">
        <v>92</v>
      </c>
    </row>
    <row r="3" spans="1:19" x14ac:dyDescent="0.25">
      <c r="A3">
        <v>2016</v>
      </c>
      <c r="B3" s="4">
        <v>43</v>
      </c>
      <c r="C3" s="4">
        <v>40</v>
      </c>
      <c r="D3" s="4">
        <v>39</v>
      </c>
      <c r="E3" s="4">
        <v>40</v>
      </c>
      <c r="F3" s="4">
        <v>37</v>
      </c>
      <c r="G3" s="4">
        <v>46</v>
      </c>
      <c r="H3" s="4">
        <v>33</v>
      </c>
      <c r="I3" s="4">
        <v>31</v>
      </c>
      <c r="J3" s="4">
        <v>41</v>
      </c>
      <c r="K3" s="4">
        <v>37</v>
      </c>
      <c r="L3" s="4">
        <v>46</v>
      </c>
      <c r="M3" s="4">
        <v>30</v>
      </c>
      <c r="N3" s="4">
        <f>MIN(B3:M3)</f>
        <v>30</v>
      </c>
      <c r="O3" s="4">
        <f>MAX(B3:M3)</f>
        <v>46</v>
      </c>
      <c r="P3" s="38">
        <f>AVERAGE(B3:O3)</f>
        <v>38.5</v>
      </c>
      <c r="Q3" s="38">
        <f>_xlfn.STDEV.P(B3:M3)</f>
        <v>5.0573104402329196</v>
      </c>
      <c r="R3" s="4">
        <f>SUM(B3:M3)</f>
        <v>463</v>
      </c>
    </row>
    <row r="4" spans="1:19" x14ac:dyDescent="0.25">
      <c r="A4">
        <v>2017</v>
      </c>
      <c r="B4" s="4">
        <v>39</v>
      </c>
      <c r="C4" s="4">
        <v>42</v>
      </c>
      <c r="D4" s="4">
        <v>51</v>
      </c>
      <c r="E4" s="4">
        <v>52</v>
      </c>
      <c r="F4" s="4">
        <v>35</v>
      </c>
      <c r="G4" s="4">
        <v>44</v>
      </c>
      <c r="H4" s="4">
        <v>49</v>
      </c>
      <c r="I4" s="4">
        <v>44</v>
      </c>
      <c r="J4" s="4">
        <v>47</v>
      </c>
      <c r="K4" s="4">
        <v>40</v>
      </c>
      <c r="L4" s="4">
        <v>51</v>
      </c>
      <c r="M4" s="4">
        <v>39</v>
      </c>
      <c r="N4" s="4">
        <f>MIN(B4:M4)</f>
        <v>35</v>
      </c>
      <c r="O4" s="4">
        <f t="shared" ref="O4:O5" si="0">MAX(B4:M4)</f>
        <v>52</v>
      </c>
      <c r="P4" s="38">
        <f t="shared" ref="P4:P5" si="1">AVERAGE(B4:O4)</f>
        <v>44.285714285714285</v>
      </c>
      <c r="Q4" s="38">
        <f t="shared" ref="Q4:Q5" si="2">_xlfn.STDEV.P(B4:M4)</f>
        <v>5.3612550354889441</v>
      </c>
      <c r="R4" s="4">
        <f t="shared" ref="R4:R5" si="3">SUM(B4:M4)</f>
        <v>533</v>
      </c>
      <c r="S4" s="39">
        <f>R4/R3-1</f>
        <v>0.15118790496760259</v>
      </c>
    </row>
    <row r="5" spans="1:19" x14ac:dyDescent="0.25">
      <c r="A5">
        <v>2018</v>
      </c>
      <c r="B5" s="4">
        <v>60</v>
      </c>
      <c r="C5" s="4">
        <v>56</v>
      </c>
      <c r="D5" s="4">
        <v>60</v>
      </c>
      <c r="E5" s="4">
        <v>52</v>
      </c>
      <c r="F5" s="4">
        <v>38</v>
      </c>
      <c r="G5" s="4">
        <v>53</v>
      </c>
      <c r="H5" s="4">
        <v>47</v>
      </c>
      <c r="I5" s="4">
        <v>57</v>
      </c>
      <c r="J5" s="4">
        <v>47</v>
      </c>
      <c r="K5" s="4">
        <v>54</v>
      </c>
      <c r="L5" s="4">
        <v>43</v>
      </c>
      <c r="M5" s="4">
        <v>41</v>
      </c>
      <c r="N5" s="4">
        <f>MIN(B5:M5)</f>
        <v>38</v>
      </c>
      <c r="O5" s="4">
        <f t="shared" si="0"/>
        <v>60</v>
      </c>
      <c r="P5" s="38">
        <f t="shared" si="1"/>
        <v>50.428571428571431</v>
      </c>
      <c r="Q5" s="38">
        <f t="shared" si="2"/>
        <v>7.0749950922637082</v>
      </c>
      <c r="R5" s="4">
        <f t="shared" si="3"/>
        <v>608</v>
      </c>
      <c r="S5" s="39">
        <f>R5/R4-1</f>
        <v>0.14071294559099434</v>
      </c>
    </row>
    <row r="7" spans="1:19" x14ac:dyDescent="0.25">
      <c r="B7" t="s">
        <v>93</v>
      </c>
    </row>
    <row r="8" spans="1:19" x14ac:dyDescent="0.25">
      <c r="B8" s="4" t="str">
        <f>B2</f>
        <v>Jan</v>
      </c>
      <c r="C8" s="4" t="str">
        <f t="shared" ref="C8:M8" si="4">C2</f>
        <v>Feb</v>
      </c>
      <c r="D8" s="4" t="str">
        <f t="shared" si="4"/>
        <v>Mar</v>
      </c>
      <c r="E8" s="4" t="str">
        <f t="shared" si="4"/>
        <v>Apr</v>
      </c>
      <c r="F8" s="4" t="str">
        <f t="shared" si="4"/>
        <v>May</v>
      </c>
      <c r="G8" s="4" t="str">
        <f t="shared" si="4"/>
        <v>Jun</v>
      </c>
      <c r="H8" s="4" t="str">
        <f t="shared" si="4"/>
        <v>Jul</v>
      </c>
      <c r="I8" s="4" t="str">
        <f t="shared" si="4"/>
        <v>Aug</v>
      </c>
      <c r="J8" s="4" t="str">
        <f t="shared" si="4"/>
        <v>Sep</v>
      </c>
      <c r="K8" s="4" t="str">
        <f t="shared" si="4"/>
        <v>Oct</v>
      </c>
      <c r="L8" s="4" t="str">
        <f t="shared" si="4"/>
        <v>Nov</v>
      </c>
      <c r="M8" s="4" t="str">
        <f t="shared" si="4"/>
        <v>Dec</v>
      </c>
      <c r="N8" s="4" t="s">
        <v>88</v>
      </c>
      <c r="O8" s="4" t="s">
        <v>89</v>
      </c>
      <c r="P8" s="4" t="s">
        <v>90</v>
      </c>
      <c r="Q8" s="4"/>
    </row>
    <row r="9" spans="1:19" x14ac:dyDescent="0.25">
      <c r="A9">
        <v>2019</v>
      </c>
      <c r="B9" s="40">
        <f ca="1">RANDBETWEEN($N$9,$O$9)</f>
        <v>65</v>
      </c>
      <c r="C9" s="40">
        <f t="shared" ref="C9:M9" ca="1" si="5">RANDBETWEEN($N$9,$O$9)</f>
        <v>54</v>
      </c>
      <c r="D9" s="40">
        <f t="shared" ca="1" si="5"/>
        <v>60</v>
      </c>
      <c r="E9" s="40">
        <f t="shared" ca="1" si="5"/>
        <v>46</v>
      </c>
      <c r="F9" s="40">
        <f t="shared" ca="1" si="5"/>
        <v>44</v>
      </c>
      <c r="G9" s="40">
        <f t="shared" ca="1" si="5"/>
        <v>50</v>
      </c>
      <c r="H9" s="40">
        <f t="shared" ca="1" si="5"/>
        <v>68</v>
      </c>
      <c r="I9" s="40">
        <f t="shared" ca="1" si="5"/>
        <v>65</v>
      </c>
      <c r="J9" s="40">
        <f t="shared" ca="1" si="5"/>
        <v>57</v>
      </c>
      <c r="K9" s="40">
        <f t="shared" ca="1" si="5"/>
        <v>53</v>
      </c>
      <c r="L9" s="40">
        <f t="shared" ca="1" si="5"/>
        <v>46</v>
      </c>
      <c r="M9" s="40">
        <f t="shared" ca="1" si="5"/>
        <v>51</v>
      </c>
      <c r="N9" s="40">
        <f>N5*(1+$S$5)</f>
        <v>43.347091932457786</v>
      </c>
      <c r="O9" s="40">
        <f t="shared" ref="O9:P9" si="6">O5*(1+$S$5)</f>
        <v>68.44277673545966</v>
      </c>
      <c r="P9" s="40">
        <f t="shared" si="6"/>
        <v>57.524524256231572</v>
      </c>
      <c r="Q9" s="40"/>
    </row>
    <row r="10" spans="1:19" x14ac:dyDescent="0.25">
      <c r="A10">
        <v>1</v>
      </c>
      <c r="B10" s="41">
        <v>63.84067493036855</v>
      </c>
      <c r="C10" s="41">
        <v>62.605831236403901</v>
      </c>
      <c r="D10" s="41">
        <v>66.789402272668667</v>
      </c>
      <c r="E10" s="41">
        <v>65.049966370686889</v>
      </c>
      <c r="F10" s="41">
        <v>54.618842033058172</v>
      </c>
      <c r="G10" s="41">
        <v>56.338339537440334</v>
      </c>
      <c r="H10" s="41">
        <v>54.591373019327875</v>
      </c>
      <c r="I10" s="41">
        <v>67.514496923657134</v>
      </c>
      <c r="J10" s="41">
        <v>58.876334524946287</v>
      </c>
      <c r="K10" s="41">
        <v>59.60593117470853</v>
      </c>
      <c r="L10" s="41">
        <v>54.952133187733125</v>
      </c>
      <c r="M10" s="41">
        <v>60.023055003519403</v>
      </c>
      <c r="N10" s="40">
        <f>MIN(B10:M10)</f>
        <v>54.591373019327875</v>
      </c>
      <c r="O10" s="40">
        <f>MAX(B10:M10)</f>
        <v>67.514496923657134</v>
      </c>
      <c r="P10" s="40">
        <f>AVERAGE(B10:M10)</f>
        <v>60.400531684543239</v>
      </c>
      <c r="Q10" s="40"/>
    </row>
    <row r="11" spans="1:19" x14ac:dyDescent="0.25">
      <c r="A11">
        <f>A10+1</f>
        <v>2</v>
      </c>
      <c r="B11" s="41">
        <v>43.714966896921396</v>
      </c>
      <c r="C11" s="41">
        <v>56.537293777189916</v>
      </c>
      <c r="D11" s="41">
        <v>56.003650034661405</v>
      </c>
      <c r="E11" s="41">
        <v>55.526329025276937</v>
      </c>
      <c r="F11" s="41">
        <v>55.824695583403809</v>
      </c>
      <c r="G11" s="41">
        <v>56.642047103203367</v>
      </c>
      <c r="H11" s="41">
        <v>61.951076905650552</v>
      </c>
      <c r="I11" s="41">
        <v>55.43509533800534</v>
      </c>
      <c r="J11" s="41">
        <v>50.139919413602911</v>
      </c>
      <c r="K11" s="41">
        <v>63.060464900452644</v>
      </c>
      <c r="L11" s="41">
        <v>57.936890162643977</v>
      </c>
      <c r="M11" s="41">
        <v>51.953160810633563</v>
      </c>
      <c r="N11" s="40">
        <f t="shared" ref="N11:N19" si="7">MIN(B11:M11)</f>
        <v>43.714966896921396</v>
      </c>
      <c r="O11" s="40">
        <f t="shared" ref="O11:O19" si="8">MAX(B11:M11)</f>
        <v>63.060464900452644</v>
      </c>
      <c r="P11" s="40">
        <f t="shared" ref="P11:P19" si="9">AVERAGE(B11:M11)</f>
        <v>55.393799162637151</v>
      </c>
      <c r="Q11" s="40"/>
    </row>
    <row r="12" spans="1:19" x14ac:dyDescent="0.25">
      <c r="A12">
        <f t="shared" ref="A12:A19" si="10">A11+1</f>
        <v>3</v>
      </c>
      <c r="B12" s="41">
        <v>65.343974175455514</v>
      </c>
      <c r="C12" s="41">
        <v>52.382351360400207</v>
      </c>
      <c r="D12" s="41">
        <v>57.677404503017897</v>
      </c>
      <c r="E12" s="41">
        <v>62.285711838747375</v>
      </c>
      <c r="F12" s="41">
        <v>63.119659363117535</v>
      </c>
      <c r="G12" s="41">
        <v>48.838296071160585</v>
      </c>
      <c r="H12" s="41">
        <v>57.326391844078898</v>
      </c>
      <c r="I12" s="41">
        <v>54.905564785265597</v>
      </c>
      <c r="J12" s="41">
        <v>59.026469362841453</v>
      </c>
      <c r="K12" s="41">
        <v>53.244197634747252</v>
      </c>
      <c r="L12" s="41">
        <v>64.457598829001654</v>
      </c>
      <c r="M12" s="41">
        <v>68.271351129631512</v>
      </c>
      <c r="N12" s="40">
        <f t="shared" si="7"/>
        <v>48.838296071160585</v>
      </c>
      <c r="O12" s="40">
        <f t="shared" si="8"/>
        <v>68.271351129631512</v>
      </c>
      <c r="P12" s="40">
        <f t="shared" si="9"/>
        <v>58.906580908122123</v>
      </c>
      <c r="Q12" s="40"/>
    </row>
    <row r="13" spans="1:19" x14ac:dyDescent="0.25">
      <c r="A13">
        <f t="shared" si="10"/>
        <v>4</v>
      </c>
      <c r="B13" s="41">
        <v>61.462705535639543</v>
      </c>
      <c r="C13" s="41">
        <v>55.130439624015708</v>
      </c>
      <c r="D13" s="41">
        <v>53.76273239654256</v>
      </c>
      <c r="E13" s="41">
        <v>61.382228896953166</v>
      </c>
      <c r="F13" s="41">
        <v>64.45268755761208</v>
      </c>
      <c r="G13" s="41">
        <v>55.269142113509588</v>
      </c>
      <c r="H13" s="41">
        <v>66.635283847979736</v>
      </c>
      <c r="I13" s="41">
        <v>58.359832483809441</v>
      </c>
      <c r="J13" s="41">
        <v>64.218638191057835</v>
      </c>
      <c r="K13" s="41">
        <v>46.854742696275935</v>
      </c>
      <c r="L13" s="41">
        <v>66.450633686152287</v>
      </c>
      <c r="M13" s="41">
        <v>61.352679414092563</v>
      </c>
      <c r="N13" s="40">
        <f t="shared" si="7"/>
        <v>46.854742696275935</v>
      </c>
      <c r="O13" s="40">
        <f t="shared" si="8"/>
        <v>66.635283847979736</v>
      </c>
      <c r="P13" s="40">
        <f t="shared" si="9"/>
        <v>59.61097887030337</v>
      </c>
      <c r="Q13" s="40"/>
    </row>
    <row r="14" spans="1:19" x14ac:dyDescent="0.25">
      <c r="A14">
        <f t="shared" si="10"/>
        <v>5</v>
      </c>
      <c r="B14" s="41">
        <v>52.649988366290927</v>
      </c>
      <c r="C14" s="41">
        <v>48.186652212287299</v>
      </c>
      <c r="D14" s="41">
        <v>59.398955191689311</v>
      </c>
      <c r="E14" s="41">
        <v>48.870574038126506</v>
      </c>
      <c r="F14" s="41">
        <v>55.809982232865877</v>
      </c>
      <c r="G14" s="41">
        <v>64.561785994563252</v>
      </c>
      <c r="H14" s="41">
        <v>51.776641531439964</v>
      </c>
      <c r="I14" s="41">
        <v>57.979577296471689</v>
      </c>
      <c r="J14" s="41">
        <v>57.513627244596137</v>
      </c>
      <c r="K14" s="41">
        <v>49.650865922565572</v>
      </c>
      <c r="L14" s="41">
        <v>57.561041477136314</v>
      </c>
      <c r="M14" s="41">
        <v>61.49147740053013</v>
      </c>
      <c r="N14" s="40">
        <f t="shared" si="7"/>
        <v>48.186652212287299</v>
      </c>
      <c r="O14" s="40">
        <f t="shared" si="8"/>
        <v>64.561785994563252</v>
      </c>
      <c r="P14" s="40">
        <f t="shared" si="9"/>
        <v>55.454264075713581</v>
      </c>
      <c r="Q14" s="40"/>
    </row>
    <row r="15" spans="1:19" x14ac:dyDescent="0.25">
      <c r="A15">
        <f t="shared" si="10"/>
        <v>6</v>
      </c>
      <c r="B15" s="41">
        <v>65.520930012105964</v>
      </c>
      <c r="C15" s="41">
        <v>59.540379344078247</v>
      </c>
      <c r="D15" s="41">
        <v>54.728568021353567</v>
      </c>
      <c r="E15" s="41">
        <v>62.333828655944671</v>
      </c>
      <c r="F15" s="41">
        <v>54.406893387757009</v>
      </c>
      <c r="G15" s="41">
        <v>62.422477104526479</v>
      </c>
      <c r="H15" s="41">
        <v>54.962051227455959</v>
      </c>
      <c r="I15" s="41">
        <v>64.273876351770014</v>
      </c>
      <c r="J15" s="41">
        <v>59.286944097955711</v>
      </c>
      <c r="K15" s="41">
        <v>54.099522832082585</v>
      </c>
      <c r="L15" s="41">
        <v>52.497984516783617</v>
      </c>
      <c r="M15" s="41">
        <v>56.946505002095364</v>
      </c>
      <c r="N15" s="40">
        <f t="shared" si="7"/>
        <v>52.497984516783617</v>
      </c>
      <c r="O15" s="40">
        <f t="shared" si="8"/>
        <v>65.520930012105964</v>
      </c>
      <c r="P15" s="40">
        <f t="shared" si="9"/>
        <v>58.418330046159099</v>
      </c>
      <c r="Q15" s="40"/>
    </row>
    <row r="16" spans="1:19" x14ac:dyDescent="0.25">
      <c r="A16">
        <f t="shared" si="10"/>
        <v>7</v>
      </c>
      <c r="B16" s="41">
        <v>59.79850758286193</v>
      </c>
      <c r="C16" s="41">
        <v>62.488397280510981</v>
      </c>
      <c r="D16" s="41">
        <v>47.87459548516199</v>
      </c>
      <c r="E16" s="41">
        <v>64.031614248058759</v>
      </c>
      <c r="F16" s="41">
        <v>59.770206381479511</v>
      </c>
      <c r="G16" s="41">
        <v>54.329711393627804</v>
      </c>
      <c r="H16" s="41">
        <v>57.769299847685033</v>
      </c>
      <c r="I16" s="41">
        <v>58.096165422291961</v>
      </c>
      <c r="J16" s="41">
        <v>55.800664459646214</v>
      </c>
      <c r="K16" s="41">
        <v>63.697115739167202</v>
      </c>
      <c r="L16" s="41">
        <v>58.444940724264598</v>
      </c>
      <c r="M16" s="41">
        <v>45.364935805089772</v>
      </c>
      <c r="N16" s="40">
        <f t="shared" si="7"/>
        <v>45.364935805089772</v>
      </c>
      <c r="O16" s="40">
        <f t="shared" si="8"/>
        <v>64.031614248058759</v>
      </c>
      <c r="P16" s="40">
        <f t="shared" si="9"/>
        <v>57.288846197487146</v>
      </c>
      <c r="Q16" s="40"/>
    </row>
    <row r="17" spans="1:17" x14ac:dyDescent="0.25">
      <c r="A17">
        <f t="shared" si="10"/>
        <v>8</v>
      </c>
      <c r="B17" s="41">
        <v>57.481847225979436</v>
      </c>
      <c r="C17" s="41">
        <v>63.863566912012175</v>
      </c>
      <c r="D17" s="41">
        <v>61.693003236548975</v>
      </c>
      <c r="E17" s="41">
        <v>49.761833371128887</v>
      </c>
      <c r="F17" s="41">
        <v>53.694124663714319</v>
      </c>
      <c r="G17" s="41">
        <v>60.249976205348503</v>
      </c>
      <c r="H17" s="41">
        <v>63.216097633820027</v>
      </c>
      <c r="I17" s="41">
        <v>61.146453764202306</v>
      </c>
      <c r="J17" s="41">
        <v>61.999098225904163</v>
      </c>
      <c r="K17" s="41">
        <v>55.958473159087589</v>
      </c>
      <c r="L17" s="41">
        <v>66.358806553587783</v>
      </c>
      <c r="M17" s="41">
        <v>57.261685843521263</v>
      </c>
      <c r="N17" s="40">
        <f t="shared" si="7"/>
        <v>49.761833371128887</v>
      </c>
      <c r="O17" s="40">
        <f t="shared" si="8"/>
        <v>66.358806553587783</v>
      </c>
      <c r="P17" s="40">
        <f t="shared" si="9"/>
        <v>59.390413899571286</v>
      </c>
      <c r="Q17" s="40"/>
    </row>
    <row r="18" spans="1:17" x14ac:dyDescent="0.25">
      <c r="A18">
        <f t="shared" si="10"/>
        <v>9</v>
      </c>
      <c r="B18" s="41">
        <v>58.680074663250707</v>
      </c>
      <c r="C18" s="41">
        <v>66.626238923170604</v>
      </c>
      <c r="D18" s="41">
        <v>49.610811775899492</v>
      </c>
      <c r="E18" s="41">
        <v>56.236983174138004</v>
      </c>
      <c r="F18" s="41">
        <v>60.877281986002345</v>
      </c>
      <c r="G18" s="41">
        <v>49.330951161216944</v>
      </c>
      <c r="H18" s="41">
        <v>62.586138402373763</v>
      </c>
      <c r="I18" s="41">
        <v>55.224776961957105</v>
      </c>
      <c r="J18" s="41">
        <v>56.502280504908413</v>
      </c>
      <c r="K18" s="41">
        <v>58.005736637831433</v>
      </c>
      <c r="L18" s="41">
        <v>54.287569956621155</v>
      </c>
      <c r="M18" s="41">
        <v>47.393018040573224</v>
      </c>
      <c r="N18" s="40">
        <f t="shared" si="7"/>
        <v>47.393018040573224</v>
      </c>
      <c r="O18" s="40">
        <f t="shared" si="8"/>
        <v>66.626238923170604</v>
      </c>
      <c r="P18" s="40">
        <f t="shared" si="9"/>
        <v>56.280155182328599</v>
      </c>
      <c r="Q18" s="40"/>
    </row>
    <row r="19" spans="1:17" x14ac:dyDescent="0.25">
      <c r="A19">
        <f t="shared" si="10"/>
        <v>10</v>
      </c>
      <c r="B19" s="41">
        <v>53.064213180739898</v>
      </c>
      <c r="C19" s="41">
        <v>60.702890924410895</v>
      </c>
      <c r="D19" s="41">
        <v>60.317090093129082</v>
      </c>
      <c r="E19" s="41">
        <v>53.148073139716871</v>
      </c>
      <c r="F19" s="41">
        <v>60.537271939218044</v>
      </c>
      <c r="G19" s="41">
        <v>59.743378561513964</v>
      </c>
      <c r="H19" s="41">
        <v>52.861159393622074</v>
      </c>
      <c r="I19" s="41">
        <v>58.427908162237145</v>
      </c>
      <c r="J19" s="41">
        <v>60.631950337672606</v>
      </c>
      <c r="K19" s="41">
        <v>53.332300386507995</v>
      </c>
      <c r="L19" s="41">
        <v>72.223260222934186</v>
      </c>
      <c r="M19" s="41">
        <v>66.006381904124282</v>
      </c>
      <c r="N19" s="40">
        <f t="shared" si="7"/>
        <v>52.861159393622074</v>
      </c>
      <c r="O19" s="40">
        <f t="shared" si="8"/>
        <v>72.223260222934186</v>
      </c>
      <c r="P19" s="40">
        <f t="shared" si="9"/>
        <v>59.249656520485587</v>
      </c>
      <c r="Q19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4" sqref="A4:B51"/>
    </sheetView>
  </sheetViews>
  <sheetFormatPr defaultRowHeight="15" x14ac:dyDescent="0.25"/>
  <cols>
    <col min="1" max="1" width="18.7109375" bestFit="1" customWidth="1"/>
  </cols>
  <sheetData>
    <row r="1" spans="1:2" x14ac:dyDescent="0.25">
      <c r="A1" t="s">
        <v>48</v>
      </c>
    </row>
    <row r="3" spans="1:2" x14ac:dyDescent="0.25">
      <c r="A3" t="s">
        <v>49</v>
      </c>
      <c r="B3" t="s">
        <v>50</v>
      </c>
    </row>
    <row r="4" spans="1:2" x14ac:dyDescent="0.25">
      <c r="A4">
        <v>0.12</v>
      </c>
      <c r="B4">
        <v>223</v>
      </c>
    </row>
    <row r="5" spans="1:2" x14ac:dyDescent="0.25">
      <c r="A5">
        <v>0.15</v>
      </c>
      <c r="B5">
        <v>322</v>
      </c>
    </row>
    <row r="6" spans="1:2" x14ac:dyDescent="0.25">
      <c r="A6">
        <v>0.15</v>
      </c>
      <c r="B6">
        <v>323</v>
      </c>
    </row>
    <row r="7" spans="1:2" x14ac:dyDescent="0.25">
      <c r="A7">
        <v>0.15</v>
      </c>
      <c r="B7">
        <v>315</v>
      </c>
    </row>
    <row r="8" spans="1:2" x14ac:dyDescent="0.25">
      <c r="A8">
        <v>0.15</v>
      </c>
      <c r="B8">
        <v>298</v>
      </c>
    </row>
    <row r="9" spans="1:2" x14ac:dyDescent="0.25">
      <c r="A9">
        <v>0.15</v>
      </c>
      <c r="B9">
        <v>287</v>
      </c>
    </row>
    <row r="10" spans="1:2" x14ac:dyDescent="0.25">
      <c r="A10">
        <v>0.15</v>
      </c>
      <c r="B10">
        <v>316</v>
      </c>
    </row>
    <row r="11" spans="1:2" x14ac:dyDescent="0.25">
      <c r="A11">
        <v>0.16</v>
      </c>
      <c r="B11">
        <v>328</v>
      </c>
    </row>
    <row r="12" spans="1:2" x14ac:dyDescent="0.25">
      <c r="A12">
        <v>0.16</v>
      </c>
      <c r="B12">
        <v>342</v>
      </c>
    </row>
    <row r="13" spans="1:2" x14ac:dyDescent="0.25">
      <c r="A13">
        <v>0.16</v>
      </c>
      <c r="B13">
        <v>336</v>
      </c>
    </row>
    <row r="14" spans="1:2" x14ac:dyDescent="0.25">
      <c r="A14">
        <v>0.16</v>
      </c>
      <c r="B14">
        <v>345</v>
      </c>
    </row>
    <row r="15" spans="1:2" x14ac:dyDescent="0.25">
      <c r="A15">
        <v>0.16</v>
      </c>
      <c r="B15">
        <v>332</v>
      </c>
    </row>
    <row r="16" spans="1:2" x14ac:dyDescent="0.25">
      <c r="A16">
        <v>0.16</v>
      </c>
      <c r="B16">
        <v>339</v>
      </c>
    </row>
    <row r="17" spans="1:2" x14ac:dyDescent="0.25">
      <c r="A17">
        <v>0.16</v>
      </c>
      <c r="B17">
        <v>338</v>
      </c>
    </row>
    <row r="18" spans="1:2" x14ac:dyDescent="0.25">
      <c r="A18">
        <v>0.17</v>
      </c>
      <c r="B18">
        <v>355</v>
      </c>
    </row>
    <row r="19" spans="1:2" x14ac:dyDescent="0.25">
      <c r="A19">
        <v>0.17</v>
      </c>
      <c r="B19">
        <v>350</v>
      </c>
    </row>
    <row r="20" spans="1:2" x14ac:dyDescent="0.25">
      <c r="A20">
        <v>0.17</v>
      </c>
      <c r="B20">
        <v>352</v>
      </c>
    </row>
    <row r="21" spans="1:2" x14ac:dyDescent="0.25">
      <c r="A21">
        <v>0.17</v>
      </c>
      <c r="B21">
        <v>353</v>
      </c>
    </row>
    <row r="22" spans="1:2" x14ac:dyDescent="0.25">
      <c r="A22">
        <v>0.17</v>
      </c>
      <c r="B22">
        <v>318</v>
      </c>
    </row>
    <row r="23" spans="1:2" x14ac:dyDescent="0.25">
      <c r="A23">
        <v>0.17</v>
      </c>
      <c r="B23">
        <v>346</v>
      </c>
    </row>
    <row r="24" spans="1:2" x14ac:dyDescent="0.25">
      <c r="A24">
        <v>0.17</v>
      </c>
      <c r="B24">
        <v>350</v>
      </c>
    </row>
    <row r="25" spans="1:2" x14ac:dyDescent="0.25">
      <c r="A25">
        <v>0.17</v>
      </c>
      <c r="B25">
        <v>345</v>
      </c>
    </row>
    <row r="26" spans="1:2" x14ac:dyDescent="0.25">
      <c r="A26">
        <v>0.18</v>
      </c>
      <c r="B26">
        <v>325</v>
      </c>
    </row>
    <row r="27" spans="1:2" x14ac:dyDescent="0.25">
      <c r="A27">
        <v>0.18</v>
      </c>
      <c r="B27">
        <v>462</v>
      </c>
    </row>
    <row r="28" spans="1:2" x14ac:dyDescent="0.25">
      <c r="A28">
        <v>0.18</v>
      </c>
      <c r="B28">
        <v>468</v>
      </c>
    </row>
    <row r="29" spans="1:2" x14ac:dyDescent="0.25">
      <c r="A29">
        <v>0.18</v>
      </c>
      <c r="B29">
        <v>438</v>
      </c>
    </row>
    <row r="30" spans="1:2" x14ac:dyDescent="0.25">
      <c r="A30">
        <v>0.18</v>
      </c>
      <c r="B30">
        <v>419</v>
      </c>
    </row>
    <row r="31" spans="1:2" x14ac:dyDescent="0.25">
      <c r="A31">
        <v>0.18</v>
      </c>
      <c r="B31">
        <v>443</v>
      </c>
    </row>
    <row r="32" spans="1:2" x14ac:dyDescent="0.25">
      <c r="A32">
        <v>0.19</v>
      </c>
      <c r="B32">
        <v>485</v>
      </c>
    </row>
    <row r="33" spans="1:2" x14ac:dyDescent="0.25">
      <c r="A33">
        <v>0.2</v>
      </c>
      <c r="B33">
        <v>498</v>
      </c>
    </row>
    <row r="34" spans="1:2" x14ac:dyDescent="0.25">
      <c r="A34">
        <v>0.21</v>
      </c>
      <c r="B34">
        <v>483</v>
      </c>
    </row>
    <row r="35" spans="1:2" x14ac:dyDescent="0.25">
      <c r="A35">
        <v>0.23</v>
      </c>
      <c r="B35">
        <v>595</v>
      </c>
    </row>
    <row r="36" spans="1:2" x14ac:dyDescent="0.25">
      <c r="A36">
        <v>0.23</v>
      </c>
      <c r="B36">
        <v>595</v>
      </c>
    </row>
    <row r="37" spans="1:2" x14ac:dyDescent="0.25">
      <c r="A37">
        <v>0.23</v>
      </c>
      <c r="B37">
        <v>553</v>
      </c>
    </row>
    <row r="38" spans="1:2" x14ac:dyDescent="0.25">
      <c r="A38">
        <v>0.25</v>
      </c>
      <c r="B38">
        <v>642</v>
      </c>
    </row>
    <row r="39" spans="1:2" x14ac:dyDescent="0.25">
      <c r="A39">
        <v>0.25</v>
      </c>
      <c r="B39">
        <v>750</v>
      </c>
    </row>
    <row r="40" spans="1:2" x14ac:dyDescent="0.25">
      <c r="A40">
        <v>0.25</v>
      </c>
      <c r="B40">
        <v>655</v>
      </c>
    </row>
    <row r="41" spans="1:2" x14ac:dyDescent="0.25">
      <c r="A41">
        <v>0.25</v>
      </c>
      <c r="B41">
        <v>678</v>
      </c>
    </row>
    <row r="42" spans="1:2" x14ac:dyDescent="0.25">
      <c r="A42">
        <v>0.25</v>
      </c>
      <c r="B42">
        <v>675</v>
      </c>
    </row>
    <row r="43" spans="1:2" x14ac:dyDescent="0.25">
      <c r="A43">
        <v>0.26</v>
      </c>
      <c r="B43">
        <v>663</v>
      </c>
    </row>
    <row r="44" spans="1:2" x14ac:dyDescent="0.25">
      <c r="A44">
        <v>0.26</v>
      </c>
      <c r="B44">
        <v>693</v>
      </c>
    </row>
    <row r="45" spans="1:2" x14ac:dyDescent="0.25">
      <c r="A45">
        <v>0.27</v>
      </c>
      <c r="B45">
        <v>720</v>
      </c>
    </row>
    <row r="46" spans="1:2" x14ac:dyDescent="0.25">
      <c r="A46">
        <v>0.28000000000000003</v>
      </c>
      <c r="B46">
        <v>823</v>
      </c>
    </row>
    <row r="47" spans="1:2" x14ac:dyDescent="0.25">
      <c r="A47">
        <v>0.28999999999999998</v>
      </c>
      <c r="B47">
        <v>860</v>
      </c>
    </row>
    <row r="48" spans="1:2" x14ac:dyDescent="0.25">
      <c r="A48">
        <v>0.32</v>
      </c>
      <c r="B48">
        <v>918</v>
      </c>
    </row>
    <row r="49" spans="1:2" x14ac:dyDescent="0.25">
      <c r="A49">
        <v>0.32</v>
      </c>
      <c r="B49">
        <v>919</v>
      </c>
    </row>
    <row r="50" spans="1:2" x14ac:dyDescent="0.25">
      <c r="A50">
        <v>0.33</v>
      </c>
      <c r="B50">
        <v>945</v>
      </c>
    </row>
    <row r="51" spans="1:2" x14ac:dyDescent="0.25">
      <c r="A51">
        <v>0.35</v>
      </c>
      <c r="B51">
        <v>1086</v>
      </c>
    </row>
  </sheetData>
  <sortState ref="A4:B51">
    <sortCondition ref="A4:A5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S53" sqref="S53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51</v>
      </c>
    </row>
    <row r="2" spans="1:9" ht="15.75" thickBot="1" x14ac:dyDescent="0.3"/>
    <row r="3" spans="1:9" x14ac:dyDescent="0.25">
      <c r="A3" s="37" t="s">
        <v>52</v>
      </c>
      <c r="B3" s="37"/>
    </row>
    <row r="4" spans="1:9" x14ac:dyDescent="0.25">
      <c r="A4" s="34" t="s">
        <v>53</v>
      </c>
      <c r="B4" s="34">
        <v>0.98907066379810948</v>
      </c>
    </row>
    <row r="5" spans="1:9" x14ac:dyDescent="0.25">
      <c r="A5" s="34" t="s">
        <v>54</v>
      </c>
      <c r="B5" s="34">
        <v>0.97826077798603295</v>
      </c>
    </row>
    <row r="6" spans="1:9" x14ac:dyDescent="0.25">
      <c r="A6" s="34" t="s">
        <v>55</v>
      </c>
      <c r="B6" s="34">
        <v>0.97778818620312069</v>
      </c>
    </row>
    <row r="7" spans="1:9" x14ac:dyDescent="0.25">
      <c r="A7" s="34" t="s">
        <v>56</v>
      </c>
      <c r="B7" s="34">
        <v>31.840522265031783</v>
      </c>
    </row>
    <row r="8" spans="1:9" ht="15.75" thickBot="1" x14ac:dyDescent="0.3">
      <c r="A8" s="35" t="s">
        <v>57</v>
      </c>
      <c r="B8" s="35">
        <v>48</v>
      </c>
    </row>
    <row r="10" spans="1:9" ht="15.75" thickBot="1" x14ac:dyDescent="0.3">
      <c r="A10" t="s">
        <v>58</v>
      </c>
    </row>
    <row r="11" spans="1:9" x14ac:dyDescent="0.25">
      <c r="A11" s="36"/>
      <c r="B11" s="36" t="s">
        <v>63</v>
      </c>
      <c r="C11" s="36" t="s">
        <v>64</v>
      </c>
      <c r="D11" s="36" t="s">
        <v>65</v>
      </c>
      <c r="E11" s="36" t="s">
        <v>66</v>
      </c>
      <c r="F11" s="36" t="s">
        <v>67</v>
      </c>
    </row>
    <row r="12" spans="1:9" x14ac:dyDescent="0.25">
      <c r="A12" s="34" t="s">
        <v>59</v>
      </c>
      <c r="B12" s="34">
        <v>1</v>
      </c>
      <c r="C12" s="34">
        <v>2098595.9991936074</v>
      </c>
      <c r="D12" s="34">
        <v>2098595.9991936074</v>
      </c>
      <c r="E12" s="34">
        <v>2069.9910860860514</v>
      </c>
      <c r="F12" s="34">
        <v>6.7512598349484858E-40</v>
      </c>
    </row>
    <row r="13" spans="1:9" x14ac:dyDescent="0.25">
      <c r="A13" s="34" t="s">
        <v>60</v>
      </c>
      <c r="B13" s="34">
        <v>46</v>
      </c>
      <c r="C13" s="34">
        <v>46635.667473059293</v>
      </c>
      <c r="D13" s="34">
        <v>1013.8188581099846</v>
      </c>
      <c r="E13" s="34"/>
      <c r="F13" s="34"/>
    </row>
    <row r="14" spans="1:9" ht="15.75" thickBot="1" x14ac:dyDescent="0.3">
      <c r="A14" s="35" t="s">
        <v>61</v>
      </c>
      <c r="B14" s="35">
        <v>47</v>
      </c>
      <c r="C14" s="35">
        <v>2145231.6666666665</v>
      </c>
      <c r="D14" s="35"/>
      <c r="E14" s="35"/>
      <c r="F14" s="35"/>
    </row>
    <row r="15" spans="1:9" ht="15.75" thickBot="1" x14ac:dyDescent="0.3"/>
    <row r="16" spans="1:9" x14ac:dyDescent="0.25">
      <c r="A16" s="36"/>
      <c r="B16" s="36" t="s">
        <v>68</v>
      </c>
      <c r="C16" s="36" t="s">
        <v>56</v>
      </c>
      <c r="D16" s="36" t="s">
        <v>69</v>
      </c>
      <c r="E16" s="36" t="s">
        <v>70</v>
      </c>
      <c r="F16" s="36" t="s">
        <v>71</v>
      </c>
      <c r="G16" s="36" t="s">
        <v>72</v>
      </c>
      <c r="H16" s="36" t="s">
        <v>73</v>
      </c>
      <c r="I16" s="36" t="s">
        <v>74</v>
      </c>
    </row>
    <row r="17" spans="1:9" x14ac:dyDescent="0.25">
      <c r="A17" s="34" t="s">
        <v>62</v>
      </c>
      <c r="B17" s="34">
        <v>-259.62590719155452</v>
      </c>
      <c r="C17" s="34">
        <v>17.318856186448169</v>
      </c>
      <c r="D17" s="34">
        <v>-14.990938454394533</v>
      </c>
      <c r="E17" s="34">
        <v>2.5232706285259538E-19</v>
      </c>
      <c r="F17" s="34">
        <v>-294.48695658757458</v>
      </c>
      <c r="G17" s="34">
        <v>-224.76485779553445</v>
      </c>
      <c r="H17" s="34">
        <v>-294.48695658757458</v>
      </c>
      <c r="I17" s="34">
        <v>-224.76485779553445</v>
      </c>
    </row>
    <row r="18" spans="1:9" ht="15.75" thickBot="1" x14ac:dyDescent="0.3">
      <c r="A18" s="35" t="s">
        <v>49</v>
      </c>
      <c r="B18" s="35">
        <v>3721.0248515504718</v>
      </c>
      <c r="C18" s="35">
        <v>81.785880366042591</v>
      </c>
      <c r="D18" s="35">
        <v>45.497154703190517</v>
      </c>
      <c r="E18" s="35">
        <v>6.751259834948582E-40</v>
      </c>
      <c r="F18" s="35">
        <v>3556.3984129079136</v>
      </c>
      <c r="G18" s="35">
        <v>3885.65129019303</v>
      </c>
      <c r="H18" s="35">
        <v>3556.3984129079136</v>
      </c>
      <c r="I18" s="35">
        <v>3885.65129019303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activeCell="Q22" sqref="Q22"/>
    </sheetView>
  </sheetViews>
  <sheetFormatPr defaultRowHeight="15" x14ac:dyDescent="0.25"/>
  <cols>
    <col min="1" max="1" width="38.85546875" customWidth="1"/>
    <col min="2" max="2" width="10.85546875" bestFit="1" customWidth="1"/>
    <col min="3" max="3" width="12" bestFit="1" customWidth="1"/>
    <col min="4" max="14" width="9.85546875" bestFit="1" customWidth="1"/>
  </cols>
  <sheetData>
    <row r="1" spans="1:15" ht="20.25" thickBot="1" x14ac:dyDescent="0.35">
      <c r="A1" s="42" t="s">
        <v>94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8.75" thickTop="1" thickBot="1" x14ac:dyDescent="0.35">
      <c r="A2" s="43" t="s">
        <v>95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15.75" thickTop="1" x14ac:dyDescent="0.25"/>
    <row r="4" spans="1:15" ht="15.75" thickBot="1" x14ac:dyDescent="0.3">
      <c r="A4" s="45" t="s">
        <v>96</v>
      </c>
      <c r="B4" s="46">
        <v>42736</v>
      </c>
      <c r="C4" s="45"/>
      <c r="D4" s="45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</row>
    <row r="5" spans="1:15" ht="15.75" thickBot="1" x14ac:dyDescent="0.3">
      <c r="A5" s="45"/>
      <c r="B5" s="47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8">
        <f t="shared" ref="N5" si="0">$C$6</f>
        <v>0</v>
      </c>
    </row>
    <row r="6" spans="1:15" ht="15.75" thickBot="1" x14ac:dyDescent="0.3">
      <c r="A6" s="49" t="s">
        <v>97</v>
      </c>
      <c r="B6" s="50">
        <f>MIN(C23:N23)</f>
        <v>583.59999999999945</v>
      </c>
      <c r="D6" s="51">
        <v>842.09204128168039</v>
      </c>
      <c r="E6" s="51">
        <v>-232.62076770439717</v>
      </c>
      <c r="F6" s="51">
        <v>922.36822096932428</v>
      </c>
      <c r="G6" s="51">
        <v>715.10847560315142</v>
      </c>
      <c r="H6" s="51">
        <v>244.50937875993577</v>
      </c>
      <c r="I6" s="51">
        <v>931.8176626464583</v>
      </c>
      <c r="J6" s="51">
        <v>626.24030492482689</v>
      </c>
      <c r="K6" s="51">
        <v>502.53064186730171</v>
      </c>
      <c r="L6" s="51">
        <v>566.51598701758758</v>
      </c>
      <c r="M6" s="51">
        <v>266.62898385151084</v>
      </c>
      <c r="N6" s="48"/>
    </row>
    <row r="7" spans="1:15" ht="15.75" thickBot="1" x14ac:dyDescent="0.3">
      <c r="A7" s="49" t="s">
        <v>98</v>
      </c>
      <c r="B7" s="52">
        <f>(O32-O67)/O32</f>
        <v>0.16635669161837713</v>
      </c>
      <c r="C7">
        <f>_xlfn.STDEV.P(D7:M7)</f>
        <v>1.4779471760981796E-2</v>
      </c>
      <c r="D7" s="53">
        <v>0.2200447250964106</v>
      </c>
      <c r="E7" s="53">
        <v>0.17856459109084855</v>
      </c>
      <c r="F7" s="53">
        <v>0.20814825044872556</v>
      </c>
      <c r="G7" s="53">
        <v>0.21348475885778723</v>
      </c>
      <c r="H7" s="53">
        <v>0.17626962070380342</v>
      </c>
      <c r="I7" s="53">
        <v>0.20409530319787816</v>
      </c>
      <c r="J7" s="53">
        <v>0.19374576425468573</v>
      </c>
      <c r="K7" s="53">
        <v>0.21125657769850287</v>
      </c>
      <c r="L7" s="53">
        <v>0.18461812086637375</v>
      </c>
      <c r="M7" s="53">
        <v>0.20961764829918511</v>
      </c>
      <c r="N7" s="48"/>
    </row>
    <row r="8" spans="1:15" ht="15.75" thickBot="1" x14ac:dyDescent="0.3">
      <c r="A8" s="49" t="s">
        <v>99</v>
      </c>
      <c r="B8" s="50">
        <f>N68</f>
        <v>8740.4999999999982</v>
      </c>
      <c r="D8" s="51">
        <v>13233.255480484242</v>
      </c>
      <c r="E8" s="51">
        <v>9986.1450972847724</v>
      </c>
      <c r="F8" s="51">
        <v>12102.998516750542</v>
      </c>
      <c r="G8" s="51">
        <v>12664.149724171604</v>
      </c>
      <c r="H8" s="51">
        <v>9635.0229265434809</v>
      </c>
      <c r="I8" s="51">
        <v>11736.407265400796</v>
      </c>
      <c r="J8" s="51">
        <v>10942.934699753916</v>
      </c>
      <c r="K8" s="51">
        <v>12534.684991008273</v>
      </c>
      <c r="L8" s="51">
        <v>10198.791349805926</v>
      </c>
      <c r="M8" s="51">
        <v>12468.771717406436</v>
      </c>
      <c r="N8" s="48"/>
    </row>
    <row r="9" spans="1:15" ht="15.75" thickBot="1" x14ac:dyDescent="0.3">
      <c r="A9" s="45"/>
      <c r="B9" s="54"/>
      <c r="F9" s="48"/>
      <c r="G9" s="48"/>
      <c r="H9" s="48"/>
      <c r="I9" s="48"/>
      <c r="J9" s="48"/>
      <c r="K9" s="48"/>
      <c r="L9" s="48"/>
      <c r="M9" s="48"/>
      <c r="N9" s="48"/>
    </row>
    <row r="10" spans="1:15" ht="15.75" thickBot="1" x14ac:dyDescent="0.3">
      <c r="A10" s="45"/>
      <c r="B10" s="54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5" ht="15.75" thickBot="1" x14ac:dyDescent="0.3">
      <c r="A11" s="55" t="s">
        <v>100</v>
      </c>
      <c r="B11" s="56">
        <v>0.1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5" ht="15.75" thickBot="1" x14ac:dyDescent="0.3">
      <c r="A12" s="55" t="s">
        <v>101</v>
      </c>
      <c r="B12" s="57">
        <v>0.2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5" ht="15.75" thickBot="1" x14ac:dyDescent="0.3">
      <c r="A13" s="55" t="s">
        <v>102</v>
      </c>
      <c r="B13" s="58">
        <v>89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5" ht="15.75" thickBot="1" x14ac:dyDescent="0.3">
      <c r="A14" s="59" t="s">
        <v>103</v>
      </c>
      <c r="B14" s="60">
        <v>2000</v>
      </c>
      <c r="C14" s="60">
        <v>2000</v>
      </c>
      <c r="D14" s="60">
        <v>2000</v>
      </c>
      <c r="E14" s="60">
        <v>2000</v>
      </c>
      <c r="F14" s="60">
        <v>2000</v>
      </c>
      <c r="G14" s="60">
        <v>2000</v>
      </c>
      <c r="H14" s="60">
        <v>2000</v>
      </c>
      <c r="I14" s="60">
        <v>2000</v>
      </c>
      <c r="J14" s="60">
        <v>2000</v>
      </c>
      <c r="K14" s="60">
        <v>2000</v>
      </c>
      <c r="L14" s="60">
        <v>2000</v>
      </c>
      <c r="M14" s="60">
        <v>2000</v>
      </c>
      <c r="N14" s="60">
        <v>2000</v>
      </c>
    </row>
    <row r="15" spans="1:15" ht="15.75" thickBot="1" x14ac:dyDescent="0.3">
      <c r="B15" s="54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5" x14ac:dyDescent="0.25">
      <c r="A16" s="61" t="s">
        <v>104</v>
      </c>
      <c r="B16" s="61"/>
      <c r="C16" s="62" t="s">
        <v>76</v>
      </c>
      <c r="D16" s="62" t="s">
        <v>77</v>
      </c>
      <c r="E16" s="62" t="s">
        <v>78</v>
      </c>
      <c r="F16" s="62" t="s">
        <v>79</v>
      </c>
      <c r="G16" s="62" t="s">
        <v>80</v>
      </c>
      <c r="H16" s="62" t="s">
        <v>81</v>
      </c>
      <c r="I16" s="62" t="s">
        <v>82</v>
      </c>
      <c r="J16" s="62" t="s">
        <v>83</v>
      </c>
      <c r="K16" s="62" t="s">
        <v>84</v>
      </c>
      <c r="L16" s="62" t="s">
        <v>85</v>
      </c>
      <c r="M16" s="62" t="s">
        <v>86</v>
      </c>
      <c r="N16" s="62" t="s">
        <v>87</v>
      </c>
      <c r="O16" s="62"/>
    </row>
    <row r="17" spans="1:15" ht="15.75" thickBot="1" x14ac:dyDescent="0.3">
      <c r="A17" s="45" t="s">
        <v>105</v>
      </c>
      <c r="B17" s="54"/>
      <c r="C17" s="63">
        <v>60</v>
      </c>
      <c r="D17" s="63">
        <v>56</v>
      </c>
      <c r="E17" s="63">
        <v>60</v>
      </c>
      <c r="F17" s="63">
        <v>52</v>
      </c>
      <c r="G17" s="63">
        <v>38</v>
      </c>
      <c r="H17" s="63">
        <v>53</v>
      </c>
      <c r="I17" s="63">
        <v>47</v>
      </c>
      <c r="J17" s="63">
        <v>57</v>
      </c>
      <c r="K17" s="63">
        <v>47</v>
      </c>
      <c r="L17" s="63">
        <v>54</v>
      </c>
      <c r="M17" s="63">
        <v>43</v>
      </c>
      <c r="N17" s="63">
        <v>41</v>
      </c>
    </row>
    <row r="18" spans="1:15" ht="15.75" thickBot="1" x14ac:dyDescent="0.3">
      <c r="A18" s="45" t="s">
        <v>93</v>
      </c>
      <c r="B18" s="54"/>
      <c r="C18" s="41">
        <v>59</v>
      </c>
      <c r="D18" s="41">
        <v>51</v>
      </c>
      <c r="E18" s="41">
        <v>66</v>
      </c>
      <c r="F18" s="41">
        <v>53</v>
      </c>
      <c r="G18" s="41">
        <v>59</v>
      </c>
      <c r="H18" s="41">
        <v>61</v>
      </c>
      <c r="I18" s="41">
        <v>55</v>
      </c>
      <c r="J18" s="41">
        <v>52</v>
      </c>
      <c r="K18" s="41">
        <v>44</v>
      </c>
      <c r="L18" s="41">
        <v>44</v>
      </c>
      <c r="M18" s="64">
        <v>50</v>
      </c>
      <c r="N18" s="64">
        <v>58</v>
      </c>
      <c r="O18" s="41"/>
    </row>
    <row r="19" spans="1:15" ht="15.75" thickBot="1" x14ac:dyDescent="0.3">
      <c r="B19" s="5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</row>
    <row r="21" spans="1:15" x14ac:dyDescent="0.25">
      <c r="A21" s="61" t="s">
        <v>106</v>
      </c>
      <c r="B21" s="65" t="s">
        <v>107</v>
      </c>
      <c r="C21" s="62" t="s">
        <v>76</v>
      </c>
      <c r="D21" s="62" t="s">
        <v>77</v>
      </c>
      <c r="E21" s="62" t="s">
        <v>78</v>
      </c>
      <c r="F21" s="62" t="s">
        <v>79</v>
      </c>
      <c r="G21" s="62" t="s">
        <v>80</v>
      </c>
      <c r="H21" s="62" t="s">
        <v>81</v>
      </c>
      <c r="I21" s="62" t="s">
        <v>82</v>
      </c>
      <c r="J21" s="62" t="s">
        <v>83</v>
      </c>
      <c r="K21" s="62" t="s">
        <v>84</v>
      </c>
      <c r="L21" s="62" t="s">
        <v>85</v>
      </c>
      <c r="M21" s="62" t="s">
        <v>86</v>
      </c>
      <c r="N21" s="62" t="s">
        <v>87</v>
      </c>
      <c r="O21" s="66" t="s">
        <v>61</v>
      </c>
    </row>
    <row r="22" spans="1:15" ht="15.75" thickBot="1" x14ac:dyDescent="0.3">
      <c r="A22" s="45" t="s">
        <v>108</v>
      </c>
      <c r="B22" s="67">
        <v>50</v>
      </c>
      <c r="C22" s="68">
        <f>B68</f>
        <v>50</v>
      </c>
      <c r="D22" s="68">
        <f t="shared" ref="D22:N22" si="1">C68</f>
        <v>583.59999999999945</v>
      </c>
      <c r="E22" s="68">
        <f t="shared" si="1"/>
        <v>1143.8999999999996</v>
      </c>
      <c r="F22" s="68">
        <f t="shared" si="1"/>
        <v>2638.7</v>
      </c>
      <c r="G22" s="68">
        <f t="shared" si="1"/>
        <v>3323.6</v>
      </c>
      <c r="H22" s="68">
        <f t="shared" si="1"/>
        <v>4382.3</v>
      </c>
      <c r="I22" s="68">
        <f t="shared" si="1"/>
        <v>5565.5999999999995</v>
      </c>
      <c r="J22" s="68">
        <f t="shared" si="1"/>
        <v>6375.0999999999985</v>
      </c>
      <c r="K22" s="68">
        <f t="shared" si="1"/>
        <v>6997.6999999999989</v>
      </c>
      <c r="L22" s="68">
        <f t="shared" si="1"/>
        <v>7121.8999999999987</v>
      </c>
      <c r="M22" s="68">
        <f t="shared" si="1"/>
        <v>7246.0999999999976</v>
      </c>
      <c r="N22" s="68">
        <f t="shared" si="1"/>
        <v>7744.0999999999985</v>
      </c>
      <c r="O22" s="69"/>
    </row>
    <row r="23" spans="1:15" ht="15.75" thickBot="1" x14ac:dyDescent="0.3">
      <c r="A23" s="45" t="s">
        <v>109</v>
      </c>
      <c r="B23" s="68">
        <f t="shared" ref="B23:N23" si="2">B68</f>
        <v>50</v>
      </c>
      <c r="C23" s="68">
        <f t="shared" si="2"/>
        <v>583.59999999999945</v>
      </c>
      <c r="D23" s="68">
        <f t="shared" si="2"/>
        <v>1143.8999999999996</v>
      </c>
      <c r="E23" s="68">
        <f t="shared" si="2"/>
        <v>2638.7</v>
      </c>
      <c r="F23" s="68">
        <f t="shared" si="2"/>
        <v>3323.6</v>
      </c>
      <c r="G23" s="68">
        <f t="shared" si="2"/>
        <v>4382.3</v>
      </c>
      <c r="H23" s="68">
        <f t="shared" si="2"/>
        <v>5565.5999999999995</v>
      </c>
      <c r="I23" s="68">
        <f t="shared" si="2"/>
        <v>6375.0999999999985</v>
      </c>
      <c r="J23" s="68">
        <f t="shared" si="2"/>
        <v>6997.6999999999989</v>
      </c>
      <c r="K23" s="68">
        <f t="shared" si="2"/>
        <v>7121.8999999999987</v>
      </c>
      <c r="L23" s="68">
        <f t="shared" si="2"/>
        <v>7246.0999999999976</v>
      </c>
      <c r="M23" s="68">
        <f t="shared" si="2"/>
        <v>7744.0999999999985</v>
      </c>
      <c r="N23" s="68">
        <f t="shared" si="2"/>
        <v>8740.4999999999982</v>
      </c>
      <c r="O23" s="70"/>
    </row>
    <row r="24" spans="1:15" x14ac:dyDescent="0.25">
      <c r="B24" s="26"/>
      <c r="C24" s="71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</row>
    <row r="25" spans="1:15" x14ac:dyDescent="0.25">
      <c r="A25" s="61" t="s">
        <v>110</v>
      </c>
      <c r="B25" s="7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</row>
    <row r="26" spans="1:15" ht="15.75" thickBot="1" x14ac:dyDescent="0.3">
      <c r="A26" s="45" t="s">
        <v>111</v>
      </c>
      <c r="B26" s="76"/>
      <c r="C26" s="77">
        <f>C18*$B$13</f>
        <v>5251</v>
      </c>
      <c r="D26" s="77">
        <f t="shared" ref="D26:N26" si="3">D18*$B$13</f>
        <v>4539</v>
      </c>
      <c r="E26" s="77">
        <f t="shared" si="3"/>
        <v>5874</v>
      </c>
      <c r="F26" s="77">
        <f t="shared" si="3"/>
        <v>4717</v>
      </c>
      <c r="G26" s="77">
        <f t="shared" si="3"/>
        <v>5251</v>
      </c>
      <c r="H26" s="77">
        <f t="shared" si="3"/>
        <v>5429</v>
      </c>
      <c r="I26" s="77">
        <f t="shared" si="3"/>
        <v>4895</v>
      </c>
      <c r="J26" s="77">
        <f t="shared" si="3"/>
        <v>4628</v>
      </c>
      <c r="K26" s="77">
        <f t="shared" si="3"/>
        <v>3916</v>
      </c>
      <c r="L26" s="77">
        <f t="shared" si="3"/>
        <v>3916</v>
      </c>
      <c r="M26" s="77">
        <f t="shared" si="3"/>
        <v>4450</v>
      </c>
      <c r="N26" s="77">
        <f t="shared" si="3"/>
        <v>5162</v>
      </c>
      <c r="O26" s="78">
        <f>SUM(B26:N26)</f>
        <v>58028</v>
      </c>
    </row>
    <row r="27" spans="1:15" ht="15.75" thickBot="1" x14ac:dyDescent="0.3">
      <c r="A27" s="45" t="s">
        <v>112</v>
      </c>
      <c r="B27" s="79"/>
      <c r="C27" s="77">
        <f>C26*B11</f>
        <v>525.1</v>
      </c>
      <c r="D27" s="77">
        <f t="shared" ref="D27:N27" si="4">D26*$F$5</f>
        <v>0</v>
      </c>
      <c r="E27" s="77">
        <f t="shared" si="4"/>
        <v>0</v>
      </c>
      <c r="F27" s="77">
        <f t="shared" si="4"/>
        <v>0</v>
      </c>
      <c r="G27" s="77">
        <f t="shared" si="4"/>
        <v>0</v>
      </c>
      <c r="H27" s="77">
        <f t="shared" si="4"/>
        <v>0</v>
      </c>
      <c r="I27" s="77">
        <f t="shared" si="4"/>
        <v>0</v>
      </c>
      <c r="J27" s="77">
        <f t="shared" si="4"/>
        <v>0</v>
      </c>
      <c r="K27" s="77">
        <f t="shared" si="4"/>
        <v>0</v>
      </c>
      <c r="L27" s="77">
        <f t="shared" si="4"/>
        <v>0</v>
      </c>
      <c r="M27" s="77">
        <f t="shared" si="4"/>
        <v>0</v>
      </c>
      <c r="N27" s="77">
        <f t="shared" si="4"/>
        <v>0</v>
      </c>
      <c r="O27" s="78">
        <f t="shared" ref="O27:O31" si="5">SUM(B27:N27)</f>
        <v>525.1</v>
      </c>
    </row>
    <row r="28" spans="1:15" hidden="1" x14ac:dyDescent="0.25">
      <c r="A28" s="80" t="s">
        <v>113</v>
      </c>
      <c r="B28" s="79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>
        <f t="shared" si="5"/>
        <v>0</v>
      </c>
    </row>
    <row r="29" spans="1:15" hidden="1" x14ac:dyDescent="0.25">
      <c r="A29" s="80" t="s">
        <v>114</v>
      </c>
      <c r="B29" s="79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>
        <f t="shared" si="5"/>
        <v>0</v>
      </c>
    </row>
    <row r="30" spans="1:15" hidden="1" x14ac:dyDescent="0.25">
      <c r="A30" s="80" t="s">
        <v>115</v>
      </c>
      <c r="B30" s="79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>
        <f t="shared" si="5"/>
        <v>0</v>
      </c>
    </row>
    <row r="31" spans="1:15" hidden="1" x14ac:dyDescent="0.25">
      <c r="A31" s="80" t="s">
        <v>116</v>
      </c>
      <c r="B31" s="79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>
        <f t="shared" si="5"/>
        <v>0</v>
      </c>
    </row>
    <row r="32" spans="1:15" ht="15.75" thickBot="1" x14ac:dyDescent="0.3">
      <c r="A32" s="81" t="s">
        <v>117</v>
      </c>
      <c r="B32" s="82"/>
      <c r="C32" s="83">
        <f t="shared" ref="C32:N32" si="6">SUM(C26,C28:C31,(C27*-1))</f>
        <v>4725.8999999999996</v>
      </c>
      <c r="D32" s="83">
        <f t="shared" si="6"/>
        <v>4539</v>
      </c>
      <c r="E32" s="83">
        <f t="shared" si="6"/>
        <v>5874</v>
      </c>
      <c r="F32" s="83">
        <f t="shared" si="6"/>
        <v>4717</v>
      </c>
      <c r="G32" s="83">
        <f t="shared" si="6"/>
        <v>5251</v>
      </c>
      <c r="H32" s="83">
        <f t="shared" si="6"/>
        <v>5429</v>
      </c>
      <c r="I32" s="83">
        <f t="shared" si="6"/>
        <v>4895</v>
      </c>
      <c r="J32" s="83">
        <f t="shared" si="6"/>
        <v>4628</v>
      </c>
      <c r="K32" s="83">
        <f t="shared" si="6"/>
        <v>3916</v>
      </c>
      <c r="L32" s="83">
        <f t="shared" si="6"/>
        <v>3916</v>
      </c>
      <c r="M32" s="83">
        <f t="shared" si="6"/>
        <v>4450</v>
      </c>
      <c r="N32" s="83">
        <f t="shared" si="6"/>
        <v>5162</v>
      </c>
      <c r="O32" s="84">
        <f>SUM(O26:O31)</f>
        <v>58553.1</v>
      </c>
    </row>
    <row r="33" spans="1:15" ht="15.75" thickBot="1" x14ac:dyDescent="0.3">
      <c r="A33" s="45" t="s">
        <v>118</v>
      </c>
      <c r="B33" s="85">
        <f t="shared" ref="B33:N33" si="7">(B22+B32)</f>
        <v>50</v>
      </c>
      <c r="C33" s="85">
        <f t="shared" si="7"/>
        <v>4775.8999999999996</v>
      </c>
      <c r="D33" s="85">
        <f t="shared" si="7"/>
        <v>5122.5999999999995</v>
      </c>
      <c r="E33" s="85">
        <f t="shared" si="7"/>
        <v>7017.9</v>
      </c>
      <c r="F33" s="85">
        <f t="shared" si="7"/>
        <v>7355.7</v>
      </c>
      <c r="G33" s="85">
        <f t="shared" si="7"/>
        <v>8574.6</v>
      </c>
      <c r="H33" s="85">
        <f t="shared" si="7"/>
        <v>9811.2999999999993</v>
      </c>
      <c r="I33" s="85">
        <f t="shared" si="7"/>
        <v>10460.599999999999</v>
      </c>
      <c r="J33" s="85">
        <f t="shared" si="7"/>
        <v>11003.099999999999</v>
      </c>
      <c r="K33" s="85">
        <f t="shared" si="7"/>
        <v>10913.699999999999</v>
      </c>
      <c r="L33" s="85">
        <f t="shared" si="7"/>
        <v>11037.899999999998</v>
      </c>
      <c r="M33" s="85">
        <f t="shared" si="7"/>
        <v>11696.099999999999</v>
      </c>
      <c r="N33" s="85">
        <f t="shared" si="7"/>
        <v>12906.099999999999</v>
      </c>
      <c r="O33" s="86"/>
    </row>
    <row r="34" spans="1:15" ht="15.75" thickBot="1" x14ac:dyDescent="0.3">
      <c r="A34" s="4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 x14ac:dyDescent="0.25">
      <c r="A35" s="61" t="s">
        <v>119</v>
      </c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5"/>
    </row>
    <row r="36" spans="1:15" ht="15.75" thickBot="1" x14ac:dyDescent="0.3">
      <c r="A36" s="45" t="s">
        <v>120</v>
      </c>
      <c r="B36" s="76"/>
      <c r="C36" s="77">
        <f>C14</f>
        <v>2000</v>
      </c>
      <c r="D36" s="77">
        <f t="shared" ref="D36:N36" si="8">D14</f>
        <v>2000</v>
      </c>
      <c r="E36" s="77">
        <f t="shared" si="8"/>
        <v>2000</v>
      </c>
      <c r="F36" s="77">
        <f t="shared" si="8"/>
        <v>2000</v>
      </c>
      <c r="G36" s="77">
        <f t="shared" si="8"/>
        <v>2000</v>
      </c>
      <c r="H36" s="77">
        <f t="shared" si="8"/>
        <v>2000</v>
      </c>
      <c r="I36" s="77">
        <f t="shared" si="8"/>
        <v>2000</v>
      </c>
      <c r="J36" s="77">
        <f t="shared" si="8"/>
        <v>2000</v>
      </c>
      <c r="K36" s="77">
        <f t="shared" si="8"/>
        <v>2000</v>
      </c>
      <c r="L36" s="77">
        <f t="shared" si="8"/>
        <v>2000</v>
      </c>
      <c r="M36" s="77">
        <f t="shared" si="8"/>
        <v>2000</v>
      </c>
      <c r="N36" s="77">
        <f t="shared" si="8"/>
        <v>2000</v>
      </c>
      <c r="O36" s="78">
        <f t="shared" ref="O36:O67" si="9">SUM(C36:N36)</f>
        <v>24000</v>
      </c>
    </row>
    <row r="37" spans="1:15" ht="15.75" hidden="1" thickBot="1" x14ac:dyDescent="0.3">
      <c r="A37" s="45" t="s">
        <v>121</v>
      </c>
      <c r="B37" s="79"/>
      <c r="C37" s="77">
        <v>1</v>
      </c>
      <c r="D37" s="77">
        <v>1</v>
      </c>
      <c r="E37" s="77">
        <v>1</v>
      </c>
      <c r="F37" s="77">
        <v>1</v>
      </c>
      <c r="G37" s="77">
        <v>1</v>
      </c>
      <c r="H37" s="77">
        <v>1</v>
      </c>
      <c r="I37" s="77">
        <v>1</v>
      </c>
      <c r="J37" s="77">
        <v>1</v>
      </c>
      <c r="K37" s="77">
        <v>1</v>
      </c>
      <c r="L37" s="77">
        <v>1</v>
      </c>
      <c r="M37" s="77">
        <v>1</v>
      </c>
      <c r="N37" s="77">
        <v>1</v>
      </c>
      <c r="O37" s="78">
        <f t="shared" si="9"/>
        <v>12</v>
      </c>
    </row>
    <row r="38" spans="1:15" ht="15.75" thickBot="1" x14ac:dyDescent="0.3">
      <c r="A38" s="45" t="s">
        <v>122</v>
      </c>
      <c r="B38" s="79"/>
      <c r="C38" s="77">
        <v>600</v>
      </c>
      <c r="D38" s="77">
        <v>600</v>
      </c>
      <c r="E38" s="77">
        <v>600</v>
      </c>
      <c r="F38" s="77">
        <v>600</v>
      </c>
      <c r="G38" s="77">
        <v>600</v>
      </c>
      <c r="H38" s="77">
        <v>600</v>
      </c>
      <c r="I38" s="77">
        <v>600</v>
      </c>
      <c r="J38" s="77">
        <v>600</v>
      </c>
      <c r="K38" s="77">
        <v>600</v>
      </c>
      <c r="L38" s="77">
        <v>600</v>
      </c>
      <c r="M38" s="77">
        <v>600</v>
      </c>
      <c r="N38" s="77">
        <v>600</v>
      </c>
      <c r="O38" s="78">
        <f t="shared" si="9"/>
        <v>7200</v>
      </c>
    </row>
    <row r="39" spans="1:15" ht="15.75" hidden="1" thickBot="1" x14ac:dyDescent="0.3">
      <c r="A39" s="45" t="s">
        <v>123</v>
      </c>
      <c r="B39" s="79"/>
      <c r="C39" s="77">
        <v>1</v>
      </c>
      <c r="D39" s="77">
        <v>1</v>
      </c>
      <c r="E39" s="77">
        <v>1</v>
      </c>
      <c r="F39" s="77">
        <v>1</v>
      </c>
      <c r="G39" s="77">
        <v>1</v>
      </c>
      <c r="H39" s="77">
        <v>1</v>
      </c>
      <c r="I39" s="77">
        <v>1</v>
      </c>
      <c r="J39" s="77">
        <v>1</v>
      </c>
      <c r="K39" s="77">
        <v>1</v>
      </c>
      <c r="L39" s="77">
        <v>1</v>
      </c>
      <c r="M39" s="77">
        <v>1</v>
      </c>
      <c r="N39" s="77">
        <v>1</v>
      </c>
      <c r="O39" s="78">
        <f t="shared" si="9"/>
        <v>12</v>
      </c>
    </row>
    <row r="40" spans="1:15" ht="15.75" hidden="1" thickBot="1" x14ac:dyDescent="0.3">
      <c r="A40" s="45" t="s">
        <v>124</v>
      </c>
      <c r="B40" s="79"/>
      <c r="C40" s="77">
        <v>1</v>
      </c>
      <c r="D40" s="77">
        <v>1</v>
      </c>
      <c r="E40" s="77">
        <v>1</v>
      </c>
      <c r="F40" s="77">
        <v>1</v>
      </c>
      <c r="G40" s="77">
        <v>1</v>
      </c>
      <c r="H40" s="77">
        <v>1</v>
      </c>
      <c r="I40" s="77">
        <v>1</v>
      </c>
      <c r="J40" s="77">
        <v>1</v>
      </c>
      <c r="K40" s="77">
        <v>1</v>
      </c>
      <c r="L40" s="77">
        <v>1</v>
      </c>
      <c r="M40" s="77">
        <v>1</v>
      </c>
      <c r="N40" s="77">
        <v>1</v>
      </c>
      <c r="O40" s="78">
        <f t="shared" si="9"/>
        <v>12</v>
      </c>
    </row>
    <row r="41" spans="1:15" ht="15.75" hidden="1" thickBot="1" x14ac:dyDescent="0.3">
      <c r="A41" s="45" t="s">
        <v>125</v>
      </c>
      <c r="B41" s="79"/>
      <c r="C41" s="77">
        <v>1</v>
      </c>
      <c r="D41" s="77">
        <v>1</v>
      </c>
      <c r="E41" s="77">
        <v>1</v>
      </c>
      <c r="F41" s="77">
        <v>1</v>
      </c>
      <c r="G41" s="77">
        <v>1</v>
      </c>
      <c r="H41" s="77">
        <v>1</v>
      </c>
      <c r="I41" s="77">
        <v>1</v>
      </c>
      <c r="J41" s="77">
        <v>1</v>
      </c>
      <c r="K41" s="77">
        <v>1</v>
      </c>
      <c r="L41" s="77">
        <v>1</v>
      </c>
      <c r="M41" s="77">
        <v>1</v>
      </c>
      <c r="N41" s="77">
        <v>1</v>
      </c>
      <c r="O41" s="78">
        <f t="shared" si="9"/>
        <v>12</v>
      </c>
    </row>
    <row r="42" spans="1:15" ht="15.75" thickBot="1" x14ac:dyDescent="0.3">
      <c r="A42" s="45" t="s">
        <v>126</v>
      </c>
      <c r="B42" s="79"/>
      <c r="C42" s="77">
        <f>C26*0.3</f>
        <v>1575.3</v>
      </c>
      <c r="D42" s="77">
        <f t="shared" ref="D42:N42" si="10">D26*0.3</f>
        <v>1361.7</v>
      </c>
      <c r="E42" s="77">
        <f t="shared" si="10"/>
        <v>1762.2</v>
      </c>
      <c r="F42" s="77">
        <f t="shared" si="10"/>
        <v>1415.1</v>
      </c>
      <c r="G42" s="77">
        <f t="shared" si="10"/>
        <v>1575.3</v>
      </c>
      <c r="H42" s="77">
        <f t="shared" si="10"/>
        <v>1628.7</v>
      </c>
      <c r="I42" s="77">
        <f t="shared" si="10"/>
        <v>1468.5</v>
      </c>
      <c r="J42" s="77">
        <f t="shared" si="10"/>
        <v>1388.3999999999999</v>
      </c>
      <c r="K42" s="77">
        <f t="shared" si="10"/>
        <v>1174.8</v>
      </c>
      <c r="L42" s="77">
        <f t="shared" si="10"/>
        <v>1174.8</v>
      </c>
      <c r="M42" s="77">
        <f t="shared" si="10"/>
        <v>1335</v>
      </c>
      <c r="N42" s="77">
        <f t="shared" si="10"/>
        <v>1548.6</v>
      </c>
      <c r="O42" s="78">
        <f t="shared" si="9"/>
        <v>17408.399999999998</v>
      </c>
    </row>
    <row r="43" spans="1:15" hidden="1" x14ac:dyDescent="0.25">
      <c r="A43" s="80" t="s">
        <v>127</v>
      </c>
      <c r="B43" s="79"/>
      <c r="C43" s="77">
        <v>1</v>
      </c>
      <c r="D43" s="77">
        <v>1</v>
      </c>
      <c r="E43" s="77">
        <v>1</v>
      </c>
      <c r="F43" s="77">
        <v>1</v>
      </c>
      <c r="G43" s="77">
        <v>1</v>
      </c>
      <c r="H43" s="77">
        <v>1</v>
      </c>
      <c r="I43" s="77">
        <v>1</v>
      </c>
      <c r="J43" s="77">
        <v>1</v>
      </c>
      <c r="K43" s="77">
        <v>1</v>
      </c>
      <c r="L43" s="77">
        <v>1</v>
      </c>
      <c r="M43" s="77">
        <v>1</v>
      </c>
      <c r="N43" s="77">
        <v>1</v>
      </c>
      <c r="O43" s="78">
        <f t="shared" si="9"/>
        <v>12</v>
      </c>
    </row>
    <row r="44" spans="1:15" hidden="1" x14ac:dyDescent="0.25">
      <c r="A44" s="80" t="s">
        <v>128</v>
      </c>
      <c r="B44" s="79"/>
      <c r="C44" s="77">
        <v>1</v>
      </c>
      <c r="D44" s="77">
        <v>1</v>
      </c>
      <c r="E44" s="77">
        <v>1</v>
      </c>
      <c r="F44" s="77">
        <v>1</v>
      </c>
      <c r="G44" s="77">
        <v>1</v>
      </c>
      <c r="H44" s="77">
        <v>1</v>
      </c>
      <c r="I44" s="77">
        <v>1</v>
      </c>
      <c r="J44" s="77">
        <v>1</v>
      </c>
      <c r="K44" s="77">
        <v>1</v>
      </c>
      <c r="L44" s="77">
        <v>1</v>
      </c>
      <c r="M44" s="77">
        <v>1</v>
      </c>
      <c r="N44" s="77">
        <v>1</v>
      </c>
      <c r="O44" s="78">
        <f t="shared" si="9"/>
        <v>12</v>
      </c>
    </row>
    <row r="45" spans="1:15" hidden="1" x14ac:dyDescent="0.25">
      <c r="A45" s="80" t="s">
        <v>129</v>
      </c>
      <c r="B45" s="79"/>
      <c r="C45" s="77">
        <v>1</v>
      </c>
      <c r="D45" s="77">
        <v>1</v>
      </c>
      <c r="E45" s="77">
        <v>1</v>
      </c>
      <c r="F45" s="77">
        <v>1</v>
      </c>
      <c r="G45" s="77">
        <v>1</v>
      </c>
      <c r="H45" s="77">
        <v>1</v>
      </c>
      <c r="I45" s="77">
        <v>1</v>
      </c>
      <c r="J45" s="77">
        <v>1</v>
      </c>
      <c r="K45" s="77">
        <v>1</v>
      </c>
      <c r="L45" s="77">
        <v>1</v>
      </c>
      <c r="M45" s="77">
        <v>1</v>
      </c>
      <c r="N45" s="77">
        <v>1</v>
      </c>
      <c r="O45" s="78">
        <f t="shared" si="9"/>
        <v>12</v>
      </c>
    </row>
    <row r="46" spans="1:15" hidden="1" x14ac:dyDescent="0.25">
      <c r="A46" s="80" t="s">
        <v>130</v>
      </c>
      <c r="B46" s="79"/>
      <c r="C46" s="77">
        <v>1</v>
      </c>
      <c r="D46" s="77">
        <v>1</v>
      </c>
      <c r="E46" s="77">
        <v>1</v>
      </c>
      <c r="F46" s="77">
        <v>1</v>
      </c>
      <c r="G46" s="77">
        <v>1</v>
      </c>
      <c r="H46" s="77">
        <v>1</v>
      </c>
      <c r="I46" s="77">
        <v>1</v>
      </c>
      <c r="J46" s="77">
        <v>1</v>
      </c>
      <c r="K46" s="77">
        <v>1</v>
      </c>
      <c r="L46" s="77">
        <v>1</v>
      </c>
      <c r="M46" s="77">
        <v>1</v>
      </c>
      <c r="N46" s="77">
        <v>1</v>
      </c>
      <c r="O46" s="78">
        <f t="shared" si="9"/>
        <v>12</v>
      </c>
    </row>
    <row r="47" spans="1:15" hidden="1" x14ac:dyDescent="0.25">
      <c r="A47" s="80" t="s">
        <v>131</v>
      </c>
      <c r="B47" s="79"/>
      <c r="C47" s="77">
        <v>1</v>
      </c>
      <c r="D47" s="77">
        <v>1</v>
      </c>
      <c r="E47" s="77">
        <v>1</v>
      </c>
      <c r="F47" s="77">
        <v>1</v>
      </c>
      <c r="G47" s="77">
        <v>1</v>
      </c>
      <c r="H47" s="77">
        <v>1</v>
      </c>
      <c r="I47" s="77">
        <v>1</v>
      </c>
      <c r="J47" s="77">
        <v>1</v>
      </c>
      <c r="K47" s="77">
        <v>1</v>
      </c>
      <c r="L47" s="77">
        <v>1</v>
      </c>
      <c r="M47" s="77">
        <v>1</v>
      </c>
      <c r="N47" s="77">
        <v>1</v>
      </c>
      <c r="O47" s="78">
        <f t="shared" si="9"/>
        <v>12</v>
      </c>
    </row>
    <row r="48" spans="1:15" hidden="1" x14ac:dyDescent="0.25">
      <c r="A48" s="80" t="s">
        <v>132</v>
      </c>
      <c r="B48" s="79"/>
      <c r="C48" s="77">
        <v>1</v>
      </c>
      <c r="D48" s="77">
        <v>1</v>
      </c>
      <c r="E48" s="77">
        <v>1</v>
      </c>
      <c r="F48" s="77">
        <v>1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8">
        <f t="shared" si="9"/>
        <v>12</v>
      </c>
    </row>
    <row r="49" spans="1:15" hidden="1" x14ac:dyDescent="0.25">
      <c r="A49" s="80" t="s">
        <v>133</v>
      </c>
      <c r="B49" s="79"/>
      <c r="C49" s="77">
        <v>1</v>
      </c>
      <c r="D49" s="77">
        <v>1</v>
      </c>
      <c r="E49" s="77">
        <v>1</v>
      </c>
      <c r="F49" s="77">
        <v>1</v>
      </c>
      <c r="G49" s="77">
        <v>1</v>
      </c>
      <c r="H49" s="77">
        <v>1</v>
      </c>
      <c r="I49" s="77">
        <v>1</v>
      </c>
      <c r="J49" s="77">
        <v>1</v>
      </c>
      <c r="K49" s="77">
        <v>1</v>
      </c>
      <c r="L49" s="77">
        <v>1</v>
      </c>
      <c r="M49" s="77">
        <v>1</v>
      </c>
      <c r="N49" s="77">
        <v>1</v>
      </c>
      <c r="O49" s="78">
        <f t="shared" si="9"/>
        <v>12</v>
      </c>
    </row>
    <row r="50" spans="1:15" hidden="1" x14ac:dyDescent="0.25">
      <c r="A50" s="80" t="s">
        <v>134</v>
      </c>
      <c r="B50" s="79"/>
      <c r="C50" s="77">
        <v>1</v>
      </c>
      <c r="D50" s="77">
        <v>1</v>
      </c>
      <c r="E50" s="77">
        <v>1</v>
      </c>
      <c r="F50" s="77">
        <v>1</v>
      </c>
      <c r="G50" s="77">
        <v>1</v>
      </c>
      <c r="H50" s="77">
        <v>1</v>
      </c>
      <c r="I50" s="77">
        <v>1</v>
      </c>
      <c r="J50" s="77">
        <v>1</v>
      </c>
      <c r="K50" s="77">
        <v>1</v>
      </c>
      <c r="L50" s="77">
        <v>1</v>
      </c>
      <c r="M50" s="77">
        <v>1</v>
      </c>
      <c r="N50" s="77">
        <v>1</v>
      </c>
      <c r="O50" s="78">
        <f t="shared" si="9"/>
        <v>12</v>
      </c>
    </row>
    <row r="51" spans="1:15" hidden="1" x14ac:dyDescent="0.25">
      <c r="A51" s="80" t="s">
        <v>135</v>
      </c>
      <c r="B51" s="79"/>
      <c r="C51" s="77">
        <v>1</v>
      </c>
      <c r="D51" s="77">
        <v>1</v>
      </c>
      <c r="E51" s="77">
        <v>1</v>
      </c>
      <c r="F51" s="77">
        <v>1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8">
        <f t="shared" si="9"/>
        <v>12</v>
      </c>
    </row>
    <row r="52" spans="1:15" hidden="1" x14ac:dyDescent="0.25">
      <c r="A52" s="80" t="s">
        <v>136</v>
      </c>
      <c r="B52" s="79"/>
      <c r="C52" s="77">
        <v>1</v>
      </c>
      <c r="D52" s="77">
        <v>1</v>
      </c>
      <c r="E52" s="77">
        <v>1</v>
      </c>
      <c r="F52" s="77">
        <v>1</v>
      </c>
      <c r="G52" s="77">
        <v>1</v>
      </c>
      <c r="H52" s="77">
        <v>1</v>
      </c>
      <c r="I52" s="77">
        <v>1</v>
      </c>
      <c r="J52" s="77">
        <v>1</v>
      </c>
      <c r="K52" s="77">
        <v>1</v>
      </c>
      <c r="L52" s="77">
        <v>1</v>
      </c>
      <c r="M52" s="77">
        <v>1</v>
      </c>
      <c r="N52" s="77">
        <v>1</v>
      </c>
      <c r="O52" s="78">
        <f t="shared" si="9"/>
        <v>12</v>
      </c>
    </row>
    <row r="53" spans="1:15" hidden="1" x14ac:dyDescent="0.25">
      <c r="A53" s="80" t="s">
        <v>137</v>
      </c>
      <c r="B53" s="79"/>
      <c r="C53" s="77">
        <v>1</v>
      </c>
      <c r="D53" s="77">
        <v>1</v>
      </c>
      <c r="E53" s="77">
        <v>1</v>
      </c>
      <c r="F53" s="77">
        <v>1</v>
      </c>
      <c r="G53" s="77">
        <v>1</v>
      </c>
      <c r="H53" s="77">
        <v>1</v>
      </c>
      <c r="I53" s="77">
        <v>1</v>
      </c>
      <c r="J53" s="77">
        <v>1</v>
      </c>
      <c r="K53" s="77">
        <v>1</v>
      </c>
      <c r="L53" s="77">
        <v>1</v>
      </c>
      <c r="M53" s="77">
        <v>1</v>
      </c>
      <c r="N53" s="77">
        <v>1</v>
      </c>
      <c r="O53" s="78">
        <f t="shared" si="9"/>
        <v>12</v>
      </c>
    </row>
    <row r="54" spans="1:15" hidden="1" x14ac:dyDescent="0.25">
      <c r="A54" s="80" t="s">
        <v>138</v>
      </c>
      <c r="B54" s="79"/>
      <c r="C54" s="77">
        <v>1</v>
      </c>
      <c r="D54" s="77">
        <v>1</v>
      </c>
      <c r="E54" s="77">
        <v>1</v>
      </c>
      <c r="F54" s="77">
        <v>1</v>
      </c>
      <c r="G54" s="77">
        <v>1</v>
      </c>
      <c r="H54" s="77">
        <v>1</v>
      </c>
      <c r="I54" s="77">
        <v>1</v>
      </c>
      <c r="J54" s="77">
        <v>1</v>
      </c>
      <c r="K54" s="77">
        <v>1</v>
      </c>
      <c r="L54" s="77">
        <v>1</v>
      </c>
      <c r="M54" s="77">
        <v>1</v>
      </c>
      <c r="N54" s="77">
        <v>1</v>
      </c>
      <c r="O54" s="78">
        <f t="shared" si="9"/>
        <v>12</v>
      </c>
    </row>
    <row r="55" spans="1:15" hidden="1" x14ac:dyDescent="0.25">
      <c r="A55" s="80" t="s">
        <v>139</v>
      </c>
      <c r="B55" s="79"/>
      <c r="C55" s="77">
        <v>1</v>
      </c>
      <c r="D55" s="77">
        <v>1</v>
      </c>
      <c r="E55" s="77">
        <v>1</v>
      </c>
      <c r="F55" s="77">
        <v>1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8">
        <f t="shared" si="9"/>
        <v>12</v>
      </c>
    </row>
    <row r="56" spans="1:15" hidden="1" x14ac:dyDescent="0.25">
      <c r="A56" s="80" t="s">
        <v>140</v>
      </c>
      <c r="B56" s="79"/>
      <c r="C56" s="77">
        <v>1</v>
      </c>
      <c r="D56" s="77">
        <v>1</v>
      </c>
      <c r="E56" s="77">
        <v>1</v>
      </c>
      <c r="F56" s="77">
        <v>1</v>
      </c>
      <c r="G56" s="77">
        <v>1</v>
      </c>
      <c r="H56" s="77">
        <v>1</v>
      </c>
      <c r="I56" s="77">
        <v>1</v>
      </c>
      <c r="J56" s="77">
        <v>1</v>
      </c>
      <c r="K56" s="77">
        <v>1</v>
      </c>
      <c r="L56" s="77">
        <v>1</v>
      </c>
      <c r="M56" s="77">
        <v>1</v>
      </c>
      <c r="N56" s="77">
        <v>1</v>
      </c>
      <c r="O56" s="78">
        <f t="shared" si="9"/>
        <v>12</v>
      </c>
    </row>
    <row r="57" spans="1:15" hidden="1" x14ac:dyDescent="0.25">
      <c r="A57" s="80" t="s">
        <v>141</v>
      </c>
      <c r="B57" s="79"/>
      <c r="C57" s="77">
        <v>1</v>
      </c>
      <c r="D57" s="77">
        <v>1</v>
      </c>
      <c r="E57" s="77">
        <v>1</v>
      </c>
      <c r="F57" s="77">
        <v>1</v>
      </c>
      <c r="G57" s="77">
        <v>1</v>
      </c>
      <c r="H57" s="77">
        <v>1</v>
      </c>
      <c r="I57" s="77">
        <v>1</v>
      </c>
      <c r="J57" s="77">
        <v>1</v>
      </c>
      <c r="K57" s="77">
        <v>1</v>
      </c>
      <c r="L57" s="77">
        <v>1</v>
      </c>
      <c r="M57" s="77">
        <v>1</v>
      </c>
      <c r="N57" s="77">
        <v>1</v>
      </c>
      <c r="O57" s="78">
        <f t="shared" si="9"/>
        <v>12</v>
      </c>
    </row>
    <row r="58" spans="1:15" hidden="1" x14ac:dyDescent="0.25">
      <c r="A58" s="80" t="s">
        <v>141</v>
      </c>
      <c r="B58" s="79"/>
      <c r="C58" s="77">
        <v>1</v>
      </c>
      <c r="D58" s="77">
        <v>1</v>
      </c>
      <c r="E58" s="77">
        <v>1</v>
      </c>
      <c r="F58" s="77">
        <v>1</v>
      </c>
      <c r="G58" s="77">
        <v>1</v>
      </c>
      <c r="H58" s="77">
        <v>1</v>
      </c>
      <c r="I58" s="77">
        <v>1</v>
      </c>
      <c r="J58" s="77">
        <v>1</v>
      </c>
      <c r="K58" s="77">
        <v>1</v>
      </c>
      <c r="L58" s="77">
        <v>1</v>
      </c>
      <c r="M58" s="77">
        <v>1</v>
      </c>
      <c r="N58" s="77">
        <v>1</v>
      </c>
      <c r="O58" s="78">
        <f t="shared" si="9"/>
        <v>12</v>
      </c>
    </row>
    <row r="59" spans="1:15" hidden="1" x14ac:dyDescent="0.25">
      <c r="A59" s="80" t="s">
        <v>141</v>
      </c>
      <c r="B59" s="79"/>
      <c r="C59" s="77">
        <v>1</v>
      </c>
      <c r="D59" s="77">
        <v>1</v>
      </c>
      <c r="E59" s="77">
        <v>1</v>
      </c>
      <c r="F59" s="77">
        <v>1</v>
      </c>
      <c r="G59" s="77">
        <v>1</v>
      </c>
      <c r="H59" s="77">
        <v>1</v>
      </c>
      <c r="I59" s="77">
        <v>1</v>
      </c>
      <c r="J59" s="77">
        <v>1</v>
      </c>
      <c r="K59" s="77">
        <v>1</v>
      </c>
      <c r="L59" s="77">
        <v>1</v>
      </c>
      <c r="M59" s="77">
        <v>1</v>
      </c>
      <c r="N59" s="77">
        <v>1</v>
      </c>
      <c r="O59" s="78">
        <f t="shared" si="9"/>
        <v>12</v>
      </c>
    </row>
    <row r="60" spans="1:15" hidden="1" x14ac:dyDescent="0.25">
      <c r="A60" s="80" t="s">
        <v>142</v>
      </c>
      <c r="B60" s="79"/>
      <c r="C60" s="77">
        <v>1</v>
      </c>
      <c r="D60" s="77">
        <v>1</v>
      </c>
      <c r="E60" s="77">
        <v>1</v>
      </c>
      <c r="F60" s="77">
        <v>1</v>
      </c>
      <c r="G60" s="77">
        <v>1</v>
      </c>
      <c r="H60" s="77">
        <v>1</v>
      </c>
      <c r="I60" s="77">
        <v>1</v>
      </c>
      <c r="J60" s="77">
        <v>1</v>
      </c>
      <c r="K60" s="77">
        <v>1</v>
      </c>
      <c r="L60" s="77">
        <v>1</v>
      </c>
      <c r="M60" s="77">
        <v>1</v>
      </c>
      <c r="N60" s="77">
        <v>1</v>
      </c>
      <c r="O60" s="78">
        <f t="shared" si="9"/>
        <v>12</v>
      </c>
    </row>
    <row r="61" spans="1:15" x14ac:dyDescent="0.25">
      <c r="A61" s="87" t="s">
        <v>143</v>
      </c>
      <c r="B61" s="79"/>
      <c r="C61" s="88">
        <f>SUM(C36:C60)</f>
        <v>4197.3</v>
      </c>
      <c r="D61" s="88">
        <f t="shared" ref="D61:N61" si="11">SUM(D36:D60)</f>
        <v>3983.7</v>
      </c>
      <c r="E61" s="88">
        <f t="shared" si="11"/>
        <v>4384.2</v>
      </c>
      <c r="F61" s="88">
        <f t="shared" si="11"/>
        <v>4037.1</v>
      </c>
      <c r="G61" s="88">
        <f t="shared" si="11"/>
        <v>4197.3</v>
      </c>
      <c r="H61" s="88">
        <f t="shared" si="11"/>
        <v>4250.7</v>
      </c>
      <c r="I61" s="88">
        <f t="shared" si="11"/>
        <v>4090.5</v>
      </c>
      <c r="J61" s="88">
        <f t="shared" si="11"/>
        <v>4010.3999999999996</v>
      </c>
      <c r="K61" s="88">
        <f t="shared" si="11"/>
        <v>3796.8</v>
      </c>
      <c r="L61" s="88">
        <f t="shared" si="11"/>
        <v>3796.8</v>
      </c>
      <c r="M61" s="88">
        <f t="shared" si="11"/>
        <v>3957</v>
      </c>
      <c r="N61" s="88">
        <f t="shared" si="11"/>
        <v>4170.6000000000004</v>
      </c>
      <c r="O61" s="78">
        <f t="shared" si="9"/>
        <v>48872.4</v>
      </c>
    </row>
    <row r="62" spans="1:15" hidden="1" x14ac:dyDescent="0.25">
      <c r="A62" s="80" t="s">
        <v>144</v>
      </c>
      <c r="B62" s="79"/>
      <c r="C62" s="77">
        <v>1</v>
      </c>
      <c r="D62" s="77">
        <v>1</v>
      </c>
      <c r="E62" s="77">
        <v>1</v>
      </c>
      <c r="F62" s="77">
        <v>1</v>
      </c>
      <c r="G62" s="77">
        <v>1</v>
      </c>
      <c r="H62" s="77">
        <v>1</v>
      </c>
      <c r="I62" s="77">
        <v>1</v>
      </c>
      <c r="J62" s="77">
        <v>1</v>
      </c>
      <c r="K62" s="77">
        <v>1</v>
      </c>
      <c r="L62" s="77">
        <v>1</v>
      </c>
      <c r="M62" s="77">
        <v>1</v>
      </c>
      <c r="N62" s="77">
        <v>1</v>
      </c>
      <c r="O62" s="78">
        <f t="shared" si="9"/>
        <v>12</v>
      </c>
    </row>
    <row r="63" spans="1:15" hidden="1" x14ac:dyDescent="0.25">
      <c r="A63" s="80" t="s">
        <v>145</v>
      </c>
      <c r="B63" s="79"/>
      <c r="C63" s="77">
        <v>1</v>
      </c>
      <c r="D63" s="77">
        <v>1</v>
      </c>
      <c r="E63" s="77">
        <v>1</v>
      </c>
      <c r="F63" s="77">
        <v>1</v>
      </c>
      <c r="G63" s="77">
        <v>1</v>
      </c>
      <c r="H63" s="77">
        <v>1</v>
      </c>
      <c r="I63" s="77">
        <v>1</v>
      </c>
      <c r="J63" s="77">
        <v>1</v>
      </c>
      <c r="K63" s="77">
        <v>1</v>
      </c>
      <c r="L63" s="77">
        <v>1</v>
      </c>
      <c r="M63" s="77">
        <v>1</v>
      </c>
      <c r="N63" s="77">
        <v>1</v>
      </c>
      <c r="O63" s="78">
        <f t="shared" si="9"/>
        <v>12</v>
      </c>
    </row>
    <row r="64" spans="1:15" hidden="1" x14ac:dyDescent="0.25">
      <c r="A64" s="80" t="s">
        <v>146</v>
      </c>
      <c r="B64" s="79"/>
      <c r="C64" s="77">
        <v>1</v>
      </c>
      <c r="D64" s="77">
        <v>1</v>
      </c>
      <c r="E64" s="77">
        <v>1</v>
      </c>
      <c r="F64" s="77">
        <v>1</v>
      </c>
      <c r="G64" s="77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8">
        <f t="shared" si="9"/>
        <v>12</v>
      </c>
    </row>
    <row r="65" spans="1:15" hidden="1" x14ac:dyDescent="0.25">
      <c r="A65" s="80" t="s">
        <v>147</v>
      </c>
      <c r="B65" s="79"/>
      <c r="C65" s="77">
        <v>1</v>
      </c>
      <c r="D65" s="77">
        <v>1</v>
      </c>
      <c r="E65" s="77">
        <v>1</v>
      </c>
      <c r="F65" s="77">
        <v>1</v>
      </c>
      <c r="G65" s="77">
        <v>1</v>
      </c>
      <c r="H65" s="77">
        <v>1</v>
      </c>
      <c r="I65" s="77">
        <v>1</v>
      </c>
      <c r="J65" s="77">
        <v>1</v>
      </c>
      <c r="K65" s="77">
        <v>1</v>
      </c>
      <c r="L65" s="77">
        <v>1</v>
      </c>
      <c r="M65" s="77">
        <v>1</v>
      </c>
      <c r="N65" s="77">
        <v>1</v>
      </c>
      <c r="O65" s="78">
        <f t="shared" si="9"/>
        <v>12</v>
      </c>
    </row>
    <row r="66" spans="1:15" hidden="1" x14ac:dyDescent="0.25">
      <c r="A66" s="80" t="s">
        <v>148</v>
      </c>
      <c r="B66" s="79"/>
      <c r="C66" s="77">
        <v>1</v>
      </c>
      <c r="D66" s="77">
        <v>1</v>
      </c>
      <c r="E66" s="77">
        <v>1</v>
      </c>
      <c r="F66" s="77">
        <v>1</v>
      </c>
      <c r="G66" s="77">
        <v>1</v>
      </c>
      <c r="H66" s="77">
        <v>1</v>
      </c>
      <c r="I66" s="77">
        <v>1</v>
      </c>
      <c r="J66" s="77">
        <v>1</v>
      </c>
      <c r="K66" s="77">
        <v>1</v>
      </c>
      <c r="L66" s="77">
        <v>1</v>
      </c>
      <c r="M66" s="77">
        <v>1</v>
      </c>
      <c r="N66" s="77">
        <v>1</v>
      </c>
      <c r="O66" s="78">
        <f t="shared" si="9"/>
        <v>12</v>
      </c>
    </row>
    <row r="67" spans="1:15" ht="15.75" thickBot="1" x14ac:dyDescent="0.3">
      <c r="A67" s="87" t="s">
        <v>149</v>
      </c>
      <c r="B67" s="89"/>
      <c r="C67" s="88">
        <f>C61-SUM(C62:C66)</f>
        <v>4192.3</v>
      </c>
      <c r="D67" s="88">
        <f t="shared" ref="D67:N67" si="12">D61-SUM(D62:D66)</f>
        <v>3978.7</v>
      </c>
      <c r="E67" s="88">
        <f t="shared" si="12"/>
        <v>4379.2</v>
      </c>
      <c r="F67" s="88">
        <f t="shared" si="12"/>
        <v>4032.1</v>
      </c>
      <c r="G67" s="88">
        <f t="shared" si="12"/>
        <v>4192.3</v>
      </c>
      <c r="H67" s="88">
        <f t="shared" si="12"/>
        <v>4245.7</v>
      </c>
      <c r="I67" s="88">
        <f t="shared" si="12"/>
        <v>4085.5</v>
      </c>
      <c r="J67" s="88">
        <f t="shared" si="12"/>
        <v>4005.3999999999996</v>
      </c>
      <c r="K67" s="88">
        <f t="shared" si="12"/>
        <v>3791.8</v>
      </c>
      <c r="L67" s="88">
        <f t="shared" si="12"/>
        <v>3791.8</v>
      </c>
      <c r="M67" s="88">
        <f t="shared" si="12"/>
        <v>3952</v>
      </c>
      <c r="N67" s="88">
        <f t="shared" si="12"/>
        <v>4165.6000000000004</v>
      </c>
      <c r="O67" s="78">
        <f t="shared" si="9"/>
        <v>48812.4</v>
      </c>
    </row>
    <row r="68" spans="1:15" ht="15.75" thickBot="1" x14ac:dyDescent="0.3">
      <c r="A68" s="45" t="s">
        <v>109</v>
      </c>
      <c r="B68" s="90">
        <f t="shared" ref="B68:N68" si="13">B33-B67</f>
        <v>50</v>
      </c>
      <c r="C68" s="90">
        <f t="shared" si="13"/>
        <v>583.59999999999945</v>
      </c>
      <c r="D68" s="90">
        <f t="shared" si="13"/>
        <v>1143.8999999999996</v>
      </c>
      <c r="E68" s="90">
        <f t="shared" si="13"/>
        <v>2638.7</v>
      </c>
      <c r="F68" s="90">
        <f t="shared" si="13"/>
        <v>3323.6</v>
      </c>
      <c r="G68" s="90">
        <f t="shared" si="13"/>
        <v>4382.3</v>
      </c>
      <c r="H68" s="90">
        <f t="shared" si="13"/>
        <v>5565.5999999999995</v>
      </c>
      <c r="I68" s="90">
        <f t="shared" si="13"/>
        <v>6375.0999999999985</v>
      </c>
      <c r="J68" s="90">
        <f t="shared" si="13"/>
        <v>6997.6999999999989</v>
      </c>
      <c r="K68" s="90">
        <f t="shared" si="13"/>
        <v>7121.8999999999987</v>
      </c>
      <c r="L68" s="90">
        <f t="shared" si="13"/>
        <v>7246.0999999999976</v>
      </c>
      <c r="M68" s="90">
        <f t="shared" si="13"/>
        <v>7744.0999999999985</v>
      </c>
      <c r="N68" s="90">
        <f t="shared" si="13"/>
        <v>8740.4999999999982</v>
      </c>
      <c r="O68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40" sqref="F40"/>
    </sheetView>
  </sheetViews>
  <sheetFormatPr defaultRowHeight="15" x14ac:dyDescent="0.25"/>
  <sheetData>
    <row r="1" spans="1:12" x14ac:dyDescent="0.25">
      <c r="A1" s="1" t="s">
        <v>150</v>
      </c>
    </row>
    <row r="3" spans="1:12" x14ac:dyDescent="0.25">
      <c r="A3" t="s">
        <v>151</v>
      </c>
    </row>
    <row r="5" spans="1:12" x14ac:dyDescent="0.25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</row>
    <row r="6" spans="1:12" x14ac:dyDescent="0.25">
      <c r="A6" s="4">
        <v>30</v>
      </c>
      <c r="B6" s="4">
        <v>32</v>
      </c>
      <c r="C6" s="4">
        <v>38</v>
      </c>
      <c r="D6" s="4">
        <v>45</v>
      </c>
      <c r="E6" s="4">
        <v>55</v>
      </c>
      <c r="F6" s="4">
        <v>69</v>
      </c>
      <c r="G6" s="4">
        <v>87</v>
      </c>
      <c r="H6" s="4">
        <v>110</v>
      </c>
      <c r="I6" s="4">
        <v>140</v>
      </c>
      <c r="J6" s="4">
        <v>179</v>
      </c>
      <c r="K6" s="4">
        <v>232</v>
      </c>
      <c r="L6" s="4">
        <v>303</v>
      </c>
    </row>
    <row r="7" spans="1:12" x14ac:dyDescent="0.25">
      <c r="A7" s="4"/>
      <c r="B7" s="92">
        <f>(B6/A6)-1</f>
        <v>6.6666666666666652E-2</v>
      </c>
      <c r="C7" s="92">
        <f t="shared" ref="C7:L7" si="0">(C6/B6)-1</f>
        <v>0.1875</v>
      </c>
      <c r="D7" s="92">
        <f t="shared" si="0"/>
        <v>0.18421052631578938</v>
      </c>
      <c r="E7" s="92">
        <f t="shared" si="0"/>
        <v>0.22222222222222232</v>
      </c>
      <c r="F7" s="92">
        <f t="shared" si="0"/>
        <v>0.25454545454545463</v>
      </c>
      <c r="G7" s="92">
        <f t="shared" si="0"/>
        <v>0.26086956521739135</v>
      </c>
      <c r="H7" s="92">
        <f t="shared" si="0"/>
        <v>0.26436781609195403</v>
      </c>
      <c r="I7" s="92">
        <f t="shared" si="0"/>
        <v>0.27272727272727271</v>
      </c>
      <c r="J7" s="92">
        <f t="shared" si="0"/>
        <v>0.27857142857142847</v>
      </c>
      <c r="K7" s="92">
        <f t="shared" si="0"/>
        <v>0.2960893854748603</v>
      </c>
      <c r="L7" s="92">
        <f t="shared" si="0"/>
        <v>0.30603448275862077</v>
      </c>
    </row>
    <row r="8" spans="1:12" x14ac:dyDescent="0.25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50" sqref="I50"/>
    </sheetView>
  </sheetViews>
  <sheetFormatPr defaultRowHeight="15" x14ac:dyDescent="0.25"/>
  <cols>
    <col min="1" max="1" width="17.85546875" customWidth="1"/>
  </cols>
  <sheetData>
    <row r="1" spans="1:12" x14ac:dyDescent="0.25">
      <c r="A1" s="1" t="s">
        <v>150</v>
      </c>
    </row>
    <row r="3" spans="1:12" x14ac:dyDescent="0.25">
      <c r="A3" t="s">
        <v>151</v>
      </c>
    </row>
    <row r="5" spans="1:12" x14ac:dyDescent="0.25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</row>
    <row r="6" spans="1:12" x14ac:dyDescent="0.25">
      <c r="A6" s="4">
        <v>30</v>
      </c>
      <c r="B6" s="4">
        <v>36</v>
      </c>
      <c r="C6" s="4">
        <v>44</v>
      </c>
      <c r="D6" s="4">
        <v>54</v>
      </c>
      <c r="E6" s="4">
        <v>66</v>
      </c>
      <c r="F6" s="4">
        <v>81</v>
      </c>
      <c r="G6" s="4">
        <v>99</v>
      </c>
      <c r="H6" s="4">
        <v>121</v>
      </c>
      <c r="I6" s="4">
        <v>148</v>
      </c>
      <c r="J6" s="4">
        <v>181</v>
      </c>
      <c r="K6" s="4">
        <v>221</v>
      </c>
      <c r="L6" s="4">
        <v>270</v>
      </c>
    </row>
    <row r="7" spans="1:12" ht="18.75" x14ac:dyDescent="0.3">
      <c r="B7" s="93"/>
      <c r="C7" s="93"/>
      <c r="D7" s="93"/>
      <c r="E7" s="94"/>
      <c r="F7" s="93"/>
      <c r="G7" s="93"/>
      <c r="H7" s="93"/>
      <c r="I7" s="93"/>
      <c r="J7" s="93"/>
      <c r="K7" s="93"/>
      <c r="L7" s="93"/>
    </row>
    <row r="8" spans="1:12" x14ac:dyDescent="0.25">
      <c r="A8" t="s">
        <v>46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  <row r="9" spans="1:12" x14ac:dyDescent="0.25">
      <c r="A9" t="s">
        <v>12</v>
      </c>
    </row>
    <row r="10" spans="1:12" x14ac:dyDescent="0.25">
      <c r="A10" s="7">
        <v>270</v>
      </c>
      <c r="B10" s="4" t="s">
        <v>152</v>
      </c>
      <c r="C10" t="s">
        <v>153</v>
      </c>
    </row>
    <row r="11" spans="1:12" x14ac:dyDescent="0.25">
      <c r="A11" s="7">
        <v>0.2</v>
      </c>
      <c r="B11" s="4" t="s">
        <v>13</v>
      </c>
      <c r="C11" t="s">
        <v>14</v>
      </c>
    </row>
    <row r="12" spans="1:12" x14ac:dyDescent="0.25">
      <c r="A12" s="7">
        <v>1.5</v>
      </c>
      <c r="B12" s="4" t="s">
        <v>15</v>
      </c>
      <c r="C12" t="s">
        <v>16</v>
      </c>
    </row>
    <row r="14" spans="1:12" x14ac:dyDescent="0.25">
      <c r="B14" s="4" t="s">
        <v>17</v>
      </c>
      <c r="C14" t="s">
        <v>18</v>
      </c>
      <c r="E14" s="9"/>
    </row>
    <row r="15" spans="1:12" x14ac:dyDescent="0.25">
      <c r="B15" s="4" t="s">
        <v>154</v>
      </c>
      <c r="C15" t="s">
        <v>155</v>
      </c>
    </row>
    <row r="17" spans="1:3" ht="18.75" x14ac:dyDescent="0.3">
      <c r="A17" s="10" t="s">
        <v>156</v>
      </c>
      <c r="B17" s="11" t="s">
        <v>157</v>
      </c>
      <c r="C17" s="12"/>
    </row>
    <row r="18" spans="1:3" ht="18.75" x14ac:dyDescent="0.3">
      <c r="A18" s="10"/>
      <c r="B18" s="10">
        <f>A10*EXP((A11*A12))</f>
        <v>364.46187804552085</v>
      </c>
      <c r="C1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9" sqref="H9"/>
    </sheetView>
  </sheetViews>
  <sheetFormatPr defaultRowHeight="15" x14ac:dyDescent="0.25"/>
  <cols>
    <col min="1" max="1" width="20.140625" bestFit="1" customWidth="1"/>
  </cols>
  <sheetData>
    <row r="1" spans="1:11" x14ac:dyDescent="0.25">
      <c r="A1" s="1" t="s">
        <v>0</v>
      </c>
    </row>
    <row r="2" spans="1:11" x14ac:dyDescent="0.25">
      <c r="A2" t="s">
        <v>5</v>
      </c>
    </row>
    <row r="4" spans="1:11" x14ac:dyDescent="0.25">
      <c r="A4" s="2" t="s">
        <v>4</v>
      </c>
      <c r="B4" s="2">
        <v>1000</v>
      </c>
    </row>
    <row r="5" spans="1:11" x14ac:dyDescent="0.25">
      <c r="A5" s="3" t="s">
        <v>1</v>
      </c>
      <c r="B5" s="3">
        <f>SUM(B8:K8)</f>
        <v>10000</v>
      </c>
    </row>
    <row r="7" spans="1:11" x14ac:dyDescent="0.25">
      <c r="B7" s="4">
        <v>2016</v>
      </c>
      <c r="C7" s="4">
        <f>B7+1</f>
        <v>2017</v>
      </c>
      <c r="D7" s="4">
        <f t="shared" ref="D7:K7" si="0">C7+1</f>
        <v>2018</v>
      </c>
      <c r="E7" s="4">
        <f t="shared" si="0"/>
        <v>2019</v>
      </c>
      <c r="F7" s="4">
        <f t="shared" si="0"/>
        <v>2020</v>
      </c>
      <c r="G7" s="4">
        <f t="shared" si="0"/>
        <v>2021</v>
      </c>
      <c r="H7" s="4">
        <f t="shared" si="0"/>
        <v>2022</v>
      </c>
      <c r="I7" s="4">
        <f t="shared" si="0"/>
        <v>2023</v>
      </c>
      <c r="J7" s="4">
        <f t="shared" si="0"/>
        <v>2024</v>
      </c>
      <c r="K7" s="4">
        <f t="shared" si="0"/>
        <v>2025</v>
      </c>
    </row>
    <row r="8" spans="1:11" x14ac:dyDescent="0.25">
      <c r="A8" t="s">
        <v>2</v>
      </c>
      <c r="B8" s="5">
        <f t="shared" ref="B8:K8" si="1">$B$4</f>
        <v>1000</v>
      </c>
      <c r="C8" s="5">
        <f t="shared" si="1"/>
        <v>1000</v>
      </c>
      <c r="D8" s="5">
        <f t="shared" si="1"/>
        <v>1000</v>
      </c>
      <c r="E8" s="5">
        <f t="shared" si="1"/>
        <v>1000</v>
      </c>
      <c r="F8" s="5">
        <f t="shared" si="1"/>
        <v>1000</v>
      </c>
      <c r="G8" s="5">
        <f t="shared" si="1"/>
        <v>1000</v>
      </c>
      <c r="H8" s="5">
        <f t="shared" si="1"/>
        <v>1000</v>
      </c>
      <c r="I8" s="5">
        <f t="shared" si="1"/>
        <v>1000</v>
      </c>
      <c r="J8" s="5">
        <f t="shared" si="1"/>
        <v>1000</v>
      </c>
      <c r="K8" s="5">
        <f t="shared" si="1"/>
        <v>1000</v>
      </c>
    </row>
    <row r="9" spans="1:11" x14ac:dyDescent="0.25">
      <c r="A9" t="s">
        <v>3</v>
      </c>
      <c r="B9" s="5">
        <f>B8</f>
        <v>1000</v>
      </c>
      <c r="C9" s="5">
        <f>B9+C8</f>
        <v>2000</v>
      </c>
      <c r="D9" s="5">
        <f t="shared" ref="D9:K9" si="2">C9+D8</f>
        <v>3000</v>
      </c>
      <c r="E9" s="5">
        <f t="shared" si="2"/>
        <v>4000</v>
      </c>
      <c r="F9" s="5">
        <f t="shared" si="2"/>
        <v>5000</v>
      </c>
      <c r="G9" s="5">
        <f t="shared" si="2"/>
        <v>6000</v>
      </c>
      <c r="H9" s="5">
        <f t="shared" si="2"/>
        <v>7000</v>
      </c>
      <c r="I9" s="5">
        <f t="shared" si="2"/>
        <v>8000</v>
      </c>
      <c r="J9" s="5">
        <f t="shared" si="2"/>
        <v>9000</v>
      </c>
      <c r="K9" s="5">
        <f t="shared" si="2"/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9" sqref="E9"/>
    </sheetView>
  </sheetViews>
  <sheetFormatPr defaultRowHeight="15" x14ac:dyDescent="0.25"/>
  <cols>
    <col min="1" max="1" width="29" customWidth="1"/>
    <col min="2" max="2" width="9.28515625" bestFit="1" customWidth="1"/>
    <col min="3" max="11" width="6.5703125" bestFit="1" customWidth="1"/>
  </cols>
  <sheetData>
    <row r="1" spans="1:12" x14ac:dyDescent="0.25">
      <c r="A1" s="1" t="s">
        <v>0</v>
      </c>
    </row>
    <row r="2" spans="1:12" x14ac:dyDescent="0.25">
      <c r="A2" t="s">
        <v>6</v>
      </c>
    </row>
    <row r="4" spans="1:12" x14ac:dyDescent="0.25">
      <c r="A4" s="2" t="s">
        <v>8</v>
      </c>
      <c r="B4" s="2">
        <v>10000</v>
      </c>
    </row>
    <row r="5" spans="1:12" x14ac:dyDescent="0.25">
      <c r="A5" s="7" t="s">
        <v>7</v>
      </c>
      <c r="B5" s="8">
        <v>1.4999999999999999E-2</v>
      </c>
    </row>
    <row r="6" spans="1:12" x14ac:dyDescent="0.25">
      <c r="A6" s="3" t="s">
        <v>1</v>
      </c>
      <c r="B6" s="6">
        <f>K9</f>
        <v>11433.899753942354</v>
      </c>
    </row>
    <row r="8" spans="1:12" x14ac:dyDescent="0.25">
      <c r="B8" s="4">
        <v>2016</v>
      </c>
      <c r="C8" s="4">
        <f>B8+1</f>
        <v>2017</v>
      </c>
      <c r="D8" s="4">
        <f t="shared" ref="D8:K8" si="0">C8+1</f>
        <v>2018</v>
      </c>
      <c r="E8" s="4">
        <f t="shared" si="0"/>
        <v>2019</v>
      </c>
      <c r="F8" s="4">
        <f t="shared" si="0"/>
        <v>2020</v>
      </c>
      <c r="G8" s="4">
        <f t="shared" si="0"/>
        <v>2021</v>
      </c>
      <c r="H8" s="4">
        <f t="shared" si="0"/>
        <v>2022</v>
      </c>
      <c r="I8" s="4">
        <f t="shared" si="0"/>
        <v>2023</v>
      </c>
      <c r="J8" s="4">
        <f t="shared" si="0"/>
        <v>2024</v>
      </c>
      <c r="K8" s="4">
        <f t="shared" si="0"/>
        <v>2025</v>
      </c>
      <c r="L8" s="4"/>
    </row>
    <row r="9" spans="1:12" x14ac:dyDescent="0.25">
      <c r="A9" t="s">
        <v>9</v>
      </c>
      <c r="B9" s="5">
        <f>$B$4</f>
        <v>10000</v>
      </c>
      <c r="C9" s="5">
        <f t="shared" ref="C9:K9" si="1">B9*(1+$B$5)</f>
        <v>10149.999999999998</v>
      </c>
      <c r="D9" s="5">
        <f t="shared" si="1"/>
        <v>10302.249999999996</v>
      </c>
      <c r="E9" s="5">
        <f t="shared" si="1"/>
        <v>10456.783749999995</v>
      </c>
      <c r="F9" s="5">
        <f t="shared" si="1"/>
        <v>10613.635506249993</v>
      </c>
      <c r="G9" s="5">
        <f t="shared" si="1"/>
        <v>10772.840038843742</v>
      </c>
      <c r="H9" s="5">
        <f t="shared" si="1"/>
        <v>10934.432639426397</v>
      </c>
      <c r="I9" s="5">
        <f t="shared" si="1"/>
        <v>11098.449129017792</v>
      </c>
      <c r="J9" s="5">
        <f t="shared" si="1"/>
        <v>11264.925865953059</v>
      </c>
      <c r="K9" s="5">
        <f t="shared" si="1"/>
        <v>11433.899753942354</v>
      </c>
      <c r="L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33.7109375" customWidth="1"/>
  </cols>
  <sheetData>
    <row r="1" spans="1:5" x14ac:dyDescent="0.25">
      <c r="A1" s="1" t="s">
        <v>11</v>
      </c>
    </row>
    <row r="2" spans="1:5" x14ac:dyDescent="0.25">
      <c r="A2" t="s">
        <v>10</v>
      </c>
    </row>
    <row r="4" spans="1:5" x14ac:dyDescent="0.25">
      <c r="A4" t="s">
        <v>12</v>
      </c>
    </row>
    <row r="5" spans="1:5" x14ac:dyDescent="0.25">
      <c r="A5" s="7">
        <v>15</v>
      </c>
      <c r="B5" s="4" t="s">
        <v>21</v>
      </c>
      <c r="C5" t="s">
        <v>19</v>
      </c>
    </row>
    <row r="6" spans="1:5" x14ac:dyDescent="0.25">
      <c r="A6" s="7">
        <v>0.15</v>
      </c>
      <c r="B6" s="4" t="s">
        <v>13</v>
      </c>
      <c r="C6" t="s">
        <v>14</v>
      </c>
    </row>
    <row r="7" spans="1:5" x14ac:dyDescent="0.25">
      <c r="A7" s="7">
        <v>7.5</v>
      </c>
      <c r="B7" s="4" t="s">
        <v>15</v>
      </c>
      <c r="C7" t="s">
        <v>16</v>
      </c>
    </row>
    <row r="9" spans="1:5" x14ac:dyDescent="0.25">
      <c r="B9" s="4" t="s">
        <v>17</v>
      </c>
      <c r="C9" t="s">
        <v>18</v>
      </c>
      <c r="E9" s="9"/>
    </row>
    <row r="10" spans="1:5" x14ac:dyDescent="0.25">
      <c r="B10" s="4" t="s">
        <v>22</v>
      </c>
      <c r="C10" t="s">
        <v>20</v>
      </c>
    </row>
    <row r="12" spans="1:5" ht="18.75" x14ac:dyDescent="0.3">
      <c r="A12" s="10" t="s">
        <v>23</v>
      </c>
      <c r="B12" s="11" t="s">
        <v>24</v>
      </c>
      <c r="C12" s="12"/>
    </row>
    <row r="13" spans="1:5" ht="18.75" x14ac:dyDescent="0.3">
      <c r="A13" s="10"/>
      <c r="B13" s="10">
        <f>A5*EXP((A6*A7))</f>
        <v>46.203252733770469</v>
      </c>
      <c r="C1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zoomScale="66" zoomScaleNormal="66" workbookViewId="0">
      <selection activeCell="N11" sqref="N11"/>
    </sheetView>
  </sheetViews>
  <sheetFormatPr defaultRowHeight="15" x14ac:dyDescent="0.25"/>
  <cols>
    <col min="1" max="1" width="32.85546875" bestFit="1" customWidth="1"/>
    <col min="2" max="2" width="13.140625" bestFit="1" customWidth="1"/>
    <col min="3" max="4" width="15.42578125" bestFit="1" customWidth="1"/>
    <col min="5" max="5" width="11.85546875" style="16" customWidth="1"/>
    <col min="6" max="8" width="11.140625" bestFit="1" customWidth="1"/>
    <col min="9" max="9" width="11.140625" customWidth="1"/>
    <col min="11" max="11" width="13.7109375" bestFit="1" customWidth="1"/>
    <col min="12" max="12" width="12" bestFit="1" customWidth="1"/>
    <col min="13" max="13" width="9.140625" style="4"/>
    <col min="14" max="14" width="14.85546875" customWidth="1"/>
    <col min="15" max="15" width="14.140625" bestFit="1" customWidth="1"/>
  </cols>
  <sheetData>
    <row r="1" spans="1:15" ht="30" x14ac:dyDescent="0.25">
      <c r="A1" s="30" t="s">
        <v>41</v>
      </c>
      <c r="B1" s="18"/>
      <c r="C1" s="18"/>
      <c r="D1" s="30" t="s">
        <v>29</v>
      </c>
      <c r="E1" s="31"/>
      <c r="F1" s="18"/>
      <c r="G1" s="30" t="s">
        <v>30</v>
      </c>
      <c r="H1" s="18"/>
      <c r="I1" s="18"/>
      <c r="J1" s="30" t="s">
        <v>31</v>
      </c>
      <c r="K1" s="18"/>
      <c r="L1" s="18"/>
      <c r="M1" s="21"/>
      <c r="N1" s="32" t="s">
        <v>42</v>
      </c>
      <c r="O1" s="30" t="s">
        <v>46</v>
      </c>
    </row>
    <row r="2" spans="1:15" ht="30.75" customHeight="1" x14ac:dyDescent="0.25"/>
    <row r="3" spans="1:15" x14ac:dyDescent="0.25">
      <c r="A3" s="26" t="s">
        <v>26</v>
      </c>
      <c r="B3" s="26">
        <v>100000</v>
      </c>
    </row>
    <row r="4" spans="1:15" x14ac:dyDescent="0.25">
      <c r="A4" s="26" t="s">
        <v>25</v>
      </c>
      <c r="B4" s="26">
        <v>500000</v>
      </c>
      <c r="L4" t="s">
        <v>27</v>
      </c>
      <c r="M4" s="4">
        <v>0.9</v>
      </c>
    </row>
    <row r="5" spans="1:15" x14ac:dyDescent="0.25">
      <c r="A5" t="s">
        <v>43</v>
      </c>
      <c r="B5" s="26">
        <v>3000000</v>
      </c>
      <c r="N5" s="4">
        <f>M4*H8*D10</f>
        <v>0.27</v>
      </c>
      <c r="O5" s="28">
        <f>($B$6+$B$7)*N5-$B$3-$B$4-$B$5</f>
        <v>8658000</v>
      </c>
    </row>
    <row r="6" spans="1:15" x14ac:dyDescent="0.25">
      <c r="A6" t="s">
        <v>44</v>
      </c>
      <c r="B6" s="26">
        <v>400000</v>
      </c>
      <c r="K6" s="4" t="s">
        <v>35</v>
      </c>
      <c r="L6" s="24"/>
    </row>
    <row r="7" spans="1:15" x14ac:dyDescent="0.25">
      <c r="A7" t="s">
        <v>45</v>
      </c>
      <c r="B7" s="26">
        <v>45000000</v>
      </c>
      <c r="H7" s="4" t="s">
        <v>27</v>
      </c>
      <c r="J7" s="13" t="s">
        <v>38</v>
      </c>
    </row>
    <row r="8" spans="1:15" x14ac:dyDescent="0.25">
      <c r="H8" s="4">
        <v>0.75</v>
      </c>
      <c r="L8" s="24"/>
    </row>
    <row r="9" spans="1:15" ht="30" x14ac:dyDescent="0.25">
      <c r="D9" s="23" t="s">
        <v>27</v>
      </c>
      <c r="E9" s="17" t="s">
        <v>34</v>
      </c>
      <c r="F9" s="18" t="s">
        <v>35</v>
      </c>
      <c r="J9" s="22" t="s">
        <v>36</v>
      </c>
      <c r="K9" s="22" t="s">
        <v>40</v>
      </c>
      <c r="L9" s="25" t="s">
        <v>28</v>
      </c>
      <c r="M9" s="22">
        <v>0.1</v>
      </c>
      <c r="N9" s="21">
        <f>M9*H8*D10</f>
        <v>3.0000000000000006E-2</v>
      </c>
      <c r="O9" s="29"/>
    </row>
    <row r="10" spans="1:15" x14ac:dyDescent="0.25">
      <c r="D10" s="19">
        <v>0.4</v>
      </c>
      <c r="H10" s="22" t="s">
        <v>28</v>
      </c>
      <c r="J10" s="13" t="s">
        <v>38</v>
      </c>
      <c r="L10" t="s">
        <v>27</v>
      </c>
      <c r="M10" s="4">
        <v>0.1</v>
      </c>
      <c r="N10" s="4">
        <f>M10*H11*D10</f>
        <v>1.0000000000000002E-2</v>
      </c>
      <c r="O10" s="29">
        <f>($B$6+$B$7)*N10-$B$3-$B$4-$B$5</f>
        <v>-3146000</v>
      </c>
    </row>
    <row r="11" spans="1:15" ht="36" x14ac:dyDescent="0.55000000000000004">
      <c r="B11" s="15" t="s">
        <v>32</v>
      </c>
      <c r="C11" s="4" t="s">
        <v>33</v>
      </c>
      <c r="D11" s="14"/>
      <c r="E11" s="22" t="s">
        <v>36</v>
      </c>
      <c r="F11" s="20" t="s">
        <v>40</v>
      </c>
      <c r="H11" s="21">
        <v>0.25</v>
      </c>
      <c r="K11" s="21" t="s">
        <v>35</v>
      </c>
      <c r="O11" s="29"/>
    </row>
    <row r="12" spans="1:15" x14ac:dyDescent="0.25">
      <c r="L12" t="s">
        <v>28</v>
      </c>
      <c r="M12" s="4">
        <v>0.9</v>
      </c>
      <c r="N12" s="22">
        <f>M12*H11*D10</f>
        <v>9.0000000000000011E-2</v>
      </c>
      <c r="O12" s="29"/>
    </row>
    <row r="13" spans="1:15" ht="30" x14ac:dyDescent="0.25">
      <c r="D13" t="s">
        <v>28</v>
      </c>
      <c r="E13" s="17" t="s">
        <v>34</v>
      </c>
      <c r="F13" s="21" t="s">
        <v>35</v>
      </c>
      <c r="O13" s="29"/>
    </row>
    <row r="14" spans="1:15" x14ac:dyDescent="0.25">
      <c r="D14" s="19">
        <v>0.6</v>
      </c>
      <c r="K14" s="4" t="s">
        <v>36</v>
      </c>
      <c r="O14" s="29"/>
    </row>
    <row r="15" spans="1:15" ht="19.5" customHeight="1" x14ac:dyDescent="0.25">
      <c r="F15" s="4" t="s">
        <v>36</v>
      </c>
      <c r="L15" s="21" t="s">
        <v>40</v>
      </c>
      <c r="O15" s="29"/>
    </row>
    <row r="16" spans="1:15" x14ac:dyDescent="0.25">
      <c r="C16" s="21" t="s">
        <v>37</v>
      </c>
      <c r="D16" s="22" t="s">
        <v>39</v>
      </c>
      <c r="F16" t="s">
        <v>40</v>
      </c>
      <c r="O16" s="29"/>
    </row>
    <row r="17" spans="4:15" x14ac:dyDescent="0.25">
      <c r="D17" s="4"/>
      <c r="L17" t="s">
        <v>27</v>
      </c>
      <c r="M17" s="4">
        <v>0.7</v>
      </c>
      <c r="N17" s="27">
        <f>M17*H19*D14</f>
        <v>8.3999999999999991E-2</v>
      </c>
      <c r="O17" s="29">
        <f t="shared" ref="O17:O23" si="0">($B$6+$B$7)*N17-$B$3-$B$4-$B$5</f>
        <v>213599.99999999953</v>
      </c>
    </row>
    <row r="18" spans="4:15" x14ac:dyDescent="0.25">
      <c r="H18" s="4" t="s">
        <v>27</v>
      </c>
      <c r="J18" s="13" t="s">
        <v>38</v>
      </c>
      <c r="O18" s="29"/>
    </row>
    <row r="19" spans="4:15" x14ac:dyDescent="0.25">
      <c r="H19" s="4">
        <v>0.2</v>
      </c>
      <c r="O19" s="29"/>
    </row>
    <row r="20" spans="4:15" x14ac:dyDescent="0.25">
      <c r="J20" t="s">
        <v>36</v>
      </c>
      <c r="K20" s="22" t="s">
        <v>40</v>
      </c>
      <c r="O20" s="29"/>
    </row>
    <row r="21" spans="4:15" x14ac:dyDescent="0.25">
      <c r="L21" t="s">
        <v>28</v>
      </c>
      <c r="M21" s="4">
        <v>0.3</v>
      </c>
      <c r="N21" s="27">
        <f>M21*H19*D14</f>
        <v>3.5999999999999997E-2</v>
      </c>
      <c r="O21" s="29"/>
    </row>
    <row r="22" spans="4:15" x14ac:dyDescent="0.25">
      <c r="O22" s="29"/>
    </row>
    <row r="23" spans="4:15" x14ac:dyDescent="0.25">
      <c r="H23" s="22" t="s">
        <v>28</v>
      </c>
      <c r="J23" s="13" t="s">
        <v>38</v>
      </c>
      <c r="K23" s="4" t="s">
        <v>35</v>
      </c>
      <c r="L23" t="s">
        <v>27</v>
      </c>
      <c r="M23" s="4">
        <v>0.05</v>
      </c>
      <c r="N23" s="27">
        <f>M23*H24*D14</f>
        <v>2.4000000000000004E-2</v>
      </c>
      <c r="O23" s="29">
        <f t="shared" si="0"/>
        <v>-2510400</v>
      </c>
    </row>
    <row r="24" spans="4:15" x14ac:dyDescent="0.25">
      <c r="H24" s="4">
        <v>0.8</v>
      </c>
      <c r="O24" s="29"/>
    </row>
    <row r="25" spans="4:15" x14ac:dyDescent="0.25">
      <c r="J25" t="s">
        <v>36</v>
      </c>
      <c r="O25" s="29"/>
    </row>
    <row r="26" spans="4:15" x14ac:dyDescent="0.25">
      <c r="O26" s="29"/>
    </row>
    <row r="27" spans="4:15" x14ac:dyDescent="0.25">
      <c r="L27" t="s">
        <v>28</v>
      </c>
      <c r="M27" s="4">
        <v>0.95</v>
      </c>
      <c r="N27" s="27">
        <f>M27*H24*D14</f>
        <v>0.45599999999999996</v>
      </c>
      <c r="O27" s="29"/>
    </row>
    <row r="29" spans="4:15" x14ac:dyDescent="0.25">
      <c r="K29" s="22" t="s">
        <v>40</v>
      </c>
    </row>
    <row r="30" spans="4:15" x14ac:dyDescent="0.25">
      <c r="M30" s="4" t="s">
        <v>47</v>
      </c>
      <c r="N30" s="33">
        <f>SUM(N5:N27)</f>
        <v>1</v>
      </c>
    </row>
  </sheetData>
  <pageMargins left="0.25" right="0.25" top="0.75" bottom="0.75" header="0.3" footer="0.3"/>
  <pageSetup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3" sqref="B3"/>
    </sheetView>
  </sheetViews>
  <sheetFormatPr defaultRowHeight="15" x14ac:dyDescent="0.25"/>
  <cols>
    <col min="1" max="1" width="18.7109375" bestFit="1" customWidth="1"/>
  </cols>
  <sheetData>
    <row r="1" spans="1:2" x14ac:dyDescent="0.25">
      <c r="A1" s="1" t="s">
        <v>48</v>
      </c>
    </row>
    <row r="2" spans="1:2" x14ac:dyDescent="0.25">
      <c r="A2" t="s">
        <v>158</v>
      </c>
      <c r="B2">
        <f>CORREL(A4:A51,B4:B51)</f>
        <v>0.98907066379810948</v>
      </c>
    </row>
    <row r="3" spans="1:2" x14ac:dyDescent="0.25">
      <c r="A3" t="s">
        <v>49</v>
      </c>
      <c r="B3" t="s">
        <v>50</v>
      </c>
    </row>
    <row r="4" spans="1:2" x14ac:dyDescent="0.25">
      <c r="A4">
        <v>0.17</v>
      </c>
      <c r="B4">
        <v>355</v>
      </c>
    </row>
    <row r="5" spans="1:2" x14ac:dyDescent="0.25">
      <c r="A5">
        <v>0.16</v>
      </c>
      <c r="B5">
        <v>328</v>
      </c>
    </row>
    <row r="6" spans="1:2" x14ac:dyDescent="0.25">
      <c r="A6">
        <v>0.17</v>
      </c>
      <c r="B6">
        <v>350</v>
      </c>
    </row>
    <row r="7" spans="1:2" x14ac:dyDescent="0.25">
      <c r="A7">
        <v>0.18</v>
      </c>
      <c r="B7">
        <v>325</v>
      </c>
    </row>
    <row r="8" spans="1:2" x14ac:dyDescent="0.25">
      <c r="A8">
        <v>0.25</v>
      </c>
      <c r="B8">
        <v>642</v>
      </c>
    </row>
    <row r="9" spans="1:2" x14ac:dyDescent="0.25">
      <c r="A9">
        <v>0.16</v>
      </c>
      <c r="B9">
        <v>342</v>
      </c>
    </row>
    <row r="10" spans="1:2" x14ac:dyDescent="0.25">
      <c r="A10">
        <v>0.15</v>
      </c>
      <c r="B10">
        <v>322</v>
      </c>
    </row>
    <row r="11" spans="1:2" x14ac:dyDescent="0.25">
      <c r="A11">
        <v>0.19</v>
      </c>
      <c r="B11">
        <v>485</v>
      </c>
    </row>
    <row r="12" spans="1:2" x14ac:dyDescent="0.25">
      <c r="A12">
        <v>0.21</v>
      </c>
      <c r="B12">
        <v>483</v>
      </c>
    </row>
    <row r="13" spans="1:2" x14ac:dyDescent="0.25">
      <c r="A13">
        <v>0.15</v>
      </c>
      <c r="B13">
        <v>323</v>
      </c>
    </row>
    <row r="14" spans="1:2" x14ac:dyDescent="0.25">
      <c r="A14">
        <v>0.18</v>
      </c>
      <c r="B14">
        <v>462</v>
      </c>
    </row>
    <row r="15" spans="1:2" x14ac:dyDescent="0.25">
      <c r="A15">
        <v>0.28000000000000003</v>
      </c>
      <c r="B15">
        <v>823</v>
      </c>
    </row>
    <row r="16" spans="1:2" x14ac:dyDescent="0.25">
      <c r="A16">
        <v>0.16</v>
      </c>
      <c r="B16">
        <v>336</v>
      </c>
    </row>
    <row r="17" spans="1:2" x14ac:dyDescent="0.25">
      <c r="A17">
        <v>0.2</v>
      </c>
      <c r="B17">
        <v>498</v>
      </c>
    </row>
    <row r="18" spans="1:2" x14ac:dyDescent="0.25">
      <c r="A18">
        <v>0.23</v>
      </c>
      <c r="B18">
        <v>595</v>
      </c>
    </row>
    <row r="19" spans="1:2" x14ac:dyDescent="0.25">
      <c r="A19">
        <v>0.28999999999999998</v>
      </c>
      <c r="B19">
        <v>860</v>
      </c>
    </row>
    <row r="20" spans="1:2" x14ac:dyDescent="0.25">
      <c r="A20">
        <v>0.12</v>
      </c>
      <c r="B20">
        <v>223</v>
      </c>
    </row>
    <row r="21" spans="1:2" x14ac:dyDescent="0.25">
      <c r="A21">
        <v>0.26</v>
      </c>
      <c r="B21">
        <v>663</v>
      </c>
    </row>
    <row r="22" spans="1:2" x14ac:dyDescent="0.25">
      <c r="A22">
        <v>0.25</v>
      </c>
      <c r="B22">
        <v>750</v>
      </c>
    </row>
    <row r="23" spans="1:2" x14ac:dyDescent="0.25">
      <c r="A23">
        <v>0.27</v>
      </c>
      <c r="B23">
        <v>720</v>
      </c>
    </row>
    <row r="24" spans="1:2" x14ac:dyDescent="0.25">
      <c r="A24">
        <v>0.18</v>
      </c>
      <c r="B24">
        <v>468</v>
      </c>
    </row>
    <row r="25" spans="1:2" x14ac:dyDescent="0.25">
      <c r="A25">
        <v>0.16</v>
      </c>
      <c r="B25">
        <v>345</v>
      </c>
    </row>
    <row r="26" spans="1:2" x14ac:dyDescent="0.25">
      <c r="A26">
        <v>0.17</v>
      </c>
      <c r="B26">
        <v>352</v>
      </c>
    </row>
    <row r="27" spans="1:2" x14ac:dyDescent="0.25">
      <c r="A27">
        <v>0.16</v>
      </c>
      <c r="B27">
        <v>332</v>
      </c>
    </row>
    <row r="28" spans="1:2" x14ac:dyDescent="0.25">
      <c r="A28">
        <v>0.17</v>
      </c>
      <c r="B28">
        <v>353</v>
      </c>
    </row>
    <row r="29" spans="1:2" x14ac:dyDescent="0.25">
      <c r="A29">
        <v>0.18</v>
      </c>
      <c r="B29">
        <v>438</v>
      </c>
    </row>
    <row r="30" spans="1:2" x14ac:dyDescent="0.25">
      <c r="A30">
        <v>0.17</v>
      </c>
      <c r="B30">
        <v>318</v>
      </c>
    </row>
    <row r="31" spans="1:2" x14ac:dyDescent="0.25">
      <c r="A31">
        <v>0.18</v>
      </c>
      <c r="B31">
        <v>419</v>
      </c>
    </row>
    <row r="32" spans="1:2" x14ac:dyDescent="0.25">
      <c r="A32">
        <v>0.17</v>
      </c>
      <c r="B32">
        <v>346</v>
      </c>
    </row>
    <row r="33" spans="1:2" x14ac:dyDescent="0.25">
      <c r="A33">
        <v>0.15</v>
      </c>
      <c r="B33">
        <v>315</v>
      </c>
    </row>
    <row r="34" spans="1:2" x14ac:dyDescent="0.25">
      <c r="A34">
        <v>0.17</v>
      </c>
      <c r="B34">
        <v>350</v>
      </c>
    </row>
    <row r="35" spans="1:2" x14ac:dyDescent="0.25">
      <c r="A35">
        <v>0.32</v>
      </c>
      <c r="B35">
        <v>918</v>
      </c>
    </row>
    <row r="36" spans="1:2" x14ac:dyDescent="0.25">
      <c r="A36">
        <v>0.32</v>
      </c>
      <c r="B36">
        <v>919</v>
      </c>
    </row>
    <row r="37" spans="1:2" x14ac:dyDescent="0.25">
      <c r="A37">
        <v>0.15</v>
      </c>
      <c r="B37">
        <v>298</v>
      </c>
    </row>
    <row r="38" spans="1:2" x14ac:dyDescent="0.25">
      <c r="A38">
        <v>0.16</v>
      </c>
      <c r="B38">
        <v>339</v>
      </c>
    </row>
    <row r="39" spans="1:2" x14ac:dyDescent="0.25">
      <c r="A39">
        <v>0.16</v>
      </c>
      <c r="B39">
        <v>338</v>
      </c>
    </row>
    <row r="40" spans="1:2" x14ac:dyDescent="0.25">
      <c r="A40">
        <v>0.23</v>
      </c>
      <c r="B40">
        <v>595</v>
      </c>
    </row>
    <row r="41" spans="1:2" x14ac:dyDescent="0.25">
      <c r="A41">
        <v>0.23</v>
      </c>
      <c r="B41">
        <v>553</v>
      </c>
    </row>
    <row r="42" spans="1:2" x14ac:dyDescent="0.25">
      <c r="A42">
        <v>0.17</v>
      </c>
      <c r="B42">
        <v>345</v>
      </c>
    </row>
    <row r="43" spans="1:2" x14ac:dyDescent="0.25">
      <c r="A43">
        <v>0.33</v>
      </c>
      <c r="B43">
        <v>945</v>
      </c>
    </row>
    <row r="44" spans="1:2" x14ac:dyDescent="0.25">
      <c r="A44">
        <v>0.25</v>
      </c>
      <c r="B44">
        <v>655</v>
      </c>
    </row>
    <row r="45" spans="1:2" x14ac:dyDescent="0.25">
      <c r="A45">
        <v>0.35</v>
      </c>
      <c r="B45">
        <v>1086</v>
      </c>
    </row>
    <row r="46" spans="1:2" x14ac:dyDescent="0.25">
      <c r="A46">
        <v>0.18</v>
      </c>
      <c r="B46">
        <v>443</v>
      </c>
    </row>
    <row r="47" spans="1:2" x14ac:dyDescent="0.25">
      <c r="A47">
        <v>0.25</v>
      </c>
      <c r="B47">
        <v>678</v>
      </c>
    </row>
    <row r="48" spans="1:2" x14ac:dyDescent="0.25">
      <c r="A48">
        <v>0.25</v>
      </c>
      <c r="B48">
        <v>675</v>
      </c>
    </row>
    <row r="49" spans="1:2" x14ac:dyDescent="0.25">
      <c r="A49">
        <v>0.15</v>
      </c>
      <c r="B49">
        <v>287</v>
      </c>
    </row>
    <row r="50" spans="1:2" x14ac:dyDescent="0.25">
      <c r="A50">
        <v>0.26</v>
      </c>
      <c r="B50">
        <v>693</v>
      </c>
    </row>
    <row r="51" spans="1:2" x14ac:dyDescent="0.25">
      <c r="A51">
        <v>0.15</v>
      </c>
      <c r="B51">
        <v>316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Historical Sales</vt:lpstr>
      <vt:lpstr>Cashflow</vt:lpstr>
      <vt:lpstr>Customer Acquisition</vt:lpstr>
      <vt:lpstr>Customer Acquisition Exp Growth</vt:lpstr>
      <vt:lpstr>Linear growth constant</vt:lpstr>
      <vt:lpstr>Linear growth proportionate</vt:lpstr>
      <vt:lpstr>Linear growth exponential</vt:lpstr>
      <vt:lpstr>Probability tree</vt:lpstr>
      <vt:lpstr>Regression analysis</vt:lpstr>
      <vt:lpstr>Regression analysis 2</vt:lpstr>
      <vt:lpstr>Regression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Huesman</dc:creator>
  <cp:lastModifiedBy>Huesman</cp:lastModifiedBy>
  <cp:lastPrinted>2016-02-09T15:25:15Z</cp:lastPrinted>
  <dcterms:created xsi:type="dcterms:W3CDTF">2016-02-08T00:40:53Z</dcterms:created>
  <dcterms:modified xsi:type="dcterms:W3CDTF">2016-03-17T20:21:43Z</dcterms:modified>
</cp:coreProperties>
</file>