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-120" yWindow="-120" windowWidth="20730" windowHeight="11160"/>
  </bookViews>
  <sheets>
    <sheet name="Q1 &amp; Q2" sheetId="1" r:id="rId1"/>
    <sheet name="Option 1" sheetId="2" r:id="rId2"/>
    <sheet name="Option 2" sheetId="3" r:id="rId3"/>
    <sheet name="Option 3" sheetId="4" r:id="rId4"/>
    <sheet name="Financial Analysis" sheetId="7" r:id="rId5"/>
  </sheets>
  <calcPr calcId="18102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7"/>
  <c r="K8" s="1"/>
  <c r="H7"/>
  <c r="K7" s="1"/>
  <c r="H6"/>
  <c r="K6" s="1"/>
  <c r="H5"/>
  <c r="K5" s="1"/>
  <c r="W7" i="4" l="1"/>
  <c r="W9" s="1"/>
  <c r="H19"/>
  <c r="G10"/>
  <c r="H18" s="1"/>
  <c r="H20" s="1"/>
  <c r="Y7"/>
  <c r="Y9" s="1"/>
  <c r="X7"/>
  <c r="X9" s="1"/>
  <c r="U7"/>
  <c r="U9" s="1"/>
  <c r="M10" i="3"/>
  <c r="M12" s="1"/>
  <c r="L10"/>
  <c r="K10"/>
  <c r="K12" s="1"/>
  <c r="J10"/>
  <c r="J12" s="1"/>
  <c r="I10"/>
  <c r="L12"/>
  <c r="I12"/>
  <c r="Y8" i="2"/>
  <c r="Y10" s="1"/>
  <c r="X8"/>
  <c r="X10" s="1"/>
  <c r="W8"/>
  <c r="W10" s="1"/>
  <c r="V8"/>
  <c r="V10" s="1"/>
  <c r="U8"/>
  <c r="U10" s="1"/>
  <c r="V7" i="4" l="1"/>
  <c r="V9" s="1"/>
  <c r="L7" i="1"/>
  <c r="M18" s="1"/>
  <c r="L9"/>
  <c r="M19" s="1"/>
  <c r="K7"/>
  <c r="L18" s="1"/>
  <c r="K9"/>
  <c r="L19" s="1"/>
  <c r="L5"/>
  <c r="M17" s="1"/>
  <c r="K5"/>
  <c r="L17" s="1"/>
  <c r="I5"/>
  <c r="J17" s="1"/>
  <c r="J7" l="1"/>
  <c r="K18" s="1"/>
  <c r="J9"/>
  <c r="K19" s="1"/>
  <c r="J5"/>
  <c r="K17" s="1"/>
  <c r="I7"/>
  <c r="J18" s="1"/>
  <c r="I9"/>
  <c r="J19" s="1"/>
  <c r="H7" l="1"/>
  <c r="I18" s="1"/>
  <c r="H9"/>
  <c r="I19" s="1"/>
  <c r="H5"/>
  <c r="I17" s="1"/>
  <c r="Q6"/>
  <c r="R6"/>
  <c r="S6"/>
  <c r="T6"/>
  <c r="Q5"/>
  <c r="R5"/>
  <c r="S5"/>
  <c r="T5"/>
  <c r="T4"/>
  <c r="Q4"/>
  <c r="R4"/>
  <c r="S4"/>
  <c r="P6"/>
  <c r="P5"/>
  <c r="P4"/>
  <c r="D30" l="1"/>
  <c r="E30"/>
  <c r="F30"/>
  <c r="G30"/>
  <c r="D29"/>
  <c r="E29"/>
  <c r="F29"/>
  <c r="G29"/>
  <c r="D28"/>
  <c r="E28"/>
  <c r="F28"/>
  <c r="T17" s="1"/>
  <c r="G28"/>
  <c r="C30"/>
  <c r="C29"/>
  <c r="C28"/>
  <c r="D14"/>
  <c r="D19" s="1"/>
  <c r="D24" s="1"/>
  <c r="E14"/>
  <c r="E19" s="1"/>
  <c r="E24" s="1"/>
  <c r="F14"/>
  <c r="F19" s="1"/>
  <c r="F24" s="1"/>
  <c r="G14"/>
  <c r="D13"/>
  <c r="D18" s="1"/>
  <c r="D23" s="1"/>
  <c r="E13"/>
  <c r="E18" s="1"/>
  <c r="E23" s="1"/>
  <c r="F13"/>
  <c r="F18" s="1"/>
  <c r="F23" s="1"/>
  <c r="G13"/>
  <c r="D12"/>
  <c r="D17" s="1"/>
  <c r="D22" s="1"/>
  <c r="E12"/>
  <c r="E17" s="1"/>
  <c r="E22" s="1"/>
  <c r="F12"/>
  <c r="G12"/>
  <c r="C14"/>
  <c r="C19" s="1"/>
  <c r="C13"/>
  <c r="C12"/>
  <c r="C17" s="1"/>
  <c r="U17" l="1"/>
  <c r="H12"/>
  <c r="Q18"/>
  <c r="S17"/>
  <c r="S11"/>
  <c r="S18"/>
  <c r="S12"/>
  <c r="S19"/>
  <c r="S13"/>
  <c r="U18"/>
  <c r="U19"/>
  <c r="Q17"/>
  <c r="Q11"/>
  <c r="T18"/>
  <c r="T12"/>
  <c r="T19"/>
  <c r="T13"/>
  <c r="H13"/>
  <c r="H30"/>
  <c r="Q19"/>
  <c r="Q13"/>
  <c r="R17"/>
  <c r="R11"/>
  <c r="R12"/>
  <c r="R18"/>
  <c r="R13"/>
  <c r="R19"/>
  <c r="C22"/>
  <c r="G17"/>
  <c r="G22" s="1"/>
  <c r="G18"/>
  <c r="G23" s="1"/>
  <c r="G19"/>
  <c r="H19" s="1"/>
  <c r="F17"/>
  <c r="F22" s="1"/>
  <c r="C18"/>
  <c r="C24"/>
  <c r="H14"/>
  <c r="H28"/>
  <c r="H29"/>
  <c r="AA11" l="1"/>
  <c r="Y11"/>
  <c r="Z11"/>
  <c r="X11"/>
  <c r="AA13"/>
  <c r="Z13"/>
  <c r="X13"/>
  <c r="Y13"/>
  <c r="AA12"/>
  <c r="X12"/>
  <c r="Y12"/>
  <c r="Z12"/>
  <c r="Q27"/>
  <c r="T27"/>
  <c r="W12"/>
  <c r="W18"/>
  <c r="W13"/>
  <c r="W19"/>
  <c r="W11"/>
  <c r="W17"/>
  <c r="V17"/>
  <c r="U12"/>
  <c r="U26" s="1"/>
  <c r="R27"/>
  <c r="H18"/>
  <c r="V18"/>
  <c r="V19"/>
  <c r="S27"/>
  <c r="S25"/>
  <c r="G24"/>
  <c r="R26"/>
  <c r="U13"/>
  <c r="U27" s="1"/>
  <c r="U11"/>
  <c r="U25" s="1"/>
  <c r="T11"/>
  <c r="T25" s="1"/>
  <c r="R25"/>
  <c r="T26"/>
  <c r="Q25"/>
  <c r="S26"/>
  <c r="Q12"/>
  <c r="Q26" s="1"/>
  <c r="C23"/>
  <c r="H23" s="1"/>
  <c r="H22"/>
  <c r="H24"/>
  <c r="H17"/>
  <c r="Y27" l="1"/>
  <c r="AA27"/>
  <c r="W26"/>
  <c r="AE26"/>
  <c r="AC26"/>
  <c r="AC25"/>
  <c r="AE25"/>
  <c r="W27"/>
  <c r="AC27"/>
  <c r="AE27"/>
  <c r="R28"/>
  <c r="V11"/>
  <c r="Y25"/>
  <c r="W25"/>
  <c r="Y26"/>
  <c r="AA25"/>
  <c r="AA26"/>
  <c r="V26"/>
  <c r="V13"/>
  <c r="S28"/>
  <c r="T28"/>
  <c r="U28"/>
  <c r="I14"/>
  <c r="H8"/>
  <c r="H4"/>
  <c r="I12"/>
  <c r="I13"/>
  <c r="H6"/>
  <c r="V27"/>
  <c r="V12"/>
  <c r="V25"/>
  <c r="Q28"/>
  <c r="W28" l="1"/>
  <c r="AC28"/>
  <c r="AD27"/>
  <c r="AF27"/>
  <c r="AF26"/>
  <c r="AD26"/>
  <c r="AD25"/>
  <c r="AF25"/>
  <c r="AE28"/>
  <c r="AA28"/>
  <c r="Y28"/>
  <c r="X27"/>
  <c r="Z27"/>
  <c r="AB27"/>
  <c r="AB25"/>
  <c r="Z25"/>
  <c r="X26"/>
  <c r="Z26"/>
  <c r="AB26"/>
  <c r="V28"/>
  <c r="X25"/>
  <c r="AF28" l="1"/>
  <c r="AD28"/>
  <c r="X28"/>
  <c r="AB28"/>
  <c r="Z28"/>
</calcChain>
</file>

<file path=xl/sharedStrings.xml><?xml version="1.0" encoding="utf-8"?>
<sst xmlns="http://schemas.openxmlformats.org/spreadsheetml/2006/main" count="248" uniqueCount="73">
  <si>
    <t>Region 1</t>
  </si>
  <si>
    <t>Region 2</t>
  </si>
  <si>
    <t>Region 3</t>
  </si>
  <si>
    <t>Region 4</t>
  </si>
  <si>
    <t>Region 5</t>
  </si>
  <si>
    <t>Part 1 Mean</t>
  </si>
  <si>
    <t>Part 1 Std Dev</t>
  </si>
  <si>
    <t>Part 3 Mean</t>
  </si>
  <si>
    <t>Part 3 Std Dev</t>
  </si>
  <si>
    <t>Part 7 Mean</t>
  </si>
  <si>
    <t>Part 7 Std Dev</t>
  </si>
  <si>
    <t>Part 1</t>
  </si>
  <si>
    <t>Part 3</t>
  </si>
  <si>
    <t>Part 7</t>
  </si>
  <si>
    <t>Safety Stock</t>
  </si>
  <si>
    <t>Reorder Quantity</t>
  </si>
  <si>
    <t>Mean</t>
  </si>
  <si>
    <t>Sum</t>
  </si>
  <si>
    <t>Cycle Inventory</t>
  </si>
  <si>
    <t>Daily Demand</t>
  </si>
  <si>
    <t>Demand</t>
  </si>
  <si>
    <t>Coefficient of Variance</t>
  </si>
  <si>
    <t xml:space="preserve">Annual Inventory  cost </t>
  </si>
  <si>
    <t>Product Category</t>
  </si>
  <si>
    <t>No. of parts</t>
  </si>
  <si>
    <t>Annual Distribution cost</t>
  </si>
  <si>
    <t>Annual Inventory and Distribution cost of DC's</t>
  </si>
  <si>
    <t>All Regions</t>
  </si>
  <si>
    <t>All Parts</t>
  </si>
  <si>
    <t>Aggregate</t>
  </si>
  <si>
    <t>All regions</t>
  </si>
  <si>
    <t>Savings</t>
  </si>
  <si>
    <t>Aggregate(0.5)</t>
  </si>
  <si>
    <t>Aggregate(1)</t>
  </si>
  <si>
    <t>Savings(0.5)</t>
  </si>
  <si>
    <t>Savings(1)</t>
  </si>
  <si>
    <t>Aggregate(0.75)</t>
  </si>
  <si>
    <t>Aggregate(0.25)</t>
  </si>
  <si>
    <t>Savings(0.25)</t>
  </si>
  <si>
    <t>Savings(0.75)</t>
  </si>
  <si>
    <t>Part 1 is decentralized and others centralized</t>
  </si>
  <si>
    <t>Cycle Stock</t>
  </si>
  <si>
    <t>Annual Inventory and Distribution Cost</t>
  </si>
  <si>
    <t>Total Cost</t>
  </si>
  <si>
    <t>Cost for Current System</t>
  </si>
  <si>
    <t>Savings after decentralizing all parts</t>
  </si>
  <si>
    <t>Agg(0.25)</t>
  </si>
  <si>
    <t>Agg(0)</t>
  </si>
  <si>
    <t>Agg(0.5)</t>
  </si>
  <si>
    <t>Agg(0.75)</t>
  </si>
  <si>
    <t>Agg(1)</t>
  </si>
  <si>
    <t>Agg (0)</t>
  </si>
  <si>
    <t>Part 1, 3 is decentralized and Part 7 is centralized</t>
  </si>
  <si>
    <t>Product</t>
  </si>
  <si>
    <t>Region 5 of Part 1 is served by Region 4 and Part 3 &amp; 7 are decentralized</t>
  </si>
  <si>
    <t>Corelation Factor</t>
  </si>
  <si>
    <t>Total Costs</t>
  </si>
  <si>
    <t>Ag(0.75)</t>
  </si>
  <si>
    <t>Aggregare demand for different Correlation Coeff.</t>
  </si>
  <si>
    <t xml:space="preserve">Product </t>
  </si>
  <si>
    <t>Decentralize all parts in Five warehouses</t>
  </si>
  <si>
    <t>Centralize all parts at NDC</t>
  </si>
  <si>
    <t>Centralize Part 3 &amp; 7, decentralize part 1</t>
  </si>
  <si>
    <t>Centralize part 7, decentralize part 1 &amp; 3</t>
  </si>
  <si>
    <t>Centralize part 3 &amp; 7, decentralize part 1 and serve region 5 by region 4</t>
  </si>
  <si>
    <t>Options</t>
  </si>
  <si>
    <t>Payback period in years (10% interest rate)</t>
  </si>
  <si>
    <t>Rate  of Return in %</t>
  </si>
  <si>
    <t>Base Case</t>
  </si>
  <si>
    <t>Investment in $</t>
  </si>
  <si>
    <t>Salvage Amount in $</t>
  </si>
  <si>
    <t>Construction Cost for Centralizing in $</t>
  </si>
  <si>
    <t>Savings in $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</si>
</sst>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3">
    <xf numFmtId="0" fontId="0" fillId="0" borderId="0" xfId="0"/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2" fontId="1" fillId="0" borderId="11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6" borderId="3" xfId="0" applyNumberFormat="1" applyFont="1" applyFill="1" applyBorder="1" applyAlignment="1">
      <alignment horizontal="center" vertical="center"/>
    </xf>
    <xf numFmtId="2" fontId="1" fillId="0" borderId="30" xfId="0" applyNumberFormat="1" applyFont="1" applyFill="1" applyBorder="1" applyAlignment="1">
      <alignment horizontal="center" vertical="center"/>
    </xf>
    <xf numFmtId="2" fontId="1" fillId="6" borderId="13" xfId="0" applyNumberFormat="1" applyFont="1" applyFill="1" applyBorder="1" applyAlignment="1">
      <alignment horizontal="center" vertical="center"/>
    </xf>
    <xf numFmtId="2" fontId="1" fillId="6" borderId="14" xfId="0" applyNumberFormat="1" applyFont="1" applyFill="1" applyBorder="1" applyAlignment="1">
      <alignment horizontal="center" vertical="center"/>
    </xf>
    <xf numFmtId="2" fontId="1" fillId="0" borderId="28" xfId="0" applyNumberFormat="1" applyFont="1" applyFill="1" applyBorder="1" applyAlignment="1">
      <alignment horizontal="center" vertical="center"/>
    </xf>
    <xf numFmtId="2" fontId="1" fillId="6" borderId="35" xfId="0" applyNumberFormat="1" applyFont="1" applyFill="1" applyBorder="1" applyAlignment="1">
      <alignment horizontal="center" vertical="center"/>
    </xf>
    <xf numFmtId="2" fontId="1" fillId="0" borderId="27" xfId="0" applyNumberFormat="1" applyFont="1" applyFill="1" applyBorder="1" applyAlignment="1">
      <alignment horizontal="center" vertical="center"/>
    </xf>
    <xf numFmtId="2" fontId="1" fillId="6" borderId="37" xfId="0" applyNumberFormat="1" applyFont="1" applyFill="1" applyBorder="1" applyAlignment="1">
      <alignment horizontal="center" vertical="center"/>
    </xf>
    <xf numFmtId="2" fontId="1" fillId="6" borderId="36" xfId="0" applyNumberFormat="1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0" fontId="5" fillId="7" borderId="2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2" fontId="1" fillId="6" borderId="2" xfId="0" applyNumberFormat="1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1" fillId="6" borderId="6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1" fillId="6" borderId="11" xfId="0" applyNumberFormat="1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2" fontId="0" fillId="0" borderId="44" xfId="0" applyNumberFormat="1" applyBorder="1" applyAlignment="1">
      <alignment horizontal="center" vertical="center"/>
    </xf>
    <xf numFmtId="2" fontId="0" fillId="0" borderId="45" xfId="0" applyNumberFormat="1" applyBorder="1" applyAlignment="1">
      <alignment horizontal="center" vertical="center"/>
    </xf>
    <xf numFmtId="2" fontId="1" fillId="6" borderId="41" xfId="0" applyNumberFormat="1" applyFont="1" applyFill="1" applyBorder="1" applyAlignment="1">
      <alignment horizontal="center" vertical="center"/>
    </xf>
    <xf numFmtId="2" fontId="1" fillId="6" borderId="39" xfId="0" applyNumberFormat="1" applyFont="1" applyFill="1" applyBorder="1" applyAlignment="1">
      <alignment horizontal="center" vertical="center"/>
    </xf>
    <xf numFmtId="2" fontId="1" fillId="6" borderId="40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1" fillId="0" borderId="29" xfId="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1" fillId="0" borderId="28" xfId="0" applyNumberFormat="1" applyFont="1" applyBorder="1" applyAlignment="1">
      <alignment horizontal="center" vertical="center"/>
    </xf>
    <xf numFmtId="2" fontId="1" fillId="0" borderId="44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2" fontId="1" fillId="0" borderId="27" xfId="0" applyNumberFormat="1" applyFont="1" applyBorder="1" applyAlignment="1">
      <alignment horizontal="center" vertical="center"/>
    </xf>
    <xf numFmtId="2" fontId="1" fillId="0" borderId="45" xfId="0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2" fontId="0" fillId="0" borderId="46" xfId="0" applyNumberFormat="1" applyFill="1" applyBorder="1" applyAlignment="1">
      <alignment horizontal="center" vertical="center"/>
    </xf>
    <xf numFmtId="2" fontId="0" fillId="0" borderId="46" xfId="0" applyNumberForma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2" fontId="0" fillId="0" borderId="47" xfId="0" applyNumberFormat="1" applyFill="1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2" fontId="0" fillId="0" borderId="48" xfId="0" applyNumberFormat="1" applyFill="1" applyBorder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1" fillId="0" borderId="47" xfId="0" applyNumberFormat="1" applyFont="1" applyBorder="1" applyAlignment="1">
      <alignment horizontal="center" vertical="center"/>
    </xf>
    <xf numFmtId="2" fontId="1" fillId="0" borderId="39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48" xfId="0" applyNumberFormat="1" applyFont="1" applyBorder="1" applyAlignment="1">
      <alignment horizontal="center" vertical="center"/>
    </xf>
    <xf numFmtId="2" fontId="1" fillId="0" borderId="40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2" fontId="1" fillId="0" borderId="34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47" xfId="0" applyFont="1" applyFill="1" applyBorder="1" applyAlignment="1">
      <alignment horizontal="center" vertical="center"/>
    </xf>
    <xf numFmtId="0" fontId="5" fillId="7" borderId="48" xfId="0" applyFont="1" applyFill="1" applyBorder="1" applyAlignment="1">
      <alignment horizontal="center" vertical="center"/>
    </xf>
    <xf numFmtId="0" fontId="5" fillId="7" borderId="42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" fontId="1" fillId="0" borderId="28" xfId="0" applyNumberFormat="1" applyFont="1" applyBorder="1" applyAlignment="1">
      <alignment horizontal="center" vertical="center"/>
    </xf>
    <xf numFmtId="2" fontId="1" fillId="0" borderId="44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1" fillId="0" borderId="33" xfId="0" applyNumberFormat="1" applyFont="1" applyBorder="1" applyAlignment="1">
      <alignment horizontal="center" vertical="center"/>
    </xf>
    <xf numFmtId="0" fontId="5" fillId="7" borderId="46" xfId="0" applyFont="1" applyFill="1" applyBorder="1" applyAlignment="1">
      <alignment horizontal="center" vertical="center"/>
    </xf>
    <xf numFmtId="0" fontId="5" fillId="7" borderId="41" xfId="0" applyFont="1" applyFill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1" fillId="0" borderId="42" xfId="0" applyNumberFormat="1" applyFont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2" fontId="1" fillId="0" borderId="4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5" fillId="7" borderId="22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 wrapText="1"/>
    </xf>
    <xf numFmtId="0" fontId="2" fillId="5" borderId="55" xfId="0" applyFont="1" applyFill="1" applyBorder="1" applyAlignment="1">
      <alignment horizontal="center" vertical="center" wrapText="1"/>
    </xf>
    <xf numFmtId="0" fontId="2" fillId="5" borderId="56" xfId="0" applyFont="1" applyFill="1" applyBorder="1" applyAlignment="1">
      <alignment horizontal="center" vertical="center" wrapText="1"/>
    </xf>
    <xf numFmtId="0" fontId="2" fillId="5" borderId="25" xfId="0" applyFont="1" applyFill="1" applyBorder="1" applyAlignment="1">
      <alignment horizontal="center" vertical="center" wrapText="1"/>
    </xf>
    <xf numFmtId="0" fontId="2" fillId="5" borderId="57" xfId="0" applyFont="1" applyFill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1" fontId="1" fillId="0" borderId="44" xfId="0" applyNumberFormat="1" applyFont="1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1" fontId="1" fillId="0" borderId="45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7" borderId="21" xfId="0" applyFont="1" applyFill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6" fillId="3" borderId="35" xfId="0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0" fontId="5" fillId="7" borderId="22" xfId="0" applyFont="1" applyFill="1" applyBorder="1" applyAlignment="1">
      <alignment horizontal="center" vertical="center"/>
    </xf>
    <xf numFmtId="0" fontId="5" fillId="7" borderId="60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 wrapText="1"/>
    </xf>
    <xf numFmtId="0" fontId="2" fillId="5" borderId="23" xfId="0" applyFont="1" applyFill="1" applyBorder="1" applyAlignment="1">
      <alignment horizontal="center" vertical="center" wrapText="1"/>
    </xf>
    <xf numFmtId="0" fontId="2" fillId="5" borderId="2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2" fontId="5" fillId="7" borderId="5" xfId="0" applyNumberFormat="1" applyFont="1" applyFill="1" applyBorder="1" applyAlignment="1">
      <alignment horizontal="center" vertical="center"/>
    </xf>
    <xf numFmtId="2" fontId="5" fillId="7" borderId="6" xfId="0" applyNumberFormat="1" applyFont="1" applyFill="1" applyBorder="1" applyAlignment="1">
      <alignment horizontal="center" vertical="center"/>
    </xf>
    <xf numFmtId="2" fontId="5" fillId="7" borderId="8" xfId="0" applyNumberFormat="1" applyFont="1" applyFill="1" applyBorder="1" applyAlignment="1">
      <alignment horizontal="center" vertical="center"/>
    </xf>
    <xf numFmtId="2" fontId="5" fillId="7" borderId="2" xfId="0" applyNumberFormat="1" applyFont="1" applyFill="1" applyBorder="1" applyAlignment="1">
      <alignment horizontal="center" vertical="center"/>
    </xf>
    <xf numFmtId="2" fontId="5" fillId="7" borderId="10" xfId="0" applyNumberFormat="1" applyFont="1" applyFill="1" applyBorder="1" applyAlignment="1">
      <alignment horizontal="center" vertical="center"/>
    </xf>
    <xf numFmtId="2" fontId="5" fillId="7" borderId="11" xfId="0" applyNumberFormat="1" applyFont="1" applyFill="1" applyBorder="1" applyAlignment="1">
      <alignment horizontal="center" vertical="center"/>
    </xf>
    <xf numFmtId="2" fontId="1" fillId="0" borderId="28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2" fontId="1" fillId="0" borderId="4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2" fontId="1" fillId="0" borderId="33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2" fontId="1" fillId="0" borderId="53" xfId="0" applyNumberFormat="1" applyFont="1" applyBorder="1" applyAlignment="1">
      <alignment horizontal="center" vertical="center"/>
    </xf>
    <xf numFmtId="2" fontId="1" fillId="0" borderId="31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32" xfId="0" applyNumberFormat="1" applyFont="1" applyBorder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5" fillId="7" borderId="29" xfId="0" applyNumberFormat="1" applyFont="1" applyFill="1" applyBorder="1" applyAlignment="1">
      <alignment horizontal="center" vertical="center"/>
    </xf>
    <xf numFmtId="2" fontId="5" fillId="7" borderId="28" xfId="0" applyNumberFormat="1" applyFont="1" applyFill="1" applyBorder="1" applyAlignment="1">
      <alignment horizontal="center" vertical="center"/>
    </xf>
    <xf numFmtId="2" fontId="5" fillId="7" borderId="27" xfId="0" applyNumberFormat="1" applyFont="1" applyFill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0" fontId="5" fillId="7" borderId="23" xfId="0" applyFont="1" applyFill="1" applyBorder="1" applyAlignment="1">
      <alignment horizontal="center" vertical="center"/>
    </xf>
    <xf numFmtId="0" fontId="5" fillId="7" borderId="24" xfId="0" applyFont="1" applyFill="1" applyBorder="1" applyAlignment="1">
      <alignment horizontal="center" vertical="center"/>
    </xf>
    <xf numFmtId="2" fontId="1" fillId="0" borderId="34" xfId="0" applyNumberFormat="1" applyFont="1" applyBorder="1" applyAlignment="1">
      <alignment horizontal="center" vertical="center"/>
    </xf>
    <xf numFmtId="0" fontId="2" fillId="5" borderId="55" xfId="0" applyFont="1" applyFill="1" applyBorder="1" applyAlignment="1">
      <alignment horizontal="center" vertical="center" wrapText="1"/>
    </xf>
    <xf numFmtId="0" fontId="2" fillId="5" borderId="58" xfId="0" applyFont="1" applyFill="1" applyBorder="1" applyAlignment="1">
      <alignment horizontal="center" vertical="center" wrapText="1"/>
    </xf>
    <xf numFmtId="0" fontId="2" fillId="5" borderId="59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 wrapText="1"/>
    </xf>
    <xf numFmtId="0" fontId="5" fillId="7" borderId="16" xfId="0" applyFont="1" applyFill="1" applyBorder="1" applyAlignment="1">
      <alignment horizontal="center" vertical="center" wrapText="1"/>
    </xf>
    <xf numFmtId="0" fontId="5" fillId="7" borderId="1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40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costs/ Savings V/S Correlation Coefficient</a:t>
            </a:r>
          </a:p>
        </c:rich>
      </c:tx>
      <c:layout>
        <c:manualLayout>
          <c:xMode val="edge"/>
          <c:yMode val="edge"/>
          <c:x val="0.16032472515936155"/>
          <c:y val="2.5382604455080119E-2"/>
        </c:manualLayout>
      </c:layout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v>Total Cost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'Q1 &amp; Q2'!$V$32:$V$36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'Q1 &amp; Q2'!$W$32:$W$36</c:f>
              <c:numCache>
                <c:formatCode>0.00</c:formatCode>
                <c:ptCount val="5"/>
                <c:pt idx="0">
                  <c:v>755212.91559409187</c:v>
                </c:pt>
                <c:pt idx="1">
                  <c:v>845561.21336839604</c:v>
                </c:pt>
                <c:pt idx="2">
                  <c:v>916233.60134548659</c:v>
                </c:pt>
                <c:pt idx="3">
                  <c:v>976289.70309820177</c:v>
                </c:pt>
                <c:pt idx="4">
                  <c:v>1029433.4935110989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530-4F79-96FC-DADF8F8EEA01}"/>
            </c:ext>
          </c:extLst>
        </c:ser>
        <c:ser>
          <c:idx val="1"/>
          <c:order val="1"/>
          <c:tx>
            <c:v>Savings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'Q1 &amp; Q2'!$V$32:$V$36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'Q1 &amp; Q2'!$X$32:$X$36</c:f>
              <c:numCache>
                <c:formatCode>0.00</c:formatCode>
                <c:ptCount val="5"/>
                <c:pt idx="0">
                  <c:v>205158.92791700707</c:v>
                </c:pt>
                <c:pt idx="1">
                  <c:v>114810.63014270295</c:v>
                </c:pt>
                <c:pt idx="2">
                  <c:v>44138.242165612348</c:v>
                </c:pt>
                <c:pt idx="3">
                  <c:v>-15917.859587102837</c:v>
                </c:pt>
                <c:pt idx="4">
                  <c:v>-69061.649999999965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530-4F79-96FC-DADF8F8EEA01}"/>
            </c:ext>
          </c:extLst>
        </c:ser>
        <c:dLbls/>
        <c:axId val="247799808"/>
        <c:axId val="247801728"/>
      </c:scatterChart>
      <c:valAx>
        <c:axId val="247799808"/>
        <c:scaling>
          <c:orientation val="minMax"/>
          <c:max val="1"/>
        </c:scaling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Correlation  Coefficient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01728"/>
        <c:crosses val="autoZero"/>
        <c:crossBetween val="midCat"/>
      </c:valAx>
      <c:valAx>
        <c:axId val="2478017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Costs/ Savings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" sourceLinked="0"/>
        <c:maj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9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806823</xdr:colOff>
      <xdr:row>32</xdr:row>
      <xdr:rowOff>79561</xdr:rowOff>
    </xdr:from>
    <xdr:to>
      <xdr:col>30</xdr:col>
      <xdr:colOff>694763</xdr:colOff>
      <xdr:row>48</xdr:row>
      <xdr:rowOff>33617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G60"/>
  <sheetViews>
    <sheetView tabSelected="1" zoomScale="85" zoomScaleNormal="85" workbookViewId="0">
      <selection activeCell="J32" sqref="J32"/>
    </sheetView>
  </sheetViews>
  <sheetFormatPr defaultRowHeight="15"/>
  <cols>
    <col min="1" max="1" width="9.140625" style="13"/>
    <col min="2" max="2" width="15" style="13" customWidth="1"/>
    <col min="3" max="3" width="8.5703125" style="13" bestFit="1" customWidth="1"/>
    <col min="4" max="4" width="7.42578125" style="13" customWidth="1"/>
    <col min="5" max="7" width="9.140625" style="13"/>
    <col min="8" max="8" width="10.5703125" style="13" customWidth="1"/>
    <col min="9" max="9" width="12.28515625" style="13" bestFit="1" customWidth="1"/>
    <col min="10" max="10" width="14.140625" style="14" bestFit="1" customWidth="1"/>
    <col min="11" max="11" width="11.5703125" style="14" customWidth="1"/>
    <col min="12" max="13" width="15.140625" style="15" bestFit="1" customWidth="1"/>
    <col min="14" max="14" width="9.140625" style="13"/>
    <col min="15" max="15" width="23.7109375" style="13" bestFit="1" customWidth="1"/>
    <col min="16" max="16" width="12.85546875" style="13" bestFit="1" customWidth="1"/>
    <col min="17" max="21" width="14.28515625" style="13" bestFit="1" customWidth="1"/>
    <col min="22" max="22" width="18.42578125" style="13" bestFit="1" customWidth="1"/>
    <col min="23" max="23" width="14.28515625" style="13" bestFit="1" customWidth="1"/>
    <col min="24" max="24" width="15.7109375" style="13" bestFit="1" customWidth="1"/>
    <col min="25" max="25" width="14.28515625" style="13" bestFit="1" customWidth="1"/>
    <col min="26" max="27" width="17" style="13" bestFit="1" customWidth="1"/>
    <col min="28" max="28" width="14.85546875" style="13" bestFit="1" customWidth="1"/>
    <col min="29" max="29" width="15.140625" style="13" bestFit="1" customWidth="1"/>
    <col min="30" max="30" width="12.5703125" style="13" bestFit="1" customWidth="1"/>
    <col min="31" max="31" width="15.140625" style="13" bestFit="1" customWidth="1"/>
    <col min="32" max="32" width="15" style="13" bestFit="1" customWidth="1"/>
    <col min="33" max="16384" width="9.140625" style="13"/>
  </cols>
  <sheetData>
    <row r="1" spans="2:27" ht="17.100000000000001" customHeight="1" thickBot="1"/>
    <row r="2" spans="2:27" ht="17.100000000000001" customHeight="1" thickBot="1">
      <c r="B2" s="182" t="s">
        <v>19</v>
      </c>
      <c r="C2" s="183"/>
      <c r="D2" s="183"/>
      <c r="E2" s="183"/>
      <c r="F2" s="183"/>
      <c r="G2" s="183"/>
      <c r="H2" s="178" t="s">
        <v>58</v>
      </c>
      <c r="I2" s="179"/>
      <c r="J2" s="179"/>
      <c r="K2" s="179"/>
      <c r="L2" s="180"/>
    </row>
    <row r="3" spans="2:27" ht="17.100000000000001" customHeight="1" thickBot="1">
      <c r="B3" s="47" t="s">
        <v>20</v>
      </c>
      <c r="C3" s="47" t="s">
        <v>0</v>
      </c>
      <c r="D3" s="47" t="s">
        <v>1</v>
      </c>
      <c r="E3" s="47" t="s">
        <v>2</v>
      </c>
      <c r="F3" s="47" t="s">
        <v>3</v>
      </c>
      <c r="G3" s="47" t="s">
        <v>4</v>
      </c>
      <c r="H3" s="47" t="s">
        <v>51</v>
      </c>
      <c r="I3" s="47" t="s">
        <v>48</v>
      </c>
      <c r="J3" s="47" t="s">
        <v>50</v>
      </c>
      <c r="K3" s="47" t="s">
        <v>46</v>
      </c>
      <c r="L3" s="47" t="s">
        <v>57</v>
      </c>
      <c r="O3" s="131" t="s">
        <v>21</v>
      </c>
      <c r="P3" s="131" t="s">
        <v>0</v>
      </c>
      <c r="Q3" s="131" t="s">
        <v>1</v>
      </c>
      <c r="R3" s="131" t="s">
        <v>2</v>
      </c>
      <c r="S3" s="131" t="s">
        <v>3</v>
      </c>
      <c r="T3" s="49" t="s">
        <v>4</v>
      </c>
    </row>
    <row r="4" spans="2:27" ht="17.100000000000001" customHeight="1" thickBot="1">
      <c r="B4" s="47" t="s">
        <v>5</v>
      </c>
      <c r="C4" s="37">
        <v>35.479999999999997</v>
      </c>
      <c r="D4" s="38">
        <v>22.61</v>
      </c>
      <c r="E4" s="37">
        <v>17.66</v>
      </c>
      <c r="F4" s="38">
        <v>11.81</v>
      </c>
      <c r="G4" s="39">
        <v>3.36</v>
      </c>
      <c r="H4" s="40">
        <f>H22</f>
        <v>1000.12</v>
      </c>
      <c r="I4" s="35"/>
      <c r="J4" s="38"/>
      <c r="K4" s="35"/>
      <c r="L4" s="41"/>
      <c r="O4" s="135" t="s">
        <v>11</v>
      </c>
      <c r="P4" s="81">
        <f>C5/C4</f>
        <v>0.19673055242390081</v>
      </c>
      <c r="Q4" s="4">
        <f>D5/D4</f>
        <v>0.28659885006634234</v>
      </c>
      <c r="R4" s="4">
        <f>E5/E4</f>
        <v>0.29784824462061155</v>
      </c>
      <c r="S4" s="4">
        <f>F5/F4</f>
        <v>0.29466553767993225</v>
      </c>
      <c r="T4" s="157">
        <f>G5/G4</f>
        <v>1.3363095238095239</v>
      </c>
    </row>
    <row r="5" spans="2:27" ht="17.100000000000001" customHeight="1" thickBot="1">
      <c r="B5" s="47" t="s">
        <v>6</v>
      </c>
      <c r="C5" s="35">
        <v>6.98</v>
      </c>
      <c r="D5" s="38">
        <v>6.48</v>
      </c>
      <c r="E5" s="35">
        <v>5.26</v>
      </c>
      <c r="F5" s="38">
        <v>3.48</v>
      </c>
      <c r="G5" s="42">
        <v>4.49</v>
      </c>
      <c r="H5" s="40">
        <f>SQRT(C5*C5+D5*D5+E5*E5+F5*F5+G5*G5)</f>
        <v>12.27391135702063</v>
      </c>
      <c r="I5" s="35">
        <f>SQRT(C5*C5+D5*D5+E5*E5+F5*F5+G5*G5+2*0.5*(C5*D5+C5*E5+C5*F5+C5*G5+D5*E5+D5*F5+D5*G5+E5*F5+E5*G5+F5*G5))</f>
        <v>20.772638253240729</v>
      </c>
      <c r="J5" s="38">
        <f>SQRT(C5*C5+D5*D5+E5*E5+F5*F5+G5*G5+2*1*(C5*D5+C5*E5+C5*F5+C5*G5+D5*E5+D5*F5+D5*G5+E5*F5+E5*G5+F5*G5))</f>
        <v>26.69</v>
      </c>
      <c r="K5" s="35">
        <f>SQRT(C5*C5+D5*D5+E5*E5+F5*F5+G5*G5+2*0.25*(C5*D5+C5*E5+C5*F5+C5*G5+D5*E5+D5*F5+D5*G5+E5*F5+E5*G5+F5*G5))</f>
        <v>17.060940771247054</v>
      </c>
      <c r="L5" s="41">
        <f>SQRT(C5*C5+D5*D5+E5*E5+F5*F5+G5*G5+2*0.75*(C5*D5+C5*E5+C5*F5+C5*G5+D5*E5+D5*F5+D5*G5+E5*F5+E5*G5+F5*G5))</f>
        <v>23.915043382774783</v>
      </c>
      <c r="O5" s="135" t="s">
        <v>12</v>
      </c>
      <c r="P5" s="158">
        <f>C7/C6</f>
        <v>1.2741935483870968</v>
      </c>
      <c r="Q5" s="20">
        <f>D7/D6</f>
        <v>1.4939759036144578</v>
      </c>
      <c r="R5" s="20">
        <f>E7/E6</f>
        <v>1.0390243902439023</v>
      </c>
      <c r="S5" s="20">
        <f>F7/F6</f>
        <v>1.0974025974025974</v>
      </c>
      <c r="T5" s="10">
        <f>G7/G6</f>
        <v>0.47530040053404538</v>
      </c>
    </row>
    <row r="6" spans="2:27" ht="17.100000000000001" customHeight="1" thickBot="1">
      <c r="B6" s="47" t="s">
        <v>7</v>
      </c>
      <c r="C6" s="35">
        <v>2.48</v>
      </c>
      <c r="D6" s="38">
        <v>4.1500000000000004</v>
      </c>
      <c r="E6" s="35">
        <v>6.15</v>
      </c>
      <c r="F6" s="38">
        <v>6.16</v>
      </c>
      <c r="G6" s="42">
        <v>7.49</v>
      </c>
      <c r="H6" s="40">
        <f>H23</f>
        <v>290.73</v>
      </c>
      <c r="I6" s="35"/>
      <c r="J6" s="38"/>
      <c r="K6" s="35"/>
      <c r="L6" s="41"/>
      <c r="O6" s="135" t="s">
        <v>13</v>
      </c>
      <c r="P6" s="159">
        <f>C9/C8</f>
        <v>4.125</v>
      </c>
      <c r="Q6" s="8">
        <f>D9/D8</f>
        <v>1.9452054794520548</v>
      </c>
      <c r="R6" s="8">
        <f>E9/E8</f>
        <v>2.9874999999999998</v>
      </c>
      <c r="S6" s="8">
        <f>F9/F8</f>
        <v>1.9381443298969072</v>
      </c>
      <c r="T6" s="11">
        <f>G9/G8</f>
        <v>1.5669291338582676</v>
      </c>
    </row>
    <row r="7" spans="2:27" ht="17.100000000000001" customHeight="1" thickBot="1">
      <c r="B7" s="47" t="s">
        <v>8</v>
      </c>
      <c r="C7" s="35">
        <v>3.16</v>
      </c>
      <c r="D7" s="38">
        <v>6.2</v>
      </c>
      <c r="E7" s="35">
        <v>6.39</v>
      </c>
      <c r="F7" s="38">
        <v>6.76</v>
      </c>
      <c r="G7" s="42">
        <v>3.56</v>
      </c>
      <c r="H7" s="40">
        <f>SQRT(C7*C7+D7*D7+E7*E7+F7*F7+G7*G7)</f>
        <v>12.150263371631086</v>
      </c>
      <c r="I7" s="35">
        <f>SQRT(C7*C7+D7*D7+E7*E7+F7*F7+G7*G7+2*0.5*(C7*D7+C7*E7+C7*F7+C7*G7+D7*E7+D7*F7+D7*G7+E7*F7+E7*G7+F7*G7))</f>
        <v>20.338065296384514</v>
      </c>
      <c r="J7" s="38">
        <f>SQRT(C7*C7+D7*D7+E7*E7+F7*F7+G7*G7+2*1*(C7*D7+C7*E7+C7*F7+C7*G7+D7*E7+D7*F7+D7*G7+E7*F7+E7*G7+F7*G7))</f>
        <v>26.07</v>
      </c>
      <c r="K7" s="35">
        <f>SQRT(C7*C7+D7*D7+E7*E7+F7*F7+G7*G7+2*0.25*(C7*D7+C7*E7+C7*F7+C7*G7+D7*E7+D7*F7+D7*G7+E7*F7+E7*G7+F7*G7))</f>
        <v>16.752101360724868</v>
      </c>
      <c r="L7" s="41">
        <f>SQRT(C7*C7+D7*D7+E7*E7+F7*F7+G7*G7+2*0.75*(C7*D7+C7*E7+C7*F7+C7*G7+D7*E7+D7*F7+D7*G7+E7*F7+E7*G7+F7*G7))</f>
        <v>23.380352863034382</v>
      </c>
    </row>
    <row r="8" spans="2:27" ht="17.100000000000001" customHeight="1" thickBot="1">
      <c r="B8" s="47" t="s">
        <v>9</v>
      </c>
      <c r="C8" s="35">
        <v>0.48</v>
      </c>
      <c r="D8" s="38">
        <v>0.73</v>
      </c>
      <c r="E8" s="35">
        <v>0.8</v>
      </c>
      <c r="F8" s="38">
        <v>1.94</v>
      </c>
      <c r="G8" s="42">
        <v>2.54</v>
      </c>
      <c r="H8" s="40">
        <f>H24</f>
        <v>71.39</v>
      </c>
      <c r="I8" s="35"/>
      <c r="J8" s="38"/>
      <c r="K8" s="35"/>
      <c r="L8" s="41"/>
      <c r="T8" s="181"/>
      <c r="U8" s="181"/>
      <c r="V8" s="181"/>
      <c r="W8" s="181"/>
      <c r="X8" s="181"/>
      <c r="Y8" s="181"/>
      <c r="Z8" s="181"/>
      <c r="AA8" s="181"/>
    </row>
    <row r="9" spans="2:27" ht="17.100000000000001" customHeight="1" thickBot="1">
      <c r="B9" s="47" t="s">
        <v>10</v>
      </c>
      <c r="C9" s="36">
        <v>1.98</v>
      </c>
      <c r="D9" s="43">
        <v>1.42</v>
      </c>
      <c r="E9" s="36">
        <v>2.39</v>
      </c>
      <c r="F9" s="43">
        <v>3.76</v>
      </c>
      <c r="G9" s="44">
        <v>3.98</v>
      </c>
      <c r="H9" s="45">
        <f>SQRT(C9*C9+D9*D9+E9*E9+F9*F9+G9*G9)</f>
        <v>6.4518911956107878</v>
      </c>
      <c r="I9" s="36">
        <f>SQRT(C9*C9+D9*D9+E9*E9+F9*F9+G9*G9+2*0.5*(C9*D9+C9*E9+C9*F9+C9*G9+D9*E9+D9*F9+D9*G9+E9*F9+E9*G9+F9*G9))</f>
        <v>10.599240538831072</v>
      </c>
      <c r="J9" s="43">
        <f>SQRT(C9*C9+D9*D9+E9*E9+F9*F9+G9*G9+2*1*(C9*D9+C9*E9+C9*F9+C9*G9+D9*E9+D9*F9+D9*G9+E9*F9+E9*G9+F9*G9))</f>
        <v>13.53</v>
      </c>
      <c r="K9" s="36">
        <f>SQRT(C9*C9+D9*D9+E9*E9+F9*F9+G9*G9+2*0.25*(C9*D9+C9*E9+C9*F9+C9*G9+D9*E9+D9*F9+D9*G9+E9*F9+E9*G9+F9*G9))</f>
        <v>8.7741324357454289</v>
      </c>
      <c r="L9" s="46">
        <f>SQRT(C9*C9+D9*D9+E9*E9+F9*F9+G9*G9+2*0.75*(C9*D9+C9*E9+C9*F9+C9*G9+D9*E9+D9*F9+D9*G9+E9*F9+E9*G9+F9*G9))</f>
        <v>12.153287621051351</v>
      </c>
      <c r="O9" s="178" t="s">
        <v>22</v>
      </c>
      <c r="P9" s="179"/>
      <c r="Q9" s="179"/>
      <c r="R9" s="179"/>
      <c r="S9" s="179"/>
      <c r="T9" s="179"/>
      <c r="U9" s="179"/>
      <c r="V9" s="179"/>
      <c r="W9" s="179"/>
      <c r="X9" s="179"/>
      <c r="Y9" s="179"/>
      <c r="Z9" s="179"/>
      <c r="AA9" s="180"/>
    </row>
    <row r="10" spans="2:27" ht="17.100000000000001" customHeight="1" thickBot="1">
      <c r="B10" s="2"/>
      <c r="O10" s="131" t="s">
        <v>23</v>
      </c>
      <c r="P10" s="131" t="s">
        <v>24</v>
      </c>
      <c r="Q10" s="131" t="s">
        <v>0</v>
      </c>
      <c r="R10" s="131" t="s">
        <v>1</v>
      </c>
      <c r="S10" s="131" t="s">
        <v>2</v>
      </c>
      <c r="T10" s="131" t="s">
        <v>3</v>
      </c>
      <c r="U10" s="131" t="s">
        <v>4</v>
      </c>
      <c r="V10" s="131" t="s">
        <v>30</v>
      </c>
      <c r="W10" s="131" t="s">
        <v>29</v>
      </c>
      <c r="X10" s="131" t="s">
        <v>32</v>
      </c>
      <c r="Y10" s="131" t="s">
        <v>33</v>
      </c>
      <c r="Z10" s="131" t="s">
        <v>37</v>
      </c>
      <c r="AA10" s="131" t="s">
        <v>36</v>
      </c>
    </row>
    <row r="11" spans="2:27" ht="17.100000000000001" customHeight="1" thickBot="1">
      <c r="B11" s="182" t="s">
        <v>15</v>
      </c>
      <c r="C11" s="185"/>
      <c r="D11" s="185"/>
      <c r="E11" s="185"/>
      <c r="F11" s="185"/>
      <c r="G11" s="185"/>
      <c r="H11" s="55" t="s">
        <v>17</v>
      </c>
      <c r="I11" s="61" t="s">
        <v>29</v>
      </c>
      <c r="J11" s="48"/>
      <c r="K11" s="48"/>
      <c r="L11" s="48"/>
      <c r="M11" s="48"/>
      <c r="O11" s="135" t="s">
        <v>11</v>
      </c>
      <c r="P11" s="81">
        <v>10</v>
      </c>
      <c r="Q11" s="4">
        <f t="shared" ref="Q11:U13" si="0">$P11*(C28+C17)*0.15*365</f>
        <v>79125.695084173509</v>
      </c>
      <c r="R11" s="4">
        <f t="shared" si="0"/>
        <v>56493.181754361642</v>
      </c>
      <c r="S11" s="4">
        <f t="shared" si="0"/>
        <v>44718.573229620721</v>
      </c>
      <c r="T11" s="4">
        <f t="shared" si="0"/>
        <v>29792.951775490517</v>
      </c>
      <c r="U11" s="4">
        <f t="shared" si="0"/>
        <v>18930.774201710465</v>
      </c>
      <c r="V11" s="4">
        <f>SUM(Q11:U11)</f>
        <v>229061.17604535687</v>
      </c>
      <c r="W11" s="157">
        <f>($H28+I17)*0.15*365*10</f>
        <v>185999.21413684671</v>
      </c>
      <c r="X11" s="157">
        <f>($H28+J17)*0.15*365*10</f>
        <v>211385.56288506201</v>
      </c>
      <c r="Y11" s="157">
        <f>($H28+K17)*0.15*365*10</f>
        <v>229061.17604535687</v>
      </c>
      <c r="Z11" s="157">
        <f>($H28+L17)*0.15*365*10</f>
        <v>200298.43796901463</v>
      </c>
      <c r="AA11" s="157">
        <f>($H28+M17)*0.15*365*10</f>
        <v>220772.16790257499</v>
      </c>
    </row>
    <row r="12" spans="2:27" ht="17.100000000000001" customHeight="1" thickBot="1">
      <c r="B12" s="54" t="s">
        <v>11</v>
      </c>
      <c r="C12" s="68">
        <f>11*C4+C5*SQRT(11)*1.645</f>
        <v>428.36181750533973</v>
      </c>
      <c r="D12" s="58">
        <f>11*D4+D5*SQRT(11)*1.645</f>
        <v>284.06389361527238</v>
      </c>
      <c r="E12" s="69">
        <f>11*E4+E5*SQRT(11)*1.645</f>
        <v>222.95775932350816</v>
      </c>
      <c r="F12" s="58">
        <f>11*F4+F5*SQRT(11)*1.645</f>
        <v>148.89635027486852</v>
      </c>
      <c r="G12" s="70">
        <f>11*G4+G5*SQRT(11)*1.645</f>
        <v>61.456756532804505</v>
      </c>
      <c r="H12" s="65">
        <f>SUM(C12:G12)</f>
        <v>1145.7365772517933</v>
      </c>
      <c r="I12" s="71">
        <f>H22+I17</f>
        <v>1067.0845920307702</v>
      </c>
      <c r="J12" s="34"/>
      <c r="K12" s="34"/>
      <c r="L12" s="34"/>
      <c r="M12" s="34"/>
      <c r="O12" s="135" t="s">
        <v>12</v>
      </c>
      <c r="P12" s="158">
        <v>20</v>
      </c>
      <c r="Q12" s="20">
        <f t="shared" si="0"/>
        <v>27025.12448882185</v>
      </c>
      <c r="R12" s="20">
        <f t="shared" si="0"/>
        <v>50672.500579334031</v>
      </c>
      <c r="S12" s="20">
        <f t="shared" si="0"/>
        <v>58377.589709991036</v>
      </c>
      <c r="T12" s="20">
        <f t="shared" si="0"/>
        <v>60620.87643811258</v>
      </c>
      <c r="U12" s="20">
        <f t="shared" si="0"/>
        <v>45872.635816520822</v>
      </c>
      <c r="V12" s="20">
        <f>SUM(Q12:U12)</f>
        <v>242568.7270327803</v>
      </c>
      <c r="W12" s="10">
        <f>($H29+I18)*0.15*365*20</f>
        <v>159410.08625136022</v>
      </c>
      <c r="X12" s="10">
        <f>($H29+J18)*0.15*365*20</f>
        <v>208325.27029746637</v>
      </c>
      <c r="Y12" s="10">
        <f>($H29+K18)*0.15*365*20</f>
        <v>242568.72703278033</v>
      </c>
      <c r="Z12" s="10">
        <f>($H29+L18)*0.15*365*20</f>
        <v>186902.17194854375</v>
      </c>
      <c r="AA12" s="10">
        <f>($H29+M18)*0.15*365*20</f>
        <v>226500.36266187287</v>
      </c>
    </row>
    <row r="13" spans="2:27" ht="17.100000000000001" customHeight="1" thickBot="1">
      <c r="B13" s="54" t="s">
        <v>12</v>
      </c>
      <c r="C13" s="72">
        <f>11*C6+1.645*SQRT(11)*C7</f>
        <v>44.520478985225438</v>
      </c>
      <c r="D13" s="56">
        <f>11*D6+1.645*SQRT(11)*D7</f>
        <v>79.476256236834729</v>
      </c>
      <c r="E13" s="22">
        <f>11*E6+1.645*SQRT(11)*E7</f>
        <v>102.5128673150603</v>
      </c>
      <c r="F13" s="56">
        <f>11*F6+1.645*SQRT(11)*F7</f>
        <v>104.64153099371012</v>
      </c>
      <c r="G13" s="73">
        <f>11*G6+1.645*SQRT(11)*G7</f>
        <v>101.81281809727929</v>
      </c>
      <c r="H13" s="66">
        <f>SUM(C13:G13)</f>
        <v>432.96395162810995</v>
      </c>
      <c r="I13" s="74">
        <f>H23+I18</f>
        <v>357.0199874441646</v>
      </c>
      <c r="J13" s="16"/>
      <c r="K13" s="16"/>
      <c r="L13" s="16"/>
      <c r="M13" s="16"/>
      <c r="O13" s="135" t="s">
        <v>13</v>
      </c>
      <c r="P13" s="159">
        <v>70</v>
      </c>
      <c r="Q13" s="8">
        <f t="shared" si="0"/>
        <v>46919.68250238464</v>
      </c>
      <c r="R13" s="8">
        <f t="shared" si="0"/>
        <v>38084.716996659685</v>
      </c>
      <c r="S13" s="8">
        <f t="shared" si="0"/>
        <v>59171.792515504691</v>
      </c>
      <c r="T13" s="8">
        <f t="shared" si="0"/>
        <v>100925.00768129608</v>
      </c>
      <c r="U13" s="8">
        <f t="shared" si="0"/>
        <v>112423.60573711661</v>
      </c>
      <c r="V13" s="8">
        <f>SUM(Q13:U13)</f>
        <v>357524.80543296167</v>
      </c>
      <c r="W13" s="11">
        <f>($H30+I19)*0.15*365*70</f>
        <v>209524.83020588494</v>
      </c>
      <c r="X13" s="11">
        <f>($H30+J19)*0.15*365*70</f>
        <v>296243.98316295817</v>
      </c>
      <c r="Y13" s="11">
        <f>($H30+K19)*0.15*365*70</f>
        <v>357524.80543296167</v>
      </c>
      <c r="Z13" s="11">
        <f>($H30+L19)*0.15*365*70</f>
        <v>258081.8184508376</v>
      </c>
      <c r="AA13" s="11">
        <f>($H30+M19)*0.15*365*70</f>
        <v>328738.38753375388</v>
      </c>
    </row>
    <row r="14" spans="2:27" ht="17.100000000000001" customHeight="1" thickBot="1">
      <c r="B14" s="54" t="s">
        <v>13</v>
      </c>
      <c r="C14" s="75">
        <f>11*C8+1.645*SQRT(11)*C9</f>
        <v>16.082578604666573</v>
      </c>
      <c r="D14" s="60">
        <f>11*D8+1.645*SQRT(11)*D9</f>
        <v>15.777303847791178</v>
      </c>
      <c r="E14" s="76">
        <f>11*E8+1.645*SQRT(11)*E9</f>
        <v>21.839476194521772</v>
      </c>
      <c r="F14" s="60">
        <f>11*F8+1.645*SQRT(11)*F9</f>
        <v>41.85398765330622</v>
      </c>
      <c r="G14" s="77">
        <f>11*G8+1.645*SQRT(11)*G9</f>
        <v>49.654274164935842</v>
      </c>
      <c r="H14" s="67">
        <f>SUM(C14:G14)</f>
        <v>145.20762046522157</v>
      </c>
      <c r="I14" s="78">
        <f>H24+I19</f>
        <v>106.5905362572433</v>
      </c>
      <c r="J14" s="16"/>
      <c r="K14" s="16"/>
      <c r="L14" s="16"/>
      <c r="M14" s="16"/>
    </row>
    <row r="15" spans="2:27" ht="17.100000000000001" customHeight="1" thickBot="1">
      <c r="B15" s="2"/>
      <c r="O15" s="178" t="s">
        <v>25</v>
      </c>
      <c r="P15" s="179"/>
      <c r="Q15" s="179"/>
      <c r="R15" s="179"/>
      <c r="S15" s="179"/>
      <c r="T15" s="179"/>
      <c r="U15" s="179"/>
      <c r="V15" s="179"/>
      <c r="W15" s="180"/>
    </row>
    <row r="16" spans="2:27" ht="17.100000000000001" customHeight="1" thickBot="1">
      <c r="B16" s="186" t="s">
        <v>14</v>
      </c>
      <c r="C16" s="185"/>
      <c r="D16" s="185"/>
      <c r="E16" s="185"/>
      <c r="F16" s="185"/>
      <c r="G16" s="187"/>
      <c r="H16" s="82" t="s">
        <v>17</v>
      </c>
      <c r="I16" s="82" t="s">
        <v>51</v>
      </c>
      <c r="J16" s="55" t="s">
        <v>48</v>
      </c>
      <c r="K16" s="61" t="s">
        <v>50</v>
      </c>
      <c r="L16" s="61" t="s">
        <v>46</v>
      </c>
      <c r="M16" s="61" t="s">
        <v>57</v>
      </c>
      <c r="O16" s="130" t="s">
        <v>23</v>
      </c>
      <c r="P16" s="130" t="s">
        <v>24</v>
      </c>
      <c r="Q16" s="130" t="s">
        <v>0</v>
      </c>
      <c r="R16" s="130" t="s">
        <v>1</v>
      </c>
      <c r="S16" s="130" t="s">
        <v>2</v>
      </c>
      <c r="T16" s="130" t="s">
        <v>3</v>
      </c>
      <c r="U16" s="130" t="s">
        <v>4</v>
      </c>
      <c r="V16" s="130" t="s">
        <v>30</v>
      </c>
      <c r="W16" s="49" t="s">
        <v>29</v>
      </c>
    </row>
    <row r="17" spans="2:32" ht="17.100000000000001" customHeight="1" thickBot="1">
      <c r="B17" s="54" t="s">
        <v>11</v>
      </c>
      <c r="C17" s="57">
        <f>C12-11*C4</f>
        <v>38.081817505339757</v>
      </c>
      <c r="D17" s="51">
        <f>D12-11*D4</f>
        <v>35.353893615272398</v>
      </c>
      <c r="E17" s="51">
        <f>E12-11*E4</f>
        <v>28.697759323508166</v>
      </c>
      <c r="F17" s="51">
        <f>F12-11*F4</f>
        <v>18.986350274868528</v>
      </c>
      <c r="G17" s="59">
        <f>G12-11*G4</f>
        <v>24.496756532804504</v>
      </c>
      <c r="H17" s="83">
        <f>SUM(C17:G17)</f>
        <v>145.61657725179336</v>
      </c>
      <c r="I17" s="84">
        <f>1.645*H5*SQRT(11)</f>
        <v>66.964592030770262</v>
      </c>
      <c r="J17" s="85">
        <f>1.645*I5*SQRT(11)</f>
        <v>113.3323523014832</v>
      </c>
      <c r="K17" s="62">
        <f>1.645*J5*SQRT(11)</f>
        <v>145.61657725179336</v>
      </c>
      <c r="L17" s="62">
        <f>1.645*K5*SQRT(11)</f>
        <v>93.081895833816688</v>
      </c>
      <c r="M17" s="62">
        <f>1.645*L5*SQRT(11)</f>
        <v>130.47683635173522</v>
      </c>
      <c r="O17" s="160" t="s">
        <v>11</v>
      </c>
      <c r="P17" s="12">
        <v>10</v>
      </c>
      <c r="Q17" s="12">
        <f t="shared" ref="Q17:U19" si="1">$P17*C28*2*0.19*365/6</f>
        <v>24605.380000000005</v>
      </c>
      <c r="R17" s="12">
        <f t="shared" si="1"/>
        <v>15680.034999999998</v>
      </c>
      <c r="S17" s="12">
        <f t="shared" si="1"/>
        <v>12247.210000000001</v>
      </c>
      <c r="T17" s="12">
        <f t="shared" si="1"/>
        <v>8190.2350000000006</v>
      </c>
      <c r="U17" s="12">
        <f t="shared" si="1"/>
        <v>2330.1600000000003</v>
      </c>
      <c r="V17" s="152">
        <f>SUM(Q17:U17)</f>
        <v>63053.020000000004</v>
      </c>
      <c r="W17" s="155">
        <f>$P17*H28*2*0.29*365/6</f>
        <v>96238.819999999992</v>
      </c>
    </row>
    <row r="18" spans="2:32" ht="17.100000000000001" customHeight="1" thickBot="1">
      <c r="B18" s="54" t="s">
        <v>12</v>
      </c>
      <c r="C18" s="31">
        <f>C13-11*C6</f>
        <v>17.240478985225437</v>
      </c>
      <c r="D18" s="27">
        <f>D13-11*D6</f>
        <v>33.826256236834723</v>
      </c>
      <c r="E18" s="27">
        <f>E13-11*E6</f>
        <v>34.862867315060299</v>
      </c>
      <c r="F18" s="27">
        <f>F13-11*F6</f>
        <v>36.881530993710115</v>
      </c>
      <c r="G18" s="28">
        <f>G13-11*G6</f>
        <v>19.42281809727929</v>
      </c>
      <c r="H18" s="86">
        <f>SUM(C18:G18)</f>
        <v>142.23395162810988</v>
      </c>
      <c r="I18" s="87">
        <f>1.645*SQRT(11)*H7</f>
        <v>66.289987444164595</v>
      </c>
      <c r="J18" s="52">
        <f>1.645*SQRT(11)*I7</f>
        <v>110.96138839951266</v>
      </c>
      <c r="K18" s="63">
        <f>1.645*SQRT(11)*J7</f>
        <v>142.23395162810988</v>
      </c>
      <c r="L18" s="63">
        <f>1.645*SQRT(11)*K7</f>
        <v>91.39691502150113</v>
      </c>
      <c r="M18" s="63">
        <f>1.645*SQRT(11)*L7</f>
        <v>127.55964626655054</v>
      </c>
      <c r="O18" s="135" t="s">
        <v>12</v>
      </c>
      <c r="P18" s="1">
        <v>20</v>
      </c>
      <c r="Q18" s="1">
        <f t="shared" si="1"/>
        <v>3439.7599999999998</v>
      </c>
      <c r="R18" s="1">
        <f t="shared" si="1"/>
        <v>5756.050000000002</v>
      </c>
      <c r="S18" s="1">
        <f t="shared" si="1"/>
        <v>8530.0500000000011</v>
      </c>
      <c r="T18" s="1">
        <f t="shared" si="1"/>
        <v>8543.92</v>
      </c>
      <c r="U18" s="1">
        <f t="shared" si="1"/>
        <v>10388.629999999999</v>
      </c>
      <c r="V18" s="153">
        <f>SUM(Q18:U18)</f>
        <v>36658.409999999996</v>
      </c>
      <c r="W18" s="155">
        <f>$P18*H29*2*0.29*365/6</f>
        <v>55952.31</v>
      </c>
    </row>
    <row r="19" spans="2:32" ht="17.100000000000001" customHeight="1" thickBot="1">
      <c r="B19" s="54" t="s">
        <v>13</v>
      </c>
      <c r="C19" s="32">
        <f>C14-11*C8</f>
        <v>10.802578604666573</v>
      </c>
      <c r="D19" s="29">
        <f>D14-11*D8</f>
        <v>7.7473038477911782</v>
      </c>
      <c r="E19" s="29">
        <f>E14-11*E8</f>
        <v>13.039476194521772</v>
      </c>
      <c r="F19" s="29">
        <f>F14-11*F8</f>
        <v>20.51398765330622</v>
      </c>
      <c r="G19" s="30">
        <f>G14-11*G8</f>
        <v>21.714274164935841</v>
      </c>
      <c r="H19" s="88">
        <f>SUM(C19:G19)</f>
        <v>73.81762046522158</v>
      </c>
      <c r="I19" s="89">
        <f>1.645*SQRT(11)*H9</f>
        <v>35.2005362572433</v>
      </c>
      <c r="J19" s="53">
        <f>1.645*SQRT(11)*I9</f>
        <v>57.827842964894515</v>
      </c>
      <c r="K19" s="64">
        <f>1.645*SQRT(11)*J9</f>
        <v>73.81762046522158</v>
      </c>
      <c r="L19" s="64">
        <f>1.645*SQRT(11)*K9</f>
        <v>47.870330972168979</v>
      </c>
      <c r="M19" s="64">
        <f>1.645*SQRT(11)*L9</f>
        <v>66.306487288650729</v>
      </c>
      <c r="O19" s="135" t="s">
        <v>13</v>
      </c>
      <c r="P19" s="8">
        <v>70</v>
      </c>
      <c r="Q19" s="8">
        <f t="shared" si="1"/>
        <v>2330.1600000000003</v>
      </c>
      <c r="R19" s="8">
        <f t="shared" si="1"/>
        <v>3543.7849999999994</v>
      </c>
      <c r="S19" s="8">
        <f t="shared" si="1"/>
        <v>3883.6000000000004</v>
      </c>
      <c r="T19" s="8">
        <f t="shared" si="1"/>
        <v>9417.7300000000014</v>
      </c>
      <c r="U19" s="8">
        <f t="shared" si="1"/>
        <v>12330.43</v>
      </c>
      <c r="V19" s="154">
        <f>SUM(Q19:U19)</f>
        <v>31505.705000000002</v>
      </c>
      <c r="W19" s="156">
        <f>$P19*H30*2*0.29*365/6</f>
        <v>48087.654999999999</v>
      </c>
    </row>
    <row r="20" spans="2:32" ht="17.100000000000001" customHeight="1" thickBot="1">
      <c r="B20" s="2"/>
    </row>
    <row r="21" spans="2:32" ht="17.100000000000001" customHeight="1" thickBot="1">
      <c r="B21" s="178" t="s">
        <v>16</v>
      </c>
      <c r="C21" s="179"/>
      <c r="D21" s="179"/>
      <c r="E21" s="179"/>
      <c r="F21" s="179"/>
      <c r="G21" s="180"/>
      <c r="H21" s="49" t="s">
        <v>17</v>
      </c>
      <c r="O21" s="34"/>
      <c r="P21" s="34"/>
      <c r="Q21" s="34"/>
      <c r="R21" s="34"/>
      <c r="S21" s="34"/>
      <c r="T21" s="181"/>
      <c r="U21" s="181"/>
      <c r="V21" s="181"/>
      <c r="W21" s="181"/>
      <c r="X21" s="181"/>
      <c r="Y21" s="181"/>
      <c r="Z21" s="181"/>
      <c r="AA21" s="181"/>
      <c r="AB21" s="181"/>
      <c r="AC21" s="181"/>
      <c r="AD21" s="181"/>
      <c r="AE21" s="181"/>
      <c r="AF21" s="181"/>
    </row>
    <row r="22" spans="2:32" ht="17.100000000000001" customHeight="1" thickBot="1">
      <c r="B22" s="135" t="s">
        <v>11</v>
      </c>
      <c r="C22" s="4">
        <f t="shared" ref="C22:G24" si="2">C12-C17</f>
        <v>390.28</v>
      </c>
      <c r="D22" s="4">
        <f t="shared" si="2"/>
        <v>248.70999999999998</v>
      </c>
      <c r="E22" s="4">
        <f t="shared" si="2"/>
        <v>194.26</v>
      </c>
      <c r="F22" s="4">
        <f t="shared" si="2"/>
        <v>129.91</v>
      </c>
      <c r="G22" s="4">
        <f t="shared" si="2"/>
        <v>36.96</v>
      </c>
      <c r="H22" s="5">
        <f>SUM(C22:G22)</f>
        <v>1000.12</v>
      </c>
      <c r="O22" s="181"/>
      <c r="P22" s="181"/>
      <c r="Q22" s="181"/>
      <c r="R22" s="181"/>
      <c r="S22" s="181"/>
      <c r="T22" s="181"/>
      <c r="U22" s="181"/>
      <c r="V22" s="181"/>
      <c r="W22" s="181"/>
      <c r="X22" s="181"/>
      <c r="Y22" s="181"/>
      <c r="Z22" s="181"/>
      <c r="AA22" s="181"/>
      <c r="AB22" s="181"/>
      <c r="AC22" s="181"/>
      <c r="AD22" s="181"/>
      <c r="AE22" s="181"/>
      <c r="AF22" s="181"/>
    </row>
    <row r="23" spans="2:32" ht="17.100000000000001" customHeight="1" thickBot="1">
      <c r="B23" s="135" t="s">
        <v>12</v>
      </c>
      <c r="C23" s="1">
        <f t="shared" si="2"/>
        <v>27.28</v>
      </c>
      <c r="D23" s="1">
        <f t="shared" si="2"/>
        <v>45.650000000000006</v>
      </c>
      <c r="E23" s="1">
        <f t="shared" si="2"/>
        <v>67.650000000000006</v>
      </c>
      <c r="F23" s="1">
        <f t="shared" si="2"/>
        <v>67.760000000000005</v>
      </c>
      <c r="G23" s="1">
        <f t="shared" si="2"/>
        <v>82.39</v>
      </c>
      <c r="H23" s="7">
        <f>SUM(C23:G23)</f>
        <v>290.73</v>
      </c>
      <c r="O23" s="178" t="s">
        <v>26</v>
      </c>
      <c r="P23" s="179"/>
      <c r="Q23" s="179"/>
      <c r="R23" s="179"/>
      <c r="S23" s="179"/>
      <c r="T23" s="179"/>
      <c r="U23" s="179"/>
      <c r="V23" s="179"/>
      <c r="W23" s="179"/>
      <c r="X23" s="179"/>
      <c r="Y23" s="179"/>
      <c r="Z23" s="179"/>
      <c r="AA23" s="179"/>
      <c r="AB23" s="179"/>
      <c r="AC23" s="179"/>
      <c r="AD23" s="179"/>
      <c r="AE23" s="179"/>
      <c r="AF23" s="180"/>
    </row>
    <row r="24" spans="2:32" ht="17.100000000000001" customHeight="1" thickBot="1">
      <c r="B24" s="135" t="s">
        <v>13</v>
      </c>
      <c r="C24" s="8">
        <f t="shared" si="2"/>
        <v>5.2799999999999994</v>
      </c>
      <c r="D24" s="8">
        <f t="shared" si="2"/>
        <v>8.0299999999999994</v>
      </c>
      <c r="E24" s="8">
        <f t="shared" si="2"/>
        <v>8.8000000000000007</v>
      </c>
      <c r="F24" s="8">
        <f t="shared" si="2"/>
        <v>21.34</v>
      </c>
      <c r="G24" s="8">
        <f t="shared" si="2"/>
        <v>27.94</v>
      </c>
      <c r="H24" s="9">
        <f>SUM(C24:G24)</f>
        <v>71.39</v>
      </c>
      <c r="O24" s="130" t="s">
        <v>23</v>
      </c>
      <c r="P24" s="130" t="s">
        <v>24</v>
      </c>
      <c r="Q24" s="130" t="s">
        <v>0</v>
      </c>
      <c r="R24" s="130" t="s">
        <v>1</v>
      </c>
      <c r="S24" s="130" t="s">
        <v>2</v>
      </c>
      <c r="T24" s="130" t="s">
        <v>3</v>
      </c>
      <c r="U24" s="130" t="s">
        <v>4</v>
      </c>
      <c r="V24" s="130" t="s">
        <v>27</v>
      </c>
      <c r="W24" s="130" t="s">
        <v>29</v>
      </c>
      <c r="X24" s="130" t="s">
        <v>31</v>
      </c>
      <c r="Y24" s="130" t="s">
        <v>32</v>
      </c>
      <c r="Z24" s="130" t="s">
        <v>34</v>
      </c>
      <c r="AA24" s="130" t="s">
        <v>33</v>
      </c>
      <c r="AB24" s="130" t="s">
        <v>35</v>
      </c>
      <c r="AC24" s="130" t="s">
        <v>37</v>
      </c>
      <c r="AD24" s="130" t="s">
        <v>38</v>
      </c>
      <c r="AE24" s="130" t="s">
        <v>36</v>
      </c>
      <c r="AF24" s="130" t="s">
        <v>39</v>
      </c>
    </row>
    <row r="25" spans="2:32" ht="17.100000000000001" customHeight="1" thickBot="1">
      <c r="B25" s="2"/>
      <c r="O25" s="135" t="s">
        <v>11</v>
      </c>
      <c r="P25" s="171">
        <v>10</v>
      </c>
      <c r="Q25" s="168">
        <f t="shared" ref="Q25:U27" si="3">Q11+Q17</f>
        <v>103731.07508417351</v>
      </c>
      <c r="R25" s="165">
        <f t="shared" si="3"/>
        <v>72173.216754361638</v>
      </c>
      <c r="S25" s="165">
        <f t="shared" si="3"/>
        <v>56965.78322962072</v>
      </c>
      <c r="T25" s="165">
        <f t="shared" si="3"/>
        <v>37983.186775490518</v>
      </c>
      <c r="U25" s="165">
        <f t="shared" si="3"/>
        <v>21260.934201710465</v>
      </c>
      <c r="V25" s="165">
        <f>SUM(Q25:U25)</f>
        <v>292114.19604535686</v>
      </c>
      <c r="W25" s="165">
        <f>W17+W11</f>
        <v>282238.03413684672</v>
      </c>
      <c r="X25" s="165">
        <f>V25-W25</f>
        <v>9876.1619085101411</v>
      </c>
      <c r="Y25" s="165">
        <f>W17+X11</f>
        <v>307624.38288506202</v>
      </c>
      <c r="Z25" s="165">
        <f>V25-Y25</f>
        <v>-15510.186839705158</v>
      </c>
      <c r="AA25" s="165">
        <f>W17+Y11</f>
        <v>325299.99604535685</v>
      </c>
      <c r="AB25" s="165">
        <f>V25-AA25</f>
        <v>-33185.799999999988</v>
      </c>
      <c r="AC25" s="165">
        <f>W17+Z11</f>
        <v>296537.25796901464</v>
      </c>
      <c r="AD25" s="165">
        <f>V25-AC25</f>
        <v>-4423.0619236577768</v>
      </c>
      <c r="AE25" s="165">
        <f>W17+AA11</f>
        <v>317010.987902575</v>
      </c>
      <c r="AF25" s="166">
        <f>V25-AE25</f>
        <v>-24896.791857218137</v>
      </c>
    </row>
    <row r="26" spans="2:32" ht="17.100000000000001" customHeight="1" thickBot="1">
      <c r="B26" s="178" t="s">
        <v>18</v>
      </c>
      <c r="C26" s="179"/>
      <c r="D26" s="179"/>
      <c r="E26" s="179"/>
      <c r="F26" s="179"/>
      <c r="G26" s="179"/>
      <c r="H26" s="174" t="s">
        <v>17</v>
      </c>
      <c r="O26" s="135" t="s">
        <v>12</v>
      </c>
      <c r="P26" s="172">
        <v>20</v>
      </c>
      <c r="Q26" s="169">
        <f t="shared" si="3"/>
        <v>30464.884488821848</v>
      </c>
      <c r="R26" s="150">
        <f t="shared" si="3"/>
        <v>56428.550579334034</v>
      </c>
      <c r="S26" s="150">
        <f t="shared" si="3"/>
        <v>66907.639709991039</v>
      </c>
      <c r="T26" s="150">
        <f t="shared" si="3"/>
        <v>69164.796438112578</v>
      </c>
      <c r="U26" s="150">
        <f t="shared" si="3"/>
        <v>56261.265816520819</v>
      </c>
      <c r="V26" s="150">
        <f>SUM(Q26:U26)</f>
        <v>279227.13703278033</v>
      </c>
      <c r="W26" s="150">
        <f>W18+W12</f>
        <v>215362.39625136022</v>
      </c>
      <c r="X26" s="150">
        <f>V26-W26</f>
        <v>63864.740781420114</v>
      </c>
      <c r="Y26" s="150">
        <f>W18+X12</f>
        <v>264277.58029746637</v>
      </c>
      <c r="Z26" s="150">
        <f>V26-Y26</f>
        <v>14949.556735313963</v>
      </c>
      <c r="AA26" s="150">
        <f>W18+Y12</f>
        <v>298521.03703278035</v>
      </c>
      <c r="AB26" s="150">
        <f>V26-AA26</f>
        <v>-19293.900000000023</v>
      </c>
      <c r="AC26" s="150">
        <f>W18+Z12</f>
        <v>242854.48194854375</v>
      </c>
      <c r="AD26" s="150">
        <f>V26-AC26</f>
        <v>36372.655084236583</v>
      </c>
      <c r="AE26" s="150">
        <f>W18+AA12</f>
        <v>282452.67266187287</v>
      </c>
      <c r="AF26" s="151">
        <f>V26-AE26</f>
        <v>-3225.5356290925411</v>
      </c>
    </row>
    <row r="27" spans="2:32" ht="17.100000000000001" customHeight="1" thickBot="1">
      <c r="B27" s="47" t="s">
        <v>23</v>
      </c>
      <c r="C27" s="47" t="s">
        <v>0</v>
      </c>
      <c r="D27" s="47" t="s">
        <v>1</v>
      </c>
      <c r="E27" s="47" t="s">
        <v>2</v>
      </c>
      <c r="F27" s="47" t="s">
        <v>3</v>
      </c>
      <c r="G27" s="135" t="s">
        <v>4</v>
      </c>
      <c r="H27" s="175"/>
      <c r="O27" s="135" t="s">
        <v>13</v>
      </c>
      <c r="P27" s="173">
        <v>70</v>
      </c>
      <c r="Q27" s="170">
        <f t="shared" si="3"/>
        <v>49249.842502384643</v>
      </c>
      <c r="R27" s="149">
        <f t="shared" si="3"/>
        <v>41628.501996659681</v>
      </c>
      <c r="S27" s="149">
        <f t="shared" si="3"/>
        <v>63055.392515504689</v>
      </c>
      <c r="T27" s="149">
        <f t="shared" si="3"/>
        <v>110342.73768129607</v>
      </c>
      <c r="U27" s="149">
        <f t="shared" si="3"/>
        <v>124754.03573711662</v>
      </c>
      <c r="V27" s="149">
        <f>SUM(Q27:U27)</f>
        <v>389030.51043296175</v>
      </c>
      <c r="W27" s="149">
        <f>W19+W13</f>
        <v>257612.48520588494</v>
      </c>
      <c r="X27" s="149">
        <f>V27-W27</f>
        <v>131418.02522707681</v>
      </c>
      <c r="Y27" s="149">
        <f>W19+X13</f>
        <v>344331.6381629582</v>
      </c>
      <c r="Z27" s="149">
        <f>V27-Y27</f>
        <v>44698.872270003543</v>
      </c>
      <c r="AA27" s="149">
        <f>W19+Y13</f>
        <v>405612.4604329617</v>
      </c>
      <c r="AB27" s="149">
        <f>V27-AA27</f>
        <v>-16581.949999999953</v>
      </c>
      <c r="AC27" s="149">
        <f>W19+Z13</f>
        <v>306169.4734508376</v>
      </c>
      <c r="AD27" s="149">
        <f>V27-AC27</f>
        <v>82861.036982124147</v>
      </c>
      <c r="AE27" s="149">
        <f>W19+AA13</f>
        <v>376826.04253375391</v>
      </c>
      <c r="AF27" s="167">
        <f>V27-AE27</f>
        <v>12204.467899207841</v>
      </c>
    </row>
    <row r="28" spans="2:32" ht="17.100000000000001" customHeight="1" thickBot="1">
      <c r="B28" s="135" t="s">
        <v>11</v>
      </c>
      <c r="C28" s="4">
        <f>C4*3</f>
        <v>106.44</v>
      </c>
      <c r="D28" s="4">
        <f>D4*3</f>
        <v>67.83</v>
      </c>
      <c r="E28" s="4">
        <f>E4*3</f>
        <v>52.980000000000004</v>
      </c>
      <c r="F28" s="4">
        <f>F4*3</f>
        <v>35.43</v>
      </c>
      <c r="G28" s="4">
        <f>G4*3</f>
        <v>10.08</v>
      </c>
      <c r="H28" s="5">
        <f>SUM(C28:G28)</f>
        <v>272.76</v>
      </c>
      <c r="O28" s="176" t="s">
        <v>28</v>
      </c>
      <c r="P28" s="177"/>
      <c r="Q28" s="161">
        <f>SUM(Q25:Q27)</f>
        <v>183445.80207538002</v>
      </c>
      <c r="R28" s="161">
        <f>SUM(R25:R27)</f>
        <v>170230.26933035534</v>
      </c>
      <c r="S28" s="161">
        <f>SUM(S25:S27)</f>
        <v>186928.81545511645</v>
      </c>
      <c r="T28" s="161">
        <f>SUM(T25:T27)</f>
        <v>217490.72089489916</v>
      </c>
      <c r="U28" s="161">
        <f>SUM(U25:U27)</f>
        <v>202276.23575534791</v>
      </c>
      <c r="V28" s="162">
        <f t="shared" ref="V28:AB28" si="4">SUM(V25:V27)</f>
        <v>960371.84351109888</v>
      </c>
      <c r="W28" s="162">
        <f t="shared" si="4"/>
        <v>755212.91559409187</v>
      </c>
      <c r="X28" s="163">
        <f t="shared" si="4"/>
        <v>205158.92791700707</v>
      </c>
      <c r="Y28" s="161">
        <f t="shared" si="4"/>
        <v>916233.60134548659</v>
      </c>
      <c r="Z28" s="163">
        <f t="shared" si="4"/>
        <v>44138.242165612348</v>
      </c>
      <c r="AA28" s="161">
        <f t="shared" si="4"/>
        <v>1029433.4935110989</v>
      </c>
      <c r="AB28" s="163">
        <f t="shared" si="4"/>
        <v>-69061.649999999965</v>
      </c>
      <c r="AC28" s="162">
        <f>SUM(AC25:AC27)</f>
        <v>845561.21336839604</v>
      </c>
      <c r="AD28" s="163">
        <f>SUM(AD25:AD27)</f>
        <v>114810.63014270295</v>
      </c>
      <c r="AE28" s="162">
        <f>SUM(AE25:AE27)</f>
        <v>976289.70309820177</v>
      </c>
      <c r="AF28" s="164">
        <f>SUM(AF25:AF27)</f>
        <v>-15917.859587102837</v>
      </c>
    </row>
    <row r="29" spans="2:32" ht="17.100000000000001" customHeight="1" thickBot="1">
      <c r="B29" s="135" t="s">
        <v>12</v>
      </c>
      <c r="C29" s="1">
        <f>C6*3</f>
        <v>7.4399999999999995</v>
      </c>
      <c r="D29" s="1">
        <f>D6*3</f>
        <v>12.450000000000001</v>
      </c>
      <c r="E29" s="1">
        <f>E6*3</f>
        <v>18.450000000000003</v>
      </c>
      <c r="F29" s="1">
        <f>F6*3</f>
        <v>18.48</v>
      </c>
      <c r="G29" s="1">
        <f>G6*3</f>
        <v>22.47</v>
      </c>
      <c r="H29" s="7">
        <f>SUM(C29:G29)</f>
        <v>79.290000000000006</v>
      </c>
    </row>
    <row r="30" spans="2:32" ht="17.100000000000001" customHeight="1" thickBot="1">
      <c r="B30" s="135" t="s">
        <v>13</v>
      </c>
      <c r="C30" s="8">
        <f>C8*3</f>
        <v>1.44</v>
      </c>
      <c r="D30" s="8">
        <f>D8*3</f>
        <v>2.19</v>
      </c>
      <c r="E30" s="8">
        <f>E8*3</f>
        <v>2.4000000000000004</v>
      </c>
      <c r="F30" s="8">
        <f>F8*3</f>
        <v>5.82</v>
      </c>
      <c r="G30" s="8">
        <f>G8*3</f>
        <v>7.62</v>
      </c>
      <c r="H30" s="9">
        <f>SUM(C30:G30)</f>
        <v>19.470000000000002</v>
      </c>
    </row>
    <row r="31" spans="2:32" ht="17.100000000000001" customHeight="1" thickBot="1">
      <c r="B31" s="184"/>
      <c r="C31" s="184"/>
      <c r="D31" s="184"/>
      <c r="E31" s="184"/>
      <c r="V31" s="82" t="s">
        <v>55</v>
      </c>
      <c r="W31" s="79" t="s">
        <v>56</v>
      </c>
      <c r="X31" s="80" t="s">
        <v>31</v>
      </c>
    </row>
    <row r="32" spans="2:32" ht="17.100000000000001" customHeight="1" thickBot="1">
      <c r="V32" s="54">
        <v>0</v>
      </c>
      <c r="W32" s="93">
        <v>755212.91559409187</v>
      </c>
      <c r="X32" s="118">
        <v>205158.92791700707</v>
      </c>
    </row>
    <row r="33" spans="22:24" ht="17.100000000000001" customHeight="1" thickBot="1">
      <c r="V33" s="54">
        <v>0.25</v>
      </c>
      <c r="W33" s="93">
        <v>845561.21336839604</v>
      </c>
      <c r="X33" s="118">
        <v>114810.63014270295</v>
      </c>
    </row>
    <row r="34" spans="22:24" ht="17.100000000000001" customHeight="1" thickBot="1">
      <c r="V34" s="54">
        <v>0.5</v>
      </c>
      <c r="W34" s="93">
        <v>916233.60134548659</v>
      </c>
      <c r="X34" s="118">
        <v>44138.242165612348</v>
      </c>
    </row>
    <row r="35" spans="22:24" ht="17.100000000000001" customHeight="1" thickBot="1">
      <c r="V35" s="54">
        <v>0.75</v>
      </c>
      <c r="W35" s="93">
        <v>976289.70309820177</v>
      </c>
      <c r="X35" s="118">
        <v>-15917.859587102837</v>
      </c>
    </row>
    <row r="36" spans="22:24" ht="17.100000000000001" customHeight="1" thickBot="1">
      <c r="V36" s="54">
        <v>1</v>
      </c>
      <c r="W36" s="96">
        <v>1029433.4935110989</v>
      </c>
      <c r="X36" s="78">
        <v>-69061.649999999965</v>
      </c>
    </row>
    <row r="37" spans="22:24" ht="17.100000000000001" customHeight="1"/>
    <row r="38" spans="22:24" ht="15" customHeight="1"/>
    <row r="60" spans="33:33">
      <c r="AG60" s="33"/>
    </row>
  </sheetData>
  <mergeCells count="21">
    <mergeCell ref="B31:E31"/>
    <mergeCell ref="B26:G26"/>
    <mergeCell ref="B11:G11"/>
    <mergeCell ref="B16:G16"/>
    <mergeCell ref="B21:G21"/>
    <mergeCell ref="B2:G2"/>
    <mergeCell ref="H2:L2"/>
    <mergeCell ref="T8:X8"/>
    <mergeCell ref="Y8:AA8"/>
    <mergeCell ref="T21:X21"/>
    <mergeCell ref="Y21:AC21"/>
    <mergeCell ref="H26:H27"/>
    <mergeCell ref="O28:P28"/>
    <mergeCell ref="O23:AF23"/>
    <mergeCell ref="O9:AA9"/>
    <mergeCell ref="O15:W15"/>
    <mergeCell ref="AD21:AF21"/>
    <mergeCell ref="O22:S22"/>
    <mergeCell ref="T22:X22"/>
    <mergeCell ref="Y22:AC22"/>
    <mergeCell ref="AD22:AF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Y15"/>
  <sheetViews>
    <sheetView topLeftCell="H1" workbookViewId="0">
      <selection activeCell="U10" activeCellId="1" sqref="U10 U10"/>
    </sheetView>
  </sheetViews>
  <sheetFormatPr defaultRowHeight="15"/>
  <cols>
    <col min="1" max="2" width="9.140625" style="17"/>
    <col min="3" max="3" width="11.7109375" style="17" bestFit="1" customWidth="1"/>
    <col min="4" max="8" width="9.140625" style="17"/>
    <col min="9" max="9" width="10.5703125" style="17" customWidth="1"/>
    <col min="10" max="15" width="9.140625" style="17"/>
    <col min="16" max="18" width="12.140625" style="17" bestFit="1" customWidth="1"/>
    <col min="19" max="19" width="9.5703125" style="17" bestFit="1" customWidth="1"/>
    <col min="20" max="20" width="13" style="17" customWidth="1"/>
    <col min="21" max="21" width="12.140625" style="17" bestFit="1" customWidth="1"/>
    <col min="22" max="25" width="10.5703125" style="17" bestFit="1" customWidth="1"/>
    <col min="26" max="16384" width="9.140625" style="17"/>
  </cols>
  <sheetData>
    <row r="1" spans="2:25" ht="15.75" thickBot="1"/>
    <row r="2" spans="2:25" ht="19.5" thickBot="1">
      <c r="B2" s="188" t="s">
        <v>40</v>
      </c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O2" s="182" t="s">
        <v>42</v>
      </c>
      <c r="P2" s="183"/>
      <c r="Q2" s="183"/>
      <c r="R2" s="183"/>
      <c r="S2" s="183"/>
      <c r="T2" s="183"/>
      <c r="U2" s="183"/>
      <c r="V2" s="183"/>
      <c r="W2" s="183"/>
      <c r="X2" s="183"/>
      <c r="Y2" s="189"/>
    </row>
    <row r="3" spans="2:25" ht="15.75" hidden="1" thickBot="1">
      <c r="O3" s="115"/>
      <c r="P3" s="16"/>
      <c r="Q3" s="16"/>
      <c r="R3" s="16"/>
      <c r="S3" s="16"/>
      <c r="T3" s="16"/>
      <c r="U3" s="16"/>
      <c r="V3" s="16"/>
      <c r="W3" s="16"/>
      <c r="X3" s="16"/>
      <c r="Y3" s="116"/>
    </row>
    <row r="4" spans="2:25" ht="15.75" thickBot="1">
      <c r="C4" s="81"/>
      <c r="D4" s="54" t="s">
        <v>0</v>
      </c>
      <c r="E4" s="54" t="s">
        <v>1</v>
      </c>
      <c r="F4" s="54" t="s">
        <v>2</v>
      </c>
      <c r="G4" s="54" t="s">
        <v>3</v>
      </c>
      <c r="H4" s="54" t="s">
        <v>4</v>
      </c>
      <c r="I4" s="50" t="s">
        <v>29</v>
      </c>
      <c r="O4" s="114" t="s">
        <v>53</v>
      </c>
      <c r="P4" s="114" t="s">
        <v>0</v>
      </c>
      <c r="Q4" s="109" t="s">
        <v>1</v>
      </c>
      <c r="R4" s="109" t="s">
        <v>2</v>
      </c>
      <c r="S4" s="109" t="s">
        <v>3</v>
      </c>
      <c r="T4" s="110" t="s">
        <v>4</v>
      </c>
      <c r="U4" s="113" t="s">
        <v>51</v>
      </c>
      <c r="V4" s="109" t="s">
        <v>46</v>
      </c>
      <c r="W4" s="109" t="s">
        <v>48</v>
      </c>
      <c r="X4" s="109" t="s">
        <v>49</v>
      </c>
      <c r="Y4" s="110" t="s">
        <v>50</v>
      </c>
    </row>
    <row r="5" spans="2:25" ht="15.75" thickBot="1">
      <c r="C5" s="54" t="s">
        <v>11</v>
      </c>
      <c r="D5" s="21">
        <v>390.28</v>
      </c>
      <c r="E5" s="21">
        <v>248.70999999999998</v>
      </c>
      <c r="F5" s="21">
        <v>194.26</v>
      </c>
      <c r="G5" s="21">
        <v>129.91</v>
      </c>
      <c r="H5" s="21">
        <v>36.96</v>
      </c>
      <c r="I5" s="102"/>
      <c r="O5" s="111" t="s">
        <v>11</v>
      </c>
      <c r="P5" s="72">
        <v>103731.07508417351</v>
      </c>
      <c r="Q5" s="22">
        <v>72173.216754361638</v>
      </c>
      <c r="R5" s="22">
        <v>56965.78322962072</v>
      </c>
      <c r="S5" s="22">
        <v>37983.186775490518</v>
      </c>
      <c r="T5" s="91">
        <v>21260.934201710465</v>
      </c>
      <c r="U5" s="205"/>
      <c r="V5" s="206"/>
      <c r="W5" s="206"/>
      <c r="X5" s="206"/>
      <c r="Y5" s="207"/>
    </row>
    <row r="6" spans="2:25" ht="15.75" thickBot="1">
      <c r="C6" s="54" t="s">
        <v>12</v>
      </c>
      <c r="D6" s="21"/>
      <c r="E6" s="21"/>
      <c r="F6" s="21"/>
      <c r="G6" s="21"/>
      <c r="H6" s="21"/>
      <c r="I6" s="102">
        <v>290.73</v>
      </c>
      <c r="O6" s="111" t="s">
        <v>12</v>
      </c>
      <c r="P6" s="72"/>
      <c r="Q6" s="22"/>
      <c r="R6" s="22"/>
      <c r="S6" s="22"/>
      <c r="T6" s="91"/>
      <c r="U6" s="125">
        <v>215362.39625136022</v>
      </c>
      <c r="V6" s="22">
        <v>242854.48194854375</v>
      </c>
      <c r="W6" s="22">
        <v>264277.58029746637</v>
      </c>
      <c r="X6" s="22">
        <v>282452.67266187287</v>
      </c>
      <c r="Y6" s="91">
        <v>298521.03703278035</v>
      </c>
    </row>
    <row r="7" spans="2:25" ht="15.75" thickBot="1">
      <c r="C7" s="54" t="s">
        <v>13</v>
      </c>
      <c r="D7" s="19"/>
      <c r="E7" s="19"/>
      <c r="F7" s="19"/>
      <c r="G7" s="19"/>
      <c r="H7" s="19"/>
      <c r="I7" s="103">
        <v>71.39</v>
      </c>
      <c r="O7" s="112" t="s">
        <v>13</v>
      </c>
      <c r="P7" s="75"/>
      <c r="Q7" s="76"/>
      <c r="R7" s="76"/>
      <c r="S7" s="76"/>
      <c r="T7" s="94"/>
      <c r="U7" s="101">
        <v>257612.48520588494</v>
      </c>
      <c r="V7" s="76">
        <v>306169.4734508376</v>
      </c>
      <c r="W7" s="76">
        <v>344331.6381629582</v>
      </c>
      <c r="X7" s="76">
        <v>376826.04253375391</v>
      </c>
      <c r="Y7" s="94">
        <v>405612.4604329617</v>
      </c>
    </row>
    <row r="8" spans="2:25" ht="15.75" thickBot="1">
      <c r="N8" s="121"/>
      <c r="O8" s="122"/>
      <c r="P8" s="123"/>
      <c r="Q8" s="123"/>
      <c r="R8" s="190" t="s">
        <v>43</v>
      </c>
      <c r="S8" s="191"/>
      <c r="T8" s="191"/>
      <c r="U8" s="69">
        <f>SUM(P5:T5,U6:U7)</f>
        <v>765089.07750260201</v>
      </c>
      <c r="V8" s="69">
        <f>SUM(P5:T5,V6:V7)</f>
        <v>841138.15144473827</v>
      </c>
      <c r="W8" s="69">
        <f>SUM(P5:T5,W6:W7)</f>
        <v>900723.41450578137</v>
      </c>
      <c r="X8" s="69">
        <f>SUM(P5:T5,X6:X7)</f>
        <v>951392.91124098364</v>
      </c>
      <c r="Y8" s="90">
        <f>SUM(P5:T5,Y6:Y7)</f>
        <v>996247.69351109897</v>
      </c>
    </row>
    <row r="9" spans="2:25" ht="16.5" thickBot="1">
      <c r="B9" s="182" t="s">
        <v>53</v>
      </c>
      <c r="C9" s="189"/>
      <c r="D9" s="54" t="s">
        <v>0</v>
      </c>
      <c r="E9" s="54" t="s">
        <v>1</v>
      </c>
      <c r="F9" s="54" t="s">
        <v>2</v>
      </c>
      <c r="G9" s="54" t="s">
        <v>3</v>
      </c>
      <c r="H9" s="54" t="s">
        <v>4</v>
      </c>
      <c r="I9" s="54" t="s">
        <v>47</v>
      </c>
      <c r="J9" s="54" t="s">
        <v>46</v>
      </c>
      <c r="K9" s="54" t="s">
        <v>48</v>
      </c>
      <c r="L9" s="54" t="s">
        <v>49</v>
      </c>
      <c r="M9" s="54" t="s">
        <v>50</v>
      </c>
      <c r="N9" s="121"/>
      <c r="O9" s="122"/>
      <c r="P9" s="123"/>
      <c r="Q9" s="123"/>
      <c r="R9" s="192" t="s">
        <v>44</v>
      </c>
      <c r="S9" s="193"/>
      <c r="T9" s="193"/>
      <c r="U9" s="196">
        <v>960371.84351109888</v>
      </c>
      <c r="V9" s="197"/>
      <c r="W9" s="197"/>
      <c r="X9" s="197"/>
      <c r="Y9" s="198"/>
    </row>
    <row r="10" spans="2:25" ht="15.75" customHeight="1" thickBot="1">
      <c r="B10" s="174" t="s">
        <v>11</v>
      </c>
      <c r="C10" s="54" t="s">
        <v>41</v>
      </c>
      <c r="D10" s="3">
        <v>106.44</v>
      </c>
      <c r="E10" s="97">
        <v>67.83</v>
      </c>
      <c r="F10" s="97">
        <v>52.980000000000004</v>
      </c>
      <c r="G10" s="97">
        <v>35.43</v>
      </c>
      <c r="H10" s="98">
        <v>10.08</v>
      </c>
      <c r="I10" s="199"/>
      <c r="J10" s="200"/>
      <c r="K10" s="200"/>
      <c r="L10" s="200"/>
      <c r="M10" s="201"/>
      <c r="N10" s="121"/>
      <c r="O10" s="122"/>
      <c r="P10" s="123"/>
      <c r="Q10" s="123"/>
      <c r="R10" s="192" t="s">
        <v>31</v>
      </c>
      <c r="S10" s="193"/>
      <c r="T10" s="193"/>
      <c r="U10" s="22">
        <f>U9-U8</f>
        <v>195282.76600849687</v>
      </c>
      <c r="V10" s="22">
        <f>U9-V8</f>
        <v>119233.69206636061</v>
      </c>
      <c r="W10" s="22">
        <f>U9-W8</f>
        <v>59648.429005317506</v>
      </c>
      <c r="X10" s="22">
        <f>U9-X8</f>
        <v>8978.9322701152414</v>
      </c>
      <c r="Y10" s="91">
        <f>U9-Y8</f>
        <v>-35875.850000000093</v>
      </c>
    </row>
    <row r="11" spans="2:25" ht="15.75" customHeight="1" thickBot="1">
      <c r="B11" s="175"/>
      <c r="C11" s="54" t="s">
        <v>14</v>
      </c>
      <c r="D11" s="6">
        <v>38.081817505339757</v>
      </c>
      <c r="E11" s="21">
        <v>35.353893615272398</v>
      </c>
      <c r="F11" s="21">
        <v>28.697759323508166</v>
      </c>
      <c r="G11" s="21">
        <v>18.986350274868528</v>
      </c>
      <c r="H11" s="99">
        <v>24.496756532804504</v>
      </c>
      <c r="I11" s="202"/>
      <c r="J11" s="203"/>
      <c r="K11" s="203"/>
      <c r="L11" s="203"/>
      <c r="M11" s="204"/>
      <c r="N11" s="121"/>
      <c r="O11" s="122"/>
      <c r="P11" s="123"/>
      <c r="Q11" s="123"/>
      <c r="R11" s="194" t="s">
        <v>45</v>
      </c>
      <c r="S11" s="195"/>
      <c r="T11" s="195"/>
      <c r="U11" s="208">
        <v>205158.92791700707</v>
      </c>
      <c r="V11" s="208"/>
      <c r="W11" s="208"/>
      <c r="X11" s="208"/>
      <c r="Y11" s="209"/>
    </row>
    <row r="12" spans="2:25" ht="15.75" customHeight="1" thickBot="1">
      <c r="B12" s="174" t="s">
        <v>12</v>
      </c>
      <c r="C12" s="54" t="s">
        <v>41</v>
      </c>
      <c r="D12" s="6"/>
      <c r="E12" s="21"/>
      <c r="F12" s="21"/>
      <c r="G12" s="21"/>
      <c r="H12" s="99"/>
      <c r="I12" s="6">
        <v>79.290000000000006</v>
      </c>
      <c r="J12" s="21">
        <v>79.290000000000006</v>
      </c>
      <c r="K12" s="21">
        <v>79.290000000000006</v>
      </c>
      <c r="L12" s="21">
        <v>79.290000000000006</v>
      </c>
      <c r="M12" s="102">
        <v>79.290000000000006</v>
      </c>
      <c r="N12" s="121"/>
      <c r="O12" s="121"/>
      <c r="P12" s="121"/>
      <c r="Q12" s="121"/>
    </row>
    <row r="13" spans="2:25" ht="15.75" customHeight="1" thickBot="1">
      <c r="B13" s="175"/>
      <c r="C13" s="54" t="s">
        <v>14</v>
      </c>
      <c r="D13" s="6"/>
      <c r="E13" s="21"/>
      <c r="F13" s="21"/>
      <c r="G13" s="21"/>
      <c r="H13" s="99"/>
      <c r="I13" s="6">
        <v>66.289987444164595</v>
      </c>
      <c r="J13" s="21">
        <v>91.39691502150113</v>
      </c>
      <c r="K13" s="21">
        <v>110.96138839951266</v>
      </c>
      <c r="L13" s="21">
        <v>127.55964626655054</v>
      </c>
      <c r="M13" s="102">
        <v>142.23395162810988</v>
      </c>
      <c r="N13" s="121"/>
      <c r="O13" s="121"/>
      <c r="P13" s="121"/>
      <c r="Q13" s="121"/>
    </row>
    <row r="14" spans="2:25" ht="15.75" customHeight="1" thickBot="1">
      <c r="B14" s="174" t="s">
        <v>13</v>
      </c>
      <c r="C14" s="54" t="s">
        <v>41</v>
      </c>
      <c r="D14" s="6"/>
      <c r="E14" s="21"/>
      <c r="F14" s="21"/>
      <c r="G14" s="21"/>
      <c r="H14" s="99"/>
      <c r="I14" s="6">
        <v>19.470000000000002</v>
      </c>
      <c r="J14" s="21">
        <v>19.470000000000002</v>
      </c>
      <c r="K14" s="21">
        <v>19.470000000000002</v>
      </c>
      <c r="L14" s="21">
        <v>19.470000000000002</v>
      </c>
      <c r="M14" s="102">
        <v>19.470000000000002</v>
      </c>
    </row>
    <row r="15" spans="2:25" ht="15.75" customHeight="1" thickBot="1">
      <c r="B15" s="175"/>
      <c r="C15" s="54" t="s">
        <v>14</v>
      </c>
      <c r="D15" s="18"/>
      <c r="E15" s="19"/>
      <c r="F15" s="19"/>
      <c r="G15" s="19"/>
      <c r="H15" s="100"/>
      <c r="I15" s="18">
        <v>35.2005362572433</v>
      </c>
      <c r="J15" s="19">
        <v>47.870330972168979</v>
      </c>
      <c r="K15" s="19">
        <v>57.827842964894515</v>
      </c>
      <c r="L15" s="19">
        <v>66.306487288650729</v>
      </c>
      <c r="M15" s="103">
        <v>73.81762046522158</v>
      </c>
    </row>
  </sheetData>
  <mergeCells count="14">
    <mergeCell ref="B14:B15"/>
    <mergeCell ref="I10:M11"/>
    <mergeCell ref="B12:B13"/>
    <mergeCell ref="U5:Y5"/>
    <mergeCell ref="U11:Y11"/>
    <mergeCell ref="B2:M2"/>
    <mergeCell ref="O2:Y2"/>
    <mergeCell ref="B9:C9"/>
    <mergeCell ref="B10:B11"/>
    <mergeCell ref="R8:T8"/>
    <mergeCell ref="R9:T9"/>
    <mergeCell ref="R10:T10"/>
    <mergeCell ref="R11:T11"/>
    <mergeCell ref="U9:Y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2:M13"/>
  <sheetViews>
    <sheetView workbookViewId="0">
      <selection activeCell="I12" sqref="I12"/>
    </sheetView>
  </sheetViews>
  <sheetFormatPr defaultRowHeight="15"/>
  <cols>
    <col min="1" max="3" width="9.140625" style="17"/>
    <col min="4" max="4" width="9.5703125" style="17" bestFit="1" customWidth="1"/>
    <col min="5" max="7" width="12.140625" style="17" bestFit="1" customWidth="1"/>
    <col min="8" max="8" width="13.140625" style="17" customWidth="1"/>
    <col min="9" max="13" width="9.5703125" style="17" bestFit="1" customWidth="1"/>
    <col min="14" max="16384" width="9.140625" style="17"/>
  </cols>
  <sheetData>
    <row r="2" spans="3:13" ht="21">
      <c r="C2" s="211" t="s">
        <v>52</v>
      </c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4" spans="3:13" ht="15.75" thickBot="1"/>
    <row r="5" spans="3:13" ht="16.5" thickBot="1">
      <c r="C5" s="182" t="s">
        <v>42</v>
      </c>
      <c r="D5" s="183"/>
      <c r="E5" s="183"/>
      <c r="F5" s="183"/>
      <c r="G5" s="183"/>
      <c r="H5" s="183"/>
      <c r="I5" s="183"/>
      <c r="J5" s="183"/>
      <c r="K5" s="183"/>
      <c r="L5" s="183"/>
      <c r="M5" s="189"/>
    </row>
    <row r="6" spans="3:13">
      <c r="C6" s="126" t="s">
        <v>59</v>
      </c>
      <c r="D6" s="126" t="s">
        <v>0</v>
      </c>
      <c r="E6" s="126" t="s">
        <v>1</v>
      </c>
      <c r="F6" s="126" t="s">
        <v>2</v>
      </c>
      <c r="G6" s="126" t="s">
        <v>3</v>
      </c>
      <c r="H6" s="126" t="s">
        <v>4</v>
      </c>
      <c r="I6" s="126" t="s">
        <v>51</v>
      </c>
      <c r="J6" s="126" t="s">
        <v>46</v>
      </c>
      <c r="K6" s="126" t="s">
        <v>48</v>
      </c>
      <c r="L6" s="126" t="s">
        <v>49</v>
      </c>
      <c r="M6" s="127" t="s">
        <v>50</v>
      </c>
    </row>
    <row r="7" spans="3:13">
      <c r="C7" s="111" t="s">
        <v>11</v>
      </c>
      <c r="D7" s="26">
        <v>103731.07508417351</v>
      </c>
      <c r="E7" s="26">
        <v>72173.216754361638</v>
      </c>
      <c r="F7" s="26">
        <v>56965.78322962072</v>
      </c>
      <c r="G7" s="26">
        <v>37983.186775490518</v>
      </c>
      <c r="H7" s="117">
        <v>21260.934201710465</v>
      </c>
      <c r="I7" s="212"/>
      <c r="J7" s="213"/>
      <c r="K7" s="213"/>
      <c r="L7" s="213"/>
      <c r="M7" s="214"/>
    </row>
    <row r="8" spans="3:13">
      <c r="C8" s="111" t="s">
        <v>12</v>
      </c>
      <c r="D8" s="26">
        <v>30464.884488821848</v>
      </c>
      <c r="E8" s="26">
        <v>56428.550579334034</v>
      </c>
      <c r="F8" s="26">
        <v>66907.639709991039</v>
      </c>
      <c r="G8" s="26">
        <v>69164.796438112578</v>
      </c>
      <c r="H8" s="117">
        <v>56261.265816520819</v>
      </c>
      <c r="I8" s="215"/>
      <c r="J8" s="216"/>
      <c r="K8" s="216"/>
      <c r="L8" s="216"/>
      <c r="M8" s="217"/>
    </row>
    <row r="9" spans="3:13" ht="15.75" thickBot="1">
      <c r="C9" s="112" t="s">
        <v>13</v>
      </c>
      <c r="D9" s="119"/>
      <c r="E9" s="119"/>
      <c r="F9" s="119"/>
      <c r="G9" s="119"/>
      <c r="H9" s="77"/>
      <c r="I9" s="75">
        <v>257612.48520588494</v>
      </c>
      <c r="J9" s="119">
        <v>306169.4734508376</v>
      </c>
      <c r="K9" s="119">
        <v>344331.6381629582</v>
      </c>
      <c r="L9" s="119">
        <v>376826.04253375391</v>
      </c>
      <c r="M9" s="120">
        <v>405612.4604329617</v>
      </c>
    </row>
    <row r="10" spans="3:13">
      <c r="C10" s="121"/>
      <c r="D10" s="128"/>
      <c r="E10" s="128"/>
      <c r="F10" s="190" t="s">
        <v>43</v>
      </c>
      <c r="G10" s="191"/>
      <c r="H10" s="219"/>
      <c r="I10" s="68">
        <f>SUM(D7:H8,I9)</f>
        <v>828953.81828402204</v>
      </c>
      <c r="J10" s="69">
        <f>SUM(D7:H8,J9)</f>
        <v>877510.80652897479</v>
      </c>
      <c r="K10" s="69">
        <f>SUM(D7:H8,K9)</f>
        <v>915672.97124109534</v>
      </c>
      <c r="L10" s="69">
        <f>SUM(D7:H8,L9)</f>
        <v>948167.37561189104</v>
      </c>
      <c r="M10" s="90">
        <f>SUM(D7:H8,M9)</f>
        <v>976953.79351109883</v>
      </c>
    </row>
    <row r="11" spans="3:13">
      <c r="C11" s="121"/>
      <c r="D11" s="128"/>
      <c r="E11" s="128"/>
      <c r="F11" s="192" t="s">
        <v>44</v>
      </c>
      <c r="G11" s="193"/>
      <c r="H11" s="220"/>
      <c r="I11" s="218">
        <v>960371.84351109888</v>
      </c>
      <c r="J11" s="206"/>
      <c r="K11" s="206"/>
      <c r="L11" s="206"/>
      <c r="M11" s="207"/>
    </row>
    <row r="12" spans="3:13">
      <c r="C12" s="121"/>
      <c r="D12" s="128"/>
      <c r="E12" s="128"/>
      <c r="F12" s="192" t="s">
        <v>31</v>
      </c>
      <c r="G12" s="193"/>
      <c r="H12" s="220"/>
      <c r="I12" s="72">
        <f>I11-I10</f>
        <v>131418.02522707684</v>
      </c>
      <c r="J12" s="26">
        <f>I11-J10</f>
        <v>82861.036982124089</v>
      </c>
      <c r="K12" s="26">
        <f>I11-K10</f>
        <v>44698.872270003543</v>
      </c>
      <c r="L12" s="26">
        <f>I11-L10</f>
        <v>12204.467899207841</v>
      </c>
      <c r="M12" s="124">
        <f>I11-M10</f>
        <v>-16581.949999999953</v>
      </c>
    </row>
    <row r="13" spans="3:13" ht="15" customHeight="1" thickBot="1">
      <c r="C13" s="121"/>
      <c r="D13" s="128"/>
      <c r="E13" s="128"/>
      <c r="F13" s="194" t="s">
        <v>45</v>
      </c>
      <c r="G13" s="195"/>
      <c r="H13" s="221"/>
      <c r="I13" s="210">
        <v>205158.92791700707</v>
      </c>
      <c r="J13" s="208"/>
      <c r="K13" s="208"/>
      <c r="L13" s="208"/>
      <c r="M13" s="209"/>
    </row>
  </sheetData>
  <mergeCells count="9">
    <mergeCell ref="I13:M13"/>
    <mergeCell ref="C2:M2"/>
    <mergeCell ref="C5:M5"/>
    <mergeCell ref="I7:M8"/>
    <mergeCell ref="I11:M11"/>
    <mergeCell ref="F10:H10"/>
    <mergeCell ref="F11:H11"/>
    <mergeCell ref="F12:H12"/>
    <mergeCell ref="F13:H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Y20"/>
  <sheetViews>
    <sheetView topLeftCell="I1" workbookViewId="0">
      <selection activeCell="U9" sqref="U9"/>
    </sheetView>
  </sheetViews>
  <sheetFormatPr defaultRowHeight="15"/>
  <cols>
    <col min="1" max="2" width="9.140625" style="17"/>
    <col min="3" max="3" width="11.7109375" style="17" bestFit="1" customWidth="1"/>
    <col min="4" max="8" width="9.140625" style="17"/>
    <col min="9" max="9" width="10.5703125" style="17" customWidth="1"/>
    <col min="10" max="15" width="9.140625" style="17"/>
    <col min="16" max="18" width="12.140625" style="17" bestFit="1" customWidth="1"/>
    <col min="19" max="19" width="9.5703125" style="17" bestFit="1" customWidth="1"/>
    <col min="20" max="20" width="13" style="17" customWidth="1"/>
    <col min="21" max="25" width="9.5703125" style="17" bestFit="1" customWidth="1"/>
    <col min="26" max="16384" width="9.140625" style="17"/>
  </cols>
  <sheetData>
    <row r="1" spans="2:25" ht="15.75" thickBot="1"/>
    <row r="2" spans="2:25" ht="19.5" thickBot="1">
      <c r="B2" s="188" t="s">
        <v>54</v>
      </c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O2" s="182" t="s">
        <v>42</v>
      </c>
      <c r="P2" s="183"/>
      <c r="Q2" s="183"/>
      <c r="R2" s="183"/>
      <c r="S2" s="183"/>
      <c r="T2" s="183"/>
      <c r="U2" s="183"/>
      <c r="V2" s="183"/>
      <c r="W2" s="183"/>
      <c r="X2" s="183"/>
      <c r="Y2" s="189"/>
    </row>
    <row r="3" spans="2:25" ht="15.75" thickBot="1">
      <c r="C3" s="47" t="s">
        <v>53</v>
      </c>
      <c r="D3" s="47" t="s">
        <v>0</v>
      </c>
      <c r="E3" s="47" t="s">
        <v>1</v>
      </c>
      <c r="F3" s="47" t="s">
        <v>2</v>
      </c>
      <c r="G3" s="47" t="s">
        <v>3</v>
      </c>
      <c r="H3" s="47" t="s">
        <v>4</v>
      </c>
      <c r="I3" s="47" t="s">
        <v>29</v>
      </c>
      <c r="O3" s="47" t="s">
        <v>53</v>
      </c>
      <c r="P3" s="47" t="s">
        <v>0</v>
      </c>
      <c r="Q3" s="47" t="s">
        <v>1</v>
      </c>
      <c r="R3" s="47" t="s">
        <v>2</v>
      </c>
      <c r="S3" s="47" t="s">
        <v>3</v>
      </c>
      <c r="T3" s="47" t="s">
        <v>4</v>
      </c>
      <c r="U3" s="47" t="s">
        <v>51</v>
      </c>
      <c r="V3" s="47" t="s">
        <v>46</v>
      </c>
      <c r="W3" s="47" t="s">
        <v>48</v>
      </c>
      <c r="X3" s="47" t="s">
        <v>49</v>
      </c>
      <c r="Y3" s="50" t="s">
        <v>50</v>
      </c>
    </row>
    <row r="4" spans="2:25" ht="15.75" thickBot="1">
      <c r="C4" s="54" t="s">
        <v>11</v>
      </c>
      <c r="D4" s="107">
        <v>390.28</v>
      </c>
      <c r="E4" s="104">
        <v>248.70999999999998</v>
      </c>
      <c r="F4" s="104">
        <v>194.26</v>
      </c>
      <c r="G4" s="104">
        <v>166.87</v>
      </c>
      <c r="H4" s="104"/>
      <c r="I4" s="105"/>
      <c r="O4" s="114" t="s">
        <v>11</v>
      </c>
      <c r="P4" s="69">
        <v>103731.07508417351</v>
      </c>
      <c r="Q4" s="69">
        <v>72173.216754361638</v>
      </c>
      <c r="R4" s="69">
        <v>56965.78322962072</v>
      </c>
      <c r="S4" s="69">
        <v>45850.266137500003</v>
      </c>
      <c r="T4" s="69"/>
      <c r="U4" s="222"/>
      <c r="V4" s="222"/>
      <c r="W4" s="222"/>
      <c r="X4" s="222"/>
      <c r="Y4" s="223"/>
    </row>
    <row r="5" spans="2:25" ht="15.75" thickBot="1">
      <c r="C5" s="54" t="s">
        <v>12</v>
      </c>
      <c r="D5" s="108"/>
      <c r="E5" s="25"/>
      <c r="F5" s="25"/>
      <c r="G5" s="25"/>
      <c r="H5" s="25"/>
      <c r="I5" s="106">
        <v>290.73</v>
      </c>
      <c r="O5" s="111" t="s">
        <v>12</v>
      </c>
      <c r="P5" s="26"/>
      <c r="Q5" s="26"/>
      <c r="R5" s="26"/>
      <c r="S5" s="26"/>
      <c r="T5" s="26"/>
      <c r="U5" s="26">
        <v>215362.39625136022</v>
      </c>
      <c r="V5" s="26">
        <v>242854.48194854375</v>
      </c>
      <c r="W5" s="26">
        <v>264277.58029746637</v>
      </c>
      <c r="X5" s="26">
        <v>282452.67266187287</v>
      </c>
      <c r="Y5" s="124">
        <v>298521.03703278035</v>
      </c>
    </row>
    <row r="6" spans="2:25" ht="15.75" thickBot="1">
      <c r="C6" s="54" t="s">
        <v>13</v>
      </c>
      <c r="D6" s="23"/>
      <c r="E6" s="24"/>
      <c r="F6" s="24"/>
      <c r="G6" s="24"/>
      <c r="H6" s="24"/>
      <c r="I6" s="103">
        <v>71.39</v>
      </c>
      <c r="O6" s="112" t="s">
        <v>13</v>
      </c>
      <c r="P6" s="119"/>
      <c r="Q6" s="119"/>
      <c r="R6" s="119"/>
      <c r="S6" s="119"/>
      <c r="T6" s="119"/>
      <c r="U6" s="119">
        <v>257612.48520588494</v>
      </c>
      <c r="V6" s="119">
        <v>306169.4734508376</v>
      </c>
      <c r="W6" s="119">
        <v>344331.6381629582</v>
      </c>
      <c r="X6" s="119">
        <v>376826.04253375391</v>
      </c>
      <c r="Y6" s="120">
        <v>405612.4604329617</v>
      </c>
    </row>
    <row r="7" spans="2:25" ht="15.75" thickBot="1">
      <c r="O7" s="121"/>
      <c r="P7" s="121"/>
      <c r="Q7" s="121"/>
      <c r="R7" s="176" t="s">
        <v>43</v>
      </c>
      <c r="S7" s="224"/>
      <c r="T7" s="225"/>
      <c r="U7" s="129">
        <f>SUM(P4:T4,U5:U6)</f>
        <v>751695.22266290104</v>
      </c>
      <c r="V7" s="69">
        <f>SUM(P4:T4,V5:V6)</f>
        <v>827744.29660503729</v>
      </c>
      <c r="W7" s="69">
        <f>SUM(P4:T4,W5:W6)</f>
        <v>887329.5596660804</v>
      </c>
      <c r="X7" s="69">
        <f>SUM(P4:T4,X5:X6)</f>
        <v>937999.05640128267</v>
      </c>
      <c r="Y7" s="90">
        <f>SUM(P4:T4,Y5:Y6)</f>
        <v>982853.838671398</v>
      </c>
    </row>
    <row r="8" spans="2:25" ht="16.5" thickBot="1">
      <c r="B8" s="182" t="s">
        <v>53</v>
      </c>
      <c r="C8" s="189"/>
      <c r="D8" s="47" t="s">
        <v>0</v>
      </c>
      <c r="E8" s="47" t="s">
        <v>1</v>
      </c>
      <c r="F8" s="47" t="s">
        <v>2</v>
      </c>
      <c r="G8" s="47" t="s">
        <v>3</v>
      </c>
      <c r="H8" s="47" t="s">
        <v>4</v>
      </c>
      <c r="I8" s="47" t="s">
        <v>47</v>
      </c>
      <c r="J8" s="47" t="s">
        <v>46</v>
      </c>
      <c r="K8" s="47" t="s">
        <v>48</v>
      </c>
      <c r="L8" s="47" t="s">
        <v>49</v>
      </c>
      <c r="M8" s="47" t="s">
        <v>50</v>
      </c>
      <c r="O8" s="121"/>
      <c r="P8" s="121"/>
      <c r="Q8" s="121"/>
      <c r="R8" s="176" t="s">
        <v>44</v>
      </c>
      <c r="S8" s="224"/>
      <c r="T8" s="225"/>
      <c r="U8" s="197">
        <v>960371.84351109888</v>
      </c>
      <c r="V8" s="197"/>
      <c r="W8" s="197"/>
      <c r="X8" s="197"/>
      <c r="Y8" s="198"/>
    </row>
    <row r="9" spans="2:25" ht="16.5" customHeight="1" thickBot="1">
      <c r="B9" s="174" t="s">
        <v>11</v>
      </c>
      <c r="C9" s="54" t="s">
        <v>41</v>
      </c>
      <c r="D9" s="68">
        <v>106.44</v>
      </c>
      <c r="E9" s="69">
        <v>67.83</v>
      </c>
      <c r="F9" s="69">
        <v>52.980000000000004</v>
      </c>
      <c r="G9" s="69">
        <v>35.43</v>
      </c>
      <c r="H9" s="69"/>
      <c r="I9" s="222"/>
      <c r="J9" s="222"/>
      <c r="K9" s="222"/>
      <c r="L9" s="222"/>
      <c r="M9" s="223"/>
      <c r="O9" s="121"/>
      <c r="P9" s="121"/>
      <c r="Q9" s="121"/>
      <c r="R9" s="176" t="s">
        <v>31</v>
      </c>
      <c r="S9" s="224"/>
      <c r="T9" s="225"/>
      <c r="U9" s="125">
        <f>U8-U7</f>
        <v>208676.62084819784</v>
      </c>
      <c r="V9" s="26">
        <f>U8-V7</f>
        <v>132627.54690606159</v>
      </c>
      <c r="W9" s="26">
        <f>U8-W7</f>
        <v>73042.283845018479</v>
      </c>
      <c r="X9" s="26">
        <f>U8-X7</f>
        <v>22372.787109816214</v>
      </c>
      <c r="Y9" s="124">
        <f>U8-Y7</f>
        <v>-22481.99516029912</v>
      </c>
    </row>
    <row r="10" spans="2:25" ht="15" customHeight="1" thickBot="1">
      <c r="B10" s="175"/>
      <c r="C10" s="54" t="s">
        <v>14</v>
      </c>
      <c r="D10" s="72">
        <v>38.081817505339757</v>
      </c>
      <c r="E10" s="26">
        <v>35.353893615272398</v>
      </c>
      <c r="F10" s="26">
        <v>28.697759323508166</v>
      </c>
      <c r="G10" s="26">
        <f>1.645*18.841</f>
        <v>30.993445000000001</v>
      </c>
      <c r="H10" s="26"/>
      <c r="I10" s="206"/>
      <c r="J10" s="206"/>
      <c r="K10" s="206"/>
      <c r="L10" s="206"/>
      <c r="M10" s="207"/>
      <c r="O10" s="121"/>
      <c r="P10" s="121"/>
      <c r="Q10" s="121"/>
      <c r="R10" s="176" t="s">
        <v>45</v>
      </c>
      <c r="S10" s="224"/>
      <c r="T10" s="225"/>
      <c r="U10" s="226">
        <v>205158.92791700707</v>
      </c>
      <c r="V10" s="208"/>
      <c r="W10" s="208"/>
      <c r="X10" s="208"/>
      <c r="Y10" s="209"/>
    </row>
    <row r="11" spans="2:25" ht="27" customHeight="1" thickBot="1">
      <c r="B11" s="174" t="s">
        <v>12</v>
      </c>
      <c r="C11" s="54" t="s">
        <v>41</v>
      </c>
      <c r="D11" s="72"/>
      <c r="E11" s="26"/>
      <c r="F11" s="26"/>
      <c r="G11" s="26"/>
      <c r="H11" s="26"/>
      <c r="I11" s="26">
        <v>79.290000000000006</v>
      </c>
      <c r="J11" s="26">
        <v>79.290000000000006</v>
      </c>
      <c r="K11" s="26">
        <v>79.290000000000006</v>
      </c>
      <c r="L11" s="26">
        <v>79.290000000000006</v>
      </c>
      <c r="M11" s="124">
        <v>79.290000000000006</v>
      </c>
    </row>
    <row r="12" spans="2:25" ht="15.75" thickBot="1">
      <c r="B12" s="175"/>
      <c r="C12" s="54" t="s">
        <v>14</v>
      </c>
      <c r="D12" s="72"/>
      <c r="E12" s="26"/>
      <c r="F12" s="26"/>
      <c r="G12" s="26"/>
      <c r="H12" s="26"/>
      <c r="I12" s="26">
        <v>66.289987444164595</v>
      </c>
      <c r="J12" s="26">
        <v>91.39691502150113</v>
      </c>
      <c r="K12" s="26">
        <v>110.96138839951266</v>
      </c>
      <c r="L12" s="26">
        <v>127.55964626655054</v>
      </c>
      <c r="M12" s="124">
        <v>142.23395162810988</v>
      </c>
    </row>
    <row r="13" spans="2:25" ht="15.75" thickBot="1">
      <c r="B13" s="174" t="s">
        <v>13</v>
      </c>
      <c r="C13" s="54" t="s">
        <v>41</v>
      </c>
      <c r="D13" s="72"/>
      <c r="E13" s="26"/>
      <c r="F13" s="26"/>
      <c r="G13" s="26"/>
      <c r="H13" s="26"/>
      <c r="I13" s="26">
        <v>19.470000000000002</v>
      </c>
      <c r="J13" s="26">
        <v>19.470000000000002</v>
      </c>
      <c r="K13" s="26">
        <v>19.470000000000002</v>
      </c>
      <c r="L13" s="26">
        <v>19.470000000000002</v>
      </c>
      <c r="M13" s="124">
        <v>19.470000000000002</v>
      </c>
    </row>
    <row r="14" spans="2:25" ht="15.75" thickBot="1">
      <c r="B14" s="175"/>
      <c r="C14" s="54" t="s">
        <v>14</v>
      </c>
      <c r="D14" s="75"/>
      <c r="E14" s="119"/>
      <c r="F14" s="119"/>
      <c r="G14" s="119"/>
      <c r="H14" s="119"/>
      <c r="I14" s="119">
        <v>35.2005362572433</v>
      </c>
      <c r="J14" s="119">
        <v>47.870330972168979</v>
      </c>
      <c r="K14" s="119">
        <v>57.827842964894515</v>
      </c>
      <c r="L14" s="119">
        <v>66.306487288650729</v>
      </c>
      <c r="M14" s="120">
        <v>73.81762046522158</v>
      </c>
    </row>
    <row r="18" spans="8:8">
      <c r="H18" s="17">
        <f>10*(G9+G10)*0.15*365</f>
        <v>36366.836137500002</v>
      </c>
    </row>
    <row r="19" spans="8:8">
      <c r="H19" s="17">
        <f>G9*2*0.22*10*365/6</f>
        <v>9483.43</v>
      </c>
    </row>
    <row r="20" spans="8:8">
      <c r="H20" s="17">
        <f>H19+H18</f>
        <v>45850.266137500003</v>
      </c>
    </row>
  </sheetData>
  <mergeCells count="14">
    <mergeCell ref="B13:B14"/>
    <mergeCell ref="B2:M2"/>
    <mergeCell ref="O2:Y2"/>
    <mergeCell ref="U4:Y4"/>
    <mergeCell ref="B8:C8"/>
    <mergeCell ref="B9:B10"/>
    <mergeCell ref="I9:M10"/>
    <mergeCell ref="R7:T7"/>
    <mergeCell ref="R8:T8"/>
    <mergeCell ref="R9:T9"/>
    <mergeCell ref="R10:T10"/>
    <mergeCell ref="U8:Y8"/>
    <mergeCell ref="B11:B12"/>
    <mergeCell ref="U10:Y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C2:K8"/>
  <sheetViews>
    <sheetView workbookViewId="0">
      <selection activeCell="J10" sqref="J10"/>
    </sheetView>
  </sheetViews>
  <sheetFormatPr defaultRowHeight="15"/>
  <cols>
    <col min="6" max="6" width="10.5703125" bestFit="1" customWidth="1"/>
  </cols>
  <sheetData>
    <row r="2" spans="3:11" ht="15.75" thickBot="1"/>
    <row r="3" spans="3:11" ht="95.25" thickBot="1">
      <c r="C3" s="227" t="s">
        <v>65</v>
      </c>
      <c r="D3" s="228"/>
      <c r="E3" s="229"/>
      <c r="F3" s="136" t="s">
        <v>71</v>
      </c>
      <c r="G3" s="137" t="s">
        <v>70</v>
      </c>
      <c r="H3" s="138" t="s">
        <v>69</v>
      </c>
      <c r="I3" s="139" t="s">
        <v>72</v>
      </c>
      <c r="J3" s="139" t="s">
        <v>66</v>
      </c>
      <c r="K3" s="140" t="s">
        <v>67</v>
      </c>
    </row>
    <row r="4" spans="3:11" ht="15.75" thickBot="1">
      <c r="C4" s="230" t="s">
        <v>60</v>
      </c>
      <c r="D4" s="231"/>
      <c r="E4" s="232"/>
      <c r="F4" s="141" t="s">
        <v>68</v>
      </c>
      <c r="G4" s="133">
        <v>0</v>
      </c>
      <c r="H4" s="134"/>
      <c r="I4" s="142"/>
      <c r="J4" s="142"/>
      <c r="K4" s="142"/>
    </row>
    <row r="5" spans="3:11" ht="15.75" thickBot="1">
      <c r="C5" s="230" t="s">
        <v>61</v>
      </c>
      <c r="D5" s="231"/>
      <c r="E5" s="232"/>
      <c r="F5" s="92">
        <v>1300000</v>
      </c>
      <c r="G5" s="143">
        <v>250000</v>
      </c>
      <c r="H5" s="144">
        <f>F5-G5</f>
        <v>1050000</v>
      </c>
      <c r="I5" s="145">
        <v>205158.92791700707</v>
      </c>
      <c r="J5" s="132">
        <v>7.52</v>
      </c>
      <c r="K5" s="132">
        <f>I5/H5*100</f>
        <v>19.538945515905436</v>
      </c>
    </row>
    <row r="6" spans="3:11" ht="15.75" thickBot="1">
      <c r="C6" s="230" t="s">
        <v>62</v>
      </c>
      <c r="D6" s="231"/>
      <c r="E6" s="232"/>
      <c r="F6" s="92">
        <v>650000</v>
      </c>
      <c r="G6" s="143">
        <v>0</v>
      </c>
      <c r="H6" s="144">
        <f t="shared" ref="H6:H8" si="0">F6-G6</f>
        <v>650000</v>
      </c>
      <c r="I6" s="145">
        <v>195282.76600849687</v>
      </c>
      <c r="J6" s="132">
        <v>3.89</v>
      </c>
      <c r="K6" s="132">
        <f t="shared" ref="K6:K8" si="1">I6/H6*100</f>
        <v>30.043502462845673</v>
      </c>
    </row>
    <row r="7" spans="3:11" ht="15.75" thickBot="1">
      <c r="C7" s="230" t="s">
        <v>63</v>
      </c>
      <c r="D7" s="231"/>
      <c r="E7" s="232"/>
      <c r="F7" s="92">
        <v>300000</v>
      </c>
      <c r="G7" s="143">
        <v>0</v>
      </c>
      <c r="H7" s="144">
        <f t="shared" si="0"/>
        <v>300000</v>
      </c>
      <c r="I7" s="145">
        <v>131418.02522707684</v>
      </c>
      <c r="J7" s="132">
        <v>2.71</v>
      </c>
      <c r="K7" s="132">
        <f t="shared" si="1"/>
        <v>43.806008409025615</v>
      </c>
    </row>
    <row r="8" spans="3:11" ht="15.75" thickBot="1">
      <c r="C8" s="230" t="s">
        <v>64</v>
      </c>
      <c r="D8" s="231"/>
      <c r="E8" s="232"/>
      <c r="F8" s="95">
        <v>650000</v>
      </c>
      <c r="G8" s="146">
        <v>50000</v>
      </c>
      <c r="H8" s="147">
        <f t="shared" si="0"/>
        <v>600000</v>
      </c>
      <c r="I8" s="148">
        <v>208676.62084819784</v>
      </c>
      <c r="J8" s="78">
        <v>3.53</v>
      </c>
      <c r="K8" s="78">
        <f t="shared" si="1"/>
        <v>34.779436808032969</v>
      </c>
    </row>
  </sheetData>
  <mergeCells count="6">
    <mergeCell ref="C8:E8"/>
    <mergeCell ref="C3:E3"/>
    <mergeCell ref="C4:E4"/>
    <mergeCell ref="C5:E5"/>
    <mergeCell ref="C6:E6"/>
    <mergeCell ref="C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 &amp; Q2</vt:lpstr>
      <vt:lpstr>Option 1</vt:lpstr>
      <vt:lpstr>Option 2</vt:lpstr>
      <vt:lpstr>Option 3</vt:lpstr>
      <vt:lpstr>Financial Analysis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2019-06-17T01:19:28Z</dcterms:modified>
</cp:coreProperties>
</file>