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esktop\"/>
    </mc:Choice>
  </mc:AlternateContent>
  <bookViews>
    <workbookView xWindow="0" yWindow="0" windowWidth="23040" windowHeight="9048" xr2:uid="{00000000-000D-0000-FFFF-FFFF00000000}"/>
  </bookViews>
  <sheets>
    <sheet name="Sheet1" sheetId="1" r:id="rId1"/>
    <sheet name="PIck 2" sheetId="5" r:id="rId2"/>
    <sheet name="Pick 3" sheetId="6" r:id="rId3"/>
    <sheet name="Pick 4" sheetId="7" r:id="rId4"/>
    <sheet name="Pick 5" sheetId="8" r:id="rId5"/>
    <sheet name="Pick 6" sheetId="9" r:id="rId6"/>
    <sheet name="PIck 7" sheetId="10" r:id="rId7"/>
    <sheet name="Pick 8" sheetId="11" r:id="rId8"/>
    <sheet name="Pick 9" sheetId="12" r:id="rId9"/>
    <sheet name="Pick 10" sheetId="13" r:id="rId10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22" i="1"/>
  <c r="D21" i="1"/>
  <c r="D19" i="1"/>
  <c r="L24" i="1"/>
  <c r="L23" i="1"/>
  <c r="L22" i="1"/>
  <c r="L21" i="1"/>
  <c r="L20" i="1"/>
  <c r="L19" i="1"/>
  <c r="L18" i="1"/>
  <c r="L17" i="1"/>
  <c r="K24" i="1"/>
  <c r="K23" i="1"/>
  <c r="K22" i="1"/>
  <c r="K21" i="1"/>
  <c r="K20" i="1"/>
  <c r="K19" i="1"/>
  <c r="K18" i="1"/>
  <c r="K17" i="1"/>
  <c r="J24" i="1"/>
  <c r="J23" i="1"/>
  <c r="J22" i="1"/>
  <c r="J21" i="1"/>
  <c r="J20" i="1"/>
  <c r="J19" i="1"/>
  <c r="J18" i="1"/>
  <c r="J17" i="1"/>
  <c r="I24" i="1"/>
  <c r="I23" i="1"/>
  <c r="I22" i="1"/>
  <c r="I21" i="1"/>
  <c r="I20" i="1"/>
  <c r="I19" i="1"/>
  <c r="I18" i="1"/>
  <c r="I17" i="1"/>
  <c r="H24" i="1"/>
  <c r="H23" i="1"/>
  <c r="H22" i="1"/>
  <c r="H21" i="1"/>
  <c r="H20" i="1"/>
  <c r="H19" i="1"/>
  <c r="H18" i="1"/>
  <c r="H17" i="1"/>
  <c r="G24" i="1"/>
  <c r="G23" i="1"/>
  <c r="G22" i="1"/>
  <c r="G21" i="1"/>
  <c r="G20" i="1"/>
  <c r="G19" i="1"/>
  <c r="G18" i="1"/>
  <c r="G17" i="1"/>
  <c r="F24" i="1"/>
  <c r="F23" i="1"/>
  <c r="F22" i="1"/>
  <c r="F21" i="1"/>
  <c r="F20" i="1"/>
  <c r="F19" i="1"/>
  <c r="F18" i="1"/>
  <c r="F17" i="1"/>
  <c r="E24" i="1"/>
  <c r="E23" i="1"/>
  <c r="E22" i="1"/>
  <c r="E21" i="1"/>
  <c r="E20" i="1"/>
  <c r="E19" i="1"/>
  <c r="E18" i="1"/>
  <c r="E17" i="1"/>
  <c r="D24" i="1"/>
  <c r="D18" i="1"/>
  <c r="D17" i="1"/>
  <c r="E34" i="5"/>
  <c r="E33" i="5"/>
  <c r="O6" i="13"/>
  <c r="O4" i="13"/>
  <c r="O2" i="13"/>
  <c r="K25" i="13"/>
  <c r="L24" i="13"/>
  <c r="K24" i="13"/>
  <c r="K23" i="13"/>
  <c r="J24" i="13"/>
  <c r="K19" i="13"/>
  <c r="K20" i="13"/>
  <c r="K21" i="13"/>
  <c r="K22" i="13"/>
  <c r="K18" i="13"/>
  <c r="K12" i="13"/>
  <c r="K13" i="13"/>
  <c r="K14" i="13"/>
  <c r="K15" i="13"/>
  <c r="K16" i="13"/>
  <c r="K17" i="13"/>
  <c r="K11" i="13"/>
  <c r="K10" i="13"/>
  <c r="K9" i="13"/>
  <c r="K8" i="13"/>
  <c r="K7" i="13"/>
  <c r="K6" i="13"/>
  <c r="K5" i="13"/>
  <c r="K4" i="13"/>
  <c r="K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J19" i="13"/>
  <c r="J20" i="13"/>
  <c r="J21" i="13"/>
  <c r="J22" i="13"/>
  <c r="J23" i="13"/>
  <c r="J18" i="13"/>
  <c r="J12" i="13"/>
  <c r="J13" i="13"/>
  <c r="J14" i="13"/>
  <c r="J15" i="13"/>
  <c r="J16" i="13"/>
  <c r="J17" i="13"/>
  <c r="J11" i="13"/>
  <c r="G10" i="13"/>
  <c r="F10" i="13"/>
  <c r="C8" i="13"/>
  <c r="C23" i="13"/>
  <c r="C9" i="13"/>
  <c r="C24" i="13"/>
  <c r="C10" i="13"/>
  <c r="C25" i="13"/>
  <c r="C11" i="13"/>
  <c r="C26" i="13"/>
  <c r="C12" i="13"/>
  <c r="C27" i="13"/>
  <c r="C13" i="13"/>
  <c r="C28" i="13"/>
  <c r="C14" i="13"/>
  <c r="C29" i="13"/>
  <c r="C32" i="13"/>
  <c r="C33" i="13"/>
  <c r="B29" i="13"/>
  <c r="C17" i="13"/>
  <c r="C7" i="13"/>
  <c r="C16" i="13"/>
  <c r="B28" i="13"/>
  <c r="B27" i="13"/>
  <c r="B26" i="13"/>
  <c r="B25" i="13"/>
  <c r="B24" i="13"/>
  <c r="C4" i="13"/>
  <c r="C5" i="13"/>
  <c r="C6" i="13"/>
  <c r="G4" i="13"/>
  <c r="G5" i="13"/>
  <c r="G6" i="13"/>
  <c r="G7" i="13"/>
  <c r="G8" i="13"/>
  <c r="G9" i="13"/>
  <c r="B23" i="13"/>
  <c r="G13" i="13"/>
  <c r="H17" i="13"/>
  <c r="H18" i="13"/>
  <c r="C18" i="13"/>
  <c r="G14" i="13"/>
  <c r="L3" i="13"/>
  <c r="O7" i="13"/>
  <c r="O9" i="13"/>
  <c r="F9" i="13"/>
  <c r="F8" i="13"/>
  <c r="F7" i="13"/>
  <c r="F6" i="13"/>
  <c r="F5" i="13"/>
  <c r="F4" i="13"/>
  <c r="K17" i="12"/>
  <c r="K18" i="12"/>
  <c r="K19" i="12"/>
  <c r="K20" i="12"/>
  <c r="K21" i="12"/>
  <c r="K16" i="12"/>
  <c r="K11" i="12"/>
  <c r="K12" i="12"/>
  <c r="K13" i="12"/>
  <c r="K14" i="12"/>
  <c r="K15" i="12"/>
  <c r="K10" i="12"/>
  <c r="K9" i="12"/>
  <c r="K8" i="12"/>
  <c r="K7" i="12"/>
  <c r="K6" i="12"/>
  <c r="K5" i="12"/>
  <c r="K4" i="12"/>
  <c r="C4" i="12"/>
  <c r="C5" i="12"/>
  <c r="C6" i="12"/>
  <c r="C7" i="12"/>
  <c r="K3" i="12"/>
  <c r="L4" i="12"/>
  <c r="L5" i="12"/>
  <c r="L6" i="12"/>
  <c r="L7" i="12"/>
  <c r="L8" i="12"/>
  <c r="L9" i="12"/>
  <c r="J10" i="12"/>
  <c r="L10" i="12"/>
  <c r="J11" i="12"/>
  <c r="L11" i="12"/>
  <c r="J12" i="12"/>
  <c r="L12" i="12"/>
  <c r="J13" i="12"/>
  <c r="L13" i="12"/>
  <c r="J14" i="12"/>
  <c r="L14" i="12"/>
  <c r="J15" i="12"/>
  <c r="L15" i="12"/>
  <c r="J16" i="12"/>
  <c r="L16" i="12"/>
  <c r="J17" i="12"/>
  <c r="L17" i="12"/>
  <c r="J18" i="12"/>
  <c r="L18" i="12"/>
  <c r="J19" i="12"/>
  <c r="L19" i="12"/>
  <c r="J20" i="12"/>
  <c r="L20" i="12"/>
  <c r="J21" i="12"/>
  <c r="L21" i="12"/>
  <c r="C8" i="12"/>
  <c r="C9" i="12"/>
  <c r="C10" i="12"/>
  <c r="C11" i="12"/>
  <c r="C12" i="12"/>
  <c r="C13" i="12"/>
  <c r="C15" i="12"/>
  <c r="C16" i="12"/>
  <c r="C17" i="12"/>
  <c r="C22" i="12"/>
  <c r="C23" i="12"/>
  <c r="C24" i="12"/>
  <c r="K22" i="12"/>
  <c r="G4" i="12"/>
  <c r="G5" i="12"/>
  <c r="G6" i="12"/>
  <c r="G7" i="12"/>
  <c r="G8" i="12"/>
  <c r="G9" i="12"/>
  <c r="G12" i="12"/>
  <c r="C25" i="12"/>
  <c r="C26" i="12"/>
  <c r="C27" i="12"/>
  <c r="C30" i="12"/>
  <c r="H16" i="12"/>
  <c r="C31" i="12"/>
  <c r="F9" i="12"/>
  <c r="B27" i="12"/>
  <c r="B26" i="12"/>
  <c r="B25" i="12"/>
  <c r="B24" i="12"/>
  <c r="B23" i="12"/>
  <c r="B22" i="12"/>
  <c r="H17" i="12"/>
  <c r="G13" i="12"/>
  <c r="L3" i="12"/>
  <c r="O4" i="12"/>
  <c r="O2" i="12"/>
  <c r="O6" i="12"/>
  <c r="O7" i="12"/>
  <c r="O9" i="12"/>
  <c r="F8" i="12"/>
  <c r="F7" i="12"/>
  <c r="F6" i="12"/>
  <c r="F5" i="12"/>
  <c r="F4" i="12"/>
  <c r="K22" i="11"/>
  <c r="K17" i="11"/>
  <c r="K18" i="11"/>
  <c r="K19" i="11"/>
  <c r="K20" i="11"/>
  <c r="K21" i="11"/>
  <c r="K16" i="11"/>
  <c r="K11" i="11"/>
  <c r="K12" i="11"/>
  <c r="K13" i="11"/>
  <c r="K14" i="11"/>
  <c r="K15" i="11"/>
  <c r="K9" i="11"/>
  <c r="K10" i="11"/>
  <c r="K8" i="11"/>
  <c r="K7" i="11"/>
  <c r="K6" i="11"/>
  <c r="K5" i="11"/>
  <c r="K4" i="11"/>
  <c r="K3" i="11"/>
  <c r="O4" i="11"/>
  <c r="O2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J17" i="11"/>
  <c r="J18" i="11"/>
  <c r="J19" i="11"/>
  <c r="J20" i="11"/>
  <c r="J21" i="11"/>
  <c r="J16" i="11"/>
  <c r="J11" i="11"/>
  <c r="J12" i="11"/>
  <c r="J13" i="11"/>
  <c r="J14" i="11"/>
  <c r="J15" i="11"/>
  <c r="J10" i="11"/>
  <c r="H16" i="11"/>
  <c r="H15" i="11"/>
  <c r="G11" i="11"/>
  <c r="G12" i="11"/>
  <c r="G9" i="11"/>
  <c r="F9" i="11"/>
  <c r="C29" i="11"/>
  <c r="C28" i="11"/>
  <c r="C26" i="11"/>
  <c r="B26" i="11"/>
  <c r="C15" i="11"/>
  <c r="C14" i="11"/>
  <c r="C12" i="11"/>
  <c r="C7" i="11"/>
  <c r="C21" i="11"/>
  <c r="C8" i="11"/>
  <c r="C22" i="11"/>
  <c r="C9" i="11"/>
  <c r="C23" i="11"/>
  <c r="C10" i="11"/>
  <c r="C24" i="11"/>
  <c r="C11" i="11"/>
  <c r="C25" i="11"/>
  <c r="C30" i="11"/>
  <c r="B25" i="11"/>
  <c r="B24" i="11"/>
  <c r="B23" i="11"/>
  <c r="B22" i="11"/>
  <c r="B21" i="11"/>
  <c r="C4" i="11"/>
  <c r="C5" i="11"/>
  <c r="C6" i="11"/>
  <c r="G4" i="11"/>
  <c r="G5" i="11"/>
  <c r="G6" i="11"/>
  <c r="G7" i="11"/>
  <c r="G8" i="11"/>
  <c r="H17" i="11"/>
  <c r="C16" i="11"/>
  <c r="G13" i="11"/>
  <c r="L3" i="11"/>
  <c r="O6" i="11"/>
  <c r="O7" i="11"/>
  <c r="O9" i="11"/>
  <c r="F8" i="11"/>
  <c r="F7" i="11"/>
  <c r="F6" i="11"/>
  <c r="F5" i="11"/>
  <c r="F4" i="11"/>
  <c r="O4" i="10"/>
  <c r="O2" i="10"/>
  <c r="K19" i="10"/>
  <c r="K15" i="10"/>
  <c r="K16" i="10"/>
  <c r="K17" i="10"/>
  <c r="K18" i="10"/>
  <c r="K14" i="10"/>
  <c r="K10" i="10"/>
  <c r="K11" i="10"/>
  <c r="K12" i="10"/>
  <c r="K13" i="10"/>
  <c r="K9" i="10"/>
  <c r="K8" i="10"/>
  <c r="K7" i="10"/>
  <c r="K6" i="10"/>
  <c r="K5" i="10"/>
  <c r="K4" i="10"/>
  <c r="K3" i="10"/>
  <c r="L16" i="10"/>
  <c r="L17" i="10"/>
  <c r="L18" i="10"/>
  <c r="L4" i="10"/>
  <c r="L5" i="10"/>
  <c r="L6" i="10"/>
  <c r="L7" i="10"/>
  <c r="L8" i="10"/>
  <c r="L9" i="10"/>
  <c r="L10" i="10"/>
  <c r="L11" i="10"/>
  <c r="L12" i="10"/>
  <c r="L13" i="10"/>
  <c r="L14" i="10"/>
  <c r="L15" i="10"/>
  <c r="J15" i="10"/>
  <c r="J16" i="10"/>
  <c r="J17" i="10"/>
  <c r="J18" i="10"/>
  <c r="J14" i="10"/>
  <c r="J10" i="10"/>
  <c r="J11" i="10"/>
  <c r="J12" i="10"/>
  <c r="J13" i="10"/>
  <c r="J9" i="10"/>
  <c r="H18" i="10"/>
  <c r="H16" i="10"/>
  <c r="H15" i="10"/>
  <c r="H14" i="10"/>
  <c r="C11" i="10"/>
  <c r="G8" i="10"/>
  <c r="F8" i="10"/>
  <c r="C7" i="10"/>
  <c r="C20" i="10"/>
  <c r="C8" i="10"/>
  <c r="C21" i="10"/>
  <c r="C9" i="10"/>
  <c r="C22" i="10"/>
  <c r="C10" i="10"/>
  <c r="C23" i="10"/>
  <c r="C24" i="10"/>
  <c r="C27" i="10"/>
  <c r="B24" i="10"/>
  <c r="C14" i="10"/>
  <c r="C13" i="10"/>
  <c r="C28" i="10"/>
  <c r="B23" i="10"/>
  <c r="B22" i="10"/>
  <c r="B21" i="10"/>
  <c r="B20" i="10"/>
  <c r="C4" i="10"/>
  <c r="C5" i="10"/>
  <c r="C6" i="10"/>
  <c r="G4" i="10"/>
  <c r="G5" i="10"/>
  <c r="G6" i="10"/>
  <c r="G7" i="10"/>
  <c r="G11" i="10"/>
  <c r="C15" i="10"/>
  <c r="G12" i="10"/>
  <c r="L3" i="10"/>
  <c r="O6" i="10"/>
  <c r="O7" i="10"/>
  <c r="O9" i="10"/>
  <c r="F7" i="10"/>
  <c r="F6" i="10"/>
  <c r="F5" i="10"/>
  <c r="F4" i="10"/>
  <c r="O9" i="9"/>
  <c r="O7" i="9"/>
  <c r="O6" i="9"/>
  <c r="O4" i="9"/>
  <c r="O2" i="9"/>
  <c r="K6" i="9"/>
  <c r="K5" i="9"/>
  <c r="K4" i="9"/>
  <c r="K16" i="9"/>
  <c r="K13" i="9"/>
  <c r="K14" i="9"/>
  <c r="K15" i="9"/>
  <c r="K12" i="9"/>
  <c r="K9" i="9"/>
  <c r="K10" i="9"/>
  <c r="K11" i="9"/>
  <c r="K8" i="9"/>
  <c r="K7" i="9"/>
  <c r="K3" i="9"/>
  <c r="L4" i="9"/>
  <c r="L5" i="9"/>
  <c r="L6" i="9"/>
  <c r="L7" i="9"/>
  <c r="L8" i="9"/>
  <c r="L9" i="9"/>
  <c r="L10" i="9"/>
  <c r="L11" i="9"/>
  <c r="L12" i="9"/>
  <c r="L13" i="9"/>
  <c r="L14" i="9"/>
  <c r="L15" i="9"/>
  <c r="L3" i="9"/>
  <c r="J13" i="9"/>
  <c r="J14" i="9"/>
  <c r="J15" i="9"/>
  <c r="J12" i="9"/>
  <c r="J9" i="9"/>
  <c r="J10" i="9"/>
  <c r="J11" i="9"/>
  <c r="J8" i="9"/>
  <c r="H17" i="9"/>
  <c r="H15" i="9"/>
  <c r="H14" i="9"/>
  <c r="H13" i="9"/>
  <c r="G11" i="9"/>
  <c r="G10" i="9"/>
  <c r="G9" i="9"/>
  <c r="G5" i="9"/>
  <c r="G6" i="9"/>
  <c r="G7" i="9"/>
  <c r="G4" i="9"/>
  <c r="F5" i="9"/>
  <c r="F6" i="9"/>
  <c r="F7" i="9"/>
  <c r="F4" i="9"/>
  <c r="C26" i="9"/>
  <c r="C25" i="9"/>
  <c r="C24" i="9"/>
  <c r="C20" i="9"/>
  <c r="C21" i="9"/>
  <c r="C22" i="9"/>
  <c r="C19" i="9"/>
  <c r="B20" i="9"/>
  <c r="B21" i="9"/>
  <c r="B22" i="9"/>
  <c r="B19" i="9"/>
  <c r="C14" i="9"/>
  <c r="C13" i="9"/>
  <c r="C12" i="9"/>
  <c r="C5" i="9"/>
  <c r="C6" i="9"/>
  <c r="C7" i="9"/>
  <c r="C8" i="9"/>
  <c r="C9" i="9"/>
  <c r="C10" i="9"/>
  <c r="C4" i="9"/>
  <c r="O10" i="8"/>
  <c r="O8" i="8"/>
  <c r="O7" i="8"/>
  <c r="O5" i="8"/>
  <c r="O3" i="8"/>
  <c r="K7" i="8"/>
  <c r="K6" i="8"/>
  <c r="K5" i="8"/>
  <c r="K17" i="8"/>
  <c r="K14" i="8"/>
  <c r="K15" i="8"/>
  <c r="K16" i="8"/>
  <c r="K13" i="8"/>
  <c r="K10" i="8"/>
  <c r="K11" i="8"/>
  <c r="K12" i="8"/>
  <c r="K9" i="8"/>
  <c r="K8" i="8"/>
  <c r="K4" i="8"/>
  <c r="L5" i="8"/>
  <c r="L6" i="8"/>
  <c r="L7" i="8"/>
  <c r="L8" i="8"/>
  <c r="L9" i="8"/>
  <c r="L10" i="8"/>
  <c r="L11" i="8"/>
  <c r="L12" i="8"/>
  <c r="L13" i="8"/>
  <c r="L14" i="8"/>
  <c r="L15" i="8"/>
  <c r="L16" i="8"/>
  <c r="L4" i="8"/>
  <c r="J14" i="8"/>
  <c r="J15" i="8"/>
  <c r="J16" i="8"/>
  <c r="J13" i="8"/>
  <c r="J10" i="8"/>
  <c r="J11" i="8"/>
  <c r="J12" i="8"/>
  <c r="J9" i="8"/>
  <c r="C6" i="8"/>
  <c r="C18" i="8"/>
  <c r="C7" i="8"/>
  <c r="C19" i="8"/>
  <c r="C8" i="8"/>
  <c r="C20" i="8"/>
  <c r="C9" i="8"/>
  <c r="C21" i="8"/>
  <c r="C24" i="8"/>
  <c r="G6" i="8"/>
  <c r="G7" i="8"/>
  <c r="G8" i="8"/>
  <c r="G9" i="8"/>
  <c r="G12" i="8"/>
  <c r="H16" i="8"/>
  <c r="H17" i="8"/>
  <c r="G13" i="8"/>
  <c r="F7" i="8"/>
  <c r="F8" i="8"/>
  <c r="F9" i="8"/>
  <c r="F6" i="8"/>
  <c r="C25" i="8"/>
  <c r="B19" i="8"/>
  <c r="B20" i="8"/>
  <c r="B21" i="8"/>
  <c r="B18" i="8"/>
  <c r="C12" i="8"/>
  <c r="C13" i="8"/>
  <c r="C5" i="8"/>
  <c r="C4" i="8"/>
  <c r="K23" i="7"/>
  <c r="J12" i="7"/>
  <c r="J13" i="7"/>
  <c r="J11" i="7"/>
  <c r="J9" i="7"/>
  <c r="J10" i="7"/>
  <c r="J8" i="7"/>
  <c r="K16" i="7"/>
  <c r="L8" i="7"/>
  <c r="L9" i="7"/>
  <c r="L10" i="7"/>
  <c r="L11" i="7"/>
  <c r="L12" i="7"/>
  <c r="L13" i="7"/>
  <c r="K18" i="7"/>
  <c r="K20" i="7"/>
  <c r="K21" i="7"/>
  <c r="L5" i="7"/>
  <c r="L6" i="7"/>
  <c r="L7" i="7"/>
  <c r="L4" i="7"/>
  <c r="K14" i="7"/>
  <c r="K13" i="7"/>
  <c r="K12" i="7"/>
  <c r="K11" i="7"/>
  <c r="K10" i="7"/>
  <c r="K9" i="7"/>
  <c r="K8" i="7"/>
  <c r="K7" i="7"/>
  <c r="K6" i="7"/>
  <c r="K5" i="7"/>
  <c r="K4" i="7"/>
  <c r="H18" i="7"/>
  <c r="H16" i="7"/>
  <c r="H15" i="7"/>
  <c r="H14" i="7"/>
  <c r="G12" i="7"/>
  <c r="G11" i="7"/>
  <c r="G10" i="7"/>
  <c r="G7" i="7"/>
  <c r="G8" i="7"/>
  <c r="G6" i="7"/>
  <c r="F7" i="7"/>
  <c r="F8" i="7"/>
  <c r="F6" i="7"/>
  <c r="C23" i="7"/>
  <c r="C22" i="7"/>
  <c r="C21" i="7"/>
  <c r="C18" i="7"/>
  <c r="C19" i="7"/>
  <c r="C17" i="7"/>
  <c r="B18" i="7"/>
  <c r="B19" i="7"/>
  <c r="B17" i="7"/>
  <c r="C12" i="7"/>
  <c r="C11" i="7"/>
  <c r="C10" i="7"/>
  <c r="C5" i="7"/>
  <c r="C6" i="7"/>
  <c r="C7" i="7"/>
  <c r="C8" i="7"/>
  <c r="C4" i="7"/>
  <c r="I25" i="6"/>
  <c r="I23" i="6"/>
  <c r="I22" i="6"/>
  <c r="I20" i="6"/>
  <c r="I18" i="6"/>
  <c r="I16" i="6"/>
  <c r="I12" i="6"/>
  <c r="I15" i="6"/>
  <c r="I14" i="6"/>
  <c r="I13" i="6"/>
  <c r="I11" i="6"/>
  <c r="J10" i="6"/>
  <c r="J11" i="6"/>
  <c r="J12" i="6"/>
  <c r="J13" i="6"/>
  <c r="J14" i="6"/>
  <c r="J15" i="6"/>
  <c r="J9" i="6"/>
  <c r="I10" i="6"/>
  <c r="I9" i="6"/>
  <c r="H15" i="6"/>
  <c r="H14" i="6"/>
  <c r="H13" i="6"/>
  <c r="H12" i="6"/>
  <c r="K6" i="6"/>
  <c r="K4" i="6"/>
  <c r="K3" i="6"/>
  <c r="K2" i="6"/>
  <c r="F30" i="6"/>
  <c r="F29" i="6"/>
  <c r="F28" i="6"/>
  <c r="F26" i="6"/>
  <c r="F25" i="6"/>
  <c r="F15" i="6"/>
  <c r="E26" i="6"/>
  <c r="E25" i="6"/>
  <c r="F16" i="6"/>
  <c r="F19" i="6"/>
  <c r="F20" i="6"/>
  <c r="F18" i="6"/>
  <c r="E7" i="5"/>
  <c r="E17" i="5"/>
  <c r="E16" i="6"/>
  <c r="E15" i="6"/>
  <c r="F10" i="6"/>
  <c r="F9" i="6"/>
  <c r="F8" i="6"/>
  <c r="F4" i="6"/>
  <c r="F5" i="6"/>
  <c r="F6" i="6"/>
  <c r="F3" i="6"/>
  <c r="E5" i="5"/>
  <c r="E6" i="5"/>
  <c r="H6" i="5"/>
  <c r="E26" i="5"/>
  <c r="H7" i="5"/>
  <c r="H8" i="5"/>
  <c r="H9" i="5"/>
  <c r="H12" i="5"/>
  <c r="H10" i="5"/>
  <c r="I7" i="5"/>
  <c r="I8" i="5"/>
  <c r="I9" i="5"/>
  <c r="I6" i="5"/>
  <c r="E19" i="5"/>
  <c r="E28" i="5"/>
  <c r="E32" i="5"/>
  <c r="E10" i="5"/>
  <c r="E36" i="5"/>
  <c r="E29" i="5"/>
  <c r="E30" i="5"/>
  <c r="E20" i="5"/>
  <c r="E21" i="5"/>
  <c r="E11" i="5"/>
  <c r="E12" i="5"/>
  <c r="G11" i="8"/>
  <c r="C23" i="8"/>
  <c r="H15" i="8"/>
  <c r="C11" i="8"/>
  <c r="H19" i="8"/>
  <c r="C26" i="10"/>
  <c r="G10" i="10"/>
  <c r="H19" i="11"/>
  <c r="C29" i="12"/>
  <c r="G11" i="12"/>
  <c r="H15" i="12"/>
  <c r="H19" i="12"/>
  <c r="G12" i="13"/>
  <c r="C31" i="13"/>
  <c r="H16" i="13"/>
  <c r="H20" i="13"/>
  <c r="H14" i="5"/>
  <c r="H16" i="5"/>
  <c r="H17" i="5"/>
  <c r="H19" i="5"/>
</calcChain>
</file>

<file path=xl/sharedStrings.xml><?xml version="1.0" encoding="utf-8"?>
<sst xmlns="http://schemas.openxmlformats.org/spreadsheetml/2006/main" count="385" uniqueCount="76">
  <si>
    <t>https://wizardofodds.com/games/keno/appendix/2/</t>
  </si>
  <si>
    <t>Caveman Keno</t>
  </si>
  <si>
    <t>Rules:</t>
  </si>
  <si>
    <t>1. The player chooses from two to ten numbers, ranging from 1 to 80, as in regular keno.</t>
  </si>
  <si>
    <t>3. The computer will then draw 20 numbers, ranging from 1 to 80, as in regular keno.</t>
  </si>
  <si>
    <t xml:space="preserve">     player did not pick. These three numbers will be marked with dinosaur eggs.</t>
  </si>
  <si>
    <t xml:space="preserve">4. The player will win depending in part on the number of the player's picks that </t>
  </si>
  <si>
    <t xml:space="preserve">    match the 20 numbers chosen by the computer, as in regular keno.</t>
  </si>
  <si>
    <t xml:space="preserve">5. The player will get a multiplier according to the number of eggs that match the </t>
  </si>
  <si>
    <t>Catch</t>
  </si>
  <si>
    <t>Pick 2</t>
  </si>
  <si>
    <t>Pick 3</t>
  </si>
  <si>
    <t>Pick 4</t>
  </si>
  <si>
    <t>Pick 5</t>
  </si>
  <si>
    <t>Pick 6</t>
  </si>
  <si>
    <t>Pick 7</t>
  </si>
  <si>
    <t>Pick 8</t>
  </si>
  <si>
    <t>Pick 9</t>
  </si>
  <si>
    <t>Pick 10</t>
  </si>
  <si>
    <t>-</t>
  </si>
  <si>
    <t xml:space="preserve">Pay Table </t>
  </si>
  <si>
    <t>Project:</t>
  </si>
  <si>
    <t>1. Average RTP% (Return to player) of Keno</t>
  </si>
  <si>
    <t>4. Bonus Hit Frequency</t>
  </si>
  <si>
    <t>6. Average RTP% from Bonus</t>
  </si>
  <si>
    <t>5. Bonus Pulls per Hit</t>
  </si>
  <si>
    <t>7. Total RTP% of Game</t>
  </si>
  <si>
    <t xml:space="preserve">    so that any change in the pay table will automatically change the values of the 8 metrics</t>
  </si>
  <si>
    <t>2. Hit Frequency of Keno</t>
  </si>
  <si>
    <t>3. Pulls per Hit of Keno</t>
  </si>
  <si>
    <t xml:space="preserve">6. The player's win will be the sum of the wins of the regular keno pay table and the multiplier wins. </t>
  </si>
  <si>
    <t xml:space="preserve"> </t>
  </si>
  <si>
    <t xml:space="preserve">Part 1:  For each pick and separately, calculate the following in Excel </t>
  </si>
  <si>
    <t>Keno Hit Freq.</t>
  </si>
  <si>
    <t>Keno Pulls / Hit</t>
  </si>
  <si>
    <t>Keno RTP%</t>
  </si>
  <si>
    <t>Bonus RTP%</t>
  </si>
  <si>
    <t>Bonus Hit Freq.</t>
  </si>
  <si>
    <t>Bonus Pulls / Hit</t>
  </si>
  <si>
    <t>Game Total RTP%</t>
  </si>
  <si>
    <t>2. The computer will draw three numbers at random among the numbers the</t>
  </si>
  <si>
    <t xml:space="preserve">9. A Summary table, located below the pay table and including each of the 8 metrics above, </t>
  </si>
  <si>
    <t>8. TheVolatility Index (the standard deviation of the Pays probability distribution)</t>
  </si>
  <si>
    <t>Volatility Index</t>
  </si>
  <si>
    <t xml:space="preserve">    20-ball draw. The usual multipliers are 1x for 0 or 1 match, 3x for two matches, </t>
  </si>
  <si>
    <t xml:space="preserve">    and 6x for three matches.</t>
  </si>
  <si>
    <t>Pay</t>
  </si>
  <si>
    <t>P(X)</t>
  </si>
  <si>
    <t>Base Keno RTP%</t>
  </si>
  <si>
    <t>Base Hit Relative Freq</t>
  </si>
  <si>
    <t>Base Pulls per Hit</t>
  </si>
  <si>
    <t>Bonus 3x</t>
  </si>
  <si>
    <t>Multiplier</t>
  </si>
  <si>
    <t>Bonus 6x</t>
  </si>
  <si>
    <t>Bonus 3X</t>
  </si>
  <si>
    <t>Bonus 6X</t>
  </si>
  <si>
    <t>Total Bonus Base Keno RTP</t>
  </si>
  <si>
    <t xml:space="preserve">Total Base RTP % </t>
  </si>
  <si>
    <t>Probability</t>
  </si>
  <si>
    <t>Pay sq</t>
  </si>
  <si>
    <t>mean</t>
  </si>
  <si>
    <t>sd</t>
  </si>
  <si>
    <t>volatile</t>
  </si>
  <si>
    <t>Total Bonus Base Keno RTP%</t>
  </si>
  <si>
    <t>Bonus Base Hit Relative Freq</t>
  </si>
  <si>
    <t>Bonus Base Pulls per Hit</t>
  </si>
  <si>
    <t>Total  Base Keno RTP%</t>
  </si>
  <si>
    <t>Pay(X)</t>
  </si>
  <si>
    <t>Probability P(X)</t>
  </si>
  <si>
    <t>X^2</t>
  </si>
  <si>
    <t xml:space="preserve"> P(X)</t>
  </si>
  <si>
    <t>Mean</t>
  </si>
  <si>
    <t>X^2*P(X)</t>
  </si>
  <si>
    <t>Var</t>
  </si>
  <si>
    <t>S.D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</si>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</sst>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6" fillId="2" borderId="5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0" fillId="0" borderId="7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10" fillId="0" borderId="0" xfId="0" applyFont="1" applyBorder="1" applyAlignment="1"/>
    <xf numFmtId="0" fontId="10" fillId="0" borderId="9" xfId="0" applyFont="1" applyBorder="1" applyAlignment="1"/>
    <xf numFmtId="0" fontId="0" fillId="0" borderId="0" xfId="0" applyBorder="1" applyAlignment="1"/>
    <xf numFmtId="0" fontId="0" fillId="0" borderId="9" xfId="0" applyBorder="1"/>
    <xf numFmtId="0" fontId="0" fillId="0" borderId="0" xfId="0" applyBorder="1"/>
    <xf numFmtId="0" fontId="11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/>
    <xf numFmtId="0" fontId="11" fillId="0" borderId="12" xfId="0" applyFont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10" fontId="0" fillId="3" borderId="0" xfId="0" applyNumberFormat="1" applyFill="1"/>
    <xf numFmtId="0" fontId="0" fillId="5" borderId="0" xfId="0" applyFill="1"/>
    <xf numFmtId="0" fontId="0" fillId="0" borderId="0" xfId="0" applyFont="1" applyBorder="1" applyAlignment="1">
      <alignment horizontal="center"/>
    </xf>
    <xf numFmtId="0" fontId="0" fillId="0" borderId="0" xfId="0"/>
    <xf numFmtId="0" fontId="0" fillId="0" borderId="0" xfId="0" applyFont="1" applyBorder="1" applyAlignment="1">
      <alignment horizontal="center"/>
    </xf>
    <xf numFmtId="0" fontId="10" fillId="0" borderId="0" xfId="0" applyFon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8" xfId="0" applyBorder="1"/>
    <xf numFmtId="0" fontId="0" fillId="0" borderId="8" xfId="0" applyFont="1" applyBorder="1"/>
    <xf numFmtId="0" fontId="0" fillId="0" borderId="0" xfId="0"/>
    <xf numFmtId="3" fontId="0" fillId="0" borderId="0" xfId="0" applyNumberFormat="1"/>
    <xf numFmtId="0" fontId="0" fillId="0" borderId="0" xfId="0"/>
    <xf numFmtId="0" fontId="10" fillId="0" borderId="0" xfId="0" applyFont="1" applyAlignment="1">
      <alignment horizontal="right" vertical="center" wrapText="1"/>
    </xf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0" fillId="0" borderId="8" xfId="0" applyBorder="1"/>
    <xf numFmtId="0" fontId="0" fillId="0" borderId="0" xfId="0"/>
    <xf numFmtId="0" fontId="0" fillId="0" borderId="8" xfId="0" applyFont="1" applyBorder="1"/>
    <xf numFmtId="0" fontId="10" fillId="0" borderId="0" xfId="0" applyFont="1" applyAlignment="1">
      <alignment horizontal="right" vertical="center" wrapText="1"/>
    </xf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8" xfId="0" applyBorder="1"/>
    <xf numFmtId="0" fontId="0" fillId="0" borderId="8" xfId="0" applyFont="1" applyBorder="1"/>
    <xf numFmtId="0" fontId="0" fillId="0" borderId="0" xfId="0"/>
    <xf numFmtId="0" fontId="1" fillId="0" borderId="0" xfId="0" applyFont="1" applyBorder="1" applyAlignment="1">
      <alignment horizontal="center"/>
    </xf>
    <xf numFmtId="10" fontId="0" fillId="0" borderId="0" xfId="0" applyNumberFormat="1"/>
    <xf numFmtId="0" fontId="0" fillId="0" borderId="8" xfId="0" applyBorder="1"/>
    <xf numFmtId="0" fontId="0" fillId="0" borderId="8" xfId="0" applyFont="1" applyBorder="1"/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8" xfId="0" applyBorder="1"/>
    <xf numFmtId="0" fontId="0" fillId="0" borderId="8" xfId="0" applyFont="1" applyBorder="1"/>
    <xf numFmtId="3" fontId="0" fillId="0" borderId="0" xfId="0" applyNumberFormat="1" applyAlignment="1">
      <alignment horizontal="right" vertical="center" wrapText="1"/>
    </xf>
    <xf numFmtId="0" fontId="8" fillId="0" borderId="0" xfId="0" applyFont="1" applyAlignment="1"/>
    <xf numFmtId="0" fontId="0" fillId="0" borderId="0" xfId="0"/>
    <xf numFmtId="0" fontId="1" fillId="0" borderId="0" xfId="0" applyFont="1" applyBorder="1" applyAlignment="1">
      <alignment horizontal="center"/>
    </xf>
    <xf numFmtId="10" fontId="0" fillId="0" borderId="0" xfId="0" applyNumberFormat="1"/>
    <xf numFmtId="0" fontId="0" fillId="0" borderId="8" xfId="0" applyBorder="1"/>
    <xf numFmtId="0" fontId="0" fillId="0" borderId="8" xfId="0" applyFont="1" applyBorder="1"/>
    <xf numFmtId="0" fontId="0" fillId="0" borderId="0" xfId="0"/>
    <xf numFmtId="0" fontId="1" fillId="0" borderId="0" xfId="0" applyFont="1" applyBorder="1" applyAlignment="1">
      <alignment horizontal="center"/>
    </xf>
    <xf numFmtId="10" fontId="0" fillId="0" borderId="0" xfId="0" applyNumberFormat="1"/>
    <xf numFmtId="0" fontId="0" fillId="0" borderId="8" xfId="0" applyBorder="1"/>
    <xf numFmtId="0" fontId="0" fillId="0" borderId="8" xfId="0" applyFont="1" applyBorder="1"/>
    <xf numFmtId="0" fontId="0" fillId="0" borderId="0" xfId="0"/>
    <xf numFmtId="0" fontId="0" fillId="0" borderId="0" xfId="0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0" fontId="12" fillId="5" borderId="0" xfId="0" applyFont="1" applyFill="1" applyAlignment="1"/>
    <xf numFmtId="0" fontId="0" fillId="0" borderId="0" xfId="0"/>
    <xf numFmtId="0" fontId="0" fillId="3" borderId="0" xfId="0" applyNumberFormat="1" applyFill="1"/>
    <xf numFmtId="10" fontId="0" fillId="0" borderId="6" xfId="0" applyNumberFormat="1" applyBorder="1"/>
    <xf numFmtId="10" fontId="0" fillId="0" borderId="5" xfId="0" applyNumberFormat="1" applyBorder="1"/>
    <xf numFmtId="10" fontId="6" fillId="2" borderId="5" xfId="1" applyNumberFormat="1" applyFont="1" applyFill="1" applyBorder="1" applyAlignment="1">
      <alignment horizontal="center"/>
    </xf>
    <xf numFmtId="10" fontId="0" fillId="0" borderId="0" xfId="0" applyNumberFormat="1" applyFill="1"/>
    <xf numFmtId="0" fontId="0" fillId="0" borderId="0" xfId="0" applyFill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zardofodds.com/games/keno/appendix/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B4" zoomScale="110" zoomScaleNormal="110" workbookViewId="0">
      <selection activeCell="D24" sqref="D24"/>
    </sheetView>
  </sheetViews>
  <sheetFormatPr defaultColWidth="8.77734375" defaultRowHeight="14.4" x14ac:dyDescent="0.3"/>
  <cols>
    <col min="1" max="1" width="96.6640625" style="1" customWidth="1"/>
    <col min="3" max="3" width="16.33203125" customWidth="1"/>
  </cols>
  <sheetData>
    <row r="1" spans="1:12" ht="18" x14ac:dyDescent="0.35">
      <c r="A1" s="8" t="s">
        <v>1</v>
      </c>
    </row>
    <row r="2" spans="1:12" ht="18" x14ac:dyDescent="0.35">
      <c r="A2" s="2" t="s">
        <v>0</v>
      </c>
      <c r="C2" s="8" t="s">
        <v>20</v>
      </c>
    </row>
    <row r="4" spans="1:12" ht="18.600000000000001" thickBot="1" x14ac:dyDescent="0.4">
      <c r="A4" s="8" t="s">
        <v>2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</row>
    <row r="5" spans="1:12" ht="15" thickTop="1" x14ac:dyDescent="0.3">
      <c r="A5" s="3" t="s">
        <v>3</v>
      </c>
      <c r="C5" s="2">
        <v>0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pans="1:12" x14ac:dyDescent="0.3">
      <c r="A6" s="3" t="s">
        <v>40</v>
      </c>
      <c r="C6" s="2">
        <v>1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</row>
    <row r="7" spans="1:12" x14ac:dyDescent="0.3">
      <c r="A7" s="3" t="s">
        <v>5</v>
      </c>
      <c r="C7" s="2">
        <v>2</v>
      </c>
      <c r="D7" s="5">
        <v>10</v>
      </c>
      <c r="E7" s="5">
        <v>3</v>
      </c>
      <c r="F7" s="5">
        <v>1</v>
      </c>
      <c r="G7" s="5">
        <v>1</v>
      </c>
      <c r="H7" s="5" t="s">
        <v>19</v>
      </c>
      <c r="I7" s="5" t="s">
        <v>19</v>
      </c>
      <c r="J7" s="5" t="s">
        <v>19</v>
      </c>
      <c r="K7" s="5" t="s">
        <v>19</v>
      </c>
      <c r="L7" s="5" t="s">
        <v>19</v>
      </c>
    </row>
    <row r="8" spans="1:12" x14ac:dyDescent="0.3">
      <c r="A8" s="3" t="s">
        <v>4</v>
      </c>
      <c r="C8" s="2">
        <v>3</v>
      </c>
      <c r="D8" s="5"/>
      <c r="E8" s="5">
        <v>16</v>
      </c>
      <c r="F8" s="5">
        <v>5</v>
      </c>
      <c r="G8" s="5">
        <v>2</v>
      </c>
      <c r="H8" s="5">
        <v>2</v>
      </c>
      <c r="I8" s="5">
        <v>1</v>
      </c>
      <c r="J8" s="5">
        <v>1</v>
      </c>
      <c r="K8" s="5" t="s">
        <v>19</v>
      </c>
      <c r="L8" s="5" t="s">
        <v>19</v>
      </c>
    </row>
    <row r="9" spans="1:12" x14ac:dyDescent="0.3">
      <c r="A9" s="3" t="s">
        <v>6</v>
      </c>
      <c r="C9" s="2">
        <v>4</v>
      </c>
      <c r="D9" s="5"/>
      <c r="E9" s="5"/>
      <c r="F9" s="5">
        <v>74</v>
      </c>
      <c r="G9" s="5">
        <v>13</v>
      </c>
      <c r="H9" s="5">
        <v>6</v>
      </c>
      <c r="I9" s="5">
        <v>3</v>
      </c>
      <c r="J9" s="5">
        <v>2</v>
      </c>
      <c r="K9" s="5">
        <v>1</v>
      </c>
      <c r="L9" s="5">
        <v>1</v>
      </c>
    </row>
    <row r="10" spans="1:12" x14ac:dyDescent="0.3">
      <c r="A10" s="3" t="s">
        <v>7</v>
      </c>
      <c r="C10" s="2">
        <v>5</v>
      </c>
      <c r="D10" s="5"/>
      <c r="E10" s="5"/>
      <c r="F10" s="5"/>
      <c r="G10" s="5">
        <v>80</v>
      </c>
      <c r="H10" s="5">
        <v>70</v>
      </c>
      <c r="I10" s="5">
        <v>14</v>
      </c>
      <c r="J10" s="5">
        <v>5</v>
      </c>
      <c r="K10" s="5">
        <v>6</v>
      </c>
      <c r="L10" s="5">
        <v>5</v>
      </c>
    </row>
    <row r="11" spans="1:12" x14ac:dyDescent="0.3">
      <c r="A11" s="3" t="s">
        <v>8</v>
      </c>
      <c r="C11" s="2">
        <v>6</v>
      </c>
      <c r="D11" s="5"/>
      <c r="E11" s="5"/>
      <c r="F11" s="5"/>
      <c r="G11" s="5"/>
      <c r="H11" s="5">
        <v>150</v>
      </c>
      <c r="I11" s="5">
        <v>270</v>
      </c>
      <c r="J11" s="5">
        <v>68</v>
      </c>
      <c r="K11" s="5">
        <v>50</v>
      </c>
      <c r="L11" s="5">
        <v>10</v>
      </c>
    </row>
    <row r="12" spans="1:12" x14ac:dyDescent="0.3">
      <c r="A12" s="3" t="s">
        <v>44</v>
      </c>
      <c r="C12" s="2">
        <v>7</v>
      </c>
      <c r="D12" s="5"/>
      <c r="E12" s="5"/>
      <c r="F12" s="5"/>
      <c r="G12" s="5"/>
      <c r="H12" s="5"/>
      <c r="I12" s="6">
        <v>1000</v>
      </c>
      <c r="J12" s="5">
        <v>200</v>
      </c>
      <c r="K12" s="5">
        <v>125</v>
      </c>
      <c r="L12" s="5">
        <v>77</v>
      </c>
    </row>
    <row r="13" spans="1:12" x14ac:dyDescent="0.3">
      <c r="A13" s="3" t="s">
        <v>45</v>
      </c>
      <c r="C13" s="2">
        <v>8</v>
      </c>
      <c r="D13" s="5"/>
      <c r="E13" s="5"/>
      <c r="F13" s="5"/>
      <c r="G13" s="5"/>
      <c r="H13" s="5"/>
      <c r="I13" s="5"/>
      <c r="J13" s="6">
        <v>1000</v>
      </c>
      <c r="K13" s="5">
        <v>500</v>
      </c>
      <c r="L13" s="5">
        <v>250</v>
      </c>
    </row>
    <row r="14" spans="1:12" x14ac:dyDescent="0.3">
      <c r="A14" s="3" t="s">
        <v>30</v>
      </c>
      <c r="C14" s="2">
        <v>9</v>
      </c>
      <c r="D14" s="5"/>
      <c r="E14" s="5"/>
      <c r="F14" s="5"/>
      <c r="G14" s="5"/>
      <c r="H14" s="5"/>
      <c r="I14" s="5"/>
      <c r="J14" s="5"/>
      <c r="K14" s="6">
        <v>1000</v>
      </c>
      <c r="L14" s="5">
        <v>500</v>
      </c>
    </row>
    <row r="15" spans="1:12" ht="15" thickBot="1" x14ac:dyDescent="0.35">
      <c r="A15" s="4" t="s">
        <v>31</v>
      </c>
      <c r="C15" s="14">
        <v>10</v>
      </c>
      <c r="D15" s="15"/>
      <c r="E15" s="15"/>
      <c r="F15" s="15"/>
      <c r="G15" s="15"/>
      <c r="H15" s="15"/>
      <c r="I15" s="15"/>
      <c r="J15" s="15"/>
      <c r="K15" s="15"/>
      <c r="L15" s="16">
        <v>1000</v>
      </c>
    </row>
    <row r="16" spans="1:12" ht="15" thickBot="1" x14ac:dyDescent="0.35">
      <c r="C16" s="22"/>
      <c r="D16" s="21" t="s">
        <v>10</v>
      </c>
      <c r="E16" s="21" t="s">
        <v>11</v>
      </c>
      <c r="F16" s="21" t="s">
        <v>12</v>
      </c>
      <c r="G16" s="21" t="s">
        <v>13</v>
      </c>
      <c r="H16" s="21" t="s">
        <v>14</v>
      </c>
      <c r="I16" s="21" t="s">
        <v>15</v>
      </c>
      <c r="J16" s="21" t="s">
        <v>16</v>
      </c>
      <c r="K16" s="21" t="s">
        <v>17</v>
      </c>
      <c r="L16" s="21" t="s">
        <v>18</v>
      </c>
    </row>
    <row r="17" spans="1:12" ht="18.600000000000001" thickTop="1" x14ac:dyDescent="0.35">
      <c r="A17" s="8" t="s">
        <v>21</v>
      </c>
      <c r="C17" s="20" t="s">
        <v>35</v>
      </c>
      <c r="D17" s="120">
        <f>'PIck 2'!E10</f>
        <v>0.60126582278481033</v>
      </c>
      <c r="E17" s="120">
        <f>'Pick 3'!F8</f>
        <v>0.63826679649464479</v>
      </c>
      <c r="F17" s="120">
        <f>'Pick 4'!C10</f>
        <v>0.65556595303430776</v>
      </c>
      <c r="G17" s="120">
        <f>'Pick 5'!C11</f>
        <v>0.64712186547629569</v>
      </c>
      <c r="H17" s="120">
        <f>'Pick 6'!C12</f>
        <v>0.6669090403267619</v>
      </c>
      <c r="I17" s="120">
        <f>'PIck 7'!C13</f>
        <v>0.67456846950517857</v>
      </c>
      <c r="J17" s="120">
        <f>'Pick 8'!C14</f>
        <v>0.66667977793346322</v>
      </c>
      <c r="K17" s="120">
        <f>'Pick 9'!C15</f>
        <v>0.68667227167313916</v>
      </c>
      <c r="L17" s="120">
        <f>'Pick 10'!C16</f>
        <v>0.68033667507727091</v>
      </c>
    </row>
    <row r="18" spans="1:12" ht="15" thickBot="1" x14ac:dyDescent="0.35">
      <c r="A18" s="10" t="s">
        <v>32</v>
      </c>
      <c r="C18" s="17" t="s">
        <v>33</v>
      </c>
      <c r="D18" s="121">
        <f>'PIck 2'!E11</f>
        <v>6.0126582278481035E-2</v>
      </c>
      <c r="E18" s="121">
        <f>'Pick 3'!F9</f>
        <v>0.15262901655306718</v>
      </c>
      <c r="F18" s="121">
        <f>'Pick 4'!C11</f>
        <v>0.25894674945307866</v>
      </c>
      <c r="G18" s="121">
        <f>'Pick 5'!C12</f>
        <v>0.36712970573730058</v>
      </c>
      <c r="H18" s="121">
        <f>'Pick 6'!C13</f>
        <v>0.16158208879727867</v>
      </c>
      <c r="I18" s="121">
        <f>'PIck 7'!C14</f>
        <v>0.2365791922753947</v>
      </c>
      <c r="J18" s="121">
        <f>'Pick 8'!C15</f>
        <v>0.31712402669572809</v>
      </c>
      <c r="K18" s="121">
        <f>'Pick 9'!C16</f>
        <v>0.39916043212384478</v>
      </c>
      <c r="L18" s="121">
        <f>'Pick 10'!C17</f>
        <v>0.21197877466814136</v>
      </c>
    </row>
    <row r="19" spans="1:12" ht="15" thickTop="1" x14ac:dyDescent="0.3">
      <c r="A19" s="11" t="s">
        <v>22</v>
      </c>
      <c r="C19" s="17" t="s">
        <v>34</v>
      </c>
      <c r="D19" s="18">
        <f>'PIck 2'!E12</f>
        <v>16.600000000000001</v>
      </c>
      <c r="E19" s="18">
        <f>'Pick 3'!F10</f>
        <v>6.6</v>
      </c>
      <c r="F19" s="18">
        <f>'Pick 4'!C12</f>
        <v>3.9</v>
      </c>
      <c r="G19" s="18">
        <f>'Pick 5'!C13</f>
        <v>2.7</v>
      </c>
      <c r="H19" s="18">
        <f>'Pick 6'!C14</f>
        <v>6.2</v>
      </c>
      <c r="I19" s="18">
        <f>'PIck 7'!C15</f>
        <v>4.2</v>
      </c>
      <c r="J19" s="18">
        <f>'Pick 8'!C16</f>
        <v>3.2</v>
      </c>
      <c r="K19" s="18">
        <f>'Pick 9'!C17</f>
        <v>2.5</v>
      </c>
      <c r="L19" s="18">
        <f>'Pick 10'!C18</f>
        <v>4.7</v>
      </c>
    </row>
    <row r="20" spans="1:12" x14ac:dyDescent="0.3">
      <c r="A20" s="11" t="s">
        <v>28</v>
      </c>
      <c r="C20" s="17" t="s">
        <v>36</v>
      </c>
      <c r="D20" s="121">
        <f>'PIck 2'!E32</f>
        <v>0.17735429127834185</v>
      </c>
      <c r="E20" s="121">
        <f>'Pick 3'!K2</f>
        <v>0.18580280479014663</v>
      </c>
      <c r="F20" s="121">
        <f>'Pick 4'!H14</f>
        <v>0.18130750535813833</v>
      </c>
      <c r="G20" s="121">
        <f>'Pick 5'!H15</f>
        <v>0.18472329015072211</v>
      </c>
      <c r="H20" s="121">
        <f>'Pick 6'!H13</f>
        <v>0.17270546904672107</v>
      </c>
      <c r="I20" s="121">
        <f>'PIck 7'!H14</f>
        <v>0.16616014528005296</v>
      </c>
      <c r="J20" s="121">
        <f>'Pick 8'!H15</f>
        <v>0.1721415384710922</v>
      </c>
      <c r="K20" s="121">
        <f>'Pick 9'!H15</f>
        <v>0.15717675679672022</v>
      </c>
      <c r="L20" s="121">
        <f>'Pick 10'!H16</f>
        <v>0.16177460103917957</v>
      </c>
    </row>
    <row r="21" spans="1:12" x14ac:dyDescent="0.3">
      <c r="A21" s="11" t="s">
        <v>29</v>
      </c>
      <c r="C21" s="17" t="s">
        <v>37</v>
      </c>
      <c r="D21" s="121">
        <f>'PIck 2'!E33</f>
        <v>7.9003275205806831E-3</v>
      </c>
      <c r="E21" s="121">
        <f>'Pick 3'!K3</f>
        <v>2.0347374144842504E-2</v>
      </c>
      <c r="F21" s="121">
        <f>'Pick 4'!H15</f>
        <v>3.5001980571600831E-2</v>
      </c>
      <c r="G21" s="121">
        <f>'Pick 5'!H16</f>
        <v>5.0281371228137306E-2</v>
      </c>
      <c r="H21" s="121">
        <f>'Pick 6'!H14</f>
        <v>2.052605163408008E-2</v>
      </c>
      <c r="I21" s="121">
        <f>'PIck 7'!H15</f>
        <v>3.0529411839292978E-2</v>
      </c>
      <c r="J21" s="121">
        <f>'Pick 8'!H16</f>
        <v>4.1549742845117019E-2</v>
      </c>
      <c r="K21" s="121">
        <f>'Pick 9'!H16</f>
        <v>1.8515533514167463E-2</v>
      </c>
      <c r="L21" s="121">
        <f>'Pick 10'!H17</f>
        <v>2.6094086687135119E-2</v>
      </c>
    </row>
    <row r="22" spans="1:12" x14ac:dyDescent="0.3">
      <c r="A22" s="11" t="s">
        <v>23</v>
      </c>
      <c r="C22" s="17" t="s">
        <v>38</v>
      </c>
      <c r="D22" s="18">
        <f>'PIck 2'!E34</f>
        <v>126.6</v>
      </c>
      <c r="E22" s="18">
        <f>'Pick 3'!K4</f>
        <v>49.1</v>
      </c>
      <c r="F22" s="18">
        <f>'Pick 4'!H16</f>
        <v>374.7</v>
      </c>
      <c r="G22" s="18">
        <f>'Pick 5'!H17</f>
        <v>19.899999999999999</v>
      </c>
      <c r="H22" s="18">
        <f>'Pick 6'!H15</f>
        <v>48.7</v>
      </c>
      <c r="I22" s="18">
        <f>'PIck 7'!H16</f>
        <v>32.799999999999997</v>
      </c>
      <c r="J22" s="18">
        <f>'Pick 8'!H17</f>
        <v>24.1</v>
      </c>
      <c r="K22" s="18">
        <f>'Pick 9'!H17</f>
        <v>54</v>
      </c>
      <c r="L22" s="18">
        <f>'Pick 10'!H18</f>
        <v>38.299999999999997</v>
      </c>
    </row>
    <row r="23" spans="1:12" x14ac:dyDescent="0.3">
      <c r="A23" s="11" t="s">
        <v>25</v>
      </c>
      <c r="C23" s="19" t="s">
        <v>39</v>
      </c>
      <c r="D23" s="122">
        <f>'PIck 2'!E36</f>
        <v>0.77862011406315212</v>
      </c>
      <c r="E23" s="122">
        <f>'Pick 3'!K6</f>
        <v>0.82406960128479145</v>
      </c>
      <c r="F23" s="122">
        <f>'Pick 4'!H18</f>
        <v>0.83687345839244609</v>
      </c>
      <c r="G23" s="122">
        <f>'Pick 5'!H19</f>
        <v>0.83184515562701777</v>
      </c>
      <c r="H23" s="122">
        <f>'Pick 6'!H17</f>
        <v>0.83961450937348303</v>
      </c>
      <c r="I23" s="122">
        <f>'PIck 7'!H18</f>
        <v>0.84072861478523153</v>
      </c>
      <c r="J23" s="122">
        <f>'Pick 8'!H19</f>
        <v>0.83882131640455548</v>
      </c>
      <c r="K23" s="122">
        <f>'Pick 9'!H19</f>
        <v>0.84384902846985943</v>
      </c>
      <c r="L23" s="122">
        <f>'Pick 10'!H20</f>
        <v>0.84211127611645042</v>
      </c>
    </row>
    <row r="24" spans="1:12" x14ac:dyDescent="0.3">
      <c r="A24" s="11" t="s">
        <v>24</v>
      </c>
      <c r="C24" s="17" t="s">
        <v>43</v>
      </c>
      <c r="D24" s="18">
        <f>'PIck 2'!H19</f>
        <v>7.1928188555414225</v>
      </c>
      <c r="E24" s="18">
        <f>'Pick 3'!I25</f>
        <v>6.2497426823660538</v>
      </c>
      <c r="F24" s="18">
        <f>'Pick 4'!K23</f>
        <v>11.993418311355295</v>
      </c>
      <c r="G24" s="18">
        <f>'Pick 5'!O10</f>
        <v>7.1405143155258308</v>
      </c>
      <c r="H24" s="18">
        <f>'Pick 6'!O9</f>
        <v>12.183696503088251</v>
      </c>
      <c r="I24" s="18">
        <f>'PIck 7'!O9</f>
        <v>23.873452057264789</v>
      </c>
      <c r="J24" s="18">
        <f>'Pick 8'!O9</f>
        <v>12.578685057515376</v>
      </c>
      <c r="K24" s="18">
        <f>'Pick 9'!O9</f>
        <v>15.360153597523103</v>
      </c>
      <c r="L24" s="18">
        <f>'Pick 10'!O9</f>
        <v>12.259259222857853</v>
      </c>
    </row>
    <row r="25" spans="1:12" x14ac:dyDescent="0.3">
      <c r="A25" s="11" t="s">
        <v>26</v>
      </c>
      <c r="C25" s="9"/>
    </row>
    <row r="26" spans="1:12" x14ac:dyDescent="0.3">
      <c r="A26" s="11" t="s">
        <v>42</v>
      </c>
      <c r="C26" s="9"/>
    </row>
    <row r="27" spans="1:12" x14ac:dyDescent="0.3">
      <c r="A27" s="11" t="s">
        <v>41</v>
      </c>
      <c r="C27" s="9"/>
    </row>
    <row r="28" spans="1:12" x14ac:dyDescent="0.3">
      <c r="A28" s="11" t="s">
        <v>27</v>
      </c>
      <c r="C28" s="9"/>
    </row>
    <row r="29" spans="1:12" x14ac:dyDescent="0.3">
      <c r="B29" s="12"/>
      <c r="C29" s="25"/>
    </row>
    <row r="30" spans="1:12" x14ac:dyDescent="0.3">
      <c r="A30" s="23"/>
      <c r="B30" s="26"/>
      <c r="C30" s="25"/>
    </row>
    <row r="31" spans="1:12" x14ac:dyDescent="0.3">
      <c r="A31" s="24"/>
      <c r="B31" s="26"/>
      <c r="C31" s="25"/>
    </row>
    <row r="32" spans="1:12" x14ac:dyDescent="0.3">
      <c r="A32" s="24"/>
      <c r="B32" s="26"/>
      <c r="C32" s="25"/>
    </row>
    <row r="33" spans="1:3" x14ac:dyDescent="0.3">
      <c r="A33" s="24"/>
      <c r="B33" s="26"/>
      <c r="C33" s="25"/>
    </row>
    <row r="34" spans="1:3" x14ac:dyDescent="0.3">
      <c r="A34" s="24"/>
      <c r="B34" s="26"/>
      <c r="C34" s="26"/>
    </row>
    <row r="35" spans="1:3" x14ac:dyDescent="0.3">
      <c r="A35" s="24"/>
      <c r="B35" s="26"/>
      <c r="C35" s="26"/>
    </row>
    <row r="36" spans="1:3" x14ac:dyDescent="0.3">
      <c r="A36" s="24"/>
      <c r="B36" s="26"/>
      <c r="C36" s="26"/>
    </row>
    <row r="37" spans="1:3" x14ac:dyDescent="0.3">
      <c r="A37" s="24"/>
      <c r="B37" s="26"/>
      <c r="C37" s="26"/>
    </row>
    <row r="38" spans="1:3" x14ac:dyDescent="0.3">
      <c r="A38" s="24"/>
      <c r="B38" s="12"/>
      <c r="C38" s="26"/>
    </row>
    <row r="39" spans="1:3" x14ac:dyDescent="0.3">
      <c r="A39" s="24"/>
      <c r="B39" s="26"/>
      <c r="C39" s="26"/>
    </row>
    <row r="40" spans="1:3" x14ac:dyDescent="0.3">
      <c r="A40" s="24"/>
      <c r="B40" s="26"/>
      <c r="C40" s="26"/>
    </row>
    <row r="41" spans="1:3" x14ac:dyDescent="0.3">
      <c r="A41" s="24"/>
      <c r="B41" s="26"/>
      <c r="C41" s="26"/>
    </row>
    <row r="42" spans="1:3" x14ac:dyDescent="0.3">
      <c r="A42" s="13"/>
      <c r="B42" s="12"/>
      <c r="C42" s="26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E79-F286-41AF-93B6-758F372C5060}">
  <dimension ref="A1:O33"/>
  <sheetViews>
    <sheetView workbookViewId="0">
      <selection activeCell="M16" sqref="M16"/>
    </sheetView>
  </sheetViews>
  <sheetFormatPr defaultRowHeight="14.4" x14ac:dyDescent="0.3"/>
  <cols>
    <col min="1" max="10" width="8.88671875" style="109"/>
    <col min="11" max="11" width="12" style="109" bestFit="1" customWidth="1"/>
    <col min="12" max="16384" width="8.88671875" style="109"/>
  </cols>
  <sheetData>
    <row r="1" spans="1:15" x14ac:dyDescent="0.3">
      <c r="A1" s="47">
        <v>10</v>
      </c>
      <c r="E1" s="28" t="s">
        <v>53</v>
      </c>
      <c r="F1" s="28"/>
    </row>
    <row r="2" spans="1:15" x14ac:dyDescent="0.3">
      <c r="E2" s="109" t="s">
        <v>52</v>
      </c>
      <c r="F2" s="109">
        <v>5</v>
      </c>
      <c r="J2" s="112" t="s">
        <v>67</v>
      </c>
      <c r="K2" s="112" t="s">
        <v>68</v>
      </c>
      <c r="L2" s="113" t="s">
        <v>69</v>
      </c>
      <c r="N2" s="109" t="s">
        <v>71</v>
      </c>
      <c r="O2" s="109">
        <f>SUMPRODUCT(J3:J24,K3:K24)</f>
        <v>0.8421125060604967</v>
      </c>
    </row>
    <row r="3" spans="1:15" x14ac:dyDescent="0.3">
      <c r="A3" s="109" t="s">
        <v>9</v>
      </c>
      <c r="B3" s="109" t="s">
        <v>46</v>
      </c>
      <c r="C3" s="109" t="s">
        <v>47</v>
      </c>
      <c r="E3" s="109" t="s">
        <v>9</v>
      </c>
      <c r="F3" s="109" t="s">
        <v>46</v>
      </c>
      <c r="G3" s="109" t="s">
        <v>47</v>
      </c>
      <c r="J3" s="109">
        <v>0</v>
      </c>
      <c r="K3" s="109">
        <f>SUM(C4,C5,C6,C7)</f>
        <v>0.78802122533185903</v>
      </c>
      <c r="L3" s="109">
        <f>J3*J3</f>
        <v>0</v>
      </c>
    </row>
    <row r="4" spans="1:15" x14ac:dyDescent="0.3">
      <c r="A4" s="109">
        <v>0</v>
      </c>
      <c r="B4" s="114">
        <v>0</v>
      </c>
      <c r="C4" s="109">
        <f>_xlfn.HYPGEOM.DIST(A4,$A$1,20,80,0)</f>
        <v>4.5790700789027881E-2</v>
      </c>
      <c r="E4" s="109">
        <v>4</v>
      </c>
      <c r="F4" s="109">
        <f>B8*5</f>
        <v>5</v>
      </c>
      <c r="G4" s="109">
        <f>_xlfn.HYPGEOM.DIST(3,20-E4,3,80-$A$1,0)*C8</f>
        <v>1.5070986912697534E-3</v>
      </c>
      <c r="J4" s="115">
        <v>1</v>
      </c>
      <c r="K4" s="109">
        <f>C8-C23-G4</f>
        <v>0.12837251352422718</v>
      </c>
      <c r="L4" s="114">
        <f t="shared" ref="L4:L24" si="0">J4*J4</f>
        <v>1</v>
      </c>
      <c r="N4" s="109" t="s">
        <v>72</v>
      </c>
      <c r="O4" s="109">
        <f>SUMPRODUCT(K3:K24,L3:L24)</f>
        <v>39.832164731921871</v>
      </c>
    </row>
    <row r="5" spans="1:15" x14ac:dyDescent="0.3">
      <c r="A5" s="109">
        <v>1</v>
      </c>
      <c r="B5" s="114">
        <v>0</v>
      </c>
      <c r="C5" s="109">
        <f t="shared" ref="C5:C14" si="1">_xlfn.HYPGEOM.DIST(A5,$A$1,20,80,0)</f>
        <v>0.17957137564324649</v>
      </c>
      <c r="E5" s="109">
        <v>5</v>
      </c>
      <c r="F5" s="109">
        <f>B9*5</f>
        <v>25</v>
      </c>
      <c r="G5" s="109">
        <f>_xlfn.HYPGEOM.DIST(3,20-E5,3,80-$A$1,0)*C9</f>
        <v>4.2746799243287482E-4</v>
      </c>
      <c r="J5" s="115">
        <v>5</v>
      </c>
      <c r="K5" s="109">
        <f>C9-C24-G5</f>
        <v>4.5574664423997345E-2</v>
      </c>
      <c r="L5" s="114">
        <f t="shared" si="0"/>
        <v>25</v>
      </c>
    </row>
    <row r="6" spans="1:15" x14ac:dyDescent="0.3">
      <c r="A6" s="109">
        <v>2</v>
      </c>
      <c r="B6" s="114">
        <v>0</v>
      </c>
      <c r="C6" s="109">
        <f t="shared" si="1"/>
        <v>0.29525678110572268</v>
      </c>
      <c r="E6" s="109">
        <v>6</v>
      </c>
      <c r="F6" s="109">
        <f>B10*5</f>
        <v>50</v>
      </c>
      <c r="G6" s="109">
        <f>_xlfn.HYPGEOM.DIST(3,20-E6,3,80-$A$1,0)*C10</f>
        <v>7.6333570077299239E-5</v>
      </c>
      <c r="J6" s="115">
        <v>10</v>
      </c>
      <c r="K6" s="109">
        <f>C10-C25-G6</f>
        <v>1.0334391025849746E-2</v>
      </c>
      <c r="L6" s="114">
        <f t="shared" si="0"/>
        <v>100</v>
      </c>
      <c r="N6" s="109" t="s">
        <v>73</v>
      </c>
      <c r="O6" s="109">
        <f>O4-(O2*O2)</f>
        <v>39.12301125905838</v>
      </c>
    </row>
    <row r="7" spans="1:15" x14ac:dyDescent="0.3">
      <c r="A7" s="109">
        <v>3</v>
      </c>
      <c r="B7" s="114">
        <v>0</v>
      </c>
      <c r="C7" s="109">
        <f t="shared" si="1"/>
        <v>0.26740236779386189</v>
      </c>
      <c r="E7" s="109">
        <v>7</v>
      </c>
      <c r="F7" s="109">
        <f>B11*5</f>
        <v>385</v>
      </c>
      <c r="G7" s="109">
        <f>_xlfn.HYPGEOM.DIST(3,20-E7,3,80-$A$1,0)*C11</f>
        <v>8.4177370511307426E-6</v>
      </c>
      <c r="J7" s="115">
        <v>77</v>
      </c>
      <c r="K7" s="109">
        <f>C11-C26-G7</f>
        <v>1.4718678127725398E-3</v>
      </c>
      <c r="L7" s="114">
        <f t="shared" si="0"/>
        <v>5929</v>
      </c>
      <c r="N7" s="109" t="s">
        <v>74</v>
      </c>
      <c r="O7" s="109">
        <f>SQRT(O6)</f>
        <v>6.2548390274297532</v>
      </c>
    </row>
    <row r="8" spans="1:15" x14ac:dyDescent="0.3">
      <c r="A8" s="109">
        <v>4</v>
      </c>
      <c r="B8" s="115">
        <v>1</v>
      </c>
      <c r="C8" s="109">
        <f t="shared" si="1"/>
        <v>0.14731889707161838</v>
      </c>
      <c r="E8" s="109">
        <v>8</v>
      </c>
      <c r="F8" s="109">
        <f>B12*5</f>
        <v>1250</v>
      </c>
      <c r="G8" s="109">
        <f>_xlfn.HYPGEOM.DIST(3,20-E8,3,80-$A$1,0)*C12</f>
        <v>5.4425024037483224E-7</v>
      </c>
      <c r="J8" s="115">
        <v>250</v>
      </c>
      <c r="K8" s="109">
        <f>C12-C27-G8</f>
        <v>1.2540515084127736E-4</v>
      </c>
      <c r="L8" s="114">
        <f t="shared" si="0"/>
        <v>62500</v>
      </c>
    </row>
    <row r="9" spans="1:15" x14ac:dyDescent="0.3">
      <c r="A9" s="109">
        <v>5</v>
      </c>
      <c r="B9" s="115">
        <v>5</v>
      </c>
      <c r="C9" s="109">
        <f t="shared" si="1"/>
        <v>5.1427687705001328E-2</v>
      </c>
      <c r="E9" s="109">
        <v>9</v>
      </c>
      <c r="F9" s="109">
        <f>B13*5</f>
        <v>2500</v>
      </c>
      <c r="G9" s="109">
        <f>_xlfn.HYPGEOM.DIST(3,20-E9,3,80-$A$1,0)*C13</f>
        <v>1.8449160690672313E-8</v>
      </c>
      <c r="J9" s="115">
        <v>500</v>
      </c>
      <c r="K9" s="109">
        <f>C13-C28-G9</f>
        <v>5.7393661712255139E-6</v>
      </c>
      <c r="L9" s="114">
        <f t="shared" si="0"/>
        <v>250000</v>
      </c>
      <c r="N9" s="110" t="s">
        <v>43</v>
      </c>
      <c r="O9" s="31">
        <f>O7*_xlfn.NORM.S.INV(0.975)</f>
        <v>12.259259222857853</v>
      </c>
    </row>
    <row r="10" spans="1:15" x14ac:dyDescent="0.3">
      <c r="A10" s="109">
        <v>6</v>
      </c>
      <c r="B10" s="115">
        <v>10</v>
      </c>
      <c r="C10" s="109">
        <f t="shared" si="1"/>
        <v>1.1479394577009234E-2</v>
      </c>
      <c r="E10" s="114">
        <v>10</v>
      </c>
      <c r="F10" s="114">
        <f>B14*5</f>
        <v>5000</v>
      </c>
      <c r="G10" s="114">
        <f>_xlfn.HYPGEOM.DIST(3,20-E10,3,80-$A$1,0)*C14</f>
        <v>2.4598880920896415E-10</v>
      </c>
      <c r="H10" s="114"/>
      <c r="J10" s="116">
        <v>1000</v>
      </c>
      <c r="K10" s="109">
        <f>C14-C29-G10</f>
        <v>1.0643115811774515E-7</v>
      </c>
      <c r="L10" s="114">
        <f t="shared" si="0"/>
        <v>1000000</v>
      </c>
    </row>
    <row r="11" spans="1:15" x14ac:dyDescent="0.3">
      <c r="A11" s="109">
        <v>7</v>
      </c>
      <c r="B11" s="115">
        <v>77</v>
      </c>
      <c r="C11" s="109">
        <f t="shared" si="1"/>
        <v>1.6111430985276121E-3</v>
      </c>
      <c r="J11" s="109">
        <f>J4*3</f>
        <v>3</v>
      </c>
      <c r="K11" s="109">
        <f>C23</f>
        <v>1.7439284856121437E-2</v>
      </c>
      <c r="L11" s="114">
        <f t="shared" si="0"/>
        <v>9</v>
      </c>
    </row>
    <row r="12" spans="1:15" x14ac:dyDescent="0.3">
      <c r="A12" s="109">
        <v>8</v>
      </c>
      <c r="B12" s="115">
        <v>250</v>
      </c>
      <c r="C12" s="109">
        <f t="shared" si="1"/>
        <v>1.3541935526417427E-4</v>
      </c>
      <c r="E12" s="29" t="s">
        <v>48</v>
      </c>
      <c r="F12" s="29"/>
      <c r="G12" s="111">
        <f>SUMPRODUCT(F4:F9,G4:G9)</f>
        <v>2.6006136237916158E-2</v>
      </c>
      <c r="J12" s="114">
        <f t="shared" ref="J12:J17" si="2">J5*3</f>
        <v>15</v>
      </c>
      <c r="K12" s="114">
        <f t="shared" ref="K12:K17" si="3">C24</f>
        <v>5.4255552885711126E-3</v>
      </c>
      <c r="L12" s="114">
        <f t="shared" si="0"/>
        <v>225</v>
      </c>
    </row>
    <row r="13" spans="1:15" x14ac:dyDescent="0.3">
      <c r="A13" s="109">
        <v>9</v>
      </c>
      <c r="B13" s="115">
        <v>500</v>
      </c>
      <c r="C13" s="109">
        <f t="shared" si="1"/>
        <v>6.120648825499408E-6</v>
      </c>
      <c r="E13" s="29" t="s">
        <v>49</v>
      </c>
      <c r="F13" s="29"/>
      <c r="G13" s="111">
        <f>SUM(G4:G9)</f>
        <v>2.0198806902321236E-3</v>
      </c>
      <c r="J13" s="114">
        <f t="shared" si="2"/>
        <v>30</v>
      </c>
      <c r="K13" s="114">
        <f t="shared" si="3"/>
        <v>1.0686699810821883E-3</v>
      </c>
      <c r="L13" s="114">
        <f t="shared" si="0"/>
        <v>900</v>
      </c>
    </row>
    <row r="14" spans="1:15" x14ac:dyDescent="0.3">
      <c r="A14" s="109">
        <v>10</v>
      </c>
      <c r="B14" s="116">
        <v>1000</v>
      </c>
      <c r="C14" s="109">
        <f t="shared" si="1"/>
        <v>1.1221189513415581E-7</v>
      </c>
      <c r="E14" s="29" t="s">
        <v>50</v>
      </c>
      <c r="F14" s="29"/>
      <c r="G14" s="109">
        <f>ROUND(1/G13,1)</f>
        <v>495.1</v>
      </c>
      <c r="J14" s="114">
        <f t="shared" si="2"/>
        <v>231</v>
      </c>
      <c r="K14" s="114">
        <f t="shared" si="3"/>
        <v>1.3085754870394153E-4</v>
      </c>
      <c r="L14" s="114">
        <f t="shared" si="0"/>
        <v>53361</v>
      </c>
    </row>
    <row r="15" spans="1:15" x14ac:dyDescent="0.3">
      <c r="J15" s="114">
        <f t="shared" si="2"/>
        <v>750</v>
      </c>
      <c r="K15" s="114">
        <f t="shared" si="3"/>
        <v>9.4699541825220831E-6</v>
      </c>
      <c r="L15" s="114">
        <f t="shared" si="0"/>
        <v>562500</v>
      </c>
    </row>
    <row r="16" spans="1:15" x14ac:dyDescent="0.3">
      <c r="A16" s="29" t="s">
        <v>48</v>
      </c>
      <c r="B16" s="29"/>
      <c r="C16" s="46">
        <f>SUMPRODUCT(B7:B14,C7:C14)</f>
        <v>0.68033667507727091</v>
      </c>
      <c r="E16" s="40" t="s">
        <v>63</v>
      </c>
      <c r="F16" s="40"/>
      <c r="H16" s="46">
        <f>C31+G12</f>
        <v>0.16177460103917957</v>
      </c>
      <c r="J16" s="114">
        <f t="shared" si="2"/>
        <v>1500</v>
      </c>
      <c r="K16" s="114">
        <f t="shared" si="3"/>
        <v>3.6283349358322193E-7</v>
      </c>
      <c r="L16" s="114">
        <f t="shared" si="0"/>
        <v>2250000</v>
      </c>
    </row>
    <row r="17" spans="1:12" x14ac:dyDescent="0.3">
      <c r="A17" s="29" t="s">
        <v>49</v>
      </c>
      <c r="B17" s="29"/>
      <c r="C17" s="46">
        <f>SUM(C8:C14)</f>
        <v>0.21197877466814136</v>
      </c>
      <c r="E17" s="51" t="s">
        <v>64</v>
      </c>
      <c r="F17" s="51"/>
      <c r="H17" s="46">
        <f>C32+G13</f>
        <v>2.6094086687135119E-2</v>
      </c>
      <c r="J17" s="114">
        <f t="shared" si="2"/>
        <v>3000</v>
      </c>
      <c r="K17" s="114">
        <f t="shared" si="3"/>
        <v>5.5347482072016929E-9</v>
      </c>
      <c r="L17" s="114">
        <f t="shared" si="0"/>
        <v>9000000</v>
      </c>
    </row>
    <row r="18" spans="1:12" x14ac:dyDescent="0.3">
      <c r="A18" s="29" t="s">
        <v>50</v>
      </c>
      <c r="B18" s="29"/>
      <c r="C18" s="31">
        <f>ROUND(1/C17,1)</f>
        <v>4.7</v>
      </c>
      <c r="E18" s="51" t="s">
        <v>65</v>
      </c>
      <c r="F18" s="51"/>
      <c r="H18" s="31">
        <f>ROUND(1/H17,1)</f>
        <v>38.299999999999997</v>
      </c>
      <c r="J18" s="65">
        <f>J4*6</f>
        <v>6</v>
      </c>
      <c r="K18" s="109">
        <f>G4</f>
        <v>1.5070986912697534E-3</v>
      </c>
      <c r="L18" s="114">
        <f t="shared" si="0"/>
        <v>36</v>
      </c>
    </row>
    <row r="19" spans="1:12" x14ac:dyDescent="0.3">
      <c r="J19" s="65">
        <f t="shared" ref="J19:J24" si="4">J5*6</f>
        <v>30</v>
      </c>
      <c r="K19" s="114">
        <f t="shared" ref="K19:K23" si="5">G5</f>
        <v>4.2746799243287482E-4</v>
      </c>
      <c r="L19" s="114">
        <f t="shared" si="0"/>
        <v>900</v>
      </c>
    </row>
    <row r="20" spans="1:12" x14ac:dyDescent="0.3">
      <c r="A20" s="28" t="s">
        <v>51</v>
      </c>
      <c r="B20" s="28"/>
      <c r="E20" s="40" t="s">
        <v>66</v>
      </c>
      <c r="F20" s="40"/>
      <c r="H20" s="46">
        <f>C16+H16</f>
        <v>0.84211127611645042</v>
      </c>
      <c r="J20" s="65">
        <f t="shared" si="4"/>
        <v>60</v>
      </c>
      <c r="K20" s="114">
        <f t="shared" si="5"/>
        <v>7.6333570077299239E-5</v>
      </c>
      <c r="L20" s="114">
        <f t="shared" si="0"/>
        <v>3600</v>
      </c>
    </row>
    <row r="21" spans="1:12" x14ac:dyDescent="0.3">
      <c r="A21" s="109" t="s">
        <v>52</v>
      </c>
      <c r="B21" s="109">
        <v>2</v>
      </c>
      <c r="J21" s="65">
        <f t="shared" si="4"/>
        <v>462</v>
      </c>
      <c r="K21" s="114">
        <f t="shared" si="5"/>
        <v>8.4177370511307426E-6</v>
      </c>
      <c r="L21" s="114">
        <f t="shared" si="0"/>
        <v>213444</v>
      </c>
    </row>
    <row r="22" spans="1:12" x14ac:dyDescent="0.3">
      <c r="A22" s="109" t="s">
        <v>9</v>
      </c>
      <c r="B22" s="109" t="s">
        <v>46</v>
      </c>
      <c r="C22" s="109" t="s">
        <v>47</v>
      </c>
      <c r="J22" s="65">
        <f t="shared" si="4"/>
        <v>1500</v>
      </c>
      <c r="K22" s="114">
        <f t="shared" si="5"/>
        <v>5.4425024037483224E-7</v>
      </c>
      <c r="L22" s="114">
        <f t="shared" si="0"/>
        <v>2250000</v>
      </c>
    </row>
    <row r="23" spans="1:12" x14ac:dyDescent="0.3">
      <c r="A23" s="109">
        <v>4</v>
      </c>
      <c r="B23" s="109">
        <f>B8*2</f>
        <v>2</v>
      </c>
      <c r="C23" s="109">
        <f>_xlfn.HYPGEOM.DIST(2,20-A23,3,80-$A$1,0)*C8</f>
        <v>1.7439284856121437E-2</v>
      </c>
      <c r="J23" s="65">
        <f t="shared" si="4"/>
        <v>3000</v>
      </c>
      <c r="K23" s="114">
        <f>G9</f>
        <v>1.8449160690672313E-8</v>
      </c>
      <c r="L23" s="114">
        <f t="shared" si="0"/>
        <v>9000000</v>
      </c>
    </row>
    <row r="24" spans="1:12" x14ac:dyDescent="0.3">
      <c r="A24" s="109">
        <v>5</v>
      </c>
      <c r="B24" s="109">
        <f>B9*2</f>
        <v>10</v>
      </c>
      <c r="C24" s="114">
        <f t="shared" ref="C24:C29" si="6">_xlfn.HYPGEOM.DIST(2,20-A24,3,80-$A$1,0)*C9</f>
        <v>5.4255552885711126E-3</v>
      </c>
      <c r="J24" s="65">
        <f t="shared" si="4"/>
        <v>6000</v>
      </c>
      <c r="K24" s="114">
        <f>G10</f>
        <v>2.4598880920896415E-10</v>
      </c>
      <c r="L24" s="114">
        <f t="shared" si="0"/>
        <v>36000000</v>
      </c>
    </row>
    <row r="25" spans="1:12" x14ac:dyDescent="0.3">
      <c r="A25" s="109">
        <v>6</v>
      </c>
      <c r="B25" s="109">
        <f>B10*2</f>
        <v>20</v>
      </c>
      <c r="C25" s="114">
        <f t="shared" si="6"/>
        <v>1.0686699810821883E-3</v>
      </c>
      <c r="K25" s="109">
        <f>SUM(K3:K24)</f>
        <v>1.0000000000000004</v>
      </c>
    </row>
    <row r="26" spans="1:12" x14ac:dyDescent="0.3">
      <c r="A26" s="109">
        <v>7</v>
      </c>
      <c r="B26" s="109">
        <f>B11*2</f>
        <v>154</v>
      </c>
      <c r="C26" s="114">
        <f t="shared" si="6"/>
        <v>1.3085754870394153E-4</v>
      </c>
    </row>
    <row r="27" spans="1:12" x14ac:dyDescent="0.3">
      <c r="A27" s="109">
        <v>8</v>
      </c>
      <c r="B27" s="109">
        <f>B12*2</f>
        <v>500</v>
      </c>
      <c r="C27" s="114">
        <f t="shared" si="6"/>
        <v>9.4699541825220831E-6</v>
      </c>
    </row>
    <row r="28" spans="1:12" x14ac:dyDescent="0.3">
      <c r="A28" s="109">
        <v>9</v>
      </c>
      <c r="B28" s="109">
        <f>B13*2</f>
        <v>1000</v>
      </c>
      <c r="C28" s="114">
        <f t="shared" si="6"/>
        <v>3.6283349358322193E-7</v>
      </c>
    </row>
    <row r="29" spans="1:12" x14ac:dyDescent="0.3">
      <c r="A29" s="114">
        <v>10</v>
      </c>
      <c r="B29" s="114">
        <f>B14*2</f>
        <v>2000</v>
      </c>
      <c r="C29" s="114">
        <f t="shared" si="6"/>
        <v>5.5347482072016929E-9</v>
      </c>
    </row>
    <row r="31" spans="1:12" x14ac:dyDescent="0.3">
      <c r="A31" s="29" t="s">
        <v>48</v>
      </c>
      <c r="B31" s="29"/>
      <c r="C31" s="111">
        <f>SUMPRODUCT(B23:B29,C23:C29)</f>
        <v>0.13576846480126342</v>
      </c>
    </row>
    <row r="32" spans="1:12" x14ac:dyDescent="0.3">
      <c r="A32" s="29" t="s">
        <v>49</v>
      </c>
      <c r="B32" s="29"/>
      <c r="C32" s="111">
        <f>SUM(C23:C29)</f>
        <v>2.4074205996902995E-2</v>
      </c>
    </row>
    <row r="33" spans="1:3" x14ac:dyDescent="0.3">
      <c r="A33" s="29" t="s">
        <v>50</v>
      </c>
      <c r="B33" s="29"/>
      <c r="C33" s="109">
        <f>ROUND(1/C32,1)</f>
        <v>41.5</v>
      </c>
    </row>
  </sheetData>
  <mergeCells count="11">
    <mergeCell ref="A18:B18"/>
    <mergeCell ref="A20:B20"/>
    <mergeCell ref="A31:B31"/>
    <mergeCell ref="A32:B32"/>
    <mergeCell ref="A33:B33"/>
    <mergeCell ref="E1:F1"/>
    <mergeCell ref="E12:F12"/>
    <mergeCell ref="E13:F13"/>
    <mergeCell ref="E14:F14"/>
    <mergeCell ref="A16:B16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2"/>
  <sheetViews>
    <sheetView topLeftCell="A10" zoomScaleNormal="100" workbookViewId="0">
      <selection activeCell="E36" sqref="E36"/>
    </sheetView>
  </sheetViews>
  <sheetFormatPr defaultColWidth="11.5546875" defaultRowHeight="14.4" x14ac:dyDescent="0.3"/>
  <cols>
    <col min="3" max="3" width="13.77734375" customWidth="1"/>
  </cols>
  <sheetData>
    <row r="1" spans="1:30" ht="15" customHeight="1" x14ac:dyDescent="0.6">
      <c r="A1" s="117">
        <v>2</v>
      </c>
      <c r="B1" s="103"/>
    </row>
    <row r="2" spans="1:30" ht="15" customHeight="1" x14ac:dyDescent="0.6">
      <c r="A2" s="103"/>
      <c r="B2" s="103"/>
    </row>
    <row r="4" spans="1:30" x14ac:dyDescent="0.3">
      <c r="C4" t="s">
        <v>9</v>
      </c>
      <c r="D4" t="s">
        <v>46</v>
      </c>
      <c r="E4" t="s">
        <v>47</v>
      </c>
      <c r="AC4" s="30"/>
      <c r="AD4" s="30"/>
    </row>
    <row r="5" spans="1:30" x14ac:dyDescent="0.3">
      <c r="C5">
        <v>0</v>
      </c>
      <c r="D5">
        <v>0</v>
      </c>
      <c r="E5">
        <f>_xlfn.HYPGEOM.DIST(C5,$A$1,20,80,0)</f>
        <v>0.56012658227848111</v>
      </c>
      <c r="G5" t="s">
        <v>46</v>
      </c>
      <c r="H5" t="s">
        <v>58</v>
      </c>
      <c r="I5" t="s">
        <v>59</v>
      </c>
      <c r="AC5" s="30"/>
      <c r="AD5" s="30"/>
    </row>
    <row r="6" spans="1:30" x14ac:dyDescent="0.3">
      <c r="C6">
        <v>1</v>
      </c>
      <c r="D6">
        <v>0</v>
      </c>
      <c r="E6">
        <f t="shared" ref="E6:E7" si="0">_xlfn.HYPGEOM.DIST(C6,$A$1,20,80,0)</f>
        <v>0.37974683544303789</v>
      </c>
      <c r="G6">
        <v>0</v>
      </c>
      <c r="H6">
        <f>SUM(E5,E6)</f>
        <v>0.939873417721519</v>
      </c>
      <c r="I6">
        <f>G6*G6</f>
        <v>0</v>
      </c>
    </row>
    <row r="7" spans="1:30" x14ac:dyDescent="0.3">
      <c r="C7">
        <v>2</v>
      </c>
      <c r="D7">
        <v>10</v>
      </c>
      <c r="E7">
        <f t="shared" si="0"/>
        <v>6.0126582278481035E-2</v>
      </c>
      <c r="G7">
        <v>10</v>
      </c>
      <c r="H7">
        <f>E7-E17-E26</f>
        <v>5.2226254757900346E-2</v>
      </c>
      <c r="I7">
        <f t="shared" ref="I7:I9" si="1">G7*G7</f>
        <v>100</v>
      </c>
    </row>
    <row r="8" spans="1:30" x14ac:dyDescent="0.3">
      <c r="G8">
        <v>30</v>
      </c>
      <c r="H8">
        <f>E17</f>
        <v>7.2554028250230752E-3</v>
      </c>
      <c r="I8">
        <f t="shared" si="1"/>
        <v>900</v>
      </c>
    </row>
    <row r="9" spans="1:30" x14ac:dyDescent="0.3">
      <c r="G9">
        <v>60</v>
      </c>
      <c r="H9">
        <f>E26</f>
        <v>6.4492469555760712E-4</v>
      </c>
      <c r="I9">
        <f t="shared" si="1"/>
        <v>3600</v>
      </c>
    </row>
    <row r="10" spans="1:30" x14ac:dyDescent="0.3">
      <c r="C10" s="29" t="s">
        <v>48</v>
      </c>
      <c r="D10" s="29"/>
      <c r="E10" s="46">
        <f>SUMPRODUCT(D7,E7)</f>
        <v>0.60126582278481033</v>
      </c>
      <c r="H10">
        <f>SUM(H6:H9)</f>
        <v>1</v>
      </c>
    </row>
    <row r="11" spans="1:30" x14ac:dyDescent="0.3">
      <c r="C11" s="29" t="s">
        <v>49</v>
      </c>
      <c r="D11" s="29"/>
      <c r="E11" s="46">
        <f>E7</f>
        <v>6.0126582278481035E-2</v>
      </c>
    </row>
    <row r="12" spans="1:30" x14ac:dyDescent="0.3">
      <c r="C12" s="29" t="s">
        <v>50</v>
      </c>
      <c r="D12" s="29"/>
      <c r="E12" s="31">
        <f>ROUND(1/E11,1)</f>
        <v>16.600000000000001</v>
      </c>
      <c r="G12" t="s">
        <v>60</v>
      </c>
      <c r="H12">
        <f>SUMPRODUCT(G6:G9,H6:H9)</f>
        <v>0.77862011406315212</v>
      </c>
    </row>
    <row r="14" spans="1:30" x14ac:dyDescent="0.3">
      <c r="C14" t="s">
        <v>54</v>
      </c>
      <c r="G14" s="118" t="s">
        <v>72</v>
      </c>
      <c r="H14">
        <f>SUMPRODUCT(H6:H9,I6:I9)</f>
        <v>14.07421692231819</v>
      </c>
    </row>
    <row r="15" spans="1:30" x14ac:dyDescent="0.3">
      <c r="C15" t="s">
        <v>52</v>
      </c>
      <c r="D15">
        <v>2</v>
      </c>
    </row>
    <row r="16" spans="1:30" x14ac:dyDescent="0.3">
      <c r="C16" t="s">
        <v>9</v>
      </c>
      <c r="D16" t="s">
        <v>46</v>
      </c>
      <c r="E16" t="s">
        <v>47</v>
      </c>
      <c r="G16" t="s">
        <v>73</v>
      </c>
      <c r="H16">
        <f>H14-(H12*H12)</f>
        <v>13.467967640294473</v>
      </c>
    </row>
    <row r="17" spans="3:33" x14ac:dyDescent="0.3">
      <c r="C17">
        <v>2</v>
      </c>
      <c r="D17">
        <v>20</v>
      </c>
      <c r="E17">
        <f>_xlfn.HYPGEOM.DIST(2,20-C17,3,80-A1,0)*E7</f>
        <v>7.2554028250230752E-3</v>
      </c>
      <c r="G17" t="s">
        <v>61</v>
      </c>
      <c r="H17">
        <f>SQRT(H16)</f>
        <v>3.6698729733186233</v>
      </c>
    </row>
    <row r="19" spans="3:33" x14ac:dyDescent="0.3">
      <c r="C19" s="29" t="s">
        <v>48</v>
      </c>
      <c r="D19" s="29"/>
      <c r="E19" s="27">
        <f>SUMPRODUCT(D17,E17)</f>
        <v>0.14510805650046149</v>
      </c>
      <c r="G19" t="s">
        <v>62</v>
      </c>
      <c r="H19" s="31">
        <f>H17*_xlfn.NORM.S.INV(0.975)</f>
        <v>7.1928188555414225</v>
      </c>
      <c r="AE19" s="28"/>
      <c r="AF19" s="28"/>
      <c r="AG19" s="27"/>
    </row>
    <row r="20" spans="3:33" x14ac:dyDescent="0.3">
      <c r="C20" s="29" t="s">
        <v>49</v>
      </c>
      <c r="D20" s="29"/>
      <c r="E20" s="27">
        <f>E17</f>
        <v>7.2554028250230752E-3</v>
      </c>
      <c r="AE20" s="28"/>
      <c r="AF20" s="28"/>
      <c r="AG20" s="27"/>
    </row>
    <row r="21" spans="3:33" x14ac:dyDescent="0.3">
      <c r="C21" s="29" t="s">
        <v>50</v>
      </c>
      <c r="D21" s="29"/>
      <c r="E21">
        <f>ROUND(1/E20,1)</f>
        <v>137.80000000000001</v>
      </c>
      <c r="AE21" s="28"/>
      <c r="AF21" s="28"/>
    </row>
    <row r="23" spans="3:33" x14ac:dyDescent="0.3">
      <c r="C23" t="s">
        <v>55</v>
      </c>
    </row>
    <row r="24" spans="3:33" x14ac:dyDescent="0.3">
      <c r="C24" t="s">
        <v>52</v>
      </c>
      <c r="D24">
        <v>5</v>
      </c>
      <c r="AE24" s="28"/>
      <c r="AF24" s="28"/>
    </row>
    <row r="25" spans="3:33" x14ac:dyDescent="0.3">
      <c r="C25" t="s">
        <v>9</v>
      </c>
      <c r="D25" t="s">
        <v>46</v>
      </c>
      <c r="E25" t="s">
        <v>47</v>
      </c>
    </row>
    <row r="26" spans="3:33" x14ac:dyDescent="0.3">
      <c r="C26">
        <v>2</v>
      </c>
      <c r="D26">
        <v>50</v>
      </c>
      <c r="E26">
        <f>_xlfn.HYPGEOM.DIST(3,20-C26,3,80-A1,0)*E7</f>
        <v>6.4492469555760712E-4</v>
      </c>
    </row>
    <row r="28" spans="3:33" x14ac:dyDescent="0.3">
      <c r="C28" s="29" t="s">
        <v>48</v>
      </c>
      <c r="D28" s="29"/>
      <c r="E28" s="123">
        <f>SUMPRODUCT(D26,E26)</f>
        <v>3.2246234777880356E-2</v>
      </c>
    </row>
    <row r="29" spans="3:33" x14ac:dyDescent="0.3">
      <c r="C29" s="29" t="s">
        <v>49</v>
      </c>
      <c r="D29" s="29"/>
      <c r="E29" s="123">
        <f>E26</f>
        <v>6.4492469555760712E-4</v>
      </c>
    </row>
    <row r="30" spans="3:33" x14ac:dyDescent="0.3">
      <c r="C30" s="29" t="s">
        <v>50</v>
      </c>
      <c r="D30" s="29"/>
      <c r="E30" s="124">
        <f>ROUND(1/E29,1)</f>
        <v>1550.6</v>
      </c>
    </row>
    <row r="32" spans="3:33" x14ac:dyDescent="0.3">
      <c r="C32" s="28" t="s">
        <v>56</v>
      </c>
      <c r="D32" s="28"/>
      <c r="E32" s="46">
        <f>E19+E28</f>
        <v>0.17735429127834185</v>
      </c>
    </row>
    <row r="33" spans="3:33" x14ac:dyDescent="0.3">
      <c r="C33" s="29" t="s">
        <v>64</v>
      </c>
      <c r="D33" s="29"/>
      <c r="E33" s="46">
        <f>E20+E29</f>
        <v>7.9003275205806831E-3</v>
      </c>
    </row>
    <row r="34" spans="3:33" x14ac:dyDescent="0.3">
      <c r="C34" s="29" t="s">
        <v>65</v>
      </c>
      <c r="D34" s="29"/>
      <c r="E34" s="119">
        <f>ROUND(1/E33,1)</f>
        <v>126.6</v>
      </c>
      <c r="AE34" s="28"/>
      <c r="AF34" s="28"/>
      <c r="AG34" s="27"/>
    </row>
    <row r="35" spans="3:33" x14ac:dyDescent="0.3">
      <c r="AE35" s="28"/>
      <c r="AF35" s="28"/>
      <c r="AG35" s="27"/>
    </row>
    <row r="36" spans="3:33" x14ac:dyDescent="0.3">
      <c r="C36" s="28" t="s">
        <v>57</v>
      </c>
      <c r="D36" s="28"/>
      <c r="E36" s="46">
        <f>E10+E32</f>
        <v>0.77862011406315212</v>
      </c>
      <c r="AE36" s="28"/>
      <c r="AF36" s="28"/>
    </row>
    <row r="38" spans="3:33" x14ac:dyDescent="0.3">
      <c r="AE38" s="28"/>
      <c r="AF38" s="28"/>
    </row>
    <row r="48" spans="3:33" x14ac:dyDescent="0.3">
      <c r="AE48" s="28"/>
      <c r="AF48" s="28"/>
      <c r="AG48" s="27"/>
    </row>
    <row r="49" spans="31:33" x14ac:dyDescent="0.3">
      <c r="AE49" s="28"/>
      <c r="AF49" s="28"/>
      <c r="AG49" s="27"/>
    </row>
    <row r="50" spans="31:33" x14ac:dyDescent="0.3">
      <c r="AE50" s="28"/>
      <c r="AF50" s="28"/>
    </row>
    <row r="52" spans="31:33" x14ac:dyDescent="0.3">
      <c r="AE52" s="28"/>
      <c r="AF52" s="28"/>
    </row>
  </sheetData>
  <mergeCells count="26">
    <mergeCell ref="AE38:AF38"/>
    <mergeCell ref="AE48:AF48"/>
    <mergeCell ref="AE49:AF49"/>
    <mergeCell ref="AE50:AF50"/>
    <mergeCell ref="AE52:AF52"/>
    <mergeCell ref="C36:D36"/>
    <mergeCell ref="C33:D33"/>
    <mergeCell ref="C34:D34"/>
    <mergeCell ref="AC4:AD5"/>
    <mergeCell ref="AE19:AF19"/>
    <mergeCell ref="AE24:AF24"/>
    <mergeCell ref="AE34:AF34"/>
    <mergeCell ref="AE20:AF20"/>
    <mergeCell ref="AE21:AF21"/>
    <mergeCell ref="C19:D19"/>
    <mergeCell ref="C20:D20"/>
    <mergeCell ref="C21:D21"/>
    <mergeCell ref="C28:D28"/>
    <mergeCell ref="C29:D29"/>
    <mergeCell ref="C30:D30"/>
    <mergeCell ref="AE35:AF35"/>
    <mergeCell ref="AE36:AF36"/>
    <mergeCell ref="C10:D10"/>
    <mergeCell ref="C11:D11"/>
    <mergeCell ref="C12:D12"/>
    <mergeCell ref="C32:D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27D9-D83F-4034-8B8B-71FED4D4445A}">
  <dimension ref="A1:K30"/>
  <sheetViews>
    <sheetView topLeftCell="A7" workbookViewId="0">
      <selection activeCell="F29" sqref="F29"/>
    </sheetView>
  </sheetViews>
  <sheetFormatPr defaultRowHeight="14.4" x14ac:dyDescent="0.3"/>
  <cols>
    <col min="9" max="9" width="14.44140625" customWidth="1"/>
  </cols>
  <sheetData>
    <row r="1" spans="1:11" ht="14.4" customHeight="1" x14ac:dyDescent="0.45">
      <c r="A1" s="45">
        <v>3</v>
      </c>
      <c r="B1" s="39"/>
    </row>
    <row r="2" spans="1:11" ht="14.4" customHeight="1" x14ac:dyDescent="0.45">
      <c r="A2" s="38"/>
      <c r="B2" s="44"/>
      <c r="D2" t="s">
        <v>9</v>
      </c>
      <c r="E2" t="s">
        <v>46</v>
      </c>
      <c r="F2" t="s">
        <v>47</v>
      </c>
      <c r="H2" s="35" t="s">
        <v>63</v>
      </c>
      <c r="I2" s="35"/>
      <c r="J2" s="37"/>
      <c r="K2" s="46">
        <f>F18+F28</f>
        <v>0.18580280479014663</v>
      </c>
    </row>
    <row r="3" spans="1:11" x14ac:dyDescent="0.3">
      <c r="D3">
        <v>0</v>
      </c>
      <c r="E3">
        <v>0</v>
      </c>
      <c r="F3">
        <f>_xlfn.HYPGEOM.DIST(D3,$A$1,20,80,0)</f>
        <v>0.41650438169425513</v>
      </c>
      <c r="H3" s="33" t="s">
        <v>64</v>
      </c>
      <c r="I3" s="33"/>
      <c r="J3" s="37"/>
      <c r="K3" s="46">
        <f>F19+F29</f>
        <v>2.0347374144842504E-2</v>
      </c>
    </row>
    <row r="4" spans="1:11" x14ac:dyDescent="0.3">
      <c r="D4">
        <v>1</v>
      </c>
      <c r="E4">
        <v>0</v>
      </c>
      <c r="F4">
        <f t="shared" ref="F4:F6" si="0">_xlfn.HYPGEOM.DIST(D4,$A$1,20,80,0)</f>
        <v>0.43086660175267782</v>
      </c>
      <c r="H4" s="34" t="s">
        <v>65</v>
      </c>
      <c r="I4" s="34"/>
      <c r="J4" s="36"/>
      <c r="K4" s="31">
        <f>ROUND(1/K3,1)</f>
        <v>49.1</v>
      </c>
    </row>
    <row r="5" spans="1:11" x14ac:dyDescent="0.3">
      <c r="D5">
        <v>2</v>
      </c>
      <c r="E5">
        <v>3</v>
      </c>
      <c r="F5">
        <f t="shared" si="0"/>
        <v>0.13875365141187926</v>
      </c>
    </row>
    <row r="6" spans="1:11" x14ac:dyDescent="0.3">
      <c r="D6">
        <v>3</v>
      </c>
      <c r="E6">
        <v>16</v>
      </c>
      <c r="F6">
        <f t="shared" si="0"/>
        <v>1.3875365141187935E-2</v>
      </c>
      <c r="I6" s="41" t="s">
        <v>66</v>
      </c>
      <c r="J6" s="41"/>
      <c r="K6" s="46">
        <f>F8+K2</f>
        <v>0.82406960128479145</v>
      </c>
    </row>
    <row r="8" spans="1:11" x14ac:dyDescent="0.3">
      <c r="D8" s="29" t="s">
        <v>48</v>
      </c>
      <c r="E8" s="29"/>
      <c r="F8" s="46">
        <f>SUMPRODUCT(E5:E6,F5:F6)</f>
        <v>0.63826679649464479</v>
      </c>
      <c r="H8" s="42" t="s">
        <v>67</v>
      </c>
      <c r="I8" s="42" t="s">
        <v>70</v>
      </c>
      <c r="J8" s="43" t="s">
        <v>69</v>
      </c>
    </row>
    <row r="9" spans="1:11" x14ac:dyDescent="0.3">
      <c r="D9" s="29" t="s">
        <v>49</v>
      </c>
      <c r="E9" s="29"/>
      <c r="F9" s="46">
        <f>SUM(F5:F6)</f>
        <v>0.15262901655306718</v>
      </c>
      <c r="H9" s="42">
        <v>0</v>
      </c>
      <c r="I9">
        <f>F3+F4</f>
        <v>0.84737098344693296</v>
      </c>
      <c r="J9">
        <f>H9*H9</f>
        <v>0</v>
      </c>
    </row>
    <row r="10" spans="1:11" x14ac:dyDescent="0.3">
      <c r="D10" s="29" t="s">
        <v>50</v>
      </c>
      <c r="E10" s="29"/>
      <c r="F10" s="31">
        <f>ROUND(1/F9,1)</f>
        <v>6.6</v>
      </c>
      <c r="H10" s="42">
        <v>3</v>
      </c>
      <c r="I10">
        <f>F5-F15-F25</f>
        <v>0.12008308147548655</v>
      </c>
      <c r="J10" s="42">
        <f t="shared" ref="J10:J15" si="1">H10*H10</f>
        <v>9</v>
      </c>
    </row>
    <row r="11" spans="1:11" x14ac:dyDescent="0.3">
      <c r="H11" s="42">
        <v>16</v>
      </c>
      <c r="I11">
        <f>F6-F16-F26</f>
        <v>1.2198560932738155E-2</v>
      </c>
      <c r="J11" s="42">
        <f t="shared" si="1"/>
        <v>256</v>
      </c>
    </row>
    <row r="12" spans="1:11" x14ac:dyDescent="0.3">
      <c r="D12" s="31" t="s">
        <v>54</v>
      </c>
      <c r="H12" s="42">
        <f>E5*3</f>
        <v>9</v>
      </c>
      <c r="I12">
        <f>F15</f>
        <v>1.7122750667054466E-2</v>
      </c>
      <c r="J12" s="42">
        <f t="shared" si="1"/>
        <v>81</v>
      </c>
    </row>
    <row r="13" spans="1:11" x14ac:dyDescent="0.3">
      <c r="D13" t="s">
        <v>52</v>
      </c>
      <c r="E13">
        <v>2</v>
      </c>
      <c r="H13" s="42">
        <f>E6*3</f>
        <v>48</v>
      </c>
      <c r="I13">
        <f>F16</f>
        <v>1.5478192693382585E-3</v>
      </c>
      <c r="J13" s="42">
        <f t="shared" si="1"/>
        <v>2304</v>
      </c>
    </row>
    <row r="14" spans="1:11" x14ac:dyDescent="0.3">
      <c r="D14" t="s">
        <v>9</v>
      </c>
      <c r="E14" t="s">
        <v>46</v>
      </c>
      <c r="F14" t="s">
        <v>47</v>
      </c>
      <c r="H14">
        <f>E5*6</f>
        <v>18</v>
      </c>
      <c r="I14">
        <f>F25</f>
        <v>1.5478192693382563E-3</v>
      </c>
      <c r="J14" s="42">
        <f t="shared" si="1"/>
        <v>324</v>
      </c>
    </row>
    <row r="15" spans="1:11" x14ac:dyDescent="0.3">
      <c r="D15">
        <v>2</v>
      </c>
      <c r="E15">
        <f>E5*2</f>
        <v>6</v>
      </c>
      <c r="F15">
        <f>_xlfn.HYPGEOM.DIST(2,20-D15,3,80-$A$1,0)*F5</f>
        <v>1.7122750667054466E-2</v>
      </c>
      <c r="H15" s="42">
        <f>E6*6</f>
        <v>96</v>
      </c>
      <c r="I15">
        <f>F26</f>
        <v>1.2898493911152144E-4</v>
      </c>
      <c r="J15" s="42">
        <f t="shared" si="1"/>
        <v>9216</v>
      </c>
    </row>
    <row r="16" spans="1:11" x14ac:dyDescent="0.3">
      <c r="D16">
        <v>3</v>
      </c>
      <c r="E16">
        <f>E6*2</f>
        <v>32</v>
      </c>
      <c r="F16">
        <f>_xlfn.HYPGEOM.DIST(2,20-D16,3,80-$A$1,0)*F6</f>
        <v>1.5478192693382585E-3</v>
      </c>
      <c r="I16">
        <f>SUM(I9:I15)</f>
        <v>1.0000000000000002</v>
      </c>
    </row>
    <row r="18" spans="4:9" x14ac:dyDescent="0.3">
      <c r="D18" s="29" t="s">
        <v>48</v>
      </c>
      <c r="E18" s="29"/>
      <c r="F18" s="27">
        <f>SUMPRODUCT(E15:E16,F15:F16)</f>
        <v>0.15226672062115107</v>
      </c>
      <c r="H18" s="49" t="s">
        <v>71</v>
      </c>
      <c r="I18">
        <f>SUMPRODUCT(H9:H15,I9:I15)</f>
        <v>0.82406960128479134</v>
      </c>
    </row>
    <row r="19" spans="4:9" x14ac:dyDescent="0.3">
      <c r="D19" s="29" t="s">
        <v>49</v>
      </c>
      <c r="E19" s="29"/>
      <c r="F19" s="27">
        <f>SUM(F15:F16)</f>
        <v>1.8670569936392725E-2</v>
      </c>
      <c r="H19" s="49"/>
    </row>
    <row r="20" spans="4:9" x14ac:dyDescent="0.3">
      <c r="D20" s="29" t="s">
        <v>50</v>
      </c>
      <c r="E20" s="29"/>
      <c r="F20">
        <f>ROUND(1/F19,1)</f>
        <v>53.6</v>
      </c>
      <c r="H20" s="49" t="s">
        <v>72</v>
      </c>
      <c r="I20">
        <f>SUMPRODUCT(J9:J15,I9:I15)</f>
        <v>10.846916374764483</v>
      </c>
    </row>
    <row r="21" spans="4:9" x14ac:dyDescent="0.3">
      <c r="H21" s="49"/>
    </row>
    <row r="22" spans="4:9" x14ac:dyDescent="0.3">
      <c r="D22" s="32" t="s">
        <v>55</v>
      </c>
      <c r="H22" s="49" t="s">
        <v>73</v>
      </c>
      <c r="I22">
        <f>I20-(I18*I18)</f>
        <v>10.167825667002807</v>
      </c>
    </row>
    <row r="23" spans="4:9" x14ac:dyDescent="0.3">
      <c r="D23" t="s">
        <v>52</v>
      </c>
      <c r="E23">
        <v>5</v>
      </c>
      <c r="H23" s="49" t="s">
        <v>74</v>
      </c>
      <c r="I23">
        <f>SQRT(I22)</f>
        <v>3.1887028188595448</v>
      </c>
    </row>
    <row r="24" spans="4:9" x14ac:dyDescent="0.3">
      <c r="D24" t="s">
        <v>9</v>
      </c>
      <c r="E24" t="s">
        <v>46</v>
      </c>
      <c r="F24" t="s">
        <v>47</v>
      </c>
      <c r="H24" s="49"/>
    </row>
    <row r="25" spans="4:9" x14ac:dyDescent="0.3">
      <c r="D25">
        <v>2</v>
      </c>
      <c r="E25">
        <f>E5*5</f>
        <v>15</v>
      </c>
      <c r="F25">
        <f>_xlfn.HYPGEOM.DIST(3,20-D25,3,80-$A$1,0)*F5</f>
        <v>1.5478192693382563E-3</v>
      </c>
      <c r="H25" s="48" t="s">
        <v>43</v>
      </c>
      <c r="I25" s="31">
        <f>I23*_xlfn.NORM.S.INV(0.975)</f>
        <v>6.2497426823660538</v>
      </c>
    </row>
    <row r="26" spans="4:9" x14ac:dyDescent="0.3">
      <c r="D26">
        <v>3</v>
      </c>
      <c r="E26">
        <f>E6*5</f>
        <v>80</v>
      </c>
      <c r="F26">
        <f>_xlfn.HYPGEOM.DIST(3,20-D26,3,80-$A$1,0)*F6</f>
        <v>1.2898493911152144E-4</v>
      </c>
    </row>
    <row r="28" spans="4:9" x14ac:dyDescent="0.3">
      <c r="D28" s="29" t="s">
        <v>48</v>
      </c>
      <c r="E28" s="29"/>
      <c r="F28" s="27">
        <f>SUMPRODUCT(E25:E26,F25:F26)</f>
        <v>3.3536084168995561E-2</v>
      </c>
    </row>
    <row r="29" spans="4:9" x14ac:dyDescent="0.3">
      <c r="D29" s="29" t="s">
        <v>49</v>
      </c>
      <c r="E29" s="29"/>
      <c r="F29" s="27">
        <f>SUM(F25:F26)</f>
        <v>1.6768042084497777E-3</v>
      </c>
    </row>
    <row r="30" spans="4:9" x14ac:dyDescent="0.3">
      <c r="D30" s="29" t="s">
        <v>50</v>
      </c>
      <c r="E30" s="29"/>
      <c r="F30">
        <f>ROUND(1/F29,1)</f>
        <v>596.4</v>
      </c>
    </row>
  </sheetData>
  <mergeCells count="9">
    <mergeCell ref="D20:E20"/>
    <mergeCell ref="D28:E28"/>
    <mergeCell ref="D29:E29"/>
    <mergeCell ref="D30:E30"/>
    <mergeCell ref="D8:E8"/>
    <mergeCell ref="D9:E9"/>
    <mergeCell ref="D10:E10"/>
    <mergeCell ref="D18:E18"/>
    <mergeCell ref="D19:E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2D49-B013-4F88-AE69-66F75F4B630E}">
  <dimension ref="A1:L23"/>
  <sheetViews>
    <sheetView workbookViewId="0">
      <selection activeCell="K23" sqref="K23"/>
    </sheetView>
  </sheetViews>
  <sheetFormatPr defaultRowHeight="14.4" x14ac:dyDescent="0.3"/>
  <cols>
    <col min="11" max="11" width="13.6640625" customWidth="1"/>
  </cols>
  <sheetData>
    <row r="1" spans="1:12" x14ac:dyDescent="0.3">
      <c r="A1" s="47">
        <v>4</v>
      </c>
    </row>
    <row r="3" spans="1:12" x14ac:dyDescent="0.3">
      <c r="A3" s="49" t="s">
        <v>9</v>
      </c>
      <c r="B3" s="49" t="s">
        <v>46</v>
      </c>
      <c r="C3" s="49" t="s">
        <v>47</v>
      </c>
      <c r="E3" s="28" t="s">
        <v>53</v>
      </c>
      <c r="F3" s="28"/>
      <c r="G3" s="57"/>
      <c r="J3" s="62" t="s">
        <v>67</v>
      </c>
      <c r="K3" s="62" t="s">
        <v>68</v>
      </c>
      <c r="L3" s="63" t="s">
        <v>69</v>
      </c>
    </row>
    <row r="4" spans="1:12" x14ac:dyDescent="0.3">
      <c r="A4" s="52">
        <v>0</v>
      </c>
      <c r="B4" s="53">
        <v>0</v>
      </c>
      <c r="C4">
        <f>_xlfn.HYPGEOM.DIST(A4,$A$1,20,80,0)</f>
        <v>0.30832142541003293</v>
      </c>
      <c r="E4" s="57" t="s">
        <v>52</v>
      </c>
      <c r="F4" s="57">
        <v>5</v>
      </c>
      <c r="G4" s="57"/>
      <c r="J4" s="60">
        <v>0</v>
      </c>
      <c r="K4">
        <f>C4+C5</f>
        <v>0.74105325054692139</v>
      </c>
      <c r="L4">
        <f>J4*J4</f>
        <v>0</v>
      </c>
    </row>
    <row r="5" spans="1:12" x14ac:dyDescent="0.3">
      <c r="A5" s="52">
        <v>1</v>
      </c>
      <c r="B5" s="53">
        <v>0</v>
      </c>
      <c r="C5" s="52">
        <f t="shared" ref="C5:C8" si="0">_xlfn.HYPGEOM.DIST(A5,$A$1,20,80,0)</f>
        <v>0.4327318251368884</v>
      </c>
      <c r="E5" s="57" t="s">
        <v>9</v>
      </c>
      <c r="F5" s="57" t="s">
        <v>46</v>
      </c>
      <c r="G5" s="57" t="s">
        <v>47</v>
      </c>
      <c r="J5" s="61">
        <v>1</v>
      </c>
      <c r="K5">
        <f>C6-C17-G6</f>
        <v>0.18332625294650617</v>
      </c>
      <c r="L5" s="59">
        <f t="shared" ref="L5:L13" si="1">J5*J5</f>
        <v>1</v>
      </c>
    </row>
    <row r="6" spans="1:12" x14ac:dyDescent="0.3">
      <c r="A6" s="52">
        <v>2</v>
      </c>
      <c r="B6" s="54">
        <v>1</v>
      </c>
      <c r="C6" s="52">
        <f t="shared" si="0"/>
        <v>0.21263546580002285</v>
      </c>
      <c r="E6" s="57">
        <v>2</v>
      </c>
      <c r="F6">
        <f>B6*5</f>
        <v>5</v>
      </c>
      <c r="G6">
        <f>_xlfn.HYPGEOM.DIST(3,20-E6,3,80-$A$1,0)*C6</f>
        <v>2.4681442402961383E-3</v>
      </c>
      <c r="J6" s="61">
        <v>5</v>
      </c>
      <c r="K6">
        <f>C7-C18-G7</f>
        <v>3.7893273336311317E-2</v>
      </c>
      <c r="L6" s="59">
        <f t="shared" si="1"/>
        <v>25</v>
      </c>
    </row>
    <row r="7" spans="1:12" x14ac:dyDescent="0.3">
      <c r="A7" s="52">
        <v>3</v>
      </c>
      <c r="B7" s="54">
        <v>5</v>
      </c>
      <c r="C7" s="52">
        <f t="shared" si="0"/>
        <v>4.3247891349157186E-2</v>
      </c>
      <c r="E7" s="57">
        <v>3</v>
      </c>
      <c r="F7" s="57">
        <f t="shared" ref="F7:F8" si="2">B7*5</f>
        <v>25</v>
      </c>
      <c r="G7" s="57">
        <f t="shared" ref="G7:G8" si="3">_xlfn.HYPGEOM.DIST(3,20-E7,3,80-$A$1,0)*C7</f>
        <v>4.1832953225358306E-4</v>
      </c>
      <c r="J7" s="61">
        <v>74</v>
      </c>
      <c r="K7">
        <f>C8-C19-G8</f>
        <v>2.725242598660322E-3</v>
      </c>
      <c r="L7" s="59">
        <f t="shared" si="1"/>
        <v>5476</v>
      </c>
    </row>
    <row r="8" spans="1:12" x14ac:dyDescent="0.3">
      <c r="A8" s="52">
        <v>4</v>
      </c>
      <c r="B8" s="54">
        <v>74</v>
      </c>
      <c r="C8" s="52">
        <f t="shared" si="0"/>
        <v>3.0633923038986348E-3</v>
      </c>
      <c r="E8" s="57">
        <v>4</v>
      </c>
      <c r="F8" s="57">
        <f t="shared" si="2"/>
        <v>370</v>
      </c>
      <c r="G8" s="57">
        <f t="shared" si="3"/>
        <v>2.440255604812569E-5</v>
      </c>
      <c r="J8">
        <f>J5*3</f>
        <v>3</v>
      </c>
      <c r="K8">
        <f>C17</f>
        <v>2.6841068613220519E-2</v>
      </c>
      <c r="L8" s="59">
        <f t="shared" si="1"/>
        <v>9</v>
      </c>
    </row>
    <row r="9" spans="1:12" x14ac:dyDescent="0.3">
      <c r="J9" s="64">
        <f t="shared" ref="J9:J10" si="4">J6*3</f>
        <v>15</v>
      </c>
      <c r="K9">
        <f>C18</f>
        <v>4.9362884805922817E-3</v>
      </c>
      <c r="L9" s="59">
        <f t="shared" si="1"/>
        <v>225</v>
      </c>
    </row>
    <row r="10" spans="1:12" x14ac:dyDescent="0.3">
      <c r="A10" s="29" t="s">
        <v>48</v>
      </c>
      <c r="B10" s="29"/>
      <c r="C10" s="46">
        <f>SUMPRODUCT(B6:B8,C6:C8)</f>
        <v>0.65556595303430776</v>
      </c>
      <c r="E10" s="29" t="s">
        <v>48</v>
      </c>
      <c r="F10" s="29"/>
      <c r="G10">
        <f>SUMPRODUCT(F6:F8,G6:G8)</f>
        <v>3.1827905245626772E-2</v>
      </c>
      <c r="J10" s="64">
        <f t="shared" si="4"/>
        <v>222</v>
      </c>
      <c r="K10">
        <f>C19</f>
        <v>3.1374714919018724E-4</v>
      </c>
      <c r="L10" s="59">
        <f t="shared" si="1"/>
        <v>49284</v>
      </c>
    </row>
    <row r="11" spans="1:12" x14ac:dyDescent="0.3">
      <c r="A11" s="29" t="s">
        <v>49</v>
      </c>
      <c r="B11" s="29"/>
      <c r="C11" s="46">
        <f>SUM(C6:C8)</f>
        <v>0.25894674945307866</v>
      </c>
      <c r="E11" s="29" t="s">
        <v>49</v>
      </c>
      <c r="F11" s="29"/>
      <c r="G11">
        <f>SUM(G6:G8)</f>
        <v>2.910876328597847E-3</v>
      </c>
      <c r="J11">
        <f>J5*6</f>
        <v>6</v>
      </c>
      <c r="K11">
        <f>G6</f>
        <v>2.4681442402961383E-3</v>
      </c>
      <c r="L11" s="59">
        <f t="shared" si="1"/>
        <v>36</v>
      </c>
    </row>
    <row r="12" spans="1:12" x14ac:dyDescent="0.3">
      <c r="A12" s="29" t="s">
        <v>50</v>
      </c>
      <c r="B12" s="29"/>
      <c r="C12" s="31">
        <f>ROUND(1/C11,1)</f>
        <v>3.9</v>
      </c>
      <c r="E12" s="29" t="s">
        <v>50</v>
      </c>
      <c r="F12" s="29"/>
      <c r="G12">
        <f>ROUND(1/G11,1)</f>
        <v>343.5</v>
      </c>
      <c r="J12" s="64">
        <f t="shared" ref="J12:J13" si="5">J6*6</f>
        <v>30</v>
      </c>
      <c r="K12">
        <f>G7</f>
        <v>4.1832953225358306E-4</v>
      </c>
      <c r="L12" s="59">
        <f t="shared" si="1"/>
        <v>900</v>
      </c>
    </row>
    <row r="13" spans="1:12" x14ac:dyDescent="0.3">
      <c r="J13" s="64">
        <f t="shared" si="5"/>
        <v>444</v>
      </c>
      <c r="K13">
        <f>G8</f>
        <v>2.440255604812569E-5</v>
      </c>
      <c r="L13" s="59">
        <f t="shared" si="1"/>
        <v>197136</v>
      </c>
    </row>
    <row r="14" spans="1:12" x14ac:dyDescent="0.3">
      <c r="A14" s="28" t="s">
        <v>51</v>
      </c>
      <c r="B14" s="28"/>
      <c r="C14" s="55"/>
      <c r="E14" s="40" t="s">
        <v>63</v>
      </c>
      <c r="F14" s="40"/>
      <c r="G14" s="58"/>
      <c r="H14" s="46">
        <f>C21+G10</f>
        <v>0.18130750535813833</v>
      </c>
      <c r="K14">
        <f>SUM(K4:K13)</f>
        <v>1.0000000000000002</v>
      </c>
    </row>
    <row r="15" spans="1:12" x14ac:dyDescent="0.3">
      <c r="A15" s="55" t="s">
        <v>52</v>
      </c>
      <c r="B15" s="55">
        <v>2</v>
      </c>
      <c r="C15" s="55"/>
      <c r="E15" s="51" t="s">
        <v>64</v>
      </c>
      <c r="F15" s="51"/>
      <c r="G15" s="58"/>
      <c r="H15" s="46">
        <f>C22+G11</f>
        <v>3.5001980571600831E-2</v>
      </c>
    </row>
    <row r="16" spans="1:12" x14ac:dyDescent="0.3">
      <c r="A16" s="55" t="s">
        <v>9</v>
      </c>
      <c r="B16" s="55" t="s">
        <v>46</v>
      </c>
      <c r="C16" s="55" t="s">
        <v>47</v>
      </c>
      <c r="E16" s="51" t="s">
        <v>65</v>
      </c>
      <c r="F16" s="51"/>
      <c r="G16" s="58"/>
      <c r="H16" s="31">
        <f>C23+G12</f>
        <v>374.7</v>
      </c>
      <c r="J16" s="64" t="s">
        <v>71</v>
      </c>
      <c r="K16">
        <f>SUMPRODUCT(J4:J13,K4:K13)</f>
        <v>0.83687345839244609</v>
      </c>
    </row>
    <row r="17" spans="1:11" x14ac:dyDescent="0.3">
      <c r="A17">
        <v>2</v>
      </c>
      <c r="B17">
        <f>B6*2</f>
        <v>2</v>
      </c>
      <c r="C17">
        <f>_xlfn.HYPGEOM.DIST(2,20-A17,3,80-$A$1,0)*C6</f>
        <v>2.6841068613220519E-2</v>
      </c>
      <c r="E17" s="58"/>
      <c r="F17" s="58"/>
      <c r="G17" s="58"/>
      <c r="J17" s="64"/>
    </row>
    <row r="18" spans="1:11" x14ac:dyDescent="0.3">
      <c r="A18">
        <v>3</v>
      </c>
      <c r="B18" s="55">
        <f t="shared" ref="B18:B19" si="6">B7*2</f>
        <v>10</v>
      </c>
      <c r="C18" s="55">
        <f t="shared" ref="C18:C19" si="7">_xlfn.HYPGEOM.DIST(2,20-A18,3,80-$A$1,0)*C7</f>
        <v>4.9362884805922817E-3</v>
      </c>
      <c r="E18" s="40" t="s">
        <v>66</v>
      </c>
      <c r="F18" s="40"/>
      <c r="G18" s="58"/>
      <c r="H18" s="46">
        <f>H14+C10</f>
        <v>0.83687345839244609</v>
      </c>
      <c r="J18" s="64" t="s">
        <v>72</v>
      </c>
      <c r="K18">
        <f>SUMPRODUCT(L4:L13,K4:K13)</f>
        <v>38.145007643741842</v>
      </c>
    </row>
    <row r="19" spans="1:11" x14ac:dyDescent="0.3">
      <c r="A19">
        <v>4</v>
      </c>
      <c r="B19" s="55">
        <f t="shared" si="6"/>
        <v>148</v>
      </c>
      <c r="C19" s="55">
        <f t="shared" si="7"/>
        <v>3.1374714919018724E-4</v>
      </c>
      <c r="J19" s="64"/>
    </row>
    <row r="20" spans="1:11" x14ac:dyDescent="0.3">
      <c r="J20" s="64" t="s">
        <v>75</v>
      </c>
      <c r="K20">
        <f>K18-(K16*K16)</f>
        <v>37.44465045838011</v>
      </c>
    </row>
    <row r="21" spans="1:11" x14ac:dyDescent="0.3">
      <c r="A21" s="29" t="s">
        <v>48</v>
      </c>
      <c r="B21" s="29"/>
      <c r="C21" s="56">
        <f>SUMPRODUCT(B17:B19,C17:C19)</f>
        <v>0.14947960011251155</v>
      </c>
      <c r="J21" s="64" t="s">
        <v>74</v>
      </c>
      <c r="K21">
        <f>SQRT(K20)</f>
        <v>6.1192034169800325</v>
      </c>
    </row>
    <row r="22" spans="1:11" x14ac:dyDescent="0.3">
      <c r="A22" s="29" t="s">
        <v>49</v>
      </c>
      <c r="B22" s="29"/>
      <c r="C22" s="56">
        <f>SUM(C17:C19)</f>
        <v>3.2091104243002981E-2</v>
      </c>
      <c r="J22" s="64"/>
    </row>
    <row r="23" spans="1:11" x14ac:dyDescent="0.3">
      <c r="A23" s="29" t="s">
        <v>50</v>
      </c>
      <c r="B23" s="29"/>
      <c r="C23">
        <f>ROUND(1/C22,1)</f>
        <v>31.2</v>
      </c>
      <c r="I23" s="50" t="s">
        <v>43</v>
      </c>
      <c r="J23" s="50"/>
      <c r="K23" s="31">
        <f>K21*_xlfn.NORM.S.INV(0.975)</f>
        <v>11.993418311355295</v>
      </c>
    </row>
  </sheetData>
  <mergeCells count="12">
    <mergeCell ref="I23:J23"/>
    <mergeCell ref="A10:B10"/>
    <mergeCell ref="A11:B11"/>
    <mergeCell ref="A12:B12"/>
    <mergeCell ref="A14:B14"/>
    <mergeCell ref="A21:B21"/>
    <mergeCell ref="A22:B22"/>
    <mergeCell ref="A23:B23"/>
    <mergeCell ref="E3:F3"/>
    <mergeCell ref="E10:F10"/>
    <mergeCell ref="E11:F11"/>
    <mergeCell ref="E12:F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B683-9047-4FA7-ABAD-41E8B7B8DE53}">
  <dimension ref="A1:O25"/>
  <sheetViews>
    <sheetView workbookViewId="0">
      <selection activeCell="L15" sqref="L15"/>
    </sheetView>
  </sheetViews>
  <sheetFormatPr defaultRowHeight="14.4" x14ac:dyDescent="0.3"/>
  <sheetData>
    <row r="1" spans="1:15" x14ac:dyDescent="0.3">
      <c r="A1" s="47">
        <v>5</v>
      </c>
    </row>
    <row r="3" spans="1:15" x14ac:dyDescent="0.3">
      <c r="A3" s="64" t="s">
        <v>9</v>
      </c>
      <c r="B3" s="64" t="s">
        <v>46</v>
      </c>
      <c r="C3" s="64" t="s">
        <v>47</v>
      </c>
      <c r="E3" s="28" t="s">
        <v>53</v>
      </c>
      <c r="F3" s="28"/>
      <c r="G3" s="68"/>
      <c r="J3" s="72" t="s">
        <v>67</v>
      </c>
      <c r="K3" s="72" t="s">
        <v>70</v>
      </c>
      <c r="L3" s="74" t="s">
        <v>69</v>
      </c>
      <c r="N3" s="76" t="s">
        <v>71</v>
      </c>
      <c r="O3">
        <f>SUMPRODUCT(J4:J16,K4:K16)</f>
        <v>0.83184515562701788</v>
      </c>
    </row>
    <row r="4" spans="1:15" x14ac:dyDescent="0.3">
      <c r="A4" s="66">
        <v>0</v>
      </c>
      <c r="B4" s="66">
        <v>0</v>
      </c>
      <c r="C4">
        <f>_xlfn.HYPGEOM.DIST(A4,$A$1,20,80,0)</f>
        <v>0.22718420819686647</v>
      </c>
      <c r="E4" s="68" t="s">
        <v>52</v>
      </c>
      <c r="F4" s="68">
        <v>5</v>
      </c>
      <c r="G4" s="68"/>
      <c r="J4" s="73">
        <v>0</v>
      </c>
      <c r="K4">
        <f>C4+C5</f>
        <v>0.63287029426269914</v>
      </c>
      <c r="L4">
        <f>J4*J4</f>
        <v>0</v>
      </c>
      <c r="N4" s="76"/>
    </row>
    <row r="5" spans="1:15" x14ac:dyDescent="0.3">
      <c r="A5" s="66">
        <v>1</v>
      </c>
      <c r="B5" s="66">
        <v>0</v>
      </c>
      <c r="C5" s="66">
        <f t="shared" ref="C5:C9" si="0">_xlfn.HYPGEOM.DIST(A5,$A$1,20,80,0)</f>
        <v>0.40568608606583267</v>
      </c>
      <c r="E5" s="68" t="s">
        <v>9</v>
      </c>
      <c r="F5" s="68" t="s">
        <v>46</v>
      </c>
      <c r="G5" s="68" t="s">
        <v>47</v>
      </c>
      <c r="J5" s="75">
        <v>1</v>
      </c>
      <c r="K5">
        <f>C6-C18-G6</f>
        <v>0.23225891406921398</v>
      </c>
      <c r="L5" s="73">
        <f t="shared" ref="L5:L16" si="1">J5*J5</f>
        <v>1</v>
      </c>
      <c r="N5" s="76" t="s">
        <v>72</v>
      </c>
      <c r="O5">
        <f>SUMPRODUCT(L4:L16,K4:K16)</f>
        <v>13.964774186770031</v>
      </c>
    </row>
    <row r="6" spans="1:15" x14ac:dyDescent="0.3">
      <c r="A6" s="66">
        <v>2</v>
      </c>
      <c r="B6" s="67">
        <v>1</v>
      </c>
      <c r="C6" s="66">
        <f t="shared" si="0"/>
        <v>0.27045739071055519</v>
      </c>
      <c r="E6" s="68">
        <v>2</v>
      </c>
      <c r="F6">
        <f>B6*5</f>
        <v>5</v>
      </c>
      <c r="G6">
        <f>_xlfn.HYPGEOM.DIST(3,20-E6,3,80-$A$1,0)*C6</f>
        <v>3.2683188570131524E-3</v>
      </c>
      <c r="J6" s="75">
        <v>2</v>
      </c>
      <c r="K6">
        <f>C7-C19-G7</f>
        <v>7.3284840841629464E-2</v>
      </c>
      <c r="L6" s="73">
        <f t="shared" si="1"/>
        <v>4</v>
      </c>
      <c r="N6" s="76"/>
    </row>
    <row r="7" spans="1:15" x14ac:dyDescent="0.3">
      <c r="A7" s="66">
        <v>3</v>
      </c>
      <c r="B7" s="67">
        <v>2</v>
      </c>
      <c r="C7" s="66">
        <f t="shared" si="0"/>
        <v>8.3935052289482684E-2</v>
      </c>
      <c r="E7" s="68">
        <v>3</v>
      </c>
      <c r="F7" s="68">
        <f t="shared" ref="F7:F9" si="2">B7*5</f>
        <v>10</v>
      </c>
      <c r="G7" s="68">
        <f t="shared" ref="G7:G9" si="3">_xlfn.HYPGEOM.DIST(3,20-E7,3,80-$A$1,0)*C7</f>
        <v>8.4525487681374632E-4</v>
      </c>
      <c r="J7" s="75">
        <v>13</v>
      </c>
      <c r="K7">
        <f>C8-C20-G8</f>
        <v>1.0724171249574399E-2</v>
      </c>
      <c r="L7" s="73">
        <f t="shared" si="1"/>
        <v>169</v>
      </c>
      <c r="N7" s="76" t="s">
        <v>73</v>
      </c>
      <c r="O7">
        <f>O5-(O3*O3)</f>
        <v>13.272807823829893</v>
      </c>
    </row>
    <row r="8" spans="1:15" x14ac:dyDescent="0.3">
      <c r="A8" s="66">
        <v>4</v>
      </c>
      <c r="B8" s="67">
        <v>13</v>
      </c>
      <c r="C8" s="66">
        <f t="shared" si="0"/>
        <v>1.2092338041705125E-2</v>
      </c>
      <c r="E8" s="68">
        <v>4</v>
      </c>
      <c r="F8" s="68">
        <f t="shared" si="2"/>
        <v>65</v>
      </c>
      <c r="G8" s="68">
        <f t="shared" si="3"/>
        <v>1.0028447691010555E-4</v>
      </c>
      <c r="J8" s="75">
        <v>80</v>
      </c>
      <c r="K8">
        <f>C9-C21-G9</f>
        <v>5.8040834874543946E-4</v>
      </c>
      <c r="L8" s="73">
        <f t="shared" si="1"/>
        <v>6400</v>
      </c>
      <c r="N8" s="76" t="s">
        <v>74</v>
      </c>
      <c r="O8">
        <f>SQRT(O7)</f>
        <v>3.6431864931444142</v>
      </c>
    </row>
    <row r="9" spans="1:15" x14ac:dyDescent="0.3">
      <c r="A9" s="66">
        <v>5</v>
      </c>
      <c r="B9" s="67">
        <v>80</v>
      </c>
      <c r="C9" s="66">
        <f t="shared" si="0"/>
        <v>6.4492469555760745E-4</v>
      </c>
      <c r="E9" s="68">
        <v>5</v>
      </c>
      <c r="F9" s="68">
        <f t="shared" si="2"/>
        <v>400</v>
      </c>
      <c r="G9" s="68">
        <f t="shared" si="3"/>
        <v>4.3456606661045738E-6</v>
      </c>
      <c r="J9" s="75">
        <f>J5*3</f>
        <v>3</v>
      </c>
      <c r="K9">
        <f>C18</f>
        <v>3.493015778432805E-2</v>
      </c>
      <c r="L9" s="73">
        <f t="shared" si="1"/>
        <v>9</v>
      </c>
      <c r="N9" s="76"/>
    </row>
    <row r="10" spans="1:15" x14ac:dyDescent="0.3">
      <c r="J10" s="75">
        <f t="shared" ref="J10:J12" si="4">J6*3</f>
        <v>6</v>
      </c>
      <c r="K10" s="73">
        <f t="shared" ref="K10:K12" si="5">C19</f>
        <v>9.8049565710394641E-3</v>
      </c>
      <c r="L10" s="73">
        <f t="shared" si="1"/>
        <v>36</v>
      </c>
      <c r="N10" s="77" t="s">
        <v>43</v>
      </c>
      <c r="O10" s="31">
        <f>O8*_xlfn.NORM.S.INV(0.975)</f>
        <v>7.1405143155258308</v>
      </c>
    </row>
    <row r="11" spans="1:15" x14ac:dyDescent="0.3">
      <c r="A11" s="29" t="s">
        <v>48</v>
      </c>
      <c r="B11" s="29"/>
      <c r="C11" s="46">
        <f>SUMPRODUCT(B6:B9,C6:C9)</f>
        <v>0.64712186547629569</v>
      </c>
      <c r="E11" s="29" t="s">
        <v>48</v>
      </c>
      <c r="F11" s="29"/>
      <c r="G11" s="69">
        <f>SUMPRODUCT(F6:F9,G6:G9)</f>
        <v>3.3050898318801918E-2</v>
      </c>
      <c r="J11" s="75">
        <f t="shared" si="4"/>
        <v>39</v>
      </c>
      <c r="K11" s="73">
        <f t="shared" si="5"/>
        <v>1.2678823152206195E-3</v>
      </c>
      <c r="L11" s="73">
        <f t="shared" si="1"/>
        <v>1521</v>
      </c>
    </row>
    <row r="12" spans="1:15" x14ac:dyDescent="0.3">
      <c r="A12" s="29" t="s">
        <v>49</v>
      </c>
      <c r="B12" s="29"/>
      <c r="C12" s="46">
        <f>SUM(C6:C9)</f>
        <v>0.36712970573730058</v>
      </c>
      <c r="E12" s="29" t="s">
        <v>49</v>
      </c>
      <c r="F12" s="29"/>
      <c r="G12" s="69">
        <f>SUM(G6:G9)</f>
        <v>4.2182038714031096E-3</v>
      </c>
      <c r="J12" s="75">
        <f t="shared" si="4"/>
        <v>240</v>
      </c>
      <c r="K12" s="73">
        <f t="shared" si="5"/>
        <v>6.0170686146063356E-5</v>
      </c>
      <c r="L12" s="73">
        <f t="shared" si="1"/>
        <v>57600</v>
      </c>
    </row>
    <row r="13" spans="1:15" x14ac:dyDescent="0.3">
      <c r="A13" s="29" t="s">
        <v>50</v>
      </c>
      <c r="B13" s="29"/>
      <c r="C13" s="31">
        <f>ROUND(1/C12,1)</f>
        <v>2.7</v>
      </c>
      <c r="E13" s="29" t="s">
        <v>50</v>
      </c>
      <c r="F13" s="29"/>
      <c r="G13">
        <f>ROUND(1/G12,1)</f>
        <v>237.1</v>
      </c>
      <c r="J13" s="73">
        <f>J5*6</f>
        <v>6</v>
      </c>
      <c r="K13">
        <f>G6</f>
        <v>3.2683188570131524E-3</v>
      </c>
      <c r="L13" s="73">
        <f t="shared" si="1"/>
        <v>36</v>
      </c>
    </row>
    <row r="14" spans="1:15" x14ac:dyDescent="0.3">
      <c r="J14" s="73">
        <f t="shared" ref="J14:J16" si="6">J6*6</f>
        <v>12</v>
      </c>
      <c r="K14" s="73">
        <f t="shared" ref="K14:K16" si="7">G7</f>
        <v>8.4525487681374632E-4</v>
      </c>
      <c r="L14" s="73">
        <f t="shared" si="1"/>
        <v>144</v>
      </c>
    </row>
    <row r="15" spans="1:15" x14ac:dyDescent="0.3">
      <c r="A15" s="28" t="s">
        <v>51</v>
      </c>
      <c r="B15" s="28"/>
      <c r="C15" s="68"/>
      <c r="E15" s="40" t="s">
        <v>63</v>
      </c>
      <c r="F15" s="40"/>
      <c r="G15" s="70"/>
      <c r="H15" s="46">
        <f>C23+G11</f>
        <v>0.18472329015072211</v>
      </c>
      <c r="J15" s="73">
        <f t="shared" si="6"/>
        <v>78</v>
      </c>
      <c r="K15" s="73">
        <f t="shared" si="7"/>
        <v>1.0028447691010555E-4</v>
      </c>
      <c r="L15" s="73">
        <f t="shared" si="1"/>
        <v>6084</v>
      </c>
    </row>
    <row r="16" spans="1:15" x14ac:dyDescent="0.3">
      <c r="A16" s="68" t="s">
        <v>52</v>
      </c>
      <c r="B16" s="68">
        <v>2</v>
      </c>
      <c r="C16" s="68"/>
      <c r="E16" s="51" t="s">
        <v>64</v>
      </c>
      <c r="F16" s="51"/>
      <c r="G16" s="70"/>
      <c r="H16" s="46">
        <f>C24+G12</f>
        <v>5.0281371228137306E-2</v>
      </c>
      <c r="J16" s="73">
        <f t="shared" si="6"/>
        <v>480</v>
      </c>
      <c r="K16" s="73">
        <f t="shared" si="7"/>
        <v>4.3456606661045738E-6</v>
      </c>
      <c r="L16" s="73">
        <f t="shared" si="1"/>
        <v>230400</v>
      </c>
    </row>
    <row r="17" spans="1:11" x14ac:dyDescent="0.3">
      <c r="A17" s="68" t="s">
        <v>9</v>
      </c>
      <c r="B17" s="68" t="s">
        <v>46</v>
      </c>
      <c r="C17" s="68" t="s">
        <v>47</v>
      </c>
      <c r="E17" s="51" t="s">
        <v>65</v>
      </c>
      <c r="F17" s="51"/>
      <c r="G17" s="70"/>
      <c r="H17" s="31">
        <f>ROUND(1/H16,1)</f>
        <v>19.899999999999999</v>
      </c>
      <c r="J17" s="73"/>
      <c r="K17">
        <f>SUM(K4:K16)</f>
        <v>0.99999999999999956</v>
      </c>
    </row>
    <row r="18" spans="1:11" x14ac:dyDescent="0.3">
      <c r="A18" s="68">
        <v>2</v>
      </c>
      <c r="B18">
        <f>B6*2</f>
        <v>2</v>
      </c>
      <c r="C18">
        <f>_xlfn.HYPGEOM.DIST(2,20-A18,3,80-$A$1,0)*C6</f>
        <v>3.493015778432805E-2</v>
      </c>
      <c r="E18" s="70"/>
      <c r="F18" s="70"/>
      <c r="J18" s="73"/>
    </row>
    <row r="19" spans="1:11" x14ac:dyDescent="0.3">
      <c r="A19" s="68">
        <v>3</v>
      </c>
      <c r="B19" s="68">
        <f t="shared" ref="B19:B21" si="8">B7*2</f>
        <v>4</v>
      </c>
      <c r="C19" s="68">
        <f t="shared" ref="C19:C21" si="9">_xlfn.HYPGEOM.DIST(2,20-A19,3,80-$A$1,0)*C7</f>
        <v>9.8049565710394641E-3</v>
      </c>
      <c r="E19" s="28" t="s">
        <v>66</v>
      </c>
      <c r="F19" s="28"/>
      <c r="H19" s="46">
        <f>C11+H15</f>
        <v>0.83184515562701777</v>
      </c>
      <c r="J19" s="73"/>
    </row>
    <row r="20" spans="1:11" x14ac:dyDescent="0.3">
      <c r="A20" s="68">
        <v>4</v>
      </c>
      <c r="B20" s="68">
        <f t="shared" si="8"/>
        <v>26</v>
      </c>
      <c r="C20" s="68">
        <f t="shared" si="9"/>
        <v>1.2678823152206195E-3</v>
      </c>
      <c r="E20" s="70"/>
      <c r="F20" s="70"/>
      <c r="J20" s="73"/>
    </row>
    <row r="21" spans="1:11" x14ac:dyDescent="0.3">
      <c r="A21" s="68">
        <v>5</v>
      </c>
      <c r="B21" s="68">
        <f t="shared" si="8"/>
        <v>160</v>
      </c>
      <c r="C21" s="68">
        <f t="shared" si="9"/>
        <v>6.0170686146063356E-5</v>
      </c>
    </row>
    <row r="23" spans="1:11" x14ac:dyDescent="0.3">
      <c r="A23" s="29" t="s">
        <v>48</v>
      </c>
      <c r="B23" s="29"/>
      <c r="C23" s="71">
        <f>SUMPRODUCT(B18:B21,C18:C21)</f>
        <v>0.15167239183192019</v>
      </c>
    </row>
    <row r="24" spans="1:11" x14ac:dyDescent="0.3">
      <c r="A24" s="29" t="s">
        <v>49</v>
      </c>
      <c r="B24" s="29"/>
      <c r="C24" s="71">
        <f>SUM(C18:C21)</f>
        <v>4.6063167356734193E-2</v>
      </c>
    </row>
    <row r="25" spans="1:11" x14ac:dyDescent="0.3">
      <c r="A25" s="29" t="s">
        <v>50</v>
      </c>
      <c r="B25" s="29"/>
      <c r="C25">
        <f>ROUND(1/C24,1)</f>
        <v>21.7</v>
      </c>
    </row>
  </sheetData>
  <mergeCells count="12">
    <mergeCell ref="A13:B13"/>
    <mergeCell ref="A11:B11"/>
    <mergeCell ref="A12:B12"/>
    <mergeCell ref="A15:B15"/>
    <mergeCell ref="A23:B23"/>
    <mergeCell ref="A24:B24"/>
    <mergeCell ref="A25:B25"/>
    <mergeCell ref="E3:F3"/>
    <mergeCell ref="E11:F11"/>
    <mergeCell ref="E12:F12"/>
    <mergeCell ref="E13:F13"/>
    <mergeCell ref="E19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24E2-8E89-46A6-8451-B6631FBD5A5E}">
  <dimension ref="A1:O26"/>
  <sheetViews>
    <sheetView workbookViewId="0">
      <selection activeCell="O9" sqref="O9"/>
    </sheetView>
  </sheetViews>
  <sheetFormatPr defaultRowHeight="14.4" x14ac:dyDescent="0.3"/>
  <sheetData>
    <row r="1" spans="1:15" x14ac:dyDescent="0.3">
      <c r="A1" s="47">
        <v>6</v>
      </c>
      <c r="E1" s="28" t="s">
        <v>53</v>
      </c>
      <c r="F1" s="28"/>
      <c r="G1" s="83"/>
    </row>
    <row r="2" spans="1:15" x14ac:dyDescent="0.3">
      <c r="E2" s="83" t="s">
        <v>52</v>
      </c>
      <c r="F2" s="83">
        <v>5</v>
      </c>
      <c r="G2" s="83"/>
      <c r="J2" s="88" t="s">
        <v>67</v>
      </c>
      <c r="K2" s="88" t="s">
        <v>68</v>
      </c>
      <c r="L2" s="89" t="s">
        <v>69</v>
      </c>
      <c r="N2" s="90" t="s">
        <v>71</v>
      </c>
      <c r="O2">
        <f>SUMPRODUCT(J3:J15,K3:K15)</f>
        <v>0.83961450937348303</v>
      </c>
    </row>
    <row r="3" spans="1:15" x14ac:dyDescent="0.3">
      <c r="A3" s="78" t="s">
        <v>9</v>
      </c>
      <c r="B3" s="78" t="s">
        <v>46</v>
      </c>
      <c r="C3" s="80" t="s">
        <v>47</v>
      </c>
      <c r="E3" s="83" t="s">
        <v>9</v>
      </c>
      <c r="F3" s="83" t="s">
        <v>46</v>
      </c>
      <c r="G3" s="83" t="s">
        <v>47</v>
      </c>
      <c r="J3" s="86">
        <v>0</v>
      </c>
      <c r="K3">
        <f>SUM(C4,C5,C6)</f>
        <v>0.83841791120272136</v>
      </c>
      <c r="L3">
        <f>J3*J3</f>
        <v>0</v>
      </c>
      <c r="N3" s="90"/>
    </row>
    <row r="4" spans="1:15" x14ac:dyDescent="0.3">
      <c r="A4" s="78">
        <v>0</v>
      </c>
      <c r="B4" s="78">
        <v>0</v>
      </c>
      <c r="C4">
        <f>_xlfn.HYPGEOM.DIST(A4,$A$1,20,80,0)</f>
        <v>0.16660175267770208</v>
      </c>
      <c r="E4" s="83">
        <v>3</v>
      </c>
      <c r="F4">
        <f>B7*5</f>
        <v>10</v>
      </c>
      <c r="G4">
        <f>_xlfn.HYPGEOM.DIST(3,20-E4,3,80-$A$1,0)*C7</f>
        <v>1.3617995237554803E-3</v>
      </c>
      <c r="J4" s="87">
        <v>2</v>
      </c>
      <c r="K4">
        <f>C7-C19-G4</f>
        <v>0.11293323344649857</v>
      </c>
      <c r="L4" s="86">
        <f t="shared" ref="L4:L15" si="0">J4*J4</f>
        <v>4</v>
      </c>
      <c r="N4" s="90" t="s">
        <v>72</v>
      </c>
      <c r="O4">
        <f>SUMPRODUCT(K3:K15,L3:L15)</f>
        <v>39.347163051168621</v>
      </c>
    </row>
    <row r="5" spans="1:15" x14ac:dyDescent="0.3">
      <c r="A5" s="78">
        <v>1</v>
      </c>
      <c r="B5" s="78">
        <v>0</v>
      </c>
      <c r="C5" s="80">
        <f t="shared" ref="C5:C10" si="1">_xlfn.HYPGEOM.DIST(A5,$A$1,20,80,0)</f>
        <v>0.36349473311498637</v>
      </c>
      <c r="E5" s="83">
        <v>4</v>
      </c>
      <c r="F5" s="83">
        <f t="shared" ref="F5:F7" si="2">B8*5</f>
        <v>30</v>
      </c>
      <c r="G5" s="83">
        <f t="shared" ref="G5:G7" si="3">_xlfn.HYPGEOM.DIST(3,20-E5,3,80-$A$1,0)*C8</f>
        <v>2.4653267240400936E-4</v>
      </c>
      <c r="J5" s="87">
        <v>6</v>
      </c>
      <c r="K5">
        <f>C8-C20-G5</f>
        <v>2.5227336177570277E-2</v>
      </c>
      <c r="L5" s="86">
        <f t="shared" si="0"/>
        <v>36</v>
      </c>
      <c r="N5" s="90"/>
    </row>
    <row r="6" spans="1:15" x14ac:dyDescent="0.3">
      <c r="A6" s="78">
        <v>2</v>
      </c>
      <c r="B6" s="78">
        <v>0</v>
      </c>
      <c r="C6" s="80">
        <f t="shared" si="1"/>
        <v>0.30832142541003293</v>
      </c>
      <c r="E6" s="83">
        <v>5</v>
      </c>
      <c r="F6" s="83">
        <f t="shared" si="2"/>
        <v>350</v>
      </c>
      <c r="G6" s="83">
        <f t="shared" si="3"/>
        <v>2.1728303330522876E-5</v>
      </c>
      <c r="J6" s="87">
        <v>70</v>
      </c>
      <c r="K6">
        <f>C9-C21-G6</f>
        <v>2.7780710284611796E-3</v>
      </c>
      <c r="L6" s="86">
        <f t="shared" si="0"/>
        <v>4900</v>
      </c>
      <c r="N6" s="90" t="s">
        <v>73</v>
      </c>
      <c r="O6">
        <f>O4-(O2*O2)</f>
        <v>38.642210526818147</v>
      </c>
    </row>
    <row r="7" spans="1:15" x14ac:dyDescent="0.3">
      <c r="A7" s="78">
        <v>3</v>
      </c>
      <c r="B7" s="79">
        <v>2</v>
      </c>
      <c r="C7" s="80">
        <f t="shared" si="1"/>
        <v>0.12981954754106653</v>
      </c>
      <c r="E7" s="83">
        <v>6</v>
      </c>
      <c r="F7" s="83">
        <f t="shared" si="2"/>
        <v>750</v>
      </c>
      <c r="G7" s="83">
        <f t="shared" si="3"/>
        <v>7.2427677768409539E-7</v>
      </c>
      <c r="J7" s="87">
        <v>150</v>
      </c>
      <c r="K7">
        <f>C10-C22-G7</f>
        <v>1.1739651066857599E-4</v>
      </c>
      <c r="L7" s="86">
        <f t="shared" si="0"/>
        <v>22500</v>
      </c>
      <c r="N7" s="90" t="s">
        <v>74</v>
      </c>
      <c r="O7">
        <f>SQRT(O6)</f>
        <v>6.2162859109614761</v>
      </c>
    </row>
    <row r="8" spans="1:15" x14ac:dyDescent="0.3">
      <c r="A8" s="78">
        <v>4</v>
      </c>
      <c r="B8" s="79">
        <v>6</v>
      </c>
      <c r="C8" s="80">
        <f t="shared" si="1"/>
        <v>2.8537917778424116E-2</v>
      </c>
      <c r="J8">
        <f>J4*3</f>
        <v>6</v>
      </c>
      <c r="K8">
        <f>C19</f>
        <v>1.5524514570812479E-2</v>
      </c>
      <c r="L8" s="86">
        <f t="shared" si="0"/>
        <v>36</v>
      </c>
      <c r="N8" s="90"/>
    </row>
    <row r="9" spans="1:15" x14ac:dyDescent="0.3">
      <c r="A9" s="78">
        <v>5</v>
      </c>
      <c r="B9" s="79">
        <v>70</v>
      </c>
      <c r="C9" s="80">
        <f t="shared" si="1"/>
        <v>3.0956385386765139E-3</v>
      </c>
      <c r="E9" s="29" t="s">
        <v>48</v>
      </c>
      <c r="F9" s="29"/>
      <c r="G9" s="84">
        <f>SUMPRODUCT(F4:F7,G4:G7)</f>
        <v>2.916208915862116E-2</v>
      </c>
      <c r="J9" s="86">
        <f t="shared" ref="J9:J11" si="4">J5*3</f>
        <v>18</v>
      </c>
      <c r="K9" s="86">
        <f t="shared" ref="K9:K11" si="5">C20</f>
        <v>3.0640489284498311E-3</v>
      </c>
      <c r="L9" s="86">
        <f t="shared" si="0"/>
        <v>324</v>
      </c>
      <c r="N9" s="91" t="s">
        <v>43</v>
      </c>
      <c r="O9" s="31">
        <f>O7*_xlfn.NORM.S.INV(0.975)</f>
        <v>12.183696503088251</v>
      </c>
    </row>
    <row r="10" spans="1:15" x14ac:dyDescent="0.3">
      <c r="A10" s="78">
        <v>6</v>
      </c>
      <c r="B10" s="79">
        <v>150</v>
      </c>
      <c r="C10" s="80">
        <f t="shared" si="1"/>
        <v>1.2898493911152152E-4</v>
      </c>
      <c r="E10" s="29" t="s">
        <v>49</v>
      </c>
      <c r="F10" s="29"/>
      <c r="G10" s="84">
        <f>SUM(G4:G7)</f>
        <v>1.6307847762676967E-3</v>
      </c>
      <c r="J10" s="86">
        <f t="shared" si="4"/>
        <v>210</v>
      </c>
      <c r="K10" s="86">
        <f t="shared" si="5"/>
        <v>2.9583920688481153E-4</v>
      </c>
      <c r="L10" s="86">
        <f t="shared" si="0"/>
        <v>44100</v>
      </c>
    </row>
    <row r="11" spans="1:15" x14ac:dyDescent="0.3">
      <c r="E11" s="29" t="s">
        <v>50</v>
      </c>
      <c r="F11" s="29"/>
      <c r="G11">
        <f>ROUND(1/G10,1)</f>
        <v>613.20000000000005</v>
      </c>
      <c r="J11" s="86">
        <f t="shared" si="4"/>
        <v>450</v>
      </c>
      <c r="K11" s="86">
        <f t="shared" si="5"/>
        <v>1.0864151665261436E-5</v>
      </c>
      <c r="L11" s="86">
        <f t="shared" si="0"/>
        <v>202500</v>
      </c>
    </row>
    <row r="12" spans="1:15" x14ac:dyDescent="0.3">
      <c r="A12" s="29" t="s">
        <v>48</v>
      </c>
      <c r="B12" s="29"/>
      <c r="C12" s="46">
        <f>SUMPRODUCT(B7:B10,C7:C10)</f>
        <v>0.6669090403267619</v>
      </c>
      <c r="J12">
        <f>J4*6</f>
        <v>12</v>
      </c>
      <c r="K12">
        <f>G4</f>
        <v>1.3617995237554803E-3</v>
      </c>
      <c r="L12" s="86">
        <f t="shared" si="0"/>
        <v>144</v>
      </c>
    </row>
    <row r="13" spans="1:15" x14ac:dyDescent="0.3">
      <c r="A13" s="29" t="s">
        <v>49</v>
      </c>
      <c r="B13" s="29"/>
      <c r="C13" s="46">
        <f>SUM(C7:C10)</f>
        <v>0.16158208879727867</v>
      </c>
      <c r="E13" s="40" t="s">
        <v>63</v>
      </c>
      <c r="F13" s="40"/>
      <c r="G13" s="85"/>
      <c r="H13" s="46">
        <f>C24+G9</f>
        <v>0.17270546904672107</v>
      </c>
      <c r="J13" s="86">
        <f t="shared" ref="J13:J17" si="6">J5*6</f>
        <v>36</v>
      </c>
      <c r="K13" s="86">
        <f t="shared" ref="K13:K15" si="7">G5</f>
        <v>2.4653267240400936E-4</v>
      </c>
      <c r="L13" s="86">
        <f t="shared" si="0"/>
        <v>1296</v>
      </c>
    </row>
    <row r="14" spans="1:15" x14ac:dyDescent="0.3">
      <c r="A14" s="29" t="s">
        <v>50</v>
      </c>
      <c r="B14" s="29"/>
      <c r="C14" s="31">
        <f>ROUND(1/C13,1)</f>
        <v>6.2</v>
      </c>
      <c r="E14" s="51" t="s">
        <v>64</v>
      </c>
      <c r="F14" s="51"/>
      <c r="G14" s="85"/>
      <c r="H14" s="46">
        <f>C25+G10</f>
        <v>2.052605163408008E-2</v>
      </c>
      <c r="J14" s="86">
        <f t="shared" si="6"/>
        <v>420</v>
      </c>
      <c r="K14" s="86">
        <f t="shared" si="7"/>
        <v>2.1728303330522876E-5</v>
      </c>
      <c r="L14" s="86">
        <f t="shared" si="0"/>
        <v>176400</v>
      </c>
    </row>
    <row r="15" spans="1:15" x14ac:dyDescent="0.3">
      <c r="E15" s="51" t="s">
        <v>65</v>
      </c>
      <c r="F15" s="51"/>
      <c r="G15" s="85"/>
      <c r="H15" s="31">
        <f>ROUND(1/H14,1)</f>
        <v>48.7</v>
      </c>
      <c r="J15" s="86">
        <f t="shared" si="6"/>
        <v>900</v>
      </c>
      <c r="K15" s="86">
        <f t="shared" si="7"/>
        <v>7.2427677768409539E-7</v>
      </c>
      <c r="L15" s="86">
        <f t="shared" si="0"/>
        <v>810000</v>
      </c>
    </row>
    <row r="16" spans="1:15" x14ac:dyDescent="0.3">
      <c r="A16" s="28" t="s">
        <v>51</v>
      </c>
      <c r="B16" s="28"/>
      <c r="C16" s="81"/>
      <c r="E16" s="85"/>
      <c r="F16" s="85"/>
      <c r="G16" s="85"/>
      <c r="J16" s="86"/>
      <c r="K16">
        <f>SUM(K3:K15)</f>
        <v>0.99999999999999989</v>
      </c>
    </row>
    <row r="17" spans="1:10" x14ac:dyDescent="0.3">
      <c r="A17" s="81" t="s">
        <v>52</v>
      </c>
      <c r="B17" s="81">
        <v>2</v>
      </c>
      <c r="C17" s="81"/>
      <c r="E17" s="40" t="s">
        <v>66</v>
      </c>
      <c r="F17" s="40"/>
      <c r="G17" s="85"/>
      <c r="H17" s="46">
        <f>C12+H13</f>
        <v>0.83961450937348303</v>
      </c>
      <c r="J17" s="86"/>
    </row>
    <row r="18" spans="1:10" x14ac:dyDescent="0.3">
      <c r="A18" s="81" t="s">
        <v>9</v>
      </c>
      <c r="B18" s="81" t="s">
        <v>46</v>
      </c>
      <c r="C18" s="81" t="s">
        <v>47</v>
      </c>
    </row>
    <row r="19" spans="1:10" x14ac:dyDescent="0.3">
      <c r="A19" s="81">
        <v>3</v>
      </c>
      <c r="B19">
        <f>B7*2</f>
        <v>4</v>
      </c>
      <c r="C19">
        <f>_xlfn.HYPGEOM.DIST(2,20-A19,3,80-$A$1,0)*C7</f>
        <v>1.5524514570812479E-2</v>
      </c>
    </row>
    <row r="20" spans="1:10" x14ac:dyDescent="0.3">
      <c r="A20" s="81">
        <v>4</v>
      </c>
      <c r="B20" s="81">
        <f t="shared" ref="B20:B22" si="8">B8*2</f>
        <v>12</v>
      </c>
      <c r="C20" s="81">
        <f t="shared" ref="C20:C22" si="9">_xlfn.HYPGEOM.DIST(2,20-A20,3,80-$A$1,0)*C8</f>
        <v>3.0640489284498311E-3</v>
      </c>
    </row>
    <row r="21" spans="1:10" x14ac:dyDescent="0.3">
      <c r="A21" s="81">
        <v>5</v>
      </c>
      <c r="B21" s="81">
        <f t="shared" si="8"/>
        <v>140</v>
      </c>
      <c r="C21" s="81">
        <f t="shared" si="9"/>
        <v>2.9583920688481153E-4</v>
      </c>
    </row>
    <row r="22" spans="1:10" x14ac:dyDescent="0.3">
      <c r="A22" s="81">
        <v>6</v>
      </c>
      <c r="B22" s="81">
        <f t="shared" si="8"/>
        <v>300</v>
      </c>
      <c r="C22" s="81">
        <f t="shared" si="9"/>
        <v>1.0864151665261436E-5</v>
      </c>
    </row>
    <row r="24" spans="1:10" x14ac:dyDescent="0.3">
      <c r="A24" s="29" t="s">
        <v>48</v>
      </c>
      <c r="B24" s="29"/>
      <c r="C24" s="82">
        <f>SUMPRODUCT(B19:B22,C19:C22)</f>
        <v>0.14354337988809993</v>
      </c>
    </row>
    <row r="25" spans="1:10" x14ac:dyDescent="0.3">
      <c r="A25" s="29" t="s">
        <v>49</v>
      </c>
      <c r="B25" s="29"/>
      <c r="C25" s="82">
        <f>SUM(C19:C22)</f>
        <v>1.8895266857812384E-2</v>
      </c>
    </row>
    <row r="26" spans="1:10" x14ac:dyDescent="0.3">
      <c r="A26" s="29" t="s">
        <v>50</v>
      </c>
      <c r="B26" s="29"/>
      <c r="C26">
        <f>ROUND(1/C25,1)</f>
        <v>52.9</v>
      </c>
    </row>
  </sheetData>
  <mergeCells count="11">
    <mergeCell ref="A12:B12"/>
    <mergeCell ref="A13:B13"/>
    <mergeCell ref="A14:B14"/>
    <mergeCell ref="A16:B16"/>
    <mergeCell ref="A24:B24"/>
    <mergeCell ref="A25:B25"/>
    <mergeCell ref="A26:B26"/>
    <mergeCell ref="E1:F1"/>
    <mergeCell ref="E9:F9"/>
    <mergeCell ref="E10:F10"/>
    <mergeCell ref="E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2D95-407C-4E6E-8D10-D0654A23E8E2}">
  <dimension ref="A1:O28"/>
  <sheetViews>
    <sheetView workbookViewId="0">
      <selection activeCell="C20" sqref="C20"/>
    </sheetView>
  </sheetViews>
  <sheetFormatPr defaultRowHeight="14.4" x14ac:dyDescent="0.3"/>
  <cols>
    <col min="1" max="10" width="8.88671875" style="90"/>
    <col min="11" max="11" width="12" style="90" bestFit="1" customWidth="1"/>
    <col min="12" max="16384" width="8.88671875" style="90"/>
  </cols>
  <sheetData>
    <row r="1" spans="1:15" x14ac:dyDescent="0.3">
      <c r="A1" s="47">
        <v>7</v>
      </c>
      <c r="E1" s="28" t="s">
        <v>53</v>
      </c>
      <c r="F1" s="28"/>
    </row>
    <row r="2" spans="1:15" x14ac:dyDescent="0.3">
      <c r="E2" s="90" t="s">
        <v>52</v>
      </c>
      <c r="F2" s="90">
        <v>5</v>
      </c>
      <c r="J2" s="93" t="s">
        <v>67</v>
      </c>
      <c r="K2" s="93" t="s">
        <v>68</v>
      </c>
      <c r="L2" s="94" t="s">
        <v>69</v>
      </c>
      <c r="N2" s="90" t="s">
        <v>71</v>
      </c>
      <c r="O2" s="90">
        <f>SUMPRODUCT(J3:J18,K3:K18)</f>
        <v>0.84072861478523164</v>
      </c>
    </row>
    <row r="3" spans="1:15" x14ac:dyDescent="0.3">
      <c r="A3" s="90" t="s">
        <v>9</v>
      </c>
      <c r="B3" s="90" t="s">
        <v>46</v>
      </c>
      <c r="C3" s="90" t="s">
        <v>47</v>
      </c>
      <c r="E3" s="90" t="s">
        <v>9</v>
      </c>
      <c r="F3" s="90" t="s">
        <v>46</v>
      </c>
      <c r="G3" s="90" t="s">
        <v>47</v>
      </c>
      <c r="J3" s="90">
        <v>0</v>
      </c>
      <c r="K3" s="90">
        <f>SUM(C4,C5,C6)</f>
        <v>0.76342080772460519</v>
      </c>
      <c r="L3" s="90">
        <f>J3*J3</f>
        <v>0</v>
      </c>
    </row>
    <row r="4" spans="1:15" x14ac:dyDescent="0.3">
      <c r="A4" s="95">
        <v>0</v>
      </c>
      <c r="B4" s="96">
        <v>0</v>
      </c>
      <c r="C4" s="90">
        <f>_xlfn.HYPGEOM.DIST(A4,$A$1,20,80,0)</f>
        <v>0.12157425195399879</v>
      </c>
      <c r="E4" s="90">
        <v>3</v>
      </c>
      <c r="F4" s="90">
        <f>B7*5</f>
        <v>5</v>
      </c>
      <c r="G4" s="90">
        <f>_xlfn.HYPGEOM.DIST(3,20-E4,3,80-$A$1,0)*C7</f>
        <v>1.9132324295015361E-3</v>
      </c>
      <c r="J4" s="99">
        <v>1</v>
      </c>
      <c r="K4" s="90">
        <f>C7-C20-G4</f>
        <v>0.1516518058090188</v>
      </c>
      <c r="L4" s="96">
        <f t="shared" ref="L4:L19" si="0">J4*J4</f>
        <v>1</v>
      </c>
      <c r="N4" s="90" t="s">
        <v>72</v>
      </c>
      <c r="O4" s="90">
        <f>SUMPRODUCT(K3:K18,L3:L18)</f>
        <v>149.07278132313397</v>
      </c>
    </row>
    <row r="5" spans="1:15" x14ac:dyDescent="0.3">
      <c r="A5" s="95">
        <v>1</v>
      </c>
      <c r="B5" s="96">
        <v>0</v>
      </c>
      <c r="C5" s="90">
        <f t="shared" ref="C5:C11" si="1">_xlfn.HYPGEOM.DIST(A5,$A$1,20,80,0)</f>
        <v>0.31519250506592278</v>
      </c>
      <c r="E5" s="90">
        <v>4</v>
      </c>
      <c r="F5" s="90">
        <f t="shared" ref="F5:F8" si="2">B8*5</f>
        <v>15</v>
      </c>
      <c r="G5" s="90">
        <f t="shared" ref="G5:G8" si="3">_xlfn.HYPGEOM.DIST(3,20-E5,3,80-$A$1,0)*C8</f>
        <v>4.6991673707055316E-4</v>
      </c>
      <c r="J5" s="99">
        <v>3</v>
      </c>
      <c r="K5" s="90">
        <f>C8-C21-G5</f>
        <v>4.5981352722353618E-2</v>
      </c>
      <c r="L5" s="96">
        <f t="shared" si="0"/>
        <v>9</v>
      </c>
    </row>
    <row r="6" spans="1:15" x14ac:dyDescent="0.3">
      <c r="A6" s="95">
        <v>2</v>
      </c>
      <c r="B6" s="96">
        <v>0</v>
      </c>
      <c r="C6" s="90">
        <f t="shared" si="1"/>
        <v>0.32665405070468367</v>
      </c>
      <c r="E6" s="90">
        <v>5</v>
      </c>
      <c r="F6" s="90">
        <f t="shared" si="2"/>
        <v>70</v>
      </c>
      <c r="G6" s="90">
        <f t="shared" si="3"/>
        <v>6.3195699123281355E-5</v>
      </c>
      <c r="J6" s="99">
        <v>14</v>
      </c>
      <c r="K6" s="90">
        <f>C9-C22-G6</f>
        <v>7.7294590151862162E-3</v>
      </c>
      <c r="L6" s="96">
        <f t="shared" si="0"/>
        <v>196</v>
      </c>
      <c r="N6" s="90" t="s">
        <v>73</v>
      </c>
      <c r="O6" s="90">
        <f>O4-(O2*O2)</f>
        <v>148.36595671941527</v>
      </c>
    </row>
    <row r="7" spans="1:15" x14ac:dyDescent="0.3">
      <c r="A7" s="95">
        <v>3</v>
      </c>
      <c r="B7" s="99">
        <v>1</v>
      </c>
      <c r="C7" s="90">
        <f t="shared" si="1"/>
        <v>0.17499324144893755</v>
      </c>
      <c r="E7" s="90">
        <v>6</v>
      </c>
      <c r="F7" s="90">
        <f t="shared" si="2"/>
        <v>1350</v>
      </c>
      <c r="G7" s="90">
        <f t="shared" si="3"/>
        <v>4.2844541778495761E-6</v>
      </c>
      <c r="J7" s="99">
        <v>270</v>
      </c>
      <c r="K7" s="90">
        <f>C10-C23-G7</f>
        <v>6.6459652814263958E-4</v>
      </c>
      <c r="L7" s="96">
        <f t="shared" si="0"/>
        <v>72900</v>
      </c>
      <c r="N7" s="90" t="s">
        <v>74</v>
      </c>
      <c r="O7" s="90">
        <f>SQRT(O6)</f>
        <v>12.180556502862062</v>
      </c>
    </row>
    <row r="8" spans="1:15" x14ac:dyDescent="0.3">
      <c r="A8" s="95">
        <v>4</v>
      </c>
      <c r="B8" s="99">
        <v>3</v>
      </c>
      <c r="C8" s="90">
        <f t="shared" si="1"/>
        <v>5.2190966747928787E-2</v>
      </c>
      <c r="E8" s="96">
        <v>7</v>
      </c>
      <c r="F8" s="96">
        <f t="shared" si="2"/>
        <v>5000</v>
      </c>
      <c r="G8" s="96">
        <f t="shared" si="3"/>
        <v>1.1221189513415582E-7</v>
      </c>
      <c r="J8" s="102">
        <v>1000</v>
      </c>
      <c r="K8" s="90">
        <f>C11-C24-G8</f>
        <v>2.245414950534173E-5</v>
      </c>
      <c r="L8" s="96">
        <f t="shared" si="0"/>
        <v>1000000</v>
      </c>
    </row>
    <row r="9" spans="1:15" x14ac:dyDescent="0.3">
      <c r="A9" s="95">
        <v>5</v>
      </c>
      <c r="B9" s="99">
        <v>14</v>
      </c>
      <c r="C9" s="90">
        <f t="shared" si="1"/>
        <v>8.6385048410364939E-3</v>
      </c>
      <c r="J9" s="90">
        <f>J4*3</f>
        <v>3</v>
      </c>
      <c r="K9" s="90">
        <f>C20</f>
        <v>2.1428203210417215E-2</v>
      </c>
      <c r="L9" s="96">
        <f t="shared" si="0"/>
        <v>9</v>
      </c>
      <c r="N9" s="91" t="s">
        <v>43</v>
      </c>
      <c r="O9" s="31">
        <f>O7*_xlfn.NORM.S.INV(0.975)</f>
        <v>23.873452057264789</v>
      </c>
    </row>
    <row r="10" spans="1:15" x14ac:dyDescent="0.3">
      <c r="A10" s="95">
        <v>6</v>
      </c>
      <c r="B10" s="99">
        <v>270</v>
      </c>
      <c r="C10" s="90">
        <f t="shared" si="1"/>
        <v>7.3207668144377046E-4</v>
      </c>
      <c r="E10" s="29" t="s">
        <v>48</v>
      </c>
      <c r="F10" s="29"/>
      <c r="G10" s="92">
        <f>SUMPRODUCT(F4:F8,G4:G8)</f>
        <v>2.7383684757963381E-2</v>
      </c>
      <c r="J10" s="96">
        <f t="shared" ref="J10:J13" si="4">J5*3</f>
        <v>9</v>
      </c>
      <c r="K10" s="96">
        <f t="shared" ref="K10:K13" si="5">C21</f>
        <v>5.7396972885046145E-3</v>
      </c>
      <c r="L10" s="96">
        <f t="shared" si="0"/>
        <v>81</v>
      </c>
    </row>
    <row r="11" spans="1:15" x14ac:dyDescent="0.3">
      <c r="A11" s="95">
        <v>7</v>
      </c>
      <c r="B11" s="102">
        <v>1000</v>
      </c>
      <c r="C11" s="95">
        <f t="shared" si="1"/>
        <v>2.4402556048125704E-5</v>
      </c>
      <c r="E11" s="29" t="s">
        <v>49</v>
      </c>
      <c r="F11" s="29"/>
      <c r="G11" s="92">
        <f>SUM(G4:G7)</f>
        <v>2.4506293198732201E-3</v>
      </c>
      <c r="H11" s="96"/>
      <c r="J11" s="96">
        <f t="shared" si="4"/>
        <v>42</v>
      </c>
      <c r="K11" s="96">
        <f t="shared" si="5"/>
        <v>8.458501267269964E-4</v>
      </c>
      <c r="L11" s="96">
        <f t="shared" si="0"/>
        <v>1764</v>
      </c>
    </row>
    <row r="12" spans="1:15" x14ac:dyDescent="0.3">
      <c r="A12" s="95"/>
      <c r="E12" s="29" t="s">
        <v>50</v>
      </c>
      <c r="F12" s="29"/>
      <c r="G12" s="90">
        <f>ROUND(1/G11,1)</f>
        <v>408.1</v>
      </c>
      <c r="J12" s="96">
        <f t="shared" si="4"/>
        <v>810</v>
      </c>
      <c r="K12" s="96">
        <f t="shared" si="5"/>
        <v>6.3195699123281328E-5</v>
      </c>
      <c r="L12" s="96">
        <f t="shared" si="0"/>
        <v>656100</v>
      </c>
    </row>
    <row r="13" spans="1:15" x14ac:dyDescent="0.3">
      <c r="A13" s="29" t="s">
        <v>48</v>
      </c>
      <c r="B13" s="29"/>
      <c r="C13" s="46">
        <f>SUMPRODUCT(B7:B11,C7:C11)</f>
        <v>0.67456846950517857</v>
      </c>
      <c r="J13" s="96">
        <f t="shared" si="4"/>
        <v>3000</v>
      </c>
      <c r="K13" s="96">
        <f t="shared" si="5"/>
        <v>1.8361946476498207E-6</v>
      </c>
      <c r="L13" s="96">
        <f t="shared" si="0"/>
        <v>9000000</v>
      </c>
    </row>
    <row r="14" spans="1:15" x14ac:dyDescent="0.3">
      <c r="A14" s="29" t="s">
        <v>49</v>
      </c>
      <c r="B14" s="29"/>
      <c r="C14" s="46">
        <f>SUM(C7:C11)</f>
        <v>0.2365791922753947</v>
      </c>
      <c r="E14" s="40" t="s">
        <v>63</v>
      </c>
      <c r="F14" s="40"/>
      <c r="H14" s="46">
        <f>C26+G10</f>
        <v>0.16616014528005296</v>
      </c>
      <c r="J14" s="65">
        <f>J4*6</f>
        <v>6</v>
      </c>
      <c r="K14" s="90">
        <f>G4</f>
        <v>1.9132324295015361E-3</v>
      </c>
      <c r="L14" s="96">
        <f t="shared" si="0"/>
        <v>36</v>
      </c>
    </row>
    <row r="15" spans="1:15" x14ac:dyDescent="0.3">
      <c r="A15" s="29" t="s">
        <v>50</v>
      </c>
      <c r="B15" s="29"/>
      <c r="C15" s="31">
        <f>ROUND(1/C14,1)</f>
        <v>4.2</v>
      </c>
      <c r="E15" s="51" t="s">
        <v>64</v>
      </c>
      <c r="F15" s="51"/>
      <c r="H15" s="46">
        <f>C27+G11</f>
        <v>3.0529411839292978E-2</v>
      </c>
      <c r="J15" s="65">
        <f t="shared" ref="J15:J19" si="6">J5*6</f>
        <v>18</v>
      </c>
      <c r="K15" s="96">
        <f t="shared" ref="K15:K18" si="7">G5</f>
        <v>4.6991673707055316E-4</v>
      </c>
      <c r="L15" s="96">
        <f t="shared" si="0"/>
        <v>324</v>
      </c>
    </row>
    <row r="16" spans="1:15" x14ac:dyDescent="0.3">
      <c r="E16" s="51" t="s">
        <v>65</v>
      </c>
      <c r="F16" s="51"/>
      <c r="H16" s="31">
        <f>ROUND(1/H15,1)</f>
        <v>32.799999999999997</v>
      </c>
      <c r="J16" s="65">
        <f t="shared" si="6"/>
        <v>84</v>
      </c>
      <c r="K16" s="96">
        <f t="shared" si="7"/>
        <v>6.3195699123281355E-5</v>
      </c>
      <c r="L16" s="96">
        <f>J16*J16</f>
        <v>7056</v>
      </c>
    </row>
    <row r="17" spans="1:12" x14ac:dyDescent="0.3">
      <c r="A17" s="28" t="s">
        <v>51</v>
      </c>
      <c r="B17" s="28"/>
      <c r="J17" s="65">
        <f t="shared" si="6"/>
        <v>1620</v>
      </c>
      <c r="K17" s="96">
        <f t="shared" si="7"/>
        <v>4.2844541778495761E-6</v>
      </c>
      <c r="L17" s="96">
        <f t="shared" si="0"/>
        <v>2624400</v>
      </c>
    </row>
    <row r="18" spans="1:12" x14ac:dyDescent="0.3">
      <c r="A18" s="90" t="s">
        <v>52</v>
      </c>
      <c r="B18" s="90">
        <v>2</v>
      </c>
      <c r="E18" s="40" t="s">
        <v>66</v>
      </c>
      <c r="F18" s="40"/>
      <c r="H18" s="46">
        <f>C13+H14</f>
        <v>0.84072861478523153</v>
      </c>
      <c r="J18" s="65">
        <f t="shared" si="6"/>
        <v>6000</v>
      </c>
      <c r="K18" s="96">
        <f t="shared" si="7"/>
        <v>1.1221189513415582E-7</v>
      </c>
      <c r="L18" s="96">
        <f t="shared" si="0"/>
        <v>36000000</v>
      </c>
    </row>
    <row r="19" spans="1:12" x14ac:dyDescent="0.3">
      <c r="A19" s="90" t="s">
        <v>9</v>
      </c>
      <c r="B19" s="90" t="s">
        <v>46</v>
      </c>
      <c r="C19" s="90" t="s">
        <v>47</v>
      </c>
      <c r="J19" s="65"/>
      <c r="K19" s="90">
        <f>SUM(K3:K18)</f>
        <v>0.99999999999999989</v>
      </c>
      <c r="L19" s="96"/>
    </row>
    <row r="20" spans="1:12" x14ac:dyDescent="0.3">
      <c r="A20" s="90">
        <v>3</v>
      </c>
      <c r="B20" s="90">
        <f>B7*2</f>
        <v>2</v>
      </c>
      <c r="C20" s="90">
        <f>_xlfn.HYPGEOM.DIST(2,20-A20,3,80-$A$1,0)*C7</f>
        <v>2.1428203210417215E-2</v>
      </c>
    </row>
    <row r="21" spans="1:12" x14ac:dyDescent="0.3">
      <c r="A21" s="90">
        <v>4</v>
      </c>
      <c r="B21" s="90">
        <f>B8*2</f>
        <v>6</v>
      </c>
      <c r="C21" s="90">
        <f>_xlfn.HYPGEOM.DIST(2,20-A21,3,80-$A$1,0)*C8</f>
        <v>5.7396972885046145E-3</v>
      </c>
    </row>
    <row r="22" spans="1:12" x14ac:dyDescent="0.3">
      <c r="A22" s="90">
        <v>5</v>
      </c>
      <c r="B22" s="90">
        <f>B9*2</f>
        <v>28</v>
      </c>
      <c r="C22" s="90">
        <f>_xlfn.HYPGEOM.DIST(2,20-A22,3,80-$A$1,0)*C9</f>
        <v>8.458501267269964E-4</v>
      </c>
    </row>
    <row r="23" spans="1:12" x14ac:dyDescent="0.3">
      <c r="A23" s="90">
        <v>6</v>
      </c>
      <c r="B23" s="90">
        <f>B10*2</f>
        <v>540</v>
      </c>
      <c r="C23" s="90">
        <f>_xlfn.HYPGEOM.DIST(2,20-A23,3,80-$A$1,0)*C10</f>
        <v>6.3195699123281328E-5</v>
      </c>
    </row>
    <row r="24" spans="1:12" x14ac:dyDescent="0.3">
      <c r="A24" s="96">
        <v>7</v>
      </c>
      <c r="B24" s="96">
        <f>B11*2</f>
        <v>2000</v>
      </c>
      <c r="C24" s="96">
        <f>_xlfn.HYPGEOM.DIST(2,20-A24,3,80-$A$1,0)*C11</f>
        <v>1.8361946476498207E-6</v>
      </c>
    </row>
    <row r="26" spans="1:12" x14ac:dyDescent="0.3">
      <c r="A26" s="29" t="s">
        <v>48</v>
      </c>
      <c r="B26" s="29"/>
      <c r="C26" s="92">
        <f>SUMPRODUCT(B20:B24,C20:C24)</f>
        <v>0.13877646052208958</v>
      </c>
    </row>
    <row r="27" spans="1:12" x14ac:dyDescent="0.3">
      <c r="A27" s="29" t="s">
        <v>49</v>
      </c>
      <c r="B27" s="29"/>
      <c r="C27" s="92">
        <f>SUM(C20:C24)</f>
        <v>2.8078782519419757E-2</v>
      </c>
    </row>
    <row r="28" spans="1:12" x14ac:dyDescent="0.3">
      <c r="A28" s="29" t="s">
        <v>50</v>
      </c>
      <c r="B28" s="29"/>
      <c r="C28" s="90">
        <f>ROUND(1/C27,1)</f>
        <v>35.6</v>
      </c>
    </row>
  </sheetData>
  <mergeCells count="11">
    <mergeCell ref="A15:B15"/>
    <mergeCell ref="A17:B17"/>
    <mergeCell ref="A26:B26"/>
    <mergeCell ref="A27:B27"/>
    <mergeCell ref="A28:B28"/>
    <mergeCell ref="E1:F1"/>
    <mergeCell ref="E10:F10"/>
    <mergeCell ref="E11:F11"/>
    <mergeCell ref="E12:F12"/>
    <mergeCell ref="A13:B13"/>
    <mergeCell ref="A14:B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230F-2801-499C-BD78-66852E2AAF90}">
  <dimension ref="A1:O30"/>
  <sheetViews>
    <sheetView workbookViewId="0">
      <selection activeCell="O9" sqref="O9"/>
    </sheetView>
  </sheetViews>
  <sheetFormatPr defaultRowHeight="14.4" x14ac:dyDescent="0.3"/>
  <cols>
    <col min="1" max="10" width="8.88671875" style="96"/>
    <col min="11" max="11" width="12" style="96" bestFit="1" customWidth="1"/>
    <col min="12" max="16384" width="8.88671875" style="96"/>
  </cols>
  <sheetData>
    <row r="1" spans="1:15" x14ac:dyDescent="0.3">
      <c r="A1" s="47">
        <v>8</v>
      </c>
      <c r="E1" s="28" t="s">
        <v>53</v>
      </c>
      <c r="F1" s="28"/>
    </row>
    <row r="2" spans="1:15" x14ac:dyDescent="0.3">
      <c r="E2" s="96" t="s">
        <v>52</v>
      </c>
      <c r="F2" s="96">
        <v>5</v>
      </c>
      <c r="J2" s="100" t="s">
        <v>67</v>
      </c>
      <c r="K2" s="100" t="s">
        <v>68</v>
      </c>
      <c r="L2" s="101" t="s">
        <v>69</v>
      </c>
      <c r="N2" s="96" t="s">
        <v>71</v>
      </c>
      <c r="O2" s="96">
        <f>SUMPRODUCT(J3:J21,K3:K21)</f>
        <v>0.83882131640455526</v>
      </c>
    </row>
    <row r="3" spans="1:15" x14ac:dyDescent="0.3">
      <c r="A3" s="96" t="s">
        <v>9</v>
      </c>
      <c r="B3" s="96" t="s">
        <v>46</v>
      </c>
      <c r="C3" s="96" t="s">
        <v>47</v>
      </c>
      <c r="E3" s="96" t="s">
        <v>9</v>
      </c>
      <c r="F3" s="96" t="s">
        <v>46</v>
      </c>
      <c r="G3" s="96" t="s">
        <v>47</v>
      </c>
      <c r="J3" s="104">
        <v>0</v>
      </c>
      <c r="K3" s="96">
        <f>SUM(C4,C5,C6)</f>
        <v>0.68287597330427219</v>
      </c>
      <c r="L3" s="96">
        <f>J3*J3</f>
        <v>0</v>
      </c>
    </row>
    <row r="4" spans="1:15" x14ac:dyDescent="0.3">
      <c r="A4" s="96">
        <v>0</v>
      </c>
      <c r="B4" s="104">
        <v>0</v>
      </c>
      <c r="C4" s="96">
        <f>_xlfn.HYPGEOM.DIST(A4,$A$1,20,80,0)</f>
        <v>8.8266237720026508E-2</v>
      </c>
      <c r="E4" s="96">
        <v>3</v>
      </c>
      <c r="F4" s="96">
        <f>B7*5</f>
        <v>5</v>
      </c>
      <c r="G4" s="96">
        <f>_xlfn.HYPGEOM.DIST(3,20-E4,3,80-$A$1,0)*C7</f>
        <v>2.44893750976197E-3</v>
      </c>
      <c r="J4" s="104">
        <v>1</v>
      </c>
      <c r="K4" s="96">
        <f>C7-C21-G4</f>
        <v>0.18539897500374444</v>
      </c>
      <c r="L4" s="104">
        <f t="shared" ref="L4:L21" si="0">J4*J4</f>
        <v>1</v>
      </c>
      <c r="N4" s="96" t="s">
        <v>72</v>
      </c>
      <c r="O4" s="96">
        <f>SUMPRODUCT(K3:K21,L3:L21)</f>
        <v>41.891962703776422</v>
      </c>
    </row>
    <row r="5" spans="1:15" x14ac:dyDescent="0.3">
      <c r="A5" s="96">
        <v>1</v>
      </c>
      <c r="B5" s="104">
        <v>0</v>
      </c>
      <c r="C5" s="96">
        <f t="shared" ref="C5:C12" si="1">_xlfn.HYPGEOM.DIST(A5,$A$1,20,80,0)</f>
        <v>0.26646411387177815</v>
      </c>
      <c r="E5" s="96">
        <v>4</v>
      </c>
      <c r="F5" s="96">
        <f t="shared" ref="F5:F9" si="2">B8*5</f>
        <v>10</v>
      </c>
      <c r="G5" s="96">
        <f t="shared" ref="G5:G9" si="3">_xlfn.HYPGEOM.DIST(3,20-E5,3,80-$A$1,0)*C8</f>
        <v>7.652929718006149E-4</v>
      </c>
      <c r="J5" s="104">
        <v>2</v>
      </c>
      <c r="K5" s="96">
        <f>C8-C22-G5</f>
        <v>7.1554892863357505E-2</v>
      </c>
      <c r="L5" s="104">
        <f t="shared" si="0"/>
        <v>4</v>
      </c>
    </row>
    <row r="6" spans="1:15" x14ac:dyDescent="0.3">
      <c r="A6" s="96">
        <v>2</v>
      </c>
      <c r="B6" s="104">
        <v>0</v>
      </c>
      <c r="C6" s="96">
        <f t="shared" si="1"/>
        <v>0.32814562171246758</v>
      </c>
      <c r="E6" s="96">
        <v>5</v>
      </c>
      <c r="F6" s="96">
        <f t="shared" si="2"/>
        <v>25</v>
      </c>
      <c r="G6" s="96">
        <f t="shared" si="3"/>
        <v>1.3963240187239297E-4</v>
      </c>
      <c r="J6" s="104">
        <v>5</v>
      </c>
      <c r="K6" s="96">
        <f>C9-C23-G6</f>
        <v>1.6326250065079789E-2</v>
      </c>
      <c r="L6" s="104">
        <f t="shared" si="0"/>
        <v>25</v>
      </c>
      <c r="N6" s="96" t="s">
        <v>73</v>
      </c>
      <c r="O6" s="96">
        <f>O4-(O2*O2)</f>
        <v>41.188341502921752</v>
      </c>
    </row>
    <row r="7" spans="1:15" x14ac:dyDescent="0.3">
      <c r="A7" s="96">
        <v>3</v>
      </c>
      <c r="B7" s="104">
        <v>1</v>
      </c>
      <c r="C7" s="96">
        <f t="shared" si="1"/>
        <v>0.2147862251208881</v>
      </c>
      <c r="E7" s="96">
        <v>6</v>
      </c>
      <c r="F7" s="96">
        <f t="shared" si="2"/>
        <v>340</v>
      </c>
      <c r="G7" s="96">
        <f t="shared" si="3"/>
        <v>1.4444731228178591E-5</v>
      </c>
      <c r="J7" s="104">
        <v>68</v>
      </c>
      <c r="K7" s="96">
        <f>C10-C24-G7</f>
        <v>2.1428203210417233E-3</v>
      </c>
      <c r="L7" s="104">
        <f t="shared" si="0"/>
        <v>4624</v>
      </c>
      <c r="N7" s="96" t="s">
        <v>74</v>
      </c>
      <c r="O7" s="96">
        <f>SQRT(O6)</f>
        <v>6.4178143867614112</v>
      </c>
    </row>
    <row r="8" spans="1:15" x14ac:dyDescent="0.3">
      <c r="A8" s="96">
        <v>4</v>
      </c>
      <c r="B8" s="104">
        <v>2</v>
      </c>
      <c r="C8" s="96">
        <f t="shared" si="1"/>
        <v>8.1503701496765502E-2</v>
      </c>
      <c r="E8" s="96">
        <v>7</v>
      </c>
      <c r="F8" s="96">
        <f t="shared" si="2"/>
        <v>1000</v>
      </c>
      <c r="G8" s="96">
        <f t="shared" si="3"/>
        <v>7.6945299520563944E-7</v>
      </c>
      <c r="J8" s="104">
        <v>200</v>
      </c>
      <c r="K8" s="96">
        <f>C11-C25-G8</f>
        <v>1.4730451186538163E-4</v>
      </c>
      <c r="L8" s="104">
        <f t="shared" si="0"/>
        <v>40000</v>
      </c>
    </row>
    <row r="9" spans="1:15" x14ac:dyDescent="0.3">
      <c r="A9" s="96">
        <v>5</v>
      </c>
      <c r="B9" s="104">
        <v>5</v>
      </c>
      <c r="C9" s="96">
        <f t="shared" si="1"/>
        <v>1.8302585599273662E-2</v>
      </c>
      <c r="E9" s="96">
        <v>8</v>
      </c>
      <c r="F9" s="104">
        <f t="shared" si="2"/>
        <v>5000</v>
      </c>
      <c r="G9" s="104">
        <f t="shared" si="3"/>
        <v>1.6030270733450807E-8</v>
      </c>
      <c r="J9" s="104">
        <v>1000</v>
      </c>
      <c r="K9" s="96">
        <f>C12-C26-G9</f>
        <v>4.0410855221690042E-6</v>
      </c>
      <c r="L9" s="104">
        <f t="shared" si="0"/>
        <v>1000000</v>
      </c>
      <c r="N9" s="97" t="s">
        <v>43</v>
      </c>
      <c r="O9" s="31">
        <f>O7*_xlfn.NORM.S.INV(0.975)</f>
        <v>12.578685057515376</v>
      </c>
    </row>
    <row r="10" spans="1:15" x14ac:dyDescent="0.3">
      <c r="A10" s="96">
        <v>6</v>
      </c>
      <c r="B10" s="104">
        <v>68</v>
      </c>
      <c r="C10" s="96">
        <f t="shared" si="1"/>
        <v>2.3667136550784913E-3</v>
      </c>
      <c r="J10" s="96">
        <f>J4*3</f>
        <v>3</v>
      </c>
      <c r="K10" s="96">
        <f>C21</f>
        <v>2.6938312607381693E-2</v>
      </c>
      <c r="L10" s="104">
        <f t="shared" si="0"/>
        <v>9</v>
      </c>
    </row>
    <row r="11" spans="1:15" x14ac:dyDescent="0.3">
      <c r="A11" s="96">
        <v>7</v>
      </c>
      <c r="B11" s="104">
        <v>200</v>
      </c>
      <c r="C11" s="96">
        <f t="shared" si="1"/>
        <v>1.6045516305616893E-4</v>
      </c>
      <c r="E11" s="29" t="s">
        <v>48</v>
      </c>
      <c r="F11" s="29"/>
      <c r="G11" s="98">
        <f>SUMPRODUCT(F4:F9,G4:G9)</f>
        <v>2.9149240280079442E-2</v>
      </c>
      <c r="J11" s="104">
        <f t="shared" ref="J11:J15" si="4">J5*3</f>
        <v>6</v>
      </c>
      <c r="K11" s="104">
        <f t="shared" ref="K11:K15" si="5">C22</f>
        <v>9.1835156616073832E-3</v>
      </c>
      <c r="L11" s="104">
        <f t="shared" si="0"/>
        <v>36</v>
      </c>
    </row>
    <row r="12" spans="1:15" x14ac:dyDescent="0.3">
      <c r="A12" s="96">
        <v>8</v>
      </c>
      <c r="B12" s="104">
        <v>1000</v>
      </c>
      <c r="C12" s="96">
        <f t="shared" si="1"/>
        <v>4.3456606661045696E-6</v>
      </c>
      <c r="E12" s="29" t="s">
        <v>49</v>
      </c>
      <c r="F12" s="29"/>
      <c r="G12" s="98">
        <f>SUM(G4:G9)</f>
        <v>3.3690930979290955E-3</v>
      </c>
      <c r="J12" s="104">
        <f t="shared" si="4"/>
        <v>15</v>
      </c>
      <c r="K12" s="104">
        <f t="shared" si="5"/>
        <v>1.8367031323214781E-3</v>
      </c>
      <c r="L12" s="104">
        <f t="shared" si="0"/>
        <v>225</v>
      </c>
    </row>
    <row r="13" spans="1:15" x14ac:dyDescent="0.3">
      <c r="E13" s="29" t="s">
        <v>50</v>
      </c>
      <c r="F13" s="29"/>
      <c r="G13" s="96">
        <f>ROUND(1/G12,1)</f>
        <v>296.8</v>
      </c>
      <c r="J13" s="104">
        <f t="shared" si="4"/>
        <v>204</v>
      </c>
      <c r="K13" s="104">
        <f t="shared" si="5"/>
        <v>2.0944860280858955E-4</v>
      </c>
      <c r="L13" s="104">
        <f t="shared" si="0"/>
        <v>41616</v>
      </c>
    </row>
    <row r="14" spans="1:15" x14ac:dyDescent="0.3">
      <c r="A14" s="29" t="s">
        <v>48</v>
      </c>
      <c r="B14" s="29"/>
      <c r="C14" s="46">
        <f>SUMPRODUCT(B7:B12,C7:C12)</f>
        <v>0.66667977793346322</v>
      </c>
      <c r="J14" s="104">
        <f t="shared" si="4"/>
        <v>600</v>
      </c>
      <c r="K14" s="104">
        <f t="shared" si="5"/>
        <v>1.2381198195581658E-5</v>
      </c>
      <c r="L14" s="104">
        <f t="shared" si="0"/>
        <v>360000</v>
      </c>
    </row>
    <row r="15" spans="1:15" x14ac:dyDescent="0.3">
      <c r="A15" s="29" t="s">
        <v>49</v>
      </c>
      <c r="B15" s="29"/>
      <c r="C15" s="46">
        <f>SUM(C7:C12)</f>
        <v>0.31712402669572809</v>
      </c>
      <c r="E15" s="40" t="s">
        <v>63</v>
      </c>
      <c r="F15" s="40"/>
      <c r="H15" s="46">
        <f>C28+G11</f>
        <v>0.1721415384710922</v>
      </c>
      <c r="J15" s="104">
        <f t="shared" si="4"/>
        <v>3000</v>
      </c>
      <c r="K15" s="104">
        <f t="shared" si="5"/>
        <v>2.8854487320211414E-7</v>
      </c>
      <c r="L15" s="104">
        <f t="shared" si="0"/>
        <v>9000000</v>
      </c>
    </row>
    <row r="16" spans="1:15" x14ac:dyDescent="0.3">
      <c r="A16" s="29" t="s">
        <v>50</v>
      </c>
      <c r="B16" s="29"/>
      <c r="C16" s="31">
        <f>ROUND(1/C15,1)</f>
        <v>3.2</v>
      </c>
      <c r="E16" s="51" t="s">
        <v>64</v>
      </c>
      <c r="F16" s="51"/>
      <c r="H16" s="46">
        <f>C29+G12</f>
        <v>4.1549742845117019E-2</v>
      </c>
      <c r="J16" s="65">
        <f>J4*6</f>
        <v>6</v>
      </c>
      <c r="K16" s="96">
        <f>G4</f>
        <v>2.44893750976197E-3</v>
      </c>
      <c r="L16" s="104">
        <f t="shared" si="0"/>
        <v>36</v>
      </c>
    </row>
    <row r="17" spans="1:12" x14ac:dyDescent="0.3">
      <c r="E17" s="51" t="s">
        <v>65</v>
      </c>
      <c r="F17" s="51"/>
      <c r="H17" s="31">
        <f>ROUND(1/H16,1)</f>
        <v>24.1</v>
      </c>
      <c r="J17" s="65">
        <f t="shared" ref="J17:J21" si="6">J5*6</f>
        <v>12</v>
      </c>
      <c r="K17" s="104">
        <f t="shared" ref="K17:K21" si="7">G5</f>
        <v>7.652929718006149E-4</v>
      </c>
      <c r="L17" s="104">
        <f t="shared" si="0"/>
        <v>144</v>
      </c>
    </row>
    <row r="18" spans="1:12" x14ac:dyDescent="0.3">
      <c r="A18" s="28" t="s">
        <v>51</v>
      </c>
      <c r="B18" s="28"/>
      <c r="J18" s="65">
        <f t="shared" si="6"/>
        <v>30</v>
      </c>
      <c r="K18" s="104">
        <f t="shared" si="7"/>
        <v>1.3963240187239297E-4</v>
      </c>
      <c r="L18" s="104">
        <f t="shared" si="0"/>
        <v>900</v>
      </c>
    </row>
    <row r="19" spans="1:12" x14ac:dyDescent="0.3">
      <c r="A19" s="96" t="s">
        <v>52</v>
      </c>
      <c r="B19" s="96">
        <v>2</v>
      </c>
      <c r="E19" s="40" t="s">
        <v>66</v>
      </c>
      <c r="F19" s="40"/>
      <c r="H19" s="46">
        <f>C14+H15</f>
        <v>0.83882131640455548</v>
      </c>
      <c r="J19" s="65">
        <f t="shared" si="6"/>
        <v>408</v>
      </c>
      <c r="K19" s="104">
        <f t="shared" si="7"/>
        <v>1.4444731228178591E-5</v>
      </c>
      <c r="L19" s="104">
        <f t="shared" si="0"/>
        <v>166464</v>
      </c>
    </row>
    <row r="20" spans="1:12" x14ac:dyDescent="0.3">
      <c r="A20" s="96" t="s">
        <v>9</v>
      </c>
      <c r="B20" s="96" t="s">
        <v>46</v>
      </c>
      <c r="C20" s="96" t="s">
        <v>47</v>
      </c>
      <c r="J20" s="65">
        <f t="shared" si="6"/>
        <v>1200</v>
      </c>
      <c r="K20" s="104">
        <f t="shared" si="7"/>
        <v>7.6945299520563944E-7</v>
      </c>
      <c r="L20" s="104">
        <f t="shared" si="0"/>
        <v>1440000</v>
      </c>
    </row>
    <row r="21" spans="1:12" x14ac:dyDescent="0.3">
      <c r="A21" s="96">
        <v>3</v>
      </c>
      <c r="B21" s="96">
        <f>B7*2</f>
        <v>2</v>
      </c>
      <c r="C21" s="96">
        <f>_xlfn.HYPGEOM.DIST(2,20-A21,3,80-$A$1,0)*C7</f>
        <v>2.6938312607381693E-2</v>
      </c>
      <c r="J21" s="65">
        <f t="shared" si="6"/>
        <v>6000</v>
      </c>
      <c r="K21" s="104">
        <f t="shared" si="7"/>
        <v>1.6030270733450807E-8</v>
      </c>
      <c r="L21" s="104">
        <f t="shared" si="0"/>
        <v>36000000</v>
      </c>
    </row>
    <row r="22" spans="1:12" x14ac:dyDescent="0.3">
      <c r="A22" s="96">
        <v>4</v>
      </c>
      <c r="B22" s="96">
        <f>B8*2</f>
        <v>4</v>
      </c>
      <c r="C22" s="96">
        <f>_xlfn.HYPGEOM.DIST(2,20-A22,3,80-$A$1,0)*C8</f>
        <v>9.1835156616073832E-3</v>
      </c>
      <c r="K22" s="96">
        <f>SUM(K3:K21)</f>
        <v>1.0000000000000002</v>
      </c>
    </row>
    <row r="23" spans="1:12" x14ac:dyDescent="0.3">
      <c r="A23" s="96">
        <v>5</v>
      </c>
      <c r="B23" s="96">
        <f>B9*2</f>
        <v>10</v>
      </c>
      <c r="C23" s="96">
        <f>_xlfn.HYPGEOM.DIST(2,20-A23,3,80-$A$1,0)*C9</f>
        <v>1.8367031323214781E-3</v>
      </c>
    </row>
    <row r="24" spans="1:12" x14ac:dyDescent="0.3">
      <c r="A24" s="96">
        <v>6</v>
      </c>
      <c r="B24" s="96">
        <f>B10*2</f>
        <v>136</v>
      </c>
      <c r="C24" s="96">
        <f>_xlfn.HYPGEOM.DIST(2,20-A24,3,80-$A$1,0)*C10</f>
        <v>2.0944860280858955E-4</v>
      </c>
    </row>
    <row r="25" spans="1:12" x14ac:dyDescent="0.3">
      <c r="A25" s="96">
        <v>7</v>
      </c>
      <c r="B25" s="96">
        <f>B11*2</f>
        <v>400</v>
      </c>
      <c r="C25" s="96">
        <f>_xlfn.HYPGEOM.DIST(2,20-A25,3,80-$A$1,0)*C11</f>
        <v>1.2381198195581658E-5</v>
      </c>
    </row>
    <row r="26" spans="1:12" x14ac:dyDescent="0.3">
      <c r="A26" s="96">
        <v>8</v>
      </c>
      <c r="B26" s="104">
        <f>B12*2</f>
        <v>2000</v>
      </c>
      <c r="C26" s="104">
        <f>_xlfn.HYPGEOM.DIST(2,20-A26,3,80-$A$1,0)*C12</f>
        <v>2.8854487320211414E-7</v>
      </c>
    </row>
    <row r="28" spans="1:12" x14ac:dyDescent="0.3">
      <c r="A28" s="29" t="s">
        <v>48</v>
      </c>
      <c r="B28" s="29"/>
      <c r="C28" s="98">
        <f>SUMPRODUCT(B21:B26,C21:C26)</f>
        <v>0.14299229819101275</v>
      </c>
    </row>
    <row r="29" spans="1:12" x14ac:dyDescent="0.3">
      <c r="A29" s="29" t="s">
        <v>49</v>
      </c>
      <c r="B29" s="29"/>
      <c r="C29" s="98">
        <f>SUM(C21:C26)</f>
        <v>3.8180649747187927E-2</v>
      </c>
    </row>
    <row r="30" spans="1:12" x14ac:dyDescent="0.3">
      <c r="A30" s="29" t="s">
        <v>50</v>
      </c>
      <c r="B30" s="29"/>
      <c r="C30" s="96">
        <f>ROUND(1/C29,1)</f>
        <v>26.2</v>
      </c>
    </row>
  </sheetData>
  <mergeCells count="11">
    <mergeCell ref="A16:B16"/>
    <mergeCell ref="A18:B18"/>
    <mergeCell ref="A28:B28"/>
    <mergeCell ref="A29:B29"/>
    <mergeCell ref="A30:B30"/>
    <mergeCell ref="E1:F1"/>
    <mergeCell ref="E11:F11"/>
    <mergeCell ref="E12:F12"/>
    <mergeCell ref="E13:F13"/>
    <mergeCell ref="A14:B14"/>
    <mergeCell ref="A15:B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B956-06BB-45BB-A533-355BE0277CC3}">
  <dimension ref="A1:O31"/>
  <sheetViews>
    <sheetView workbookViewId="0">
      <selection activeCell="O9" sqref="O9"/>
    </sheetView>
  </sheetViews>
  <sheetFormatPr defaultRowHeight="14.4" x14ac:dyDescent="0.3"/>
  <cols>
    <col min="1" max="10" width="8.88671875" style="104"/>
    <col min="11" max="11" width="12" style="104" bestFit="1" customWidth="1"/>
    <col min="12" max="16384" width="8.88671875" style="104"/>
  </cols>
  <sheetData>
    <row r="1" spans="1:15" x14ac:dyDescent="0.3">
      <c r="A1" s="47">
        <v>9</v>
      </c>
      <c r="E1" s="28" t="s">
        <v>53</v>
      </c>
      <c r="F1" s="28"/>
    </row>
    <row r="2" spans="1:15" x14ac:dyDescent="0.3">
      <c r="E2" s="104" t="s">
        <v>52</v>
      </c>
      <c r="F2" s="104">
        <v>5</v>
      </c>
      <c r="J2" s="107" t="s">
        <v>67</v>
      </c>
      <c r="K2" s="107" t="s">
        <v>68</v>
      </c>
      <c r="L2" s="108" t="s">
        <v>69</v>
      </c>
      <c r="N2" s="104" t="s">
        <v>71</v>
      </c>
      <c r="O2" s="104">
        <f>SUMPRODUCT(J3:J21,K3:K21)</f>
        <v>0.84384902846985932</v>
      </c>
    </row>
    <row r="3" spans="1:15" x14ac:dyDescent="0.3">
      <c r="A3" s="104" t="s">
        <v>9</v>
      </c>
      <c r="B3" s="104" t="s">
        <v>46</v>
      </c>
      <c r="C3" s="104" t="s">
        <v>47</v>
      </c>
      <c r="E3" s="104" t="s">
        <v>9</v>
      </c>
      <c r="F3" s="104" t="s">
        <v>46</v>
      </c>
      <c r="G3" s="104" t="s">
        <v>47</v>
      </c>
      <c r="J3" s="109">
        <v>0</v>
      </c>
      <c r="K3" s="104">
        <f>SUM(C4,C5,C6,C7)</f>
        <v>0.84694878416050634</v>
      </c>
      <c r="L3" s="104">
        <f>J3*J3</f>
        <v>0</v>
      </c>
    </row>
    <row r="4" spans="1:15" x14ac:dyDescent="0.3">
      <c r="A4" s="109">
        <v>0</v>
      </c>
      <c r="B4" s="109">
        <v>0</v>
      </c>
      <c r="C4" s="104">
        <f>_xlfn.HYPGEOM.DIST(A4,$A$1,20,80,0)</f>
        <v>6.3747838353352487E-2</v>
      </c>
      <c r="E4" s="104">
        <v>4</v>
      </c>
      <c r="F4" s="104">
        <f>B8*5</f>
        <v>5</v>
      </c>
      <c r="G4" s="104">
        <f>_xlfn.HYPGEOM.DIST(3,20-E4,3,80-$A$1,0)*C8</f>
        <v>1.1179932109782898E-3</v>
      </c>
      <c r="J4" s="109">
        <v>1</v>
      </c>
      <c r="K4" s="109">
        <f>C8-C22-G4</f>
        <v>9.9810840326535019E-2</v>
      </c>
      <c r="L4" s="109">
        <f t="shared" ref="L4:L21" si="0">J4*J4</f>
        <v>1</v>
      </c>
      <c r="N4" s="104" t="s">
        <v>72</v>
      </c>
      <c r="O4" s="104">
        <f>SUMPRODUCT(K3:K21,L3:L21)</f>
        <v>62.129977235388836</v>
      </c>
    </row>
    <row r="5" spans="1:15" x14ac:dyDescent="0.3">
      <c r="A5" s="109">
        <v>1</v>
      </c>
      <c r="B5" s="109">
        <v>0</v>
      </c>
      <c r="C5" s="109">
        <f t="shared" ref="C5:C13" si="1">_xlfn.HYPGEOM.DIST(A5,$A$1,20,80,0)</f>
        <v>0.22066559430006646</v>
      </c>
      <c r="E5" s="104">
        <v>5</v>
      </c>
      <c r="F5" s="104">
        <f>B9*5</f>
        <v>30</v>
      </c>
      <c r="G5" s="104">
        <f>_xlfn.HYPGEOM.DIST(3,20-E5,3,80-$A$1,0)*C9</f>
        <v>2.5953413826281733E-4</v>
      </c>
      <c r="J5" s="109">
        <v>6</v>
      </c>
      <c r="K5" s="109">
        <f>C9-C23-G5</f>
        <v>2.8987966827508524E-2</v>
      </c>
      <c r="L5" s="109">
        <f t="shared" si="0"/>
        <v>36</v>
      </c>
    </row>
    <row r="6" spans="1:15" x14ac:dyDescent="0.3">
      <c r="A6" s="109">
        <v>2</v>
      </c>
      <c r="B6" s="109">
        <v>0</v>
      </c>
      <c r="C6" s="109">
        <f t="shared" si="1"/>
        <v>0.31642613522273666</v>
      </c>
      <c r="E6" s="104">
        <v>6</v>
      </c>
      <c r="F6" s="104">
        <f>B10*5</f>
        <v>250</v>
      </c>
      <c r="G6" s="104">
        <f>_xlfn.HYPGEOM.DIST(3,20-E6,3,80-$A$1,0)*C10</f>
        <v>3.6425843966711192E-5</v>
      </c>
      <c r="J6" s="109">
        <v>50</v>
      </c>
      <c r="K6" s="109">
        <f>C10-C24-G6</f>
        <v>5.1640638792806752E-3</v>
      </c>
      <c r="L6" s="109">
        <f t="shared" si="0"/>
        <v>2500</v>
      </c>
      <c r="N6" s="104" t="s">
        <v>73</v>
      </c>
      <c r="O6" s="104">
        <f>O4-(O2*O2)</f>
        <v>61.417896052539312</v>
      </c>
    </row>
    <row r="7" spans="1:15" x14ac:dyDescent="0.3">
      <c r="A7" s="109">
        <v>3</v>
      </c>
      <c r="B7" s="109">
        <v>0</v>
      </c>
      <c r="C7" s="109">
        <f t="shared" si="1"/>
        <v>0.24610921628435076</v>
      </c>
      <c r="E7" s="104">
        <v>7</v>
      </c>
      <c r="F7" s="104">
        <f>B11*5</f>
        <v>625</v>
      </c>
      <c r="G7" s="104">
        <f>_xlfn.HYPGEOM.DIST(3,20-E7,3,80-$A$1,0)*C11</f>
        <v>2.9607213076390908E-6</v>
      </c>
      <c r="J7" s="109">
        <v>125</v>
      </c>
      <c r="K7" s="109">
        <f>C11-C25-G7</f>
        <v>5.4188446450478388E-4</v>
      </c>
      <c r="L7" s="109">
        <f t="shared" si="0"/>
        <v>15625</v>
      </c>
      <c r="N7" s="104" t="s">
        <v>74</v>
      </c>
      <c r="O7" s="104">
        <f>SQRT(O6)</f>
        <v>7.8369570658859242</v>
      </c>
    </row>
    <row r="8" spans="1:15" x14ac:dyDescent="0.3">
      <c r="A8" s="109">
        <v>4</v>
      </c>
      <c r="B8" s="109">
        <v>1</v>
      </c>
      <c r="C8" s="109">
        <f t="shared" si="1"/>
        <v>0.11410518209547174</v>
      </c>
      <c r="E8" s="104">
        <v>8</v>
      </c>
      <c r="F8" s="104">
        <f>B12*5</f>
        <v>2500</v>
      </c>
      <c r="G8" s="104">
        <f>_xlfn.HYPGEOM.DIST(3,20-E8,3,80-$A$1,0)*C12</f>
        <v>1.2545429269657142E-7</v>
      </c>
      <c r="J8" s="109">
        <v>500</v>
      </c>
      <c r="K8" s="109">
        <f>C12-C26-G8</f>
        <v>3.0246459722358371E-5</v>
      </c>
      <c r="L8" s="109">
        <f t="shared" si="0"/>
        <v>250000</v>
      </c>
    </row>
    <row r="9" spans="1:15" x14ac:dyDescent="0.3">
      <c r="A9" s="109">
        <v>5</v>
      </c>
      <c r="B9" s="109">
        <v>6</v>
      </c>
      <c r="C9" s="109">
        <f t="shared" si="1"/>
        <v>3.2601480598706212E-2</v>
      </c>
      <c r="E9" s="109">
        <v>9</v>
      </c>
      <c r="F9" s="109">
        <f>B13*5</f>
        <v>5000</v>
      </c>
      <c r="G9" s="109">
        <f>_xlfn.HYPGEOM.DIST(3,20-E9,3,80-$A$1,0)*C13</f>
        <v>2.0909048782761934E-9</v>
      </c>
      <c r="J9" s="109">
        <v>1000</v>
      </c>
      <c r="K9" s="109">
        <f>C13-C27-G9</f>
        <v>6.8036777524029517E-7</v>
      </c>
      <c r="L9" s="109">
        <f t="shared" si="0"/>
        <v>1000000</v>
      </c>
      <c r="N9" s="105" t="s">
        <v>43</v>
      </c>
      <c r="O9" s="31">
        <f>O7*_xlfn.NORM.S.INV(0.975)</f>
        <v>15.360153597523103</v>
      </c>
    </row>
    <row r="10" spans="1:15" x14ac:dyDescent="0.3">
      <c r="A10" s="109">
        <v>6</v>
      </c>
      <c r="B10" s="109">
        <v>50</v>
      </c>
      <c r="C10" s="109">
        <f t="shared" si="1"/>
        <v>5.7195579997730214E-3</v>
      </c>
      <c r="H10" s="109"/>
      <c r="J10" s="104">
        <f>J4*3</f>
        <v>3</v>
      </c>
      <c r="K10" s="109">
        <f>C22</f>
        <v>1.317634855795843E-2</v>
      </c>
      <c r="L10" s="109">
        <f t="shared" si="0"/>
        <v>9</v>
      </c>
    </row>
    <row r="11" spans="1:15" x14ac:dyDescent="0.3">
      <c r="A11" s="109">
        <v>7</v>
      </c>
      <c r="B11" s="109">
        <v>125</v>
      </c>
      <c r="C11" s="109">
        <f t="shared" si="1"/>
        <v>5.9167841376962305E-4</v>
      </c>
      <c r="E11" s="29" t="s">
        <v>48</v>
      </c>
      <c r="F11" s="29"/>
      <c r="G11" s="106">
        <f>SUMPRODUCT(F4:F9,G4:G9)</f>
        <v>2.4656992267861007E-2</v>
      </c>
      <c r="J11" s="109">
        <f t="shared" ref="J11:J15" si="2">J5*3</f>
        <v>18</v>
      </c>
      <c r="K11" s="109">
        <f t="shared" ref="K11:K15" si="3">C23</f>
        <v>3.3539796329348725E-3</v>
      </c>
      <c r="L11" s="109">
        <f t="shared" si="0"/>
        <v>324</v>
      </c>
    </row>
    <row r="12" spans="1:15" x14ac:dyDescent="0.3">
      <c r="A12" s="109">
        <v>8</v>
      </c>
      <c r="B12" s="109">
        <v>500</v>
      </c>
      <c r="C12" s="109">
        <f t="shared" si="1"/>
        <v>3.2592454995784256E-5</v>
      </c>
      <c r="E12" s="29" t="s">
        <v>49</v>
      </c>
      <c r="F12" s="29"/>
      <c r="G12" s="106">
        <f>SUM(G4:G9)</f>
        <v>1.4170414597130321E-3</v>
      </c>
      <c r="J12" s="109">
        <f t="shared" si="2"/>
        <v>150</v>
      </c>
      <c r="K12" s="109">
        <f t="shared" si="3"/>
        <v>5.1906827652563477E-4</v>
      </c>
      <c r="L12" s="109">
        <f t="shared" si="0"/>
        <v>22500</v>
      </c>
    </row>
    <row r="13" spans="1:15" x14ac:dyDescent="0.3">
      <c r="A13" s="109">
        <v>9</v>
      </c>
      <c r="B13" s="109">
        <v>1000</v>
      </c>
      <c r="C13" s="109">
        <f t="shared" si="1"/>
        <v>7.2427677768409518E-7</v>
      </c>
      <c r="E13" s="29" t="s">
        <v>50</v>
      </c>
      <c r="F13" s="29"/>
      <c r="G13" s="104">
        <f>ROUND(1/G12,1)</f>
        <v>705.7</v>
      </c>
      <c r="J13" s="109">
        <f t="shared" si="2"/>
        <v>375</v>
      </c>
      <c r="K13" s="109">
        <f t="shared" si="3"/>
        <v>4.6833227957200137E-5</v>
      </c>
      <c r="L13" s="109">
        <f t="shared" si="0"/>
        <v>140625</v>
      </c>
    </row>
    <row r="14" spans="1:15" x14ac:dyDescent="0.3">
      <c r="J14" s="109">
        <f t="shared" si="2"/>
        <v>1500</v>
      </c>
      <c r="K14" s="109">
        <f t="shared" si="3"/>
        <v>2.2205409807293146E-6</v>
      </c>
      <c r="L14" s="109">
        <f t="shared" si="0"/>
        <v>2250000</v>
      </c>
    </row>
    <row r="15" spans="1:15" x14ac:dyDescent="0.3">
      <c r="A15" s="29" t="s">
        <v>48</v>
      </c>
      <c r="B15" s="29"/>
      <c r="C15" s="46">
        <f>SUMPRODUCT(B7:B13,C7:C13)</f>
        <v>0.68667227167313916</v>
      </c>
      <c r="E15" s="40" t="s">
        <v>63</v>
      </c>
      <c r="F15" s="40"/>
      <c r="H15" s="46">
        <f>C29+G11</f>
        <v>0.15717675679672022</v>
      </c>
      <c r="J15" s="109">
        <f t="shared" si="2"/>
        <v>3000</v>
      </c>
      <c r="K15" s="109">
        <f t="shared" si="3"/>
        <v>4.1818097565523803E-8</v>
      </c>
      <c r="L15" s="109">
        <f t="shared" si="0"/>
        <v>9000000</v>
      </c>
    </row>
    <row r="16" spans="1:15" x14ac:dyDescent="0.3">
      <c r="A16" s="29" t="s">
        <v>49</v>
      </c>
      <c r="B16" s="29"/>
      <c r="C16" s="46">
        <f>SUM(C7:C13)</f>
        <v>0.39916043212384478</v>
      </c>
      <c r="E16" s="51" t="s">
        <v>64</v>
      </c>
      <c r="F16" s="51"/>
      <c r="H16" s="46">
        <f>C30+G12</f>
        <v>1.8515533514167463E-2</v>
      </c>
      <c r="J16" s="65">
        <f>J4*6</f>
        <v>6</v>
      </c>
      <c r="K16" s="109">
        <f>G4</f>
        <v>1.1179932109782898E-3</v>
      </c>
      <c r="L16" s="109">
        <f t="shared" si="0"/>
        <v>36</v>
      </c>
    </row>
    <row r="17" spans="1:12" x14ac:dyDescent="0.3">
      <c r="A17" s="29" t="s">
        <v>50</v>
      </c>
      <c r="B17" s="29"/>
      <c r="C17" s="31">
        <f>ROUND(1/C16,1)</f>
        <v>2.5</v>
      </c>
      <c r="E17" s="51" t="s">
        <v>65</v>
      </c>
      <c r="F17" s="51"/>
      <c r="H17" s="31">
        <f>ROUND(1/H16,1)</f>
        <v>54</v>
      </c>
      <c r="J17" s="65">
        <f t="shared" ref="J17:J21" si="4">J5*6</f>
        <v>36</v>
      </c>
      <c r="K17" s="109">
        <f t="shared" ref="K17:K21" si="5">G5</f>
        <v>2.5953413826281733E-4</v>
      </c>
      <c r="L17" s="109">
        <f t="shared" si="0"/>
        <v>1296</v>
      </c>
    </row>
    <row r="18" spans="1:12" x14ac:dyDescent="0.3">
      <c r="J18" s="65">
        <f t="shared" si="4"/>
        <v>300</v>
      </c>
      <c r="K18" s="109">
        <f t="shared" si="5"/>
        <v>3.6425843966711192E-5</v>
      </c>
      <c r="L18" s="109">
        <f t="shared" si="0"/>
        <v>90000</v>
      </c>
    </row>
    <row r="19" spans="1:12" x14ac:dyDescent="0.3">
      <c r="A19" s="28" t="s">
        <v>51</v>
      </c>
      <c r="B19" s="28"/>
      <c r="E19" s="40" t="s">
        <v>66</v>
      </c>
      <c r="F19" s="40"/>
      <c r="H19" s="46">
        <f>C15+H15</f>
        <v>0.84384902846985943</v>
      </c>
      <c r="J19" s="65">
        <f t="shared" si="4"/>
        <v>750</v>
      </c>
      <c r="K19" s="109">
        <f t="shared" si="5"/>
        <v>2.9607213076390908E-6</v>
      </c>
      <c r="L19" s="109">
        <f t="shared" si="0"/>
        <v>562500</v>
      </c>
    </row>
    <row r="20" spans="1:12" x14ac:dyDescent="0.3">
      <c r="A20" s="104" t="s">
        <v>52</v>
      </c>
      <c r="B20" s="104">
        <v>2</v>
      </c>
      <c r="J20" s="65">
        <f t="shared" si="4"/>
        <v>3000</v>
      </c>
      <c r="K20" s="109">
        <f t="shared" si="5"/>
        <v>1.2545429269657142E-7</v>
      </c>
      <c r="L20" s="109">
        <f t="shared" si="0"/>
        <v>9000000</v>
      </c>
    </row>
    <row r="21" spans="1:12" x14ac:dyDescent="0.3">
      <c r="A21" s="104" t="s">
        <v>9</v>
      </c>
      <c r="B21" s="104" t="s">
        <v>46</v>
      </c>
      <c r="C21" s="104" t="s">
        <v>47</v>
      </c>
      <c r="J21" s="65">
        <f t="shared" si="4"/>
        <v>6000</v>
      </c>
      <c r="K21" s="109">
        <f t="shared" si="5"/>
        <v>2.0909048782761934E-9</v>
      </c>
      <c r="L21" s="109">
        <f t="shared" si="0"/>
        <v>36000000</v>
      </c>
    </row>
    <row r="22" spans="1:12" x14ac:dyDescent="0.3">
      <c r="A22" s="104">
        <v>4</v>
      </c>
      <c r="B22" s="104">
        <f>B8*2</f>
        <v>2</v>
      </c>
      <c r="C22" s="104">
        <f>_xlfn.HYPGEOM.DIST(2,20-A22,3,80-$A$1,0)*C8</f>
        <v>1.317634855795843E-2</v>
      </c>
      <c r="K22" s="104">
        <f>SUM(K3:K21)</f>
        <v>1.0000000000000002</v>
      </c>
    </row>
    <row r="23" spans="1:12" x14ac:dyDescent="0.3">
      <c r="A23" s="104">
        <v>5</v>
      </c>
      <c r="B23" s="104">
        <f>B9*2</f>
        <v>12</v>
      </c>
      <c r="C23" s="104">
        <f>_xlfn.HYPGEOM.DIST(2,20-A23,3,80-$A$1,0)*C9</f>
        <v>3.3539796329348725E-3</v>
      </c>
    </row>
    <row r="24" spans="1:12" x14ac:dyDescent="0.3">
      <c r="A24" s="104">
        <v>6</v>
      </c>
      <c r="B24" s="104">
        <f>B10*2</f>
        <v>100</v>
      </c>
      <c r="C24" s="104">
        <f>_xlfn.HYPGEOM.DIST(2,20-A24,3,80-$A$1,0)*C10</f>
        <v>5.1906827652563477E-4</v>
      </c>
    </row>
    <row r="25" spans="1:12" x14ac:dyDescent="0.3">
      <c r="A25" s="104">
        <v>7</v>
      </c>
      <c r="B25" s="104">
        <f>B11*2</f>
        <v>250</v>
      </c>
      <c r="C25" s="104">
        <f>_xlfn.HYPGEOM.DIST(2,20-A25,3,80-$A$1,0)*C11</f>
        <v>4.6833227957200137E-5</v>
      </c>
    </row>
    <row r="26" spans="1:12" x14ac:dyDescent="0.3">
      <c r="A26" s="104">
        <v>8</v>
      </c>
      <c r="B26" s="104">
        <f>B12*2</f>
        <v>1000</v>
      </c>
      <c r="C26" s="104">
        <f>_xlfn.HYPGEOM.DIST(2,20-A26,3,80-$A$1,0)*C12</f>
        <v>2.2205409807293146E-6</v>
      </c>
    </row>
    <row r="27" spans="1:12" x14ac:dyDescent="0.3">
      <c r="A27" s="109">
        <v>9</v>
      </c>
      <c r="B27" s="109">
        <f>B13*2</f>
        <v>2000</v>
      </c>
      <c r="C27" s="109">
        <f>_xlfn.HYPGEOM.DIST(2,20-A27,3,80-$A$1,0)*C13</f>
        <v>4.1818097565523803E-8</v>
      </c>
    </row>
    <row r="29" spans="1:12" x14ac:dyDescent="0.3">
      <c r="A29" s="29" t="s">
        <v>48</v>
      </c>
      <c r="B29" s="29"/>
      <c r="C29" s="106">
        <f>SUMPRODUCT(B22:B27,C22:C27)</f>
        <v>0.13251976452885922</v>
      </c>
    </row>
    <row r="30" spans="1:12" x14ac:dyDescent="0.3">
      <c r="A30" s="29" t="s">
        <v>49</v>
      </c>
      <c r="B30" s="29"/>
      <c r="C30" s="106">
        <f>SUM(C22:C27)</f>
        <v>1.709849205445443E-2</v>
      </c>
    </row>
    <row r="31" spans="1:12" x14ac:dyDescent="0.3">
      <c r="A31" s="29" t="s">
        <v>50</v>
      </c>
      <c r="B31" s="29"/>
      <c r="C31" s="104">
        <f>ROUND(1/C30,1)</f>
        <v>58.5</v>
      </c>
    </row>
  </sheetData>
  <mergeCells count="11">
    <mergeCell ref="A17:B17"/>
    <mergeCell ref="A19:B19"/>
    <mergeCell ref="A29:B29"/>
    <mergeCell ref="A30:B30"/>
    <mergeCell ref="A31:B31"/>
    <mergeCell ref="E1:F1"/>
    <mergeCell ref="E11:F11"/>
    <mergeCell ref="E12:F12"/>
    <mergeCell ref="E13:F13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PIck 2</vt:lpstr>
      <vt:lpstr>Pick 3</vt:lpstr>
      <vt:lpstr>Pick 4</vt:lpstr>
      <vt:lpstr>Pick 5</vt:lpstr>
      <vt:lpstr>Pick 6</vt:lpstr>
      <vt:lpstr>PIck 7</vt:lpstr>
      <vt:lpstr>Pick 8</vt:lpstr>
      <vt:lpstr>Pick 9</vt:lpstr>
      <vt:lpstr>Pick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Akshay</cp:lastModifiedBy>
  <dcterms:created xsi:type="dcterms:W3CDTF">2017-01-26T20:45:21Z</dcterms:created>
  <dcterms:modified xsi:type="dcterms:W3CDTF">2017-11-22T07:33:05Z</dcterms:modified>
</cp:coreProperties>
</file>