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ition Expenditure" sheetId="1" r:id="rId4"/>
    <sheet state="visible" name="Hydrogen Bus Depreciation" sheetId="2" r:id="rId5"/>
    <sheet state="visible" name="Cumulative Cash Flow" sheetId="3" r:id="rId6"/>
    <sheet state="visible" name="Appendix D" sheetId="4" r:id="rId7"/>
    <sheet state="visible" name="Cash Flow (with solar farm)" sheetId="5" r:id="rId8"/>
  </sheets>
  <definedNames/>
  <calcPr/>
  <extLst>
    <ext uri="GoogleSheetsCustomDataVersion1">
      <go:sheetsCustomData xmlns:go="http://customooxmlschemas.google.com/" r:id="rId9" roundtripDataSignature="AMtx7mjTaLEz1TOW7V03xQ2gIj5TzjH9sg=="/>
    </ext>
  </extLst>
</workbook>
</file>

<file path=xl/sharedStrings.xml><?xml version="1.0" encoding="utf-8"?>
<sst xmlns="http://schemas.openxmlformats.org/spreadsheetml/2006/main" count="304" uniqueCount="196">
  <si>
    <t>Hey there - am annotating this sheet with some pink blocks like this, so if you're confused about a section look for one of those.</t>
  </si>
  <si>
    <t>Will probably be easiest for you to copy across relevant formats and make a new spreadsheet for the analysis.</t>
  </si>
  <si>
    <t>Generally - money out is highlighted in red in the first section, and money in is green (or money we no longer have to spend)</t>
  </si>
  <si>
    <t>Note - loans not yet accounted for anywhere, this just displays as if it were cash flow from the company</t>
  </si>
  <si>
    <t>Will also want to adjust to be from 2025 to 2035 so we can meet aspirational deadline for transport</t>
  </si>
  <si>
    <t>Solar Costs</t>
  </si>
  <si>
    <t>Initial:</t>
  </si>
  <si>
    <t>Solar costs from document I sent you. Think this section is fairly self explanatory</t>
  </si>
  <si>
    <t>size:</t>
  </si>
  <si>
    <t>MW</t>
  </si>
  <si>
    <t>Cost per MW:</t>
  </si>
  <si>
    <t>pounds</t>
  </si>
  <si>
    <t>Installation cost:</t>
  </si>
  <si>
    <t>maintenance:</t>
  </si>
  <si>
    <t>per MW per annum</t>
  </si>
  <si>
    <t>Note - don't yet have value for selling to the grid. That would be useful to include.</t>
  </si>
  <si>
    <t>elec sell to grid:</t>
  </si>
  <si>
    <t>kWh per year</t>
  </si>
  <si>
    <t>elec revenue:</t>
  </si>
  <si>
    <t>per kWh</t>
  </si>
  <si>
    <t>Annual elec revenue:</t>
  </si>
  <si>
    <t>Get total current diesel usage from Akshay, the number in the  table is an estimate to include stagecoach but would be good to use our full number</t>
  </si>
  <si>
    <t>Current fuel spending - 7m litres diesel per year for OBC</t>
  </si>
  <si>
    <t>diesel (litres per year)</t>
  </si>
  <si>
    <t>price (litre)</t>
  </si>
  <si>
    <t>March 2021 - 91.77 p er litre (RAC foundation)</t>
  </si>
  <si>
    <t>current yearly diesel spending:</t>
  </si>
  <si>
    <t>(pounds)</t>
  </si>
  <si>
    <t>Electrolyser costs:</t>
  </si>
  <si>
    <t>up front:</t>
  </si>
  <si>
    <t>I think best to incude litres of water and electricity usage in kWh in this sheet then multiply by relevant bulb values, so all financial aspects are contained</t>
  </si>
  <si>
    <t>yearly water spending:</t>
  </si>
  <si>
    <t>elec per year:</t>
  </si>
  <si>
    <t>kWh</t>
  </si>
  <si>
    <t>rate</t>
  </si>
  <si>
    <t>stand</t>
  </si>
  <si>
    <t>tot</t>
  </si>
  <si>
    <t>total yearly electrolyser OPEX:</t>
  </si>
  <si>
    <t>Compressor costs:</t>
  </si>
  <si>
    <t>yearly</t>
  </si>
  <si>
    <t xml:space="preserve">No initial cost found yet, Akshay can't seem to find either. </t>
  </si>
  <si>
    <t>yearly standing charge (£):</t>
  </si>
  <si>
    <t>yearly elec cost (£):</t>
  </si>
  <si>
    <t>total yearly compressor cost:</t>
  </si>
  <si>
    <t>FCEV costs:</t>
  </si>
  <si>
    <t>price of single decker (£)</t>
  </si>
  <si>
    <t>per bus</t>
  </si>
  <si>
    <t xml:space="preserve">n = </t>
  </si>
  <si>
    <t>buses</t>
  </si>
  <si>
    <t>price of double decker (£)</t>
  </si>
  <si>
    <t>current fleet age</t>
  </si>
  <si>
    <t>7 yrs</t>
  </si>
  <si>
    <t>This is an estimate of average fleet age across the three companies, and therefore the value of the buses - Antoine as source</t>
  </si>
  <si>
    <t>current yearly new bus spending:</t>
  </si>
  <si>
    <t>for 399 bus fleet</t>
  </si>
  <si>
    <t>value (£)</t>
  </si>
  <si>
    <t>per diesel bus</t>
  </si>
  <si>
    <t xml:space="preserve">Assumed yearly hydrogen new bus spending: </t>
  </si>
  <si>
    <t>diesel buses</t>
  </si>
  <si>
    <t>per hybrid bus</t>
  </si>
  <si>
    <t>hydrogen bus maintenance cost:</t>
  </si>
  <si>
    <t>annually for 399 bus fleet</t>
  </si>
  <si>
    <t>hybrid</t>
  </si>
  <si>
    <t>diesel bus maintenance :</t>
  </si>
  <si>
    <t>Summary</t>
  </si>
  <si>
    <t>Up front costs:</t>
  </si>
  <si>
    <t>Solar</t>
  </si>
  <si>
    <t>Lifetime: 35 years</t>
  </si>
  <si>
    <t>Electrolyser</t>
  </si>
  <si>
    <t>Lifetime: 50500 hours</t>
  </si>
  <si>
    <t>years</t>
  </si>
  <si>
    <t>Electrolyser/ Compressor</t>
  </si>
  <si>
    <t>Compressor</t>
  </si>
  <si>
    <t xml:space="preserve">selling value </t>
  </si>
  <si>
    <t>Bus Purchase</t>
  </si>
  <si>
    <t>Buses</t>
  </si>
  <si>
    <t>battery</t>
  </si>
  <si>
    <t>total</t>
  </si>
  <si>
    <t>Solar not yet added to running costs, nor added to below tables.</t>
  </si>
  <si>
    <t>running costs (yearly):</t>
  </si>
  <si>
    <t>fuel:</t>
  </si>
  <si>
    <t>curr new bus spending:</t>
  </si>
  <si>
    <t>Hydrogen Buses</t>
  </si>
  <si>
    <t>yearly total decrease in spending:</t>
  </si>
  <si>
    <t>Business As Usual</t>
  </si>
  <si>
    <t>Year</t>
  </si>
  <si>
    <t>Discount rate effect</t>
  </si>
  <si>
    <t>Diesel fuel cost</t>
  </si>
  <si>
    <t>Diesel fleet maintenance</t>
  </si>
  <si>
    <t>new Diesel bus  purchase cost</t>
  </si>
  <si>
    <t>Total Cash Flow</t>
  </si>
  <si>
    <t>Now assuming even distrbution of bus purchase from 2025-2035</t>
  </si>
  <si>
    <t>this means that we're buying/selling 40 buses per year, then 39 in final year</t>
  </si>
  <si>
    <t>or: bus fleet percentage hydrogen up by (40/399) each year</t>
  </si>
  <si>
    <t>Scaling electrolyser, compressor, maintenance and diesel factors by these fractions</t>
  </si>
  <si>
    <t>Fuel</t>
  </si>
  <si>
    <t>Capital Costs</t>
  </si>
  <si>
    <t>Solar Farm (35 years)</t>
  </si>
  <si>
    <t>Electrolyser Purchase (12 years)</t>
  </si>
  <si>
    <t xml:space="preserve"> Battery (3 years)</t>
  </si>
  <si>
    <t>OPEX</t>
  </si>
  <si>
    <t>Solar Farm O&amp;M, Water Costs, Electricity Costs, Solar Energy Sold</t>
  </si>
  <si>
    <t>Total</t>
  </si>
  <si>
    <t>Hydrogen Storage and Distribution</t>
  </si>
  <si>
    <t>Cracker CAPEX</t>
  </si>
  <si>
    <t>Compressor running cost</t>
  </si>
  <si>
    <t>Cracker OPEX</t>
  </si>
  <si>
    <t>Public Transport Vehicle</t>
  </si>
  <si>
    <t>Hydrogen bus purchase cost</t>
  </si>
  <si>
    <t>Diesel bus selling value</t>
  </si>
  <si>
    <t>Hydrogen fleet maintenance</t>
  </si>
  <si>
    <t>new hydrogen bus purchase cost</t>
  </si>
  <si>
    <t>Difference in Cash Flows</t>
  </si>
  <si>
    <t>Total Cash Flow of Project (without solar farm)</t>
  </si>
  <si>
    <t>Difference(without solar farm)</t>
  </si>
  <si>
    <t>.</t>
  </si>
  <si>
    <t>Same as above, but discount factor only applies after everything is calculated</t>
  </si>
  <si>
    <t>Same as above, but discount factor only applies after everything is calculated AND diminishing value method for depreciation</t>
  </si>
  <si>
    <t>Solar Farm Value</t>
  </si>
  <si>
    <t>Solar Farm Depreciation (35 years)</t>
  </si>
  <si>
    <t>Electrolyser Value</t>
  </si>
  <si>
    <t>Electrolyser Depreciation (12 years)</t>
  </si>
  <si>
    <t>Battery Value</t>
  </si>
  <si>
    <t>Battery Depreciation (10 years)</t>
  </si>
  <si>
    <t>Cracker Value</t>
  </si>
  <si>
    <t>Cracker Depreciation (10 years)</t>
  </si>
  <si>
    <t>Diesel Fleet renewal cost</t>
  </si>
  <si>
    <t>Hydrogen Fleet Renewal Cost</t>
  </si>
  <si>
    <t>Total Cash Flow without Solar farm</t>
  </si>
  <si>
    <t>Diesel Fleet Renewal Cost</t>
  </si>
  <si>
    <t>Difference (without solar farm)</t>
  </si>
  <si>
    <t>NPV</t>
  </si>
  <si>
    <t>BAU</t>
  </si>
  <si>
    <t>GreenHydrogen</t>
  </si>
  <si>
    <t>DIfference</t>
  </si>
  <si>
    <t>GreenHydrogen (without solar farm)</t>
  </si>
  <si>
    <t>Depreciation of hydrogen bus</t>
  </si>
  <si>
    <t>Diminishing Value Method</t>
  </si>
  <si>
    <t>Value</t>
  </si>
  <si>
    <t>Depreciation</t>
  </si>
  <si>
    <t>Difference</t>
  </si>
  <si>
    <t>Profits</t>
  </si>
  <si>
    <t>Profits with price hike</t>
  </si>
  <si>
    <t>Cash Flow (without loan)</t>
  </si>
  <si>
    <t>Cumulative (without loan)</t>
  </si>
  <si>
    <t>Cumulative without loan discounted</t>
  </si>
  <si>
    <t>Loan</t>
  </si>
  <si>
    <t>Loan Repayment</t>
  </si>
  <si>
    <t>Cash Flow (with Loan)</t>
  </si>
  <si>
    <t>Cumulative with loan</t>
  </si>
  <si>
    <t>Cumulative wih loan (discounted)</t>
  </si>
  <si>
    <t>Cash Flow with loan and price hike</t>
  </si>
  <si>
    <t>Cumulative with loan and price hike</t>
  </si>
  <si>
    <t>Cash Flow just with price hike</t>
  </si>
  <si>
    <t>Cumulative with price hike</t>
  </si>
  <si>
    <t>Revenue</t>
  </si>
  <si>
    <t>Annual Cash Flow (without loan)</t>
  </si>
  <si>
    <t>Cumulative Cash Flow (without loan)</t>
  </si>
  <si>
    <t>Annual Cash Flow (with Loan)</t>
  </si>
  <si>
    <t>Cumulative Cash Flow (with Loan)</t>
  </si>
  <si>
    <t>Revenue after fare increase</t>
  </si>
  <si>
    <t>Cash Flow (with fare increase)</t>
  </si>
  <si>
    <t>Cumulative Cash Flow (with fare increase)</t>
  </si>
  <si>
    <t>revenue from fare</t>
  </si>
  <si>
    <t>5% inc --&gt;</t>
  </si>
  <si>
    <t>1% inc --&gt;</t>
  </si>
  <si>
    <t>2% inc --&gt;</t>
  </si>
  <si>
    <t>3% inc --&gt;</t>
  </si>
  <si>
    <t>Profits +5</t>
  </si>
  <si>
    <t>profits + 1</t>
  </si>
  <si>
    <t>profits + 2</t>
  </si>
  <si>
    <t>Annual +5</t>
  </si>
  <si>
    <t>annual + 1</t>
  </si>
  <si>
    <t>cum + 1</t>
  </si>
  <si>
    <t>annual + 2</t>
  </si>
  <si>
    <t>Dim val and disc after</t>
  </si>
  <si>
    <t>Revenue with price hike</t>
  </si>
  <si>
    <t>Cash flow</t>
  </si>
  <si>
    <t>rev + 1</t>
  </si>
  <si>
    <t>Cumulative profits</t>
  </si>
  <si>
    <t>cash + 1</t>
  </si>
  <si>
    <t>rev + 2</t>
  </si>
  <si>
    <t>cash + 2</t>
  </si>
  <si>
    <t>cum + 2</t>
  </si>
  <si>
    <t>rev + 3</t>
  </si>
  <si>
    <t>cash + 3</t>
  </si>
  <si>
    <t>cum + 3</t>
  </si>
  <si>
    <t>Payback</t>
  </si>
  <si>
    <t>Cash with loan 5</t>
  </si>
  <si>
    <t>Cum with loan 5</t>
  </si>
  <si>
    <t>cash with loan 1</t>
  </si>
  <si>
    <t>cum with loan 1</t>
  </si>
  <si>
    <t>cash with loan 3</t>
  </si>
  <si>
    <t>cum with loan 3</t>
  </si>
  <si>
    <t>cash with loan 2</t>
  </si>
  <si>
    <t>cum with loan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</si>
</sst>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sz val="11.0"/>
      <color rgb="FF000000"/>
      <name val="Arial"/>
    </font>
    <font>
      <sz val="12.0"/>
      <color rgb="FF000000"/>
      <name val="Arial"/>
    </font>
    <font>
      <b/>
      <color theme="1"/>
      <name val="Calibri"/>
    </font>
    <font>
      <b/>
      <sz val="14.0"/>
      <color theme="1"/>
      <name val="Calibri"/>
    </font>
    <font>
      <sz val="11.0"/>
      <color rgb="FF050505"/>
      <name val="Arial"/>
    </font>
    <font>
      <sz val="11.0"/>
      <color rgb="FF000000"/>
      <name val="Calibri"/>
    </font>
    <font>
      <sz val="11.0"/>
      <color rgb="FF4D5156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66CC"/>
        <bgColor rgb="FFFF66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9"/>
        <bgColor theme="9"/>
      </patternFill>
    </fill>
    <fill>
      <patternFill patternType="solid">
        <fgColor rgb="FFF2F2F2"/>
        <bgColor rgb="FFF2F2F2"/>
      </patternFill>
    </fill>
    <fill>
      <patternFill patternType="solid">
        <fgColor rgb="FFE4E6EB"/>
        <bgColor rgb="FFE4E6EB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10" xfId="0" applyAlignment="1" applyBorder="1" applyFill="1" applyFont="1" applyNumberFormat="1">
      <alignment shrinkToFit="0" wrapText="1"/>
    </xf>
    <xf borderId="1" fillId="2" fontId="1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2" numFmtId="0" xfId="0" applyFont="1"/>
    <xf borderId="1" fillId="2" fontId="1" numFmtId="0" xfId="0" applyBorder="1" applyFont="1"/>
    <xf borderId="0" fillId="0" fontId="1" numFmtId="0" xfId="0" applyAlignment="1" applyFont="1">
      <alignment horizontal="right"/>
    </xf>
    <xf borderId="0" fillId="0" fontId="1" numFmtId="3" xfId="0" applyFont="1" applyNumberFormat="1"/>
    <xf borderId="1" fillId="3" fontId="1" numFmtId="0" xfId="0" applyBorder="1" applyFill="1" applyFont="1"/>
    <xf borderId="1" fillId="3" fontId="1" numFmtId="0" xfId="0" applyAlignment="1" applyBorder="1" applyFont="1">
      <alignment horizontal="right"/>
    </xf>
    <xf borderId="0" fillId="3" fontId="2" numFmtId="0" xfId="0" applyFont="1"/>
    <xf borderId="1" fillId="4" fontId="1" numFmtId="0" xfId="0" applyBorder="1" applyFill="1" applyFont="1"/>
    <xf borderId="1" fillId="5" fontId="1" numFmtId="0" xfId="0" applyBorder="1" applyFill="1" applyFont="1"/>
    <xf borderId="1" fillId="5" fontId="1" numFmtId="0" xfId="0" applyAlignment="1" applyBorder="1" applyFont="1">
      <alignment horizontal="right"/>
    </xf>
    <xf borderId="0" fillId="0" fontId="2" numFmtId="0" xfId="0" applyAlignment="1" applyFont="1">
      <alignment readingOrder="0"/>
    </xf>
    <xf borderId="1" fillId="4" fontId="1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1" fillId="3" fontId="1" numFmtId="0" xfId="0" applyAlignment="1" applyBorder="1" applyFont="1">
      <alignment readingOrder="0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6" fontId="5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1" fillId="7" fontId="1" numFmtId="0" xfId="0" applyBorder="1" applyFill="1" applyFont="1"/>
    <xf borderId="1" fillId="7" fontId="3" numFmtId="0" xfId="0" applyBorder="1" applyFont="1"/>
    <xf borderId="1" fillId="7" fontId="1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7" fontId="1" numFmtId="0" xfId="0" applyFont="1"/>
    <xf borderId="0" fillId="0" fontId="7" numFmtId="0" xfId="0" applyAlignment="1" applyFont="1">
      <alignment readingOrder="0"/>
    </xf>
    <xf borderId="1" fillId="7" fontId="3" numFmtId="0" xfId="0" applyAlignment="1" applyBorder="1" applyFont="1">
      <alignment readingOrder="0"/>
    </xf>
    <xf borderId="1" fillId="7" fontId="7" numFmtId="0" xfId="0" applyAlignment="1" applyBorder="1" applyFont="1">
      <alignment readingOrder="0"/>
    </xf>
    <xf borderId="0" fillId="8" fontId="8" numFmtId="4" xfId="0" applyAlignment="1" applyFill="1" applyFont="1" applyNumberFormat="1">
      <alignment readingOrder="0"/>
    </xf>
    <xf borderId="0" fillId="7" fontId="9" numFmtId="0" xfId="0" applyFont="1"/>
    <xf borderId="0" fillId="0" fontId="2" numFmtId="0" xfId="0" applyAlignment="1" applyFont="1">
      <alignment readingOrder="0" shrinkToFit="0" wrapText="1"/>
    </xf>
    <xf borderId="0" fillId="9" fontId="10" numFmtId="0" xfId="0" applyAlignment="1" applyFill="1" applyFont="1">
      <alignment horizontal="left" readingOrder="0"/>
    </xf>
    <xf borderId="1" fillId="7" fontId="1" numFmtId="3" xfId="0" applyBorder="1" applyFont="1" applyNumberFormat="1"/>
    <xf borderId="0" fillId="7" fontId="1" numFmtId="0" xfId="0" applyAlignment="1" applyFont="1">
      <alignment readingOrder="0"/>
    </xf>
    <xf borderId="0" fillId="7" fontId="3" numFmtId="0" xfId="0" applyAlignment="1" applyFont="1">
      <alignment readingOrder="0"/>
    </xf>
    <xf borderId="0" fillId="7" fontId="3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Initial Costs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000">
                      <a:solidFill>
                        <a:srgbClr val="4472C4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000">
                      <a:solidFill>
                        <a:srgbClr val="ED7D31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i="0" sz="1000">
                      <a:solidFill>
                        <a:srgbClr val="A5A5A5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'Transition Expenditure'!$K$61:$K$63</c:f>
            </c:strRef>
          </c:cat>
          <c:val>
            <c:numRef>
              <c:f>'Transition Expenditure'!$I$61:$I$63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Without Loan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'Cumulative Cash Flow'!$C$3:$N$3</c:f>
            </c:strRef>
          </c:cat>
          <c:val>
            <c:numRef>
              <c:f>'Cash Flow (with solar farm)'!$C$31:$N$31</c:f>
              <c:numCache/>
            </c:numRef>
          </c:val>
        </c:ser>
        <c:ser>
          <c:idx val="1"/>
          <c:order val="1"/>
          <c:tx>
            <c:v>With Loan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'Cumulative Cash Flow'!$C$3:$N$3</c:f>
            </c:strRef>
          </c:cat>
          <c:val>
            <c:numRef>
              <c:f>'Cash Flow (with solar farm)'!$C$40:$N$40</c:f>
              <c:numCache/>
            </c:numRef>
          </c:val>
        </c:ser>
        <c:axId val="1443435383"/>
        <c:axId val="1989648571"/>
      </c:barChart>
      <c:catAx>
        <c:axId val="1443435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2000">
                    <a:solidFill>
                      <a:srgbClr val="000000"/>
                    </a:solidFill>
                    <a:latin typeface="Arial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16151399739583333"/>
              <c:y val="0.828706199460916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Arial"/>
              </a:defRPr>
            </a:pPr>
          </a:p>
        </c:txPr>
        <c:crossAx val="1989648571"/>
      </c:catAx>
      <c:valAx>
        <c:axId val="1989648571"/>
        <c:scaling>
          <c:orientation val="minMax"/>
          <c:min val="-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"/>
                  </a:rPr>
                  <a:t>Cumulative Profits (in £ millions)</a:t>
                </a:r>
              </a:p>
            </c:rich>
          </c:tx>
          <c:layout>
            <c:manualLayout>
              <c:xMode val="edge"/>
              <c:yMode val="edge"/>
              <c:x val="0.06591666666666667"/>
              <c:y val="0.066172506738544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1443435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Without Loan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'Cumulative Cash Flow'!$C$3:$N$3</c:f>
            </c:strRef>
          </c:cat>
          <c:val>
            <c:numRef>
              <c:f>'Cash Flow (with solar farm)'!$C$28:$N$28</c:f>
              <c:numCache/>
            </c:numRef>
          </c:val>
        </c:ser>
        <c:ser>
          <c:idx val="1"/>
          <c:order val="1"/>
          <c:tx>
            <c:v>With Loan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'Cumulative Cash Flow'!$C$3:$N$3</c:f>
            </c:strRef>
          </c:cat>
          <c:val>
            <c:numRef>
              <c:f>'Cash Flow (with solar farm)'!$C$42:$N$42</c:f>
              <c:numCache/>
            </c:numRef>
          </c:val>
        </c:ser>
        <c:axId val="1833845788"/>
        <c:axId val="736028323"/>
      </c:barChart>
      <c:catAx>
        <c:axId val="1833845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2000">
                    <a:solidFill>
                      <a:srgbClr val="000000"/>
                    </a:solidFill>
                    <a:latin typeface="Arial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16151399739583333"/>
              <c:y val="0.828706199460916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Arial"/>
              </a:defRPr>
            </a:pPr>
          </a:p>
        </c:txPr>
        <c:crossAx val="736028323"/>
      </c:catAx>
      <c:valAx>
        <c:axId val="736028323"/>
        <c:scaling>
          <c:orientation val="minMax"/>
          <c:min val="-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"/>
                  </a:rPr>
                  <a:t>Cumulative Profits (in £ millions)</a:t>
                </a:r>
              </a:p>
            </c:rich>
          </c:tx>
          <c:layout>
            <c:manualLayout>
              <c:xMode val="edge"/>
              <c:yMode val="edge"/>
              <c:x val="0.06591666666666667"/>
              <c:y val="0.066172506738544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18338457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YEARLY COSTS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000">
                      <a:solidFill>
                        <a:srgbClr val="4472C4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000">
                      <a:solidFill>
                        <a:srgbClr val="ED7D31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i="0" sz="1000">
                      <a:solidFill>
                        <a:srgbClr val="A5A5A5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'Transition Expenditure'!$D$70:$D$72</c:f>
            </c:strRef>
          </c:cat>
          <c:val>
            <c:numRef>
              <c:f>'Transition Expenditure'!$K$70:$K$72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Difference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'Transition Expenditure'!$C$90:$AK$90</c:f>
            </c:strRef>
          </c:cat>
          <c:val>
            <c:numRef>
              <c:f>'Transition Expenditure'!$C$126:$AK$126</c:f>
              <c:numCache/>
            </c:numRef>
          </c:val>
        </c:ser>
        <c:ser>
          <c:idx val="1"/>
          <c:order val="1"/>
          <c:tx>
            <c:v>BAU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'Transition Expenditure'!$C$90:$AK$90</c:f>
            </c:strRef>
          </c:cat>
          <c:val>
            <c:numRef>
              <c:f>'Transition Expenditure'!$C$88:$AK$88</c:f>
              <c:numCache/>
            </c:numRef>
          </c:val>
        </c:ser>
        <c:ser>
          <c:idx val="2"/>
          <c:order val="2"/>
          <c:tx>
            <c:v>Transition to Green Hydrogen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'Transition Expenditure'!$C$90:$AK$90</c:f>
            </c:strRef>
          </c:cat>
          <c:val>
            <c:numRef>
              <c:f>'Transition Expenditure'!$C$124:$AK$124</c:f>
              <c:numCache/>
            </c:numRef>
          </c:val>
        </c:ser>
        <c:axId val="276163725"/>
        <c:axId val="599503957"/>
      </c:bar3DChart>
      <c:catAx>
        <c:axId val="276163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2000">
                    <a:solidFill>
                      <a:srgbClr val="000000"/>
                    </a:solidFill>
                    <a:latin typeface="Arial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16151399739583333"/>
              <c:y val="0.828706199460916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Arial"/>
              </a:defRPr>
            </a:pPr>
          </a:p>
        </c:txPr>
        <c:crossAx val="599503957"/>
      </c:catAx>
      <c:valAx>
        <c:axId val="599503957"/>
        <c:scaling>
          <c:orientation val="minMax"/>
          <c:min val="-4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2000">
                    <a:solidFill>
                      <a:srgbClr val="000000"/>
                    </a:solidFill>
                    <a:latin typeface="Arial"/>
                  </a:rPr>
                  <a:t>NPV of Expenditure (in £ millions)</a:t>
                </a:r>
              </a:p>
            </c:rich>
          </c:tx>
          <c:layout>
            <c:manualLayout>
              <c:xMode val="edge"/>
              <c:yMode val="edge"/>
              <c:x val="0.06591666666666667"/>
              <c:y val="0.066172506738544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2761637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Difference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'Transition Expenditure'!$C$90:$AK$90</c:f>
            </c:strRef>
          </c:cat>
          <c:val>
            <c:numRef>
              <c:f>'Transition Expenditure'!$C$266:$AK$266</c:f>
              <c:numCache/>
            </c:numRef>
          </c:val>
        </c:ser>
        <c:ser>
          <c:idx val="1"/>
          <c:order val="1"/>
          <c:tx>
            <c:v>BAU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'Transition Expenditure'!$C$90:$AK$90</c:f>
            </c:strRef>
          </c:cat>
          <c:val>
            <c:numRef>
              <c:f>'Transition Expenditure'!$C$264:$AK$264</c:f>
              <c:numCache/>
            </c:numRef>
          </c:val>
        </c:ser>
        <c:ser>
          <c:idx val="2"/>
          <c:order val="2"/>
          <c:tx>
            <c:v>Transition to Green Hydrogen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'Transition Expenditure'!$C$90:$AK$90</c:f>
            </c:strRef>
          </c:cat>
          <c:val>
            <c:numRef>
              <c:f>'Transition Expenditure'!$C$265:$AK$265</c:f>
              <c:numCache/>
            </c:numRef>
          </c:val>
        </c:ser>
        <c:axId val="389617934"/>
        <c:axId val="993465158"/>
      </c:bar3DChart>
      <c:catAx>
        <c:axId val="389617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2000">
                    <a:solidFill>
                      <a:srgbClr val="000000"/>
                    </a:solidFill>
                    <a:latin typeface="Arial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16151399739583333"/>
              <c:y val="0.828706199460916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Arial"/>
              </a:defRPr>
            </a:pPr>
          </a:p>
        </c:txPr>
        <c:crossAx val="993465158"/>
      </c:catAx>
      <c:valAx>
        <c:axId val="993465158"/>
        <c:scaling>
          <c:orientation val="minMax"/>
          <c:min val="-4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2000">
                    <a:solidFill>
                      <a:srgbClr val="000000"/>
                    </a:solidFill>
                    <a:latin typeface="Arial"/>
                  </a:rPr>
                  <a:t>NPV of Expenditure (in £ millions)</a:t>
                </a:r>
              </a:p>
            </c:rich>
          </c:tx>
          <c:layout>
            <c:manualLayout>
              <c:xMode val="edge"/>
              <c:yMode val="edge"/>
              <c:x val="0.06591666666666667"/>
              <c:y val="0.066172506738544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389617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Difference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'Transition Expenditure'!$C$90:$AK$90</c:f>
            </c:strRef>
          </c:cat>
          <c:val>
            <c:numRef>
              <c:f>'Transition Expenditure'!$C$253:$AK$253</c:f>
              <c:numCache/>
            </c:numRef>
          </c:val>
        </c:ser>
        <c:ser>
          <c:idx val="1"/>
          <c:order val="1"/>
          <c:tx>
            <c:v>BAU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'Transition Expenditure'!$C$90:$AK$90</c:f>
            </c:strRef>
          </c:cat>
          <c:val>
            <c:numRef>
              <c:f>'Transition Expenditure'!$C$251:$AK$251</c:f>
              <c:numCache/>
            </c:numRef>
          </c:val>
        </c:ser>
        <c:ser>
          <c:idx val="2"/>
          <c:order val="2"/>
          <c:tx>
            <c:v>Transition to Green Hydrogen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'Transition Expenditure'!$C$90:$AK$90</c:f>
            </c:strRef>
          </c:cat>
          <c:val>
            <c:numRef>
              <c:f>'Transition Expenditure'!$C$239:$AK$239</c:f>
              <c:numCache/>
            </c:numRef>
          </c:val>
        </c:ser>
        <c:axId val="624428210"/>
        <c:axId val="1190313981"/>
      </c:bar3DChart>
      <c:catAx>
        <c:axId val="624428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2000">
                    <a:solidFill>
                      <a:srgbClr val="000000"/>
                    </a:solidFill>
                    <a:latin typeface="Arial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16151399739583333"/>
              <c:y val="0.828706199460916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Arial"/>
              </a:defRPr>
            </a:pPr>
          </a:p>
        </c:txPr>
        <c:crossAx val="1190313981"/>
      </c:catAx>
      <c:valAx>
        <c:axId val="1190313981"/>
        <c:scaling>
          <c:orientation val="minMax"/>
          <c:min val="-4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2000">
                    <a:solidFill>
                      <a:srgbClr val="000000"/>
                    </a:solidFill>
                    <a:latin typeface="Arial"/>
                  </a:rPr>
                  <a:t>Expenditure (in £ millions)</a:t>
                </a:r>
              </a:p>
            </c:rich>
          </c:tx>
          <c:layout>
            <c:manualLayout>
              <c:xMode val="edge"/>
              <c:yMode val="edge"/>
              <c:x val="0.06591666666666667"/>
              <c:y val="0.066172506738544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624428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Without Loan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'Cumulative Cash Flow'!$C$3:$N$3</c:f>
            </c:strRef>
          </c:cat>
          <c:val>
            <c:numRef>
              <c:f>'Cumulative Cash Flow'!$C$10:$N$10</c:f>
              <c:numCache/>
            </c:numRef>
          </c:val>
        </c:ser>
        <c:ser>
          <c:idx val="1"/>
          <c:order val="1"/>
          <c:tx>
            <c:v>With Loan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'Cumulative Cash Flow'!$C$3:$N$3</c:f>
            </c:strRef>
          </c:cat>
          <c:val>
            <c:numRef>
              <c:f>'Cumulative Cash Flow'!$C$15:$N$15</c:f>
              <c:numCache/>
            </c:numRef>
          </c:val>
        </c:ser>
        <c:axId val="1040310025"/>
        <c:axId val="2001211186"/>
      </c:barChart>
      <c:catAx>
        <c:axId val="1040310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2000">
                    <a:solidFill>
                      <a:srgbClr val="000000"/>
                    </a:solidFill>
                    <a:latin typeface="Arial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16151399739583333"/>
              <c:y val="0.828706199460916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Arial"/>
              </a:defRPr>
            </a:pPr>
          </a:p>
        </c:txPr>
        <c:crossAx val="2001211186"/>
      </c:catAx>
      <c:valAx>
        <c:axId val="2001211186"/>
        <c:scaling>
          <c:orientation val="minMax"/>
          <c:min val="-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"/>
                  </a:rPr>
                  <a:t>Cumulative Profits (in £ millions)</a:t>
                </a:r>
              </a:p>
            </c:rich>
          </c:tx>
          <c:layout>
            <c:manualLayout>
              <c:xMode val="edge"/>
              <c:yMode val="edge"/>
              <c:x val="0.06591666666666667"/>
              <c:y val="0.066172506738544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1040310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Without Loan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'Cumulative Cash Flow'!$C$3:$N$3</c:f>
            </c:strRef>
          </c:cat>
          <c:val>
            <c:numRef>
              <c:f>'Cumulative Cash Flow'!$C$11:$N$11</c:f>
              <c:numCache/>
            </c:numRef>
          </c:val>
        </c:ser>
        <c:ser>
          <c:idx val="1"/>
          <c:order val="1"/>
          <c:tx>
            <c:v>With Loan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'Cumulative Cash Flow'!$C$3:$N$3</c:f>
            </c:strRef>
          </c:cat>
          <c:val>
            <c:numRef>
              <c:f>'Cumulative Cash Flow'!$C$16:$N$16</c:f>
              <c:numCache/>
            </c:numRef>
          </c:val>
        </c:ser>
        <c:axId val="110413557"/>
        <c:axId val="926457974"/>
      </c:barChart>
      <c:catAx>
        <c:axId val="110413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2000">
                    <a:solidFill>
                      <a:srgbClr val="000000"/>
                    </a:solidFill>
                    <a:latin typeface="Arial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16151399739583333"/>
              <c:y val="0.828706199460916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Arial"/>
              </a:defRPr>
            </a:pPr>
          </a:p>
        </c:txPr>
        <c:crossAx val="926457974"/>
      </c:catAx>
      <c:valAx>
        <c:axId val="926457974"/>
        <c:scaling>
          <c:orientation val="minMax"/>
          <c:min val="-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"/>
                  </a:rPr>
                  <a:t>NPV of Cumulative Cash Flow (in £ millions)</a:t>
                </a:r>
              </a:p>
            </c:rich>
          </c:tx>
          <c:layout>
            <c:manualLayout>
              <c:xMode val="edge"/>
              <c:yMode val="edge"/>
              <c:x val="0.06591666666666667"/>
              <c:y val="0.066172506738544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110413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Without Loan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'Cumulative Cash Flow'!$C$3:$N$3</c:f>
            </c:strRef>
          </c:cat>
          <c:val>
            <c:numRef>
              <c:f>'Cash Flow (with solar farm)'!$C$23:$N$23</c:f>
              <c:numCache/>
            </c:numRef>
          </c:val>
        </c:ser>
        <c:ser>
          <c:idx val="1"/>
          <c:order val="1"/>
          <c:tx>
            <c:v>With Loan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'Cumulative Cash Flow'!$C$3:$N$3</c:f>
            </c:strRef>
          </c:cat>
          <c:val>
            <c:numRef>
              <c:f>'Cash Flow (with solar farm)'!$C$36:$N$36</c:f>
              <c:numCache/>
            </c:numRef>
          </c:val>
        </c:ser>
        <c:axId val="1006373207"/>
        <c:axId val="427257263"/>
      </c:barChart>
      <c:catAx>
        <c:axId val="1006373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2000">
                    <a:solidFill>
                      <a:srgbClr val="000000"/>
                    </a:solidFill>
                    <a:latin typeface="Arial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16151399739583333"/>
              <c:y val="0.828706199460916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Arial"/>
              </a:defRPr>
            </a:pPr>
          </a:p>
        </c:txPr>
        <c:crossAx val="427257263"/>
      </c:catAx>
      <c:valAx>
        <c:axId val="427257263"/>
        <c:scaling>
          <c:orientation val="minMax"/>
          <c:min val="-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"/>
                  </a:rPr>
                  <a:t>Cumulative Profits (in £ millions)</a:t>
                </a:r>
              </a:p>
            </c:rich>
          </c:tx>
          <c:layout>
            <c:manualLayout>
              <c:xMode val="edge"/>
              <c:yMode val="edge"/>
              <c:x val="0.06591666666666667"/>
              <c:y val="0.066172506738544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1006373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Without Loan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'Cumulative Cash Flow'!$C$3:$R$3</c:f>
            </c:strRef>
          </c:cat>
          <c:val>
            <c:numRef>
              <c:f>'Cash Flow (with solar farm)'!$C$25:$R$25</c:f>
              <c:numCache/>
            </c:numRef>
          </c:val>
        </c:ser>
        <c:ser>
          <c:idx val="1"/>
          <c:order val="1"/>
          <c:tx>
            <c:v>With Loan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'Cumulative Cash Flow'!$C$3:$R$3</c:f>
            </c:strRef>
          </c:cat>
          <c:val>
            <c:numRef>
              <c:f>'Cash Flow (with solar farm)'!$C$38:$R$38</c:f>
              <c:numCache/>
            </c:numRef>
          </c:val>
        </c:ser>
        <c:axId val="841539417"/>
        <c:axId val="30785724"/>
      </c:barChart>
      <c:catAx>
        <c:axId val="841539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2000">
                    <a:solidFill>
                      <a:srgbClr val="000000"/>
                    </a:solidFill>
                    <a:latin typeface="Arial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16151399739583333"/>
              <c:y val="0.828706199460916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Arial"/>
              </a:defRPr>
            </a:pPr>
          </a:p>
        </c:txPr>
        <c:crossAx val="30785724"/>
      </c:catAx>
      <c:valAx>
        <c:axId val="30785724"/>
        <c:scaling>
          <c:orientation val="minMax"/>
          <c:min val="-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"/>
                  </a:rPr>
                  <a:t>Cumulative Profits (in £ millions)</a:t>
                </a:r>
              </a:p>
            </c:rich>
          </c:tx>
          <c:layout>
            <c:manualLayout>
              <c:xMode val="edge"/>
              <c:yMode val="edge"/>
              <c:x val="0.06591666666666667"/>
              <c:y val="0.066172506738544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841539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66675</xdr:colOff>
      <xdr:row>57</xdr:row>
      <xdr:rowOff>47625</xdr:rowOff>
    </xdr:from>
    <xdr:ext cx="3876675" cy="2676525"/>
    <xdr:graphicFrame>
      <xdr:nvGraphicFramePr>
        <xdr:cNvPr id="62577706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314325</xdr:colOff>
      <xdr:row>57</xdr:row>
      <xdr:rowOff>28575</xdr:rowOff>
    </xdr:from>
    <xdr:ext cx="5486400" cy="2695575"/>
    <xdr:graphicFrame>
      <xdr:nvGraphicFramePr>
        <xdr:cNvPr id="58739151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781050</xdr:colOff>
      <xdr:row>131</xdr:row>
      <xdr:rowOff>19050</xdr:rowOff>
    </xdr:from>
    <xdr:ext cx="6105525" cy="3771900"/>
    <xdr:graphicFrame>
      <xdr:nvGraphicFramePr>
        <xdr:cNvPr id="5209435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0</xdr:colOff>
      <xdr:row>268</xdr:row>
      <xdr:rowOff>38100</xdr:rowOff>
    </xdr:from>
    <xdr:ext cx="6105525" cy="3771900"/>
    <xdr:graphicFrame>
      <xdr:nvGraphicFramePr>
        <xdr:cNvPr id="41049913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247650</xdr:colOff>
      <xdr:row>268</xdr:row>
      <xdr:rowOff>38100</xdr:rowOff>
    </xdr:from>
    <xdr:ext cx="6105525" cy="3771900"/>
    <xdr:graphicFrame>
      <xdr:nvGraphicFramePr>
        <xdr:cNvPr id="1827301767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704850</xdr:colOff>
      <xdr:row>27</xdr:row>
      <xdr:rowOff>66675</xdr:rowOff>
    </xdr:from>
    <xdr:ext cx="6105525" cy="3771900"/>
    <xdr:graphicFrame>
      <xdr:nvGraphicFramePr>
        <xdr:cNvPr id="299107192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266700</xdr:colOff>
      <xdr:row>27</xdr:row>
      <xdr:rowOff>66675</xdr:rowOff>
    </xdr:from>
    <xdr:ext cx="6105525" cy="3771900"/>
    <xdr:graphicFrame>
      <xdr:nvGraphicFramePr>
        <xdr:cNvPr id="84248617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666750</xdr:colOff>
      <xdr:row>42</xdr:row>
      <xdr:rowOff>104775</xdr:rowOff>
    </xdr:from>
    <xdr:ext cx="6105525" cy="3771900"/>
    <xdr:graphicFrame>
      <xdr:nvGraphicFramePr>
        <xdr:cNvPr id="1396073372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571500</xdr:colOff>
      <xdr:row>43</xdr:row>
      <xdr:rowOff>9525</xdr:rowOff>
    </xdr:from>
    <xdr:ext cx="6105525" cy="3771900"/>
    <xdr:graphicFrame>
      <xdr:nvGraphicFramePr>
        <xdr:cNvPr id="1455345493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571500</xdr:colOff>
      <xdr:row>43</xdr:row>
      <xdr:rowOff>9525</xdr:rowOff>
    </xdr:from>
    <xdr:ext cx="6105525" cy="3771900"/>
    <xdr:graphicFrame>
      <xdr:nvGraphicFramePr>
        <xdr:cNvPr id="1766630483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27</xdr:col>
      <xdr:colOff>571500</xdr:colOff>
      <xdr:row>43</xdr:row>
      <xdr:rowOff>9525</xdr:rowOff>
    </xdr:from>
    <xdr:ext cx="6105525" cy="3771900"/>
    <xdr:graphicFrame>
      <xdr:nvGraphicFramePr>
        <xdr:cNvPr id="207800038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2.75"/>
    <col customWidth="1" min="2" max="2" width="25.13"/>
    <col customWidth="1" min="3" max="3" width="12.88"/>
    <col customWidth="1" min="4" max="4" width="14.25"/>
    <col customWidth="1" min="5" max="5" width="15.38"/>
    <col customWidth="1" min="6" max="6" width="13.88"/>
    <col customWidth="1" min="7" max="7" width="12.0"/>
    <col customWidth="1" min="8" max="8" width="12.25"/>
    <col customWidth="1" min="9" max="10" width="7.63"/>
    <col customWidth="1" min="11" max="11" width="12.25"/>
    <col customWidth="1" min="12" max="12" width="8.5"/>
    <col customWidth="1" min="13" max="15" width="7.63"/>
    <col customWidth="1" min="16" max="16" width="11.75"/>
    <col customWidth="1" min="17" max="17" width="10.0"/>
    <col customWidth="1" min="18" max="18" width="7.63"/>
    <col customWidth="1" min="19" max="19" width="7.0"/>
    <col customWidth="1" min="20" max="20" width="7.25"/>
    <col customWidth="1" min="21" max="24" width="7.63"/>
    <col customWidth="1" min="25" max="25" width="9.38"/>
    <col customWidth="1" min="26" max="42" width="7.63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3"/>
    </row>
    <row r="4" ht="14.25" customHeight="1">
      <c r="A4" s="2" t="s">
        <v>2</v>
      </c>
    </row>
    <row r="5" ht="14.25" customHeight="1">
      <c r="A5" s="2" t="s">
        <v>3</v>
      </c>
    </row>
    <row r="6" ht="14.25" customHeight="1">
      <c r="A6" s="2" t="s">
        <v>4</v>
      </c>
    </row>
    <row r="7" ht="14.25" customHeight="1">
      <c r="A7" s="4" t="s">
        <v>5</v>
      </c>
    </row>
    <row r="8" ht="14.25" customHeight="1"/>
    <row r="9" ht="14.25" customHeight="1">
      <c r="A9" s="5" t="s">
        <v>6</v>
      </c>
    </row>
    <row r="10" ht="14.25" customHeight="1"/>
    <row r="11" ht="14.25" customHeight="1">
      <c r="A11" s="6" t="s">
        <v>7</v>
      </c>
    </row>
    <row r="12" ht="14.25" customHeight="1">
      <c r="B12" s="7" t="s">
        <v>8</v>
      </c>
      <c r="C12" s="5">
        <v>150.0</v>
      </c>
      <c r="D12" s="5" t="s">
        <v>9</v>
      </c>
    </row>
    <row r="13" ht="14.25" customHeight="1">
      <c r="B13" s="7" t="s">
        <v>10</v>
      </c>
      <c r="C13" s="8">
        <v>450000.0</v>
      </c>
      <c r="D13" s="5" t="s">
        <v>11</v>
      </c>
    </row>
    <row r="14" ht="14.25" customHeight="1">
      <c r="B14" s="7"/>
    </row>
    <row r="15" ht="14.25" customHeight="1">
      <c r="A15" s="9"/>
      <c r="B15" s="10" t="s">
        <v>12</v>
      </c>
      <c r="C15" s="9">
        <f>$C$12*$C$13</f>
        <v>67500000</v>
      </c>
      <c r="D15" s="5" t="s">
        <v>11</v>
      </c>
    </row>
    <row r="16" ht="14.25" customHeight="1"/>
    <row r="17" ht="14.25" customHeight="1">
      <c r="B17" s="7" t="s">
        <v>13</v>
      </c>
      <c r="C17" s="8">
        <v>6700.0</v>
      </c>
      <c r="D17" s="5" t="s">
        <v>14</v>
      </c>
    </row>
    <row r="18" ht="14.25" customHeight="1">
      <c r="C18" s="5">
        <f>C12*C17</f>
        <v>1005000</v>
      </c>
      <c r="D18" s="5" t="s">
        <v>11</v>
      </c>
    </row>
    <row r="19" ht="14.25" customHeight="1">
      <c r="A19" s="6" t="s">
        <v>15</v>
      </c>
      <c r="B19" s="7" t="s">
        <v>16</v>
      </c>
      <c r="C19" s="5">
        <v>2.597579543E7</v>
      </c>
      <c r="D19" s="5" t="s">
        <v>17</v>
      </c>
    </row>
    <row r="20" ht="14.25" customHeight="1">
      <c r="B20" s="7" t="s">
        <v>18</v>
      </c>
      <c r="C20" s="5">
        <v>0.0557</v>
      </c>
      <c r="D20" s="5" t="s">
        <v>19</v>
      </c>
    </row>
    <row r="21" ht="14.25" customHeight="1">
      <c r="B21" s="5" t="s">
        <v>20</v>
      </c>
      <c r="C21" s="11">
        <f>C19*C20</f>
        <v>1446851.805</v>
      </c>
      <c r="D21" s="5" t="s">
        <v>11</v>
      </c>
    </row>
    <row r="22" ht="14.25" customHeight="1"/>
    <row r="23" ht="14.25" customHeight="1"/>
    <row r="24" ht="14.25" customHeight="1">
      <c r="A24" s="2" t="s">
        <v>21</v>
      </c>
    </row>
    <row r="25" ht="14.25" customHeight="1">
      <c r="A25" s="5" t="s">
        <v>22</v>
      </c>
      <c r="C25" s="5" t="s">
        <v>23</v>
      </c>
      <c r="F25" s="5" t="s">
        <v>24</v>
      </c>
    </row>
    <row r="26" ht="14.25" customHeight="1">
      <c r="C26" s="12">
        <v>1.33832426E7</v>
      </c>
      <c r="F26" s="5">
        <v>0.9177</v>
      </c>
    </row>
    <row r="27" ht="14.25" customHeight="1">
      <c r="A27" s="5" t="s">
        <v>25</v>
      </c>
      <c r="E27" s="13"/>
      <c r="F27" s="13"/>
      <c r="G27" s="14" t="s">
        <v>26</v>
      </c>
      <c r="H27" s="13">
        <f>C26*F26</f>
        <v>12281801.73</v>
      </c>
      <c r="I27" s="5" t="s">
        <v>27</v>
      </c>
      <c r="T27" s="13"/>
      <c r="U27" s="13"/>
      <c r="V27" s="13"/>
      <c r="W27" s="13"/>
      <c r="X27" s="13"/>
      <c r="Y27" s="13"/>
    </row>
    <row r="28" ht="14.25" customHeight="1"/>
    <row r="29" ht="14.25" customHeight="1"/>
    <row r="30" ht="14.25" customHeight="1">
      <c r="A30" s="5" t="s">
        <v>28</v>
      </c>
      <c r="C30" s="9" t="s">
        <v>29</v>
      </c>
      <c r="D30" s="9">
        <v>1.8144E7</v>
      </c>
      <c r="E30" s="5" t="s">
        <v>27</v>
      </c>
    </row>
    <row r="31" ht="14.25" customHeight="1">
      <c r="A31" s="2" t="s">
        <v>30</v>
      </c>
      <c r="C31" s="7" t="s">
        <v>31</v>
      </c>
      <c r="D31" s="5">
        <v>405687.2099</v>
      </c>
      <c r="E31" s="5" t="s">
        <v>27</v>
      </c>
    </row>
    <row r="32" ht="14.25" customHeight="1">
      <c r="C32" s="7" t="s">
        <v>32</v>
      </c>
      <c r="E32" s="5" t="s">
        <v>33</v>
      </c>
    </row>
    <row r="33" ht="14.25" customHeight="1">
      <c r="C33" s="5" t="s">
        <v>34</v>
      </c>
      <c r="D33" s="15">
        <v>0.1364</v>
      </c>
    </row>
    <row r="34" ht="14.25" customHeight="1">
      <c r="C34" s="5" t="s">
        <v>35</v>
      </c>
      <c r="D34" s="15">
        <v>100.01</v>
      </c>
    </row>
    <row r="35" ht="14.25" customHeight="1">
      <c r="C35" s="5" t="s">
        <v>36</v>
      </c>
      <c r="D35" s="12"/>
      <c r="E35" s="9"/>
      <c r="F35" s="9"/>
      <c r="G35" s="10" t="s">
        <v>37</v>
      </c>
      <c r="H35" s="9">
        <v>9402416.44</v>
      </c>
      <c r="I35" s="5" t="s">
        <v>27</v>
      </c>
    </row>
    <row r="36" ht="14.25" customHeight="1"/>
    <row r="37" ht="14.25" customHeight="1">
      <c r="A37" s="5" t="s">
        <v>38</v>
      </c>
      <c r="C37" s="5" t="s">
        <v>39</v>
      </c>
      <c r="D37" s="16">
        <v>2.2993024E7</v>
      </c>
      <c r="E37" s="5" t="s">
        <v>33</v>
      </c>
    </row>
    <row r="38" ht="14.25" customHeight="1">
      <c r="A38" s="6" t="s">
        <v>40</v>
      </c>
    </row>
    <row r="39" ht="14.25" customHeight="1">
      <c r="C39" s="7" t="s">
        <v>41</v>
      </c>
      <c r="D39" s="15">
        <v>100.01</v>
      </c>
      <c r="F39" s="7" t="s">
        <v>42</v>
      </c>
      <c r="G39" s="15">
        <f>D37*D33</f>
        <v>3136248.474</v>
      </c>
      <c r="I39" s="9"/>
      <c r="J39" s="9"/>
      <c r="K39" s="10" t="s">
        <v>43</v>
      </c>
      <c r="L39" s="9">
        <f>G39+D39</f>
        <v>3136348.484</v>
      </c>
      <c r="M39" s="5" t="s">
        <v>27</v>
      </c>
    </row>
    <row r="40" ht="14.25" customHeight="1">
      <c r="C40" s="7"/>
      <c r="F40" s="7"/>
      <c r="I40" s="13"/>
      <c r="J40" s="13"/>
      <c r="K40" s="14"/>
      <c r="L40" s="13"/>
    </row>
    <row r="41" ht="14.25" customHeight="1">
      <c r="A41" s="5" t="s">
        <v>44</v>
      </c>
      <c r="C41" s="7"/>
      <c r="F41" s="7"/>
      <c r="I41" s="13"/>
      <c r="J41" s="13"/>
      <c r="K41" s="14"/>
      <c r="L41" s="13"/>
    </row>
    <row r="42" ht="14.25" customHeight="1">
      <c r="C42" s="7"/>
      <c r="F42" s="7"/>
      <c r="I42" s="13"/>
      <c r="J42" s="13"/>
      <c r="K42" s="14"/>
      <c r="L42" s="13"/>
    </row>
    <row r="43" ht="14.25" customHeight="1">
      <c r="A43" s="5" t="s">
        <v>45</v>
      </c>
      <c r="B43" s="5">
        <v>326250.0</v>
      </c>
      <c r="C43" s="5" t="s">
        <v>46</v>
      </c>
    </row>
    <row r="44" ht="14.25" customHeight="1">
      <c r="A44" s="5" t="s">
        <v>47</v>
      </c>
      <c r="B44" s="15">
        <v>150.0</v>
      </c>
      <c r="C44" s="5" t="s">
        <v>48</v>
      </c>
    </row>
    <row r="45" ht="14.25" customHeight="1">
      <c r="A45" s="5" t="s">
        <v>49</v>
      </c>
      <c r="B45" s="5">
        <v>356700.0</v>
      </c>
      <c r="C45" s="5" t="s">
        <v>46</v>
      </c>
    </row>
    <row r="46" ht="14.25" customHeight="1">
      <c r="A46" s="5" t="s">
        <v>47</v>
      </c>
      <c r="B46" s="15">
        <v>249.0</v>
      </c>
      <c r="C46" s="5" t="s">
        <v>48</v>
      </c>
      <c r="E46" s="9">
        <f>B45*B46+B43*B44</f>
        <v>137755800</v>
      </c>
      <c r="F46" s="5" t="s">
        <v>11</v>
      </c>
    </row>
    <row r="47" ht="14.25" customHeight="1"/>
    <row r="48" ht="14.25" customHeight="1">
      <c r="A48" s="5" t="s">
        <v>50</v>
      </c>
      <c r="C48" s="5" t="s">
        <v>51</v>
      </c>
    </row>
    <row r="49" ht="14.25" customHeight="1">
      <c r="A49" s="2" t="s">
        <v>52</v>
      </c>
      <c r="E49" s="13"/>
      <c r="F49" s="13"/>
      <c r="G49" s="14" t="s">
        <v>53</v>
      </c>
      <c r="H49" s="17">
        <v>-1.19E7</v>
      </c>
      <c r="I49" s="5" t="s">
        <v>11</v>
      </c>
      <c r="J49" s="15" t="s">
        <v>54</v>
      </c>
    </row>
    <row r="50" ht="14.25" customHeight="1">
      <c r="A50" s="5" t="s">
        <v>55</v>
      </c>
      <c r="B50" s="15">
        <v>62100.0</v>
      </c>
      <c r="C50" s="15" t="s">
        <v>56</v>
      </c>
      <c r="F50" s="18" t="s">
        <v>57</v>
      </c>
      <c r="G50" s="11"/>
      <c r="H50" s="19">
        <v>-1.0543572E7</v>
      </c>
      <c r="J50" s="15" t="s">
        <v>54</v>
      </c>
    </row>
    <row r="51" ht="14.25" customHeight="1">
      <c r="B51" s="15">
        <v>303.0</v>
      </c>
      <c r="C51" s="15" t="s">
        <v>58</v>
      </c>
    </row>
    <row r="52" ht="14.25" customHeight="1">
      <c r="B52" s="15">
        <v>79500.0</v>
      </c>
      <c r="C52" s="15" t="s">
        <v>59</v>
      </c>
      <c r="F52" s="9"/>
      <c r="G52" s="10" t="s">
        <v>60</v>
      </c>
      <c r="H52" s="20">
        <v>8754707.03</v>
      </c>
      <c r="I52" s="15" t="s">
        <v>61</v>
      </c>
      <c r="J52" s="6"/>
    </row>
    <row r="53" ht="14.25" customHeight="1">
      <c r="B53" s="15">
        <v>96.0</v>
      </c>
      <c r="C53" s="15" t="s">
        <v>62</v>
      </c>
      <c r="F53" s="21" t="s">
        <v>63</v>
      </c>
      <c r="G53" s="22"/>
      <c r="H53" s="23">
        <v>3354293.88</v>
      </c>
      <c r="I53" s="15" t="s">
        <v>61</v>
      </c>
    </row>
    <row r="54" ht="14.25" customHeight="1"/>
    <row r="55" ht="14.25" customHeight="1"/>
    <row r="56" ht="14.25" customHeight="1">
      <c r="B56" s="13">
        <f>B50*B51+B52*B53</f>
        <v>26448300</v>
      </c>
      <c r="C56" s="5" t="s">
        <v>11</v>
      </c>
    </row>
    <row r="57" ht="14.25" customHeight="1"/>
    <row r="58" ht="14.25" customHeight="1"/>
    <row r="59" ht="14.25" customHeight="1">
      <c r="B59" s="5" t="s">
        <v>64</v>
      </c>
    </row>
    <row r="60" ht="14.25" customHeight="1"/>
    <row r="61" ht="14.25" customHeight="1">
      <c r="B61" s="7" t="s">
        <v>65</v>
      </c>
      <c r="D61" s="5" t="s">
        <v>66</v>
      </c>
      <c r="E61" s="5">
        <f>-C15</f>
        <v>-67500000</v>
      </c>
      <c r="F61" s="15" t="s">
        <v>67</v>
      </c>
      <c r="I61" s="5">
        <f>E61/(E66-F64)</f>
        <v>0.3021488829</v>
      </c>
      <c r="K61" s="5" t="s">
        <v>66</v>
      </c>
    </row>
    <row r="62" ht="14.25" customHeight="1">
      <c r="D62" s="5" t="s">
        <v>68</v>
      </c>
      <c r="E62" s="5">
        <f>-D30</f>
        <v>-18144000</v>
      </c>
      <c r="F62" s="15" t="s">
        <v>69</v>
      </c>
      <c r="G62" s="15">
        <f>50500/4206</f>
        <v>12.00665716</v>
      </c>
      <c r="H62" s="15" t="s">
        <v>70</v>
      </c>
      <c r="I62" s="5">
        <f>E62/(E66-F64)</f>
        <v>0.08121761971</v>
      </c>
      <c r="K62" s="5" t="s">
        <v>71</v>
      </c>
    </row>
    <row r="63" ht="14.25" customHeight="1">
      <c r="D63" s="5" t="s">
        <v>72</v>
      </c>
      <c r="F63" s="15" t="s">
        <v>73</v>
      </c>
      <c r="I63" s="5">
        <f>E64/(E66-F64)</f>
        <v>0.6166334974</v>
      </c>
      <c r="K63" s="5" t="s">
        <v>74</v>
      </c>
    </row>
    <row r="64" ht="14.25" customHeight="1">
      <c r="D64" s="5" t="s">
        <v>75</v>
      </c>
      <c r="E64" s="5">
        <f>-E46</f>
        <v>-137755800</v>
      </c>
      <c r="F64" s="5">
        <f>B56</f>
        <v>26448300</v>
      </c>
    </row>
    <row r="65" ht="14.25" customHeight="1">
      <c r="D65" s="15" t="s">
        <v>76</v>
      </c>
      <c r="E65" s="15">
        <v>-1160.64</v>
      </c>
    </row>
    <row r="66" ht="14.25" customHeight="1">
      <c r="D66" s="5" t="s">
        <v>77</v>
      </c>
      <c r="E66" s="5">
        <f>SUM(E61:F64)</f>
        <v>-196951500</v>
      </c>
    </row>
    <row r="67" ht="14.25" customHeight="1"/>
    <row r="68" ht="14.25" customHeight="1"/>
    <row r="69" ht="14.25" customHeight="1">
      <c r="A69" s="6" t="s">
        <v>78</v>
      </c>
      <c r="B69" s="7" t="s">
        <v>79</v>
      </c>
      <c r="D69" s="5" t="s">
        <v>66</v>
      </c>
    </row>
    <row r="70" ht="14.25" customHeight="1">
      <c r="D70" s="15" t="s">
        <v>68</v>
      </c>
      <c r="E70" s="5">
        <f>-H35</f>
        <v>-9402416.44</v>
      </c>
      <c r="G70" s="5" t="s">
        <v>80</v>
      </c>
      <c r="H70" s="5">
        <f>H27</f>
        <v>12281801.73</v>
      </c>
      <c r="K70" s="5">
        <f>E70/E73</f>
        <v>0.4415633327</v>
      </c>
    </row>
    <row r="71" ht="14.25" customHeight="1">
      <c r="D71" s="5" t="s">
        <v>72</v>
      </c>
      <c r="E71" s="5">
        <f>-L39</f>
        <v>-3136348.484</v>
      </c>
      <c r="G71" s="7" t="s">
        <v>81</v>
      </c>
      <c r="H71" s="5">
        <v>1.19E7</v>
      </c>
      <c r="K71" s="5">
        <f>E71/E73</f>
        <v>0.1472915497</v>
      </c>
    </row>
    <row r="72" ht="14.25" customHeight="1">
      <c r="D72" s="15" t="s">
        <v>82</v>
      </c>
      <c r="E72" s="5">
        <f>-H52</f>
        <v>-8754707.03</v>
      </c>
      <c r="F72" s="5">
        <v>2000000.0</v>
      </c>
      <c r="K72" s="5">
        <f>E72/E73</f>
        <v>0.4111451176</v>
      </c>
    </row>
    <row r="73" ht="14.25" customHeight="1">
      <c r="E73" s="5">
        <f>SUM(E70:E72)</f>
        <v>-21293471.95</v>
      </c>
    </row>
    <row r="74" ht="14.25" customHeight="1"/>
    <row r="75" ht="14.25" customHeight="1">
      <c r="D75" s="7" t="s">
        <v>83</v>
      </c>
      <c r="E75" s="5">
        <f>SUM(E70:F72)+SUM(H70:H71)</f>
        <v>4888329.78</v>
      </c>
    </row>
    <row r="76" ht="14.25" customHeight="1"/>
    <row r="77" ht="14.25" customHeight="1"/>
    <row r="78" ht="14.25" customHeight="1"/>
    <row r="79" ht="14.25" customHeight="1">
      <c r="A79" s="24" t="s">
        <v>84</v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</row>
    <row r="80" ht="14.25" customHeight="1">
      <c r="B80" s="26" t="s">
        <v>85</v>
      </c>
      <c r="C80" s="26">
        <v>1.0</v>
      </c>
      <c r="D80" s="26">
        <v>2.0</v>
      </c>
      <c r="E80" s="26">
        <v>3.0</v>
      </c>
      <c r="F80" s="26">
        <v>4.0</v>
      </c>
      <c r="G80" s="26">
        <v>5.0</v>
      </c>
      <c r="H80" s="26">
        <v>6.0</v>
      </c>
      <c r="I80" s="26">
        <v>7.0</v>
      </c>
      <c r="J80" s="26">
        <v>8.0</v>
      </c>
      <c r="K80" s="26">
        <v>9.0</v>
      </c>
      <c r="L80" s="26">
        <v>10.0</v>
      </c>
      <c r="M80" s="26">
        <v>11.0</v>
      </c>
      <c r="N80" s="26">
        <v>12.0</v>
      </c>
      <c r="O80" s="26">
        <v>13.0</v>
      </c>
      <c r="P80" s="26">
        <v>14.0</v>
      </c>
      <c r="Q80" s="26">
        <v>15.0</v>
      </c>
      <c r="R80" s="26">
        <v>16.0</v>
      </c>
      <c r="S80" s="26">
        <v>17.0</v>
      </c>
      <c r="T80" s="26">
        <v>18.0</v>
      </c>
      <c r="U80" s="26">
        <v>19.0</v>
      </c>
      <c r="V80" s="26">
        <v>20.0</v>
      </c>
      <c r="W80" s="26">
        <v>21.0</v>
      </c>
      <c r="X80" s="26">
        <v>22.0</v>
      </c>
      <c r="Y80" s="26">
        <v>23.0</v>
      </c>
      <c r="Z80" s="26">
        <v>24.0</v>
      </c>
      <c r="AA80" s="26">
        <v>25.0</v>
      </c>
      <c r="AB80" s="26">
        <v>26.0</v>
      </c>
      <c r="AC80" s="26">
        <v>27.0</v>
      </c>
      <c r="AD80" s="26">
        <v>28.0</v>
      </c>
      <c r="AE80" s="26">
        <v>29.0</v>
      </c>
      <c r="AF80" s="26">
        <v>30.0</v>
      </c>
      <c r="AG80" s="26">
        <v>31.0</v>
      </c>
      <c r="AH80" s="26">
        <v>32.0</v>
      </c>
      <c r="AI80" s="26">
        <v>33.0</v>
      </c>
      <c r="AJ80" s="26">
        <v>34.0</v>
      </c>
      <c r="AK80" s="26">
        <v>35.0</v>
      </c>
    </row>
    <row r="81" ht="14.25" customHeight="1"/>
    <row r="82" ht="14.25" customHeight="1">
      <c r="B82" s="15" t="s">
        <v>86</v>
      </c>
      <c r="C82" s="15">
        <v>0.965</v>
      </c>
      <c r="D82" s="5">
        <f t="shared" ref="D82:AK82" si="1">C82*0.965</f>
        <v>0.931225</v>
      </c>
      <c r="E82" s="5">
        <f t="shared" si="1"/>
        <v>0.898632125</v>
      </c>
      <c r="F82" s="5">
        <f t="shared" si="1"/>
        <v>0.8671800006</v>
      </c>
      <c r="G82" s="5">
        <f t="shared" si="1"/>
        <v>0.8368287006</v>
      </c>
      <c r="H82" s="5">
        <f t="shared" si="1"/>
        <v>0.8075396961</v>
      </c>
      <c r="I82" s="5">
        <f t="shared" si="1"/>
        <v>0.7792758067</v>
      </c>
      <c r="J82" s="5">
        <f t="shared" si="1"/>
        <v>0.7520011535</v>
      </c>
      <c r="K82" s="5">
        <f t="shared" si="1"/>
        <v>0.7256811131</v>
      </c>
      <c r="L82" s="5">
        <f t="shared" si="1"/>
        <v>0.7002822742</v>
      </c>
      <c r="M82" s="5">
        <f t="shared" si="1"/>
        <v>0.6757723946</v>
      </c>
      <c r="N82" s="5">
        <f t="shared" si="1"/>
        <v>0.6521203607</v>
      </c>
      <c r="O82" s="5">
        <f t="shared" si="1"/>
        <v>0.6292961481</v>
      </c>
      <c r="P82" s="5">
        <f t="shared" si="1"/>
        <v>0.6072707829</v>
      </c>
      <c r="Q82" s="5">
        <f t="shared" si="1"/>
        <v>0.5860163055</v>
      </c>
      <c r="R82" s="5">
        <f t="shared" si="1"/>
        <v>0.5655057348</v>
      </c>
      <c r="S82" s="5">
        <f t="shared" si="1"/>
        <v>0.5457130341</v>
      </c>
      <c r="T82" s="5">
        <f t="shared" si="1"/>
        <v>0.5266130779</v>
      </c>
      <c r="U82" s="5">
        <f t="shared" si="1"/>
        <v>0.5081816202</v>
      </c>
      <c r="V82" s="5">
        <f t="shared" si="1"/>
        <v>0.4903952635</v>
      </c>
      <c r="W82" s="5">
        <f t="shared" si="1"/>
        <v>0.4732314293</v>
      </c>
      <c r="X82" s="5">
        <f t="shared" si="1"/>
        <v>0.4566683292</v>
      </c>
      <c r="Y82" s="5">
        <f t="shared" si="1"/>
        <v>0.4406849377</v>
      </c>
      <c r="Z82" s="5">
        <f t="shared" si="1"/>
        <v>0.4252609649</v>
      </c>
      <c r="AA82" s="5">
        <f t="shared" si="1"/>
        <v>0.4103768311</v>
      </c>
      <c r="AB82" s="5">
        <f t="shared" si="1"/>
        <v>0.396013642</v>
      </c>
      <c r="AC82" s="5">
        <f t="shared" si="1"/>
        <v>0.3821531646</v>
      </c>
      <c r="AD82" s="5">
        <f t="shared" si="1"/>
        <v>0.3687778038</v>
      </c>
      <c r="AE82" s="5">
        <f t="shared" si="1"/>
        <v>0.3558705807</v>
      </c>
      <c r="AF82" s="5">
        <f t="shared" si="1"/>
        <v>0.3434151104</v>
      </c>
      <c r="AG82" s="5">
        <f t="shared" si="1"/>
        <v>0.3313955815</v>
      </c>
      <c r="AH82" s="5">
        <f t="shared" si="1"/>
        <v>0.3197967361</v>
      </c>
      <c r="AI82" s="5">
        <f t="shared" si="1"/>
        <v>0.3086038504</v>
      </c>
      <c r="AJ82" s="5">
        <f t="shared" si="1"/>
        <v>0.2978027156</v>
      </c>
      <c r="AK82" s="5">
        <f t="shared" si="1"/>
        <v>0.2873796206</v>
      </c>
    </row>
    <row r="83" ht="14.25" customHeight="1">
      <c r="B83" s="25" t="s">
        <v>87</v>
      </c>
      <c r="C83" s="25">
        <f t="shared" ref="C83:AK83" si="2">-$H$70*C82</f>
        <v>-11851938.67</v>
      </c>
      <c r="D83" s="25">
        <f t="shared" si="2"/>
        <v>-11437120.82</v>
      </c>
      <c r="E83" s="25">
        <f t="shared" si="2"/>
        <v>-11036821.59</v>
      </c>
      <c r="F83" s="25">
        <f t="shared" si="2"/>
        <v>-10650532.84</v>
      </c>
      <c r="G83" s="25">
        <f t="shared" si="2"/>
        <v>-10277764.19</v>
      </c>
      <c r="H83" s="25">
        <f t="shared" si="2"/>
        <v>-9918042.44</v>
      </c>
      <c r="I83" s="25">
        <f t="shared" si="2"/>
        <v>-9570910.954</v>
      </c>
      <c r="J83" s="25">
        <f t="shared" si="2"/>
        <v>-9235929.071</v>
      </c>
      <c r="K83" s="25">
        <f t="shared" si="2"/>
        <v>-8912671.553</v>
      </c>
      <c r="L83" s="25">
        <f t="shared" si="2"/>
        <v>-8600728.049</v>
      </c>
      <c r="M83" s="25">
        <f t="shared" si="2"/>
        <v>-8299702.567</v>
      </c>
      <c r="N83" s="25">
        <f t="shared" si="2"/>
        <v>-8009212.977</v>
      </c>
      <c r="O83" s="25">
        <f t="shared" si="2"/>
        <v>-7728890.523</v>
      </c>
      <c r="P83" s="25">
        <f t="shared" si="2"/>
        <v>-7458379.355</v>
      </c>
      <c r="Q83" s="25">
        <f t="shared" si="2"/>
        <v>-7197336.077</v>
      </c>
      <c r="R83" s="25">
        <f t="shared" si="2"/>
        <v>-6945429.315</v>
      </c>
      <c r="S83" s="25">
        <f t="shared" si="2"/>
        <v>-6702339.289</v>
      </c>
      <c r="T83" s="25">
        <f t="shared" si="2"/>
        <v>-6467757.414</v>
      </c>
      <c r="U83" s="25">
        <f t="shared" si="2"/>
        <v>-6241385.904</v>
      </c>
      <c r="V83" s="25">
        <f t="shared" si="2"/>
        <v>-6022937.398</v>
      </c>
      <c r="W83" s="25">
        <f t="shared" si="2"/>
        <v>-5812134.589</v>
      </c>
      <c r="X83" s="25">
        <f t="shared" si="2"/>
        <v>-5608709.878</v>
      </c>
      <c r="Y83" s="25">
        <f t="shared" si="2"/>
        <v>-5412405.032</v>
      </c>
      <c r="Z83" s="25">
        <f t="shared" si="2"/>
        <v>-5222970.856</v>
      </c>
      <c r="AA83" s="25">
        <f t="shared" si="2"/>
        <v>-5040166.876</v>
      </c>
      <c r="AB83" s="25">
        <f t="shared" si="2"/>
        <v>-4863761.036</v>
      </c>
      <c r="AC83" s="25">
        <f t="shared" si="2"/>
        <v>-4693529.399</v>
      </c>
      <c r="AD83" s="25">
        <f t="shared" si="2"/>
        <v>-4529255.87</v>
      </c>
      <c r="AE83" s="25">
        <f t="shared" si="2"/>
        <v>-4370731.915</v>
      </c>
      <c r="AF83" s="25">
        <f t="shared" si="2"/>
        <v>-4217756.298</v>
      </c>
      <c r="AG83" s="25">
        <f t="shared" si="2"/>
        <v>-4070134.827</v>
      </c>
      <c r="AH83" s="25">
        <f t="shared" si="2"/>
        <v>-3927680.108</v>
      </c>
      <c r="AI83" s="25">
        <f t="shared" si="2"/>
        <v>-3790211.305</v>
      </c>
      <c r="AJ83" s="25">
        <f t="shared" si="2"/>
        <v>-3657553.909</v>
      </c>
      <c r="AK83" s="25">
        <f t="shared" si="2"/>
        <v>-3529539.522</v>
      </c>
    </row>
    <row r="84" ht="14.25" customHeight="1">
      <c r="B84" s="27" t="s">
        <v>88</v>
      </c>
      <c r="C84" s="25">
        <f>-H53*C82</f>
        <v>-3236893.594</v>
      </c>
      <c r="D84" s="25">
        <f>-H53*D82</f>
        <v>-3123602.318</v>
      </c>
      <c r="E84" s="25">
        <f>-H53*E82</f>
        <v>-3014276.237</v>
      </c>
      <c r="F84" s="25">
        <f>-H53*F82</f>
        <v>-2908776.569</v>
      </c>
      <c r="G84" s="25">
        <f>-H53*G82</f>
        <v>-2806969.389</v>
      </c>
      <c r="H84" s="25">
        <f>-H53*H82</f>
        <v>-2708725.46</v>
      </c>
      <c r="I84" s="25">
        <f>-H53*I82</f>
        <v>-2613920.069</v>
      </c>
      <c r="J84" s="25">
        <f>-H53*J82</f>
        <v>-2522432.867</v>
      </c>
      <c r="K84" s="25">
        <f>-H53*K82</f>
        <v>-2434147.717</v>
      </c>
      <c r="L84" s="25">
        <f>-H53*L82</f>
        <v>-2348952.546</v>
      </c>
      <c r="M84" s="25">
        <f>-H53*M82</f>
        <v>-2266739.207</v>
      </c>
      <c r="N84" s="25">
        <f>-H53*N82</f>
        <v>-2187403.335</v>
      </c>
      <c r="O84" s="25">
        <f>-H53*O82</f>
        <v>-2110844.218</v>
      </c>
      <c r="P84" s="25">
        <f>-H53*P82</f>
        <v>-2036964.671</v>
      </c>
      <c r="Q84" s="25">
        <f>-H53*Q82</f>
        <v>-1965670.907</v>
      </c>
      <c r="R84" s="25">
        <f>-H53*R82</f>
        <v>-1896872.425</v>
      </c>
      <c r="S84" s="25">
        <f>-H53*S82</f>
        <v>-1830481.891</v>
      </c>
      <c r="T84" s="25">
        <f>-H53*T82</f>
        <v>-1766415.024</v>
      </c>
      <c r="U84" s="25">
        <f t="shared" ref="U84:AK84" si="3">-$H$53*U82</f>
        <v>-1704590.499</v>
      </c>
      <c r="V84" s="25">
        <f t="shared" si="3"/>
        <v>-1644929.831</v>
      </c>
      <c r="W84" s="25">
        <f t="shared" si="3"/>
        <v>-1587357.287</v>
      </c>
      <c r="X84" s="25">
        <f t="shared" si="3"/>
        <v>-1531799.782</v>
      </c>
      <c r="Y84" s="25">
        <f t="shared" si="3"/>
        <v>-1478186.79</v>
      </c>
      <c r="Z84" s="25">
        <f t="shared" si="3"/>
        <v>-1426450.252</v>
      </c>
      <c r="AA84" s="25">
        <f t="shared" si="3"/>
        <v>-1376524.493</v>
      </c>
      <c r="AB84" s="25">
        <f t="shared" si="3"/>
        <v>-1328346.136</v>
      </c>
      <c r="AC84" s="25">
        <f t="shared" si="3"/>
        <v>-1281854.021</v>
      </c>
      <c r="AD84" s="25">
        <f t="shared" si="3"/>
        <v>-1236989.13</v>
      </c>
      <c r="AE84" s="25">
        <f t="shared" si="3"/>
        <v>-1193694.511</v>
      </c>
      <c r="AF84" s="25">
        <f t="shared" si="3"/>
        <v>-1151915.203</v>
      </c>
      <c r="AG84" s="25">
        <f t="shared" si="3"/>
        <v>-1111598.171</v>
      </c>
      <c r="AH84" s="25">
        <f t="shared" si="3"/>
        <v>-1072692.235</v>
      </c>
      <c r="AI84" s="25">
        <f t="shared" si="3"/>
        <v>-1035148.007</v>
      </c>
      <c r="AJ84" s="25">
        <f t="shared" si="3"/>
        <v>-998917.8264</v>
      </c>
      <c r="AK84" s="25">
        <f t="shared" si="3"/>
        <v>-963955.7025</v>
      </c>
    </row>
    <row r="85" ht="14.25" customHeight="1">
      <c r="B85" s="27" t="s">
        <v>89</v>
      </c>
      <c r="C85" s="25">
        <f t="shared" ref="C85:AK85" si="4">$H$49*C82</f>
        <v>-11483500</v>
      </c>
      <c r="D85" s="25">
        <f t="shared" si="4"/>
        <v>-11081577.5</v>
      </c>
      <c r="E85" s="25">
        <f t="shared" si="4"/>
        <v>-10693722.29</v>
      </c>
      <c r="F85" s="25">
        <f t="shared" si="4"/>
        <v>-10319442.01</v>
      </c>
      <c r="G85" s="25">
        <f t="shared" si="4"/>
        <v>-9958261.537</v>
      </c>
      <c r="H85" s="25">
        <f t="shared" si="4"/>
        <v>-9609722.383</v>
      </c>
      <c r="I85" s="25">
        <f t="shared" si="4"/>
        <v>-9273382.1</v>
      </c>
      <c r="J85" s="25">
        <f t="shared" si="4"/>
        <v>-8948813.726</v>
      </c>
      <c r="K85" s="25">
        <f t="shared" si="4"/>
        <v>-8635605.246</v>
      </c>
      <c r="L85" s="25">
        <f t="shared" si="4"/>
        <v>-8333359.062</v>
      </c>
      <c r="M85" s="25">
        <f t="shared" si="4"/>
        <v>-8041691.495</v>
      </c>
      <c r="N85" s="25">
        <f t="shared" si="4"/>
        <v>-7760232.293</v>
      </c>
      <c r="O85" s="25">
        <f t="shared" si="4"/>
        <v>-7488624.163</v>
      </c>
      <c r="P85" s="25">
        <f t="shared" si="4"/>
        <v>-7226522.317</v>
      </c>
      <c r="Q85" s="25">
        <f t="shared" si="4"/>
        <v>-6973594.036</v>
      </c>
      <c r="R85" s="25">
        <f t="shared" si="4"/>
        <v>-6729518.245</v>
      </c>
      <c r="S85" s="25">
        <f t="shared" si="4"/>
        <v>-6493985.106</v>
      </c>
      <c r="T85" s="25">
        <f t="shared" si="4"/>
        <v>-6266695.627</v>
      </c>
      <c r="U85" s="25">
        <f t="shared" si="4"/>
        <v>-6047361.28</v>
      </c>
      <c r="V85" s="25">
        <f t="shared" si="4"/>
        <v>-5835703.636</v>
      </c>
      <c r="W85" s="25">
        <f t="shared" si="4"/>
        <v>-5631454.008</v>
      </c>
      <c r="X85" s="25">
        <f t="shared" si="4"/>
        <v>-5434353.118</v>
      </c>
      <c r="Y85" s="25">
        <f t="shared" si="4"/>
        <v>-5244150.759</v>
      </c>
      <c r="Z85" s="25">
        <f t="shared" si="4"/>
        <v>-5060605.482</v>
      </c>
      <c r="AA85" s="25">
        <f t="shared" si="4"/>
        <v>-4883484.29</v>
      </c>
      <c r="AB85" s="25">
        <f t="shared" si="4"/>
        <v>-4712562.34</v>
      </c>
      <c r="AC85" s="25">
        <f t="shared" si="4"/>
        <v>-4547622.658</v>
      </c>
      <c r="AD85" s="25">
        <f t="shared" si="4"/>
        <v>-4388455.865</v>
      </c>
      <c r="AE85" s="25">
        <f t="shared" si="4"/>
        <v>-4234859.91</v>
      </c>
      <c r="AF85" s="25">
        <f t="shared" si="4"/>
        <v>-4086639.813</v>
      </c>
      <c r="AG85" s="25">
        <f t="shared" si="4"/>
        <v>-3943607.42</v>
      </c>
      <c r="AH85" s="25">
        <f t="shared" si="4"/>
        <v>-3805581.16</v>
      </c>
      <c r="AI85" s="25">
        <f t="shared" si="4"/>
        <v>-3672385.819</v>
      </c>
      <c r="AJ85" s="25">
        <f t="shared" si="4"/>
        <v>-3543852.316</v>
      </c>
      <c r="AK85" s="25">
        <f t="shared" si="4"/>
        <v>-3419817.485</v>
      </c>
    </row>
    <row r="86" ht="14.25" customHeight="1"/>
    <row r="87" ht="14.25" customHeight="1">
      <c r="B87" s="28" t="s">
        <v>90</v>
      </c>
      <c r="C87" s="5">
        <f t="shared" ref="C87:AK87" si="5">sum(C83:C85)</f>
        <v>-26572332.27</v>
      </c>
      <c r="D87" s="5">
        <f t="shared" si="5"/>
        <v>-25642300.64</v>
      </c>
      <c r="E87" s="5">
        <f t="shared" si="5"/>
        <v>-24744820.12</v>
      </c>
      <c r="F87" s="5">
        <f t="shared" si="5"/>
        <v>-23878751.41</v>
      </c>
      <c r="G87" s="5">
        <f t="shared" si="5"/>
        <v>-23042995.11</v>
      </c>
      <c r="H87" s="5">
        <f t="shared" si="5"/>
        <v>-22236490.28</v>
      </c>
      <c r="I87" s="5">
        <f t="shared" si="5"/>
        <v>-21458213.12</v>
      </c>
      <c r="J87" s="5">
        <f t="shared" si="5"/>
        <v>-20707175.66</v>
      </c>
      <c r="K87" s="5">
        <f t="shared" si="5"/>
        <v>-19982424.52</v>
      </c>
      <c r="L87" s="5">
        <f t="shared" si="5"/>
        <v>-19283039.66</v>
      </c>
      <c r="M87" s="5">
        <f t="shared" si="5"/>
        <v>-18608133.27</v>
      </c>
      <c r="N87" s="5">
        <f t="shared" si="5"/>
        <v>-17956848.61</v>
      </c>
      <c r="O87" s="5">
        <f t="shared" si="5"/>
        <v>-17328358.9</v>
      </c>
      <c r="P87" s="5">
        <f t="shared" si="5"/>
        <v>-16721866.34</v>
      </c>
      <c r="Q87" s="5">
        <f t="shared" si="5"/>
        <v>-16136601.02</v>
      </c>
      <c r="R87" s="5">
        <f t="shared" si="5"/>
        <v>-15571819.98</v>
      </c>
      <c r="S87" s="5">
        <f t="shared" si="5"/>
        <v>-15026806.29</v>
      </c>
      <c r="T87" s="5">
        <f t="shared" si="5"/>
        <v>-14500868.07</v>
      </c>
      <c r="U87" s="5">
        <f t="shared" si="5"/>
        <v>-13993337.68</v>
      </c>
      <c r="V87" s="5">
        <f t="shared" si="5"/>
        <v>-13503570.86</v>
      </c>
      <c r="W87" s="5">
        <f t="shared" si="5"/>
        <v>-13030945.88</v>
      </c>
      <c r="X87" s="5">
        <f t="shared" si="5"/>
        <v>-12574862.78</v>
      </c>
      <c r="Y87" s="5">
        <f t="shared" si="5"/>
        <v>-12134742.58</v>
      </c>
      <c r="Z87" s="5">
        <f t="shared" si="5"/>
        <v>-11710026.59</v>
      </c>
      <c r="AA87" s="5">
        <f t="shared" si="5"/>
        <v>-11300175.66</v>
      </c>
      <c r="AB87" s="5">
        <f t="shared" si="5"/>
        <v>-10904669.51</v>
      </c>
      <c r="AC87" s="5">
        <f t="shared" si="5"/>
        <v>-10523006.08</v>
      </c>
      <c r="AD87" s="5">
        <f t="shared" si="5"/>
        <v>-10154700.87</v>
      </c>
      <c r="AE87" s="5">
        <f t="shared" si="5"/>
        <v>-9799286.336</v>
      </c>
      <c r="AF87" s="5">
        <f t="shared" si="5"/>
        <v>-9456311.314</v>
      </c>
      <c r="AG87" s="5">
        <f t="shared" si="5"/>
        <v>-9125340.418</v>
      </c>
      <c r="AH87" s="5">
        <f t="shared" si="5"/>
        <v>-8805953.503</v>
      </c>
      <c r="AI87" s="5">
        <f t="shared" si="5"/>
        <v>-8497745.131</v>
      </c>
      <c r="AJ87" s="5">
        <f t="shared" si="5"/>
        <v>-8200324.051</v>
      </c>
      <c r="AK87" s="5">
        <f t="shared" si="5"/>
        <v>-7913312.709</v>
      </c>
    </row>
    <row r="88" ht="14.25" customHeight="1">
      <c r="C88" s="5">
        <f t="shared" ref="C88:AK88" si="6">C87/1000000</f>
        <v>-26.57233227</v>
      </c>
      <c r="D88" s="5">
        <f t="shared" si="6"/>
        <v>-25.64230064</v>
      </c>
      <c r="E88" s="5">
        <f t="shared" si="6"/>
        <v>-24.74482012</v>
      </c>
      <c r="F88" s="5">
        <f t="shared" si="6"/>
        <v>-23.87875141</v>
      </c>
      <c r="G88" s="5">
        <f t="shared" si="6"/>
        <v>-23.04299511</v>
      </c>
      <c r="H88" s="5">
        <f t="shared" si="6"/>
        <v>-22.23649028</v>
      </c>
      <c r="I88" s="5">
        <f t="shared" si="6"/>
        <v>-21.45821312</v>
      </c>
      <c r="J88" s="5">
        <f t="shared" si="6"/>
        <v>-20.70717566</v>
      </c>
      <c r="K88" s="5">
        <f t="shared" si="6"/>
        <v>-19.98242452</v>
      </c>
      <c r="L88" s="5">
        <f t="shared" si="6"/>
        <v>-19.28303966</v>
      </c>
      <c r="M88" s="5">
        <f t="shared" si="6"/>
        <v>-18.60813327</v>
      </c>
      <c r="N88" s="5">
        <f t="shared" si="6"/>
        <v>-17.95684861</v>
      </c>
      <c r="O88" s="5">
        <f t="shared" si="6"/>
        <v>-17.3283589</v>
      </c>
      <c r="P88" s="5">
        <f t="shared" si="6"/>
        <v>-16.72186634</v>
      </c>
      <c r="Q88" s="5">
        <f t="shared" si="6"/>
        <v>-16.13660102</v>
      </c>
      <c r="R88" s="5">
        <f t="shared" si="6"/>
        <v>-15.57181998</v>
      </c>
      <c r="S88" s="5">
        <f t="shared" si="6"/>
        <v>-15.02680629</v>
      </c>
      <c r="T88" s="5">
        <f t="shared" si="6"/>
        <v>-14.50086807</v>
      </c>
      <c r="U88" s="5">
        <f t="shared" si="6"/>
        <v>-13.99333768</v>
      </c>
      <c r="V88" s="5">
        <f t="shared" si="6"/>
        <v>-13.50357086</v>
      </c>
      <c r="W88" s="5">
        <f t="shared" si="6"/>
        <v>-13.03094588</v>
      </c>
      <c r="X88" s="5">
        <f t="shared" si="6"/>
        <v>-12.57486278</v>
      </c>
      <c r="Y88" s="5">
        <f t="shared" si="6"/>
        <v>-12.13474258</v>
      </c>
      <c r="Z88" s="5">
        <f t="shared" si="6"/>
        <v>-11.71002659</v>
      </c>
      <c r="AA88" s="5">
        <f t="shared" si="6"/>
        <v>-11.30017566</v>
      </c>
      <c r="AB88" s="5">
        <f t="shared" si="6"/>
        <v>-10.90466951</v>
      </c>
      <c r="AC88" s="5">
        <f t="shared" si="6"/>
        <v>-10.52300608</v>
      </c>
      <c r="AD88" s="5">
        <f t="shared" si="6"/>
        <v>-10.15470087</v>
      </c>
      <c r="AE88" s="5">
        <f t="shared" si="6"/>
        <v>-9.799286336</v>
      </c>
      <c r="AF88" s="5">
        <f t="shared" si="6"/>
        <v>-9.456311314</v>
      </c>
      <c r="AG88" s="5">
        <f t="shared" si="6"/>
        <v>-9.125340418</v>
      </c>
      <c r="AH88" s="5">
        <f t="shared" si="6"/>
        <v>-8.805953503</v>
      </c>
      <c r="AI88" s="5">
        <f t="shared" si="6"/>
        <v>-8.497745131</v>
      </c>
      <c r="AJ88" s="5">
        <f t="shared" si="6"/>
        <v>-8.200324051</v>
      </c>
      <c r="AK88" s="5">
        <f t="shared" si="6"/>
        <v>-7.913312709</v>
      </c>
    </row>
    <row r="89" ht="14.25" customHeight="1">
      <c r="A89" s="24" t="s">
        <v>91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9"/>
      <c r="AP89" s="29"/>
    </row>
    <row r="90" ht="14.25" customHeight="1">
      <c r="A90" s="24" t="s">
        <v>92</v>
      </c>
      <c r="B90" s="26" t="s">
        <v>85</v>
      </c>
      <c r="C90" s="26">
        <v>1.0</v>
      </c>
      <c r="D90" s="26">
        <v>2.0</v>
      </c>
      <c r="E90" s="26">
        <v>3.0</v>
      </c>
      <c r="F90" s="26">
        <v>4.0</v>
      </c>
      <c r="G90" s="26">
        <v>5.0</v>
      </c>
      <c r="H90" s="26">
        <v>6.0</v>
      </c>
      <c r="I90" s="26">
        <v>7.0</v>
      </c>
      <c r="J90" s="26">
        <v>8.0</v>
      </c>
      <c r="K90" s="26">
        <v>9.0</v>
      </c>
      <c r="L90" s="26">
        <v>10.0</v>
      </c>
      <c r="M90" s="26">
        <v>11.0</v>
      </c>
      <c r="N90" s="26">
        <v>12.0</v>
      </c>
      <c r="O90" s="26">
        <v>13.0</v>
      </c>
      <c r="P90" s="26">
        <v>14.0</v>
      </c>
      <c r="Q90" s="26">
        <v>15.0</v>
      </c>
      <c r="R90" s="26">
        <v>16.0</v>
      </c>
      <c r="S90" s="26">
        <v>17.0</v>
      </c>
      <c r="T90" s="26">
        <v>18.0</v>
      </c>
      <c r="U90" s="26">
        <v>19.0</v>
      </c>
      <c r="V90" s="26">
        <v>20.0</v>
      </c>
      <c r="W90" s="26">
        <v>21.0</v>
      </c>
      <c r="X90" s="26">
        <v>22.0</v>
      </c>
      <c r="Y90" s="26">
        <v>23.0</v>
      </c>
      <c r="Z90" s="26">
        <v>24.0</v>
      </c>
      <c r="AA90" s="26">
        <v>25.0</v>
      </c>
      <c r="AB90" s="26">
        <v>26.0</v>
      </c>
      <c r="AC90" s="26">
        <v>27.0</v>
      </c>
      <c r="AD90" s="26">
        <v>28.0</v>
      </c>
      <c r="AE90" s="26">
        <v>29.0</v>
      </c>
      <c r="AF90" s="26">
        <v>30.0</v>
      </c>
      <c r="AG90" s="26">
        <v>31.0</v>
      </c>
      <c r="AH90" s="26">
        <v>32.0</v>
      </c>
      <c r="AI90" s="26">
        <v>33.0</v>
      </c>
      <c r="AJ90" s="26">
        <v>34.0</v>
      </c>
      <c r="AK90" s="26">
        <v>35.0</v>
      </c>
      <c r="AL90" s="25"/>
      <c r="AM90" s="25"/>
      <c r="AN90" s="25"/>
      <c r="AO90" s="29"/>
      <c r="AP90" s="29"/>
    </row>
    <row r="91" ht="14.25" customHeight="1">
      <c r="A91" s="24" t="s">
        <v>93</v>
      </c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9"/>
      <c r="AP91" s="29"/>
    </row>
    <row r="92" ht="14.25" customHeight="1">
      <c r="A92" s="6" t="s">
        <v>94</v>
      </c>
      <c r="B92" s="15" t="s">
        <v>86</v>
      </c>
      <c r="C92" s="15">
        <v>0.965</v>
      </c>
      <c r="D92" s="5">
        <f t="shared" ref="D92:AK92" si="7">C92*0.965</f>
        <v>0.931225</v>
      </c>
      <c r="E92" s="5">
        <f t="shared" si="7"/>
        <v>0.898632125</v>
      </c>
      <c r="F92" s="5">
        <f t="shared" si="7"/>
        <v>0.8671800006</v>
      </c>
      <c r="G92" s="5">
        <f t="shared" si="7"/>
        <v>0.8368287006</v>
      </c>
      <c r="H92" s="5">
        <f t="shared" si="7"/>
        <v>0.8075396961</v>
      </c>
      <c r="I92" s="5">
        <f t="shared" si="7"/>
        <v>0.7792758067</v>
      </c>
      <c r="J92" s="5">
        <f t="shared" si="7"/>
        <v>0.7520011535</v>
      </c>
      <c r="K92" s="5">
        <f t="shared" si="7"/>
        <v>0.7256811131</v>
      </c>
      <c r="L92" s="5">
        <f t="shared" si="7"/>
        <v>0.7002822742</v>
      </c>
      <c r="M92" s="5">
        <f t="shared" si="7"/>
        <v>0.6757723946</v>
      </c>
      <c r="N92" s="5">
        <f t="shared" si="7"/>
        <v>0.6521203607</v>
      </c>
      <c r="O92" s="5">
        <f t="shared" si="7"/>
        <v>0.6292961481</v>
      </c>
      <c r="P92" s="5">
        <f t="shared" si="7"/>
        <v>0.6072707829</v>
      </c>
      <c r="Q92" s="5">
        <f t="shared" si="7"/>
        <v>0.5860163055</v>
      </c>
      <c r="R92" s="5">
        <f t="shared" si="7"/>
        <v>0.5655057348</v>
      </c>
      <c r="S92" s="5">
        <f t="shared" si="7"/>
        <v>0.5457130341</v>
      </c>
      <c r="T92" s="5">
        <f t="shared" si="7"/>
        <v>0.5266130779</v>
      </c>
      <c r="U92" s="5">
        <f t="shared" si="7"/>
        <v>0.5081816202</v>
      </c>
      <c r="V92" s="5">
        <f t="shared" si="7"/>
        <v>0.4903952635</v>
      </c>
      <c r="W92" s="5">
        <f t="shared" si="7"/>
        <v>0.4732314293</v>
      </c>
      <c r="X92" s="5">
        <f t="shared" si="7"/>
        <v>0.4566683292</v>
      </c>
      <c r="Y92" s="5">
        <f t="shared" si="7"/>
        <v>0.4406849377</v>
      </c>
      <c r="Z92" s="5">
        <f t="shared" si="7"/>
        <v>0.4252609649</v>
      </c>
      <c r="AA92" s="5">
        <f t="shared" si="7"/>
        <v>0.4103768311</v>
      </c>
      <c r="AB92" s="5">
        <f t="shared" si="7"/>
        <v>0.396013642</v>
      </c>
      <c r="AC92" s="5">
        <f t="shared" si="7"/>
        <v>0.3821531646</v>
      </c>
      <c r="AD92" s="5">
        <f t="shared" si="7"/>
        <v>0.3687778038</v>
      </c>
      <c r="AE92" s="5">
        <f t="shared" si="7"/>
        <v>0.3558705807</v>
      </c>
      <c r="AF92" s="5">
        <f t="shared" si="7"/>
        <v>0.3434151104</v>
      </c>
      <c r="AG92" s="5">
        <f t="shared" si="7"/>
        <v>0.3313955815</v>
      </c>
      <c r="AH92" s="5">
        <f t="shared" si="7"/>
        <v>0.3197967361</v>
      </c>
      <c r="AI92" s="5">
        <f t="shared" si="7"/>
        <v>0.3086038504</v>
      </c>
      <c r="AJ92" s="5">
        <f t="shared" si="7"/>
        <v>0.2978027156</v>
      </c>
      <c r="AK92" s="5">
        <f t="shared" si="7"/>
        <v>0.2873796206</v>
      </c>
      <c r="AL92" s="25"/>
      <c r="AM92" s="25"/>
      <c r="AN92" s="25"/>
      <c r="AO92" s="29"/>
      <c r="AP92" s="29"/>
    </row>
    <row r="93" ht="14.25" customHeight="1">
      <c r="A93" s="25"/>
      <c r="B93" s="30" t="s">
        <v>95</v>
      </c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9"/>
      <c r="AP93" s="29"/>
    </row>
    <row r="94" ht="14.25" customHeight="1">
      <c r="A94" s="2"/>
      <c r="B94" s="31" t="s">
        <v>96</v>
      </c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9"/>
      <c r="AP94" s="29"/>
    </row>
    <row r="95" ht="14.25" customHeight="1">
      <c r="B95" s="27" t="s">
        <v>97</v>
      </c>
      <c r="C95" s="25">
        <f t="shared" ref="C95:AK95" si="8">-$C$15/35 *C92</f>
        <v>-1861071.429</v>
      </c>
      <c r="D95" s="25">
        <f t="shared" si="8"/>
        <v>-1795933.929</v>
      </c>
      <c r="E95" s="25">
        <f t="shared" si="8"/>
        <v>-1733076.241</v>
      </c>
      <c r="F95" s="25">
        <f t="shared" si="8"/>
        <v>-1672418.573</v>
      </c>
      <c r="G95" s="25">
        <f t="shared" si="8"/>
        <v>-1613883.923</v>
      </c>
      <c r="H95" s="25">
        <f t="shared" si="8"/>
        <v>-1557397.985</v>
      </c>
      <c r="I95" s="25">
        <f t="shared" si="8"/>
        <v>-1502889.056</v>
      </c>
      <c r="J95" s="25">
        <f t="shared" si="8"/>
        <v>-1450287.939</v>
      </c>
      <c r="K95" s="25">
        <f t="shared" si="8"/>
        <v>-1399527.861</v>
      </c>
      <c r="L95" s="25">
        <f t="shared" si="8"/>
        <v>-1350544.386</v>
      </c>
      <c r="M95" s="25">
        <f t="shared" si="8"/>
        <v>-1303275.332</v>
      </c>
      <c r="N95" s="25">
        <f t="shared" si="8"/>
        <v>-1257660.696</v>
      </c>
      <c r="O95" s="25">
        <f t="shared" si="8"/>
        <v>-1213642.571</v>
      </c>
      <c r="P95" s="25">
        <f t="shared" si="8"/>
        <v>-1171165.081</v>
      </c>
      <c r="Q95" s="25">
        <f t="shared" si="8"/>
        <v>-1130174.304</v>
      </c>
      <c r="R95" s="25">
        <f t="shared" si="8"/>
        <v>-1090618.203</v>
      </c>
      <c r="S95" s="25">
        <f t="shared" si="8"/>
        <v>-1052446.566</v>
      </c>
      <c r="T95" s="25">
        <f t="shared" si="8"/>
        <v>-1015610.936</v>
      </c>
      <c r="U95" s="25">
        <f t="shared" si="8"/>
        <v>-980064.5532</v>
      </c>
      <c r="V95" s="25">
        <f t="shared" si="8"/>
        <v>-945762.2939</v>
      </c>
      <c r="W95" s="25">
        <f t="shared" si="8"/>
        <v>-912660.6136</v>
      </c>
      <c r="X95" s="25">
        <f t="shared" si="8"/>
        <v>-880717.4921</v>
      </c>
      <c r="Y95" s="25">
        <f t="shared" si="8"/>
        <v>-849892.3799</v>
      </c>
      <c r="Z95" s="25">
        <f t="shared" si="8"/>
        <v>-820146.1466</v>
      </c>
      <c r="AA95" s="25">
        <f t="shared" si="8"/>
        <v>-791441.0315</v>
      </c>
      <c r="AB95" s="25">
        <f t="shared" si="8"/>
        <v>-763740.5954</v>
      </c>
      <c r="AC95" s="25">
        <f t="shared" si="8"/>
        <v>-737009.6745</v>
      </c>
      <c r="AD95" s="25">
        <f t="shared" si="8"/>
        <v>-711214.3359</v>
      </c>
      <c r="AE95" s="25">
        <f t="shared" si="8"/>
        <v>-686321.8342</v>
      </c>
      <c r="AF95" s="25">
        <f t="shared" si="8"/>
        <v>-662300.57</v>
      </c>
      <c r="AG95" s="25">
        <f t="shared" si="8"/>
        <v>-639120.05</v>
      </c>
      <c r="AH95" s="25">
        <f t="shared" si="8"/>
        <v>-616750.8483</v>
      </c>
      <c r="AI95" s="25">
        <f t="shared" si="8"/>
        <v>-595164.5686</v>
      </c>
      <c r="AJ95" s="25">
        <f t="shared" si="8"/>
        <v>-574333.8087</v>
      </c>
      <c r="AK95" s="25">
        <f t="shared" si="8"/>
        <v>-554232.1254</v>
      </c>
      <c r="AL95" s="25"/>
      <c r="AM95" s="25"/>
      <c r="AN95" s="25"/>
      <c r="AO95" s="29"/>
      <c r="AP95" s="29"/>
    </row>
    <row r="96" ht="14.25" customHeight="1">
      <c r="A96" s="6"/>
      <c r="B96" s="27" t="s">
        <v>98</v>
      </c>
      <c r="C96" s="25">
        <f t="shared" ref="C96:AK96" si="9">-$D$30/12 *C92</f>
        <v>-1459080</v>
      </c>
      <c r="D96" s="25">
        <f t="shared" si="9"/>
        <v>-1408012.2</v>
      </c>
      <c r="E96" s="25">
        <f t="shared" si="9"/>
        <v>-1358731.773</v>
      </c>
      <c r="F96" s="25">
        <f t="shared" si="9"/>
        <v>-1311176.161</v>
      </c>
      <c r="G96" s="25">
        <f t="shared" si="9"/>
        <v>-1265284.995</v>
      </c>
      <c r="H96" s="25">
        <f t="shared" si="9"/>
        <v>-1221000.02</v>
      </c>
      <c r="I96" s="25">
        <f t="shared" si="9"/>
        <v>-1178265.02</v>
      </c>
      <c r="J96" s="25">
        <f t="shared" si="9"/>
        <v>-1137025.744</v>
      </c>
      <c r="K96" s="25">
        <f t="shared" si="9"/>
        <v>-1097229.843</v>
      </c>
      <c r="L96" s="25">
        <f t="shared" si="9"/>
        <v>-1058826.799</v>
      </c>
      <c r="M96" s="25">
        <f t="shared" si="9"/>
        <v>-1021767.861</v>
      </c>
      <c r="N96" s="25">
        <f t="shared" si="9"/>
        <v>-986005.9855</v>
      </c>
      <c r="O96" s="25">
        <f t="shared" si="9"/>
        <v>-951495.776</v>
      </c>
      <c r="P96" s="25">
        <f t="shared" si="9"/>
        <v>-918193.4238</v>
      </c>
      <c r="Q96" s="25">
        <f t="shared" si="9"/>
        <v>-886056.654</v>
      </c>
      <c r="R96" s="25">
        <f t="shared" si="9"/>
        <v>-855044.6711</v>
      </c>
      <c r="S96" s="25">
        <f t="shared" si="9"/>
        <v>-825118.1076</v>
      </c>
      <c r="T96" s="25">
        <f t="shared" si="9"/>
        <v>-796238.9738</v>
      </c>
      <c r="U96" s="25">
        <f t="shared" si="9"/>
        <v>-768370.6097</v>
      </c>
      <c r="V96" s="25">
        <f t="shared" si="9"/>
        <v>-741477.6384</v>
      </c>
      <c r="W96" s="25">
        <f t="shared" si="9"/>
        <v>-715525.9211</v>
      </c>
      <c r="X96" s="25">
        <f t="shared" si="9"/>
        <v>-690482.5138</v>
      </c>
      <c r="Y96" s="25">
        <f t="shared" si="9"/>
        <v>-666315.6258</v>
      </c>
      <c r="Z96" s="25">
        <f t="shared" si="9"/>
        <v>-642994.5789</v>
      </c>
      <c r="AA96" s="25">
        <f t="shared" si="9"/>
        <v>-620489.7687</v>
      </c>
      <c r="AB96" s="25">
        <f t="shared" si="9"/>
        <v>-598772.6268</v>
      </c>
      <c r="AC96" s="25">
        <f t="shared" si="9"/>
        <v>-577815.5848</v>
      </c>
      <c r="AD96" s="25">
        <f t="shared" si="9"/>
        <v>-557592.0394</v>
      </c>
      <c r="AE96" s="25">
        <f t="shared" si="9"/>
        <v>-538076.318</v>
      </c>
      <c r="AF96" s="25">
        <f t="shared" si="9"/>
        <v>-519243.6469</v>
      </c>
      <c r="AG96" s="25">
        <f t="shared" si="9"/>
        <v>-501070.1192</v>
      </c>
      <c r="AH96" s="25">
        <f t="shared" si="9"/>
        <v>-483532.665</v>
      </c>
      <c r="AI96" s="25">
        <f t="shared" si="9"/>
        <v>-466609.0218</v>
      </c>
      <c r="AJ96" s="25">
        <f t="shared" si="9"/>
        <v>-450277.706</v>
      </c>
      <c r="AK96" s="25">
        <f t="shared" si="9"/>
        <v>-434517.9863</v>
      </c>
      <c r="AL96" s="25"/>
      <c r="AM96" s="25"/>
      <c r="AN96" s="25"/>
      <c r="AO96" s="29"/>
      <c r="AP96" s="29"/>
    </row>
    <row r="97" ht="14.25" customHeight="1">
      <c r="B97" s="27" t="s">
        <v>99</v>
      </c>
      <c r="C97" s="27">
        <f t="shared" ref="C97:AK97" si="10">-1160.64/10 *C92</f>
        <v>-112.00176</v>
      </c>
      <c r="D97" s="27">
        <f t="shared" si="10"/>
        <v>-108.0816984</v>
      </c>
      <c r="E97" s="27">
        <f t="shared" si="10"/>
        <v>-104.298839</v>
      </c>
      <c r="F97" s="27">
        <f t="shared" si="10"/>
        <v>-100.6483796</v>
      </c>
      <c r="G97" s="27">
        <f t="shared" si="10"/>
        <v>-97.12568631</v>
      </c>
      <c r="H97" s="27">
        <f t="shared" si="10"/>
        <v>-93.72628729</v>
      </c>
      <c r="I97" s="27">
        <f t="shared" si="10"/>
        <v>-90.44586723</v>
      </c>
      <c r="J97" s="27">
        <f t="shared" si="10"/>
        <v>-87.28026188</v>
      </c>
      <c r="K97" s="27">
        <f t="shared" si="10"/>
        <v>-84.22545271</v>
      </c>
      <c r="L97" s="27">
        <f t="shared" si="10"/>
        <v>-81.27756187</v>
      </c>
      <c r="M97" s="27">
        <f t="shared" si="10"/>
        <v>-78.4328472</v>
      </c>
      <c r="N97" s="27">
        <f t="shared" si="10"/>
        <v>-75.68769755</v>
      </c>
      <c r="O97" s="27">
        <f t="shared" si="10"/>
        <v>-73.03862814</v>
      </c>
      <c r="P97" s="27">
        <f t="shared" si="10"/>
        <v>-70.48227615</v>
      </c>
      <c r="Q97" s="27">
        <f t="shared" si="10"/>
        <v>-68.01539649</v>
      </c>
      <c r="R97" s="27">
        <f t="shared" si="10"/>
        <v>-65.63485761</v>
      </c>
      <c r="S97" s="27">
        <f t="shared" si="10"/>
        <v>-63.33763759</v>
      </c>
      <c r="T97" s="27">
        <f t="shared" si="10"/>
        <v>-61.12082028</v>
      </c>
      <c r="U97" s="27">
        <f t="shared" si="10"/>
        <v>-58.98159157</v>
      </c>
      <c r="V97" s="27">
        <f t="shared" si="10"/>
        <v>-56.91723586</v>
      </c>
      <c r="W97" s="27">
        <f t="shared" si="10"/>
        <v>-54.92513261</v>
      </c>
      <c r="X97" s="27">
        <f t="shared" si="10"/>
        <v>-53.00275297</v>
      </c>
      <c r="Y97" s="27">
        <f t="shared" si="10"/>
        <v>-51.14765661</v>
      </c>
      <c r="Z97" s="27">
        <f t="shared" si="10"/>
        <v>-49.35748863</v>
      </c>
      <c r="AA97" s="27">
        <f t="shared" si="10"/>
        <v>-47.62997653</v>
      </c>
      <c r="AB97" s="27">
        <f t="shared" si="10"/>
        <v>-45.96292735</v>
      </c>
      <c r="AC97" s="27">
        <f t="shared" si="10"/>
        <v>-44.35422489</v>
      </c>
      <c r="AD97" s="27">
        <f t="shared" si="10"/>
        <v>-42.80182702</v>
      </c>
      <c r="AE97" s="27">
        <f t="shared" si="10"/>
        <v>-41.30376308</v>
      </c>
      <c r="AF97" s="27">
        <f t="shared" si="10"/>
        <v>-39.85813137</v>
      </c>
      <c r="AG97" s="27">
        <f t="shared" si="10"/>
        <v>-38.46309677</v>
      </c>
      <c r="AH97" s="27">
        <f t="shared" si="10"/>
        <v>-37.11688838</v>
      </c>
      <c r="AI97" s="27">
        <f t="shared" si="10"/>
        <v>-35.81779729</v>
      </c>
      <c r="AJ97" s="27">
        <f t="shared" si="10"/>
        <v>-34.56417438</v>
      </c>
      <c r="AK97" s="27">
        <f t="shared" si="10"/>
        <v>-33.35442828</v>
      </c>
      <c r="AL97" s="25"/>
      <c r="AM97" s="25"/>
      <c r="AN97" s="25"/>
      <c r="AO97" s="29"/>
      <c r="AP97" s="29"/>
    </row>
    <row r="98" ht="14.25" customHeight="1"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9"/>
      <c r="AP98" s="29"/>
    </row>
    <row r="99" ht="14.25" customHeight="1">
      <c r="B99" s="31" t="s">
        <v>100</v>
      </c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9"/>
      <c r="AP99" s="29"/>
    </row>
    <row r="100" ht="14.25" customHeight="1">
      <c r="B100" s="27" t="s">
        <v>101</v>
      </c>
      <c r="C100" s="25">
        <f t="shared" ref="C100:K100" si="11">$E$70*(C90*40/399) *C92</f>
        <v>-909607.2045</v>
      </c>
      <c r="D100" s="25">
        <f t="shared" si="11"/>
        <v>-1755541.905</v>
      </c>
      <c r="E100" s="25">
        <f t="shared" si="11"/>
        <v>-2541146.907</v>
      </c>
      <c r="F100" s="25">
        <f t="shared" si="11"/>
        <v>-3269609.02</v>
      </c>
      <c r="G100" s="25">
        <f t="shared" si="11"/>
        <v>-3943965.881</v>
      </c>
      <c r="H100" s="25">
        <f t="shared" si="11"/>
        <v>-4567112.49</v>
      </c>
      <c r="I100" s="25">
        <f t="shared" si="11"/>
        <v>-5141807.478</v>
      </c>
      <c r="J100" s="25">
        <f t="shared" si="11"/>
        <v>-5670679.104</v>
      </c>
      <c r="K100" s="25">
        <f t="shared" si="11"/>
        <v>-6156231.003</v>
      </c>
      <c r="L100" s="25">
        <f t="shared" ref="L100:AK100" si="12">$E$70*L92</f>
        <v>-6584345.567</v>
      </c>
      <c r="M100" s="25">
        <f t="shared" si="12"/>
        <v>-6353893.472</v>
      </c>
      <c r="N100" s="25">
        <f t="shared" si="12"/>
        <v>-6131507.201</v>
      </c>
      <c r="O100" s="25">
        <f t="shared" si="12"/>
        <v>-5916904.449</v>
      </c>
      <c r="P100" s="25">
        <f t="shared" si="12"/>
        <v>-5709812.793</v>
      </c>
      <c r="Q100" s="25">
        <f t="shared" si="12"/>
        <v>-5509969.345</v>
      </c>
      <c r="R100" s="25">
        <f t="shared" si="12"/>
        <v>-5317120.418</v>
      </c>
      <c r="S100" s="25">
        <f t="shared" si="12"/>
        <v>-5131021.204</v>
      </c>
      <c r="T100" s="25">
        <f t="shared" si="12"/>
        <v>-4951435.461</v>
      </c>
      <c r="U100" s="25">
        <f t="shared" si="12"/>
        <v>-4778135.22</v>
      </c>
      <c r="V100" s="25">
        <f t="shared" si="12"/>
        <v>-4610900.488</v>
      </c>
      <c r="W100" s="25">
        <f t="shared" si="12"/>
        <v>-4449518.971</v>
      </c>
      <c r="X100" s="25">
        <f t="shared" si="12"/>
        <v>-4293785.807</v>
      </c>
      <c r="Y100" s="25">
        <f t="shared" si="12"/>
        <v>-4143503.303</v>
      </c>
      <c r="Z100" s="25">
        <f t="shared" si="12"/>
        <v>-3998480.688</v>
      </c>
      <c r="AA100" s="25">
        <f t="shared" si="12"/>
        <v>-3858533.864</v>
      </c>
      <c r="AB100" s="25">
        <f t="shared" si="12"/>
        <v>-3723485.178</v>
      </c>
      <c r="AC100" s="25">
        <f t="shared" si="12"/>
        <v>-3593163.197</v>
      </c>
      <c r="AD100" s="25">
        <f t="shared" si="12"/>
        <v>-3467402.485</v>
      </c>
      <c r="AE100" s="25">
        <f t="shared" si="12"/>
        <v>-3346043.398</v>
      </c>
      <c r="AF100" s="25">
        <f t="shared" si="12"/>
        <v>-3228931.879</v>
      </c>
      <c r="AG100" s="25">
        <f t="shared" si="12"/>
        <v>-3115919.264</v>
      </c>
      <c r="AH100" s="25">
        <f t="shared" si="12"/>
        <v>-3006862.089</v>
      </c>
      <c r="AI100" s="25">
        <f t="shared" si="12"/>
        <v>-2901621.916</v>
      </c>
      <c r="AJ100" s="25">
        <f t="shared" si="12"/>
        <v>-2800065.149</v>
      </c>
      <c r="AK100" s="25">
        <f t="shared" si="12"/>
        <v>-2702062.869</v>
      </c>
      <c r="AL100" s="25"/>
      <c r="AM100" s="25"/>
      <c r="AN100" s="25"/>
      <c r="AO100" s="29"/>
      <c r="AP100" s="29"/>
    </row>
    <row r="101" ht="14.25" customHeight="1">
      <c r="B101" s="25" t="s">
        <v>87</v>
      </c>
      <c r="C101" s="25">
        <f t="shared" ref="C101:K101" si="13">-$H$70*(1-(C90*40/399)) *C92</f>
        <v>-10663774.4</v>
      </c>
      <c r="D101" s="25">
        <f t="shared" si="13"/>
        <v>-9143963.763</v>
      </c>
      <c r="E101" s="25">
        <f t="shared" si="13"/>
        <v>-7717476.752</v>
      </c>
      <c r="F101" s="25">
        <f t="shared" si="13"/>
        <v>-6379642.475</v>
      </c>
      <c r="G101" s="25">
        <f t="shared" si="13"/>
        <v>-5126002.689</v>
      </c>
      <c r="H101" s="25">
        <f t="shared" si="13"/>
        <v>-3952302.626</v>
      </c>
      <c r="I101" s="25">
        <f t="shared" si="13"/>
        <v>-2854482.214</v>
      </c>
      <c r="J101" s="25">
        <f t="shared" si="13"/>
        <v>-1828667.661</v>
      </c>
      <c r="K101" s="25">
        <f t="shared" si="13"/>
        <v>-871163.3849</v>
      </c>
      <c r="L101" s="27">
        <v>0.0</v>
      </c>
      <c r="M101" s="27">
        <v>0.0</v>
      </c>
      <c r="N101" s="27">
        <v>0.0</v>
      </c>
      <c r="O101" s="27">
        <v>0.0</v>
      </c>
      <c r="P101" s="27">
        <v>0.0</v>
      </c>
      <c r="Q101" s="25">
        <v>0.0</v>
      </c>
      <c r="R101" s="25">
        <v>0.0</v>
      </c>
      <c r="S101" s="25">
        <v>0.0</v>
      </c>
      <c r="T101" s="25">
        <v>0.0</v>
      </c>
      <c r="U101" s="25">
        <v>0.0</v>
      </c>
      <c r="V101" s="25">
        <v>0.0</v>
      </c>
      <c r="W101" s="25">
        <v>0.0</v>
      </c>
      <c r="X101" s="25">
        <v>0.0</v>
      </c>
      <c r="Y101" s="25">
        <v>0.0</v>
      </c>
      <c r="Z101" s="25">
        <v>0.0</v>
      </c>
      <c r="AA101" s="25">
        <v>0.0</v>
      </c>
      <c r="AB101" s="25">
        <v>0.0</v>
      </c>
      <c r="AC101" s="25">
        <v>0.0</v>
      </c>
      <c r="AD101" s="25">
        <v>0.0</v>
      </c>
      <c r="AE101" s="25">
        <v>0.0</v>
      </c>
      <c r="AF101" s="25">
        <v>0.0</v>
      </c>
      <c r="AG101" s="25">
        <v>0.0</v>
      </c>
      <c r="AH101" s="25">
        <v>0.0</v>
      </c>
      <c r="AI101" s="25">
        <v>0.0</v>
      </c>
      <c r="AJ101" s="25">
        <v>0.0</v>
      </c>
      <c r="AK101" s="25">
        <v>0.0</v>
      </c>
      <c r="AL101" s="25"/>
      <c r="AM101" s="25"/>
      <c r="AN101" s="25"/>
      <c r="AO101" s="29"/>
      <c r="AP101" s="29"/>
    </row>
    <row r="102" ht="14.25" customHeight="1">
      <c r="B102" s="32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9"/>
      <c r="AP102" s="29"/>
    </row>
    <row r="103" ht="14.25" customHeight="1">
      <c r="B103" s="31" t="s">
        <v>102</v>
      </c>
      <c r="C103" s="25">
        <f t="shared" ref="C103:AK103" si="14">sum(C95:C102)</f>
        <v>-14893645.03</v>
      </c>
      <c r="D103" s="25">
        <f t="shared" si="14"/>
        <v>-14103559.88</v>
      </c>
      <c r="E103" s="25">
        <f t="shared" si="14"/>
        <v>-13350535.97</v>
      </c>
      <c r="F103" s="25">
        <f t="shared" si="14"/>
        <v>-12632946.88</v>
      </c>
      <c r="G103" s="25">
        <f t="shared" si="14"/>
        <v>-11949234.61</v>
      </c>
      <c r="H103" s="25">
        <f t="shared" si="14"/>
        <v>-11297906.85</v>
      </c>
      <c r="I103" s="25">
        <f t="shared" si="14"/>
        <v>-10677534.21</v>
      </c>
      <c r="J103" s="25">
        <f t="shared" si="14"/>
        <v>-10086747.73</v>
      </c>
      <c r="K103" s="25">
        <f t="shared" si="14"/>
        <v>-9524236.317</v>
      </c>
      <c r="L103" s="25">
        <f t="shared" si="14"/>
        <v>-8993798.029</v>
      </c>
      <c r="M103" s="25">
        <f t="shared" si="14"/>
        <v>-8679015.098</v>
      </c>
      <c r="N103" s="25">
        <f t="shared" si="14"/>
        <v>-8375249.57</v>
      </c>
      <c r="O103" s="25">
        <f t="shared" si="14"/>
        <v>-8082115.835</v>
      </c>
      <c r="P103" s="25">
        <f t="shared" si="14"/>
        <v>-7799241.78</v>
      </c>
      <c r="Q103" s="25">
        <f t="shared" si="14"/>
        <v>-7526268.318</v>
      </c>
      <c r="R103" s="25">
        <f t="shared" si="14"/>
        <v>-7262848.927</v>
      </c>
      <c r="S103" s="25">
        <f t="shared" si="14"/>
        <v>-7008649.215</v>
      </c>
      <c r="T103" s="25">
        <f t="shared" si="14"/>
        <v>-6763346.492</v>
      </c>
      <c r="U103" s="25">
        <f t="shared" si="14"/>
        <v>-6526629.365</v>
      </c>
      <c r="V103" s="25">
        <f t="shared" si="14"/>
        <v>-6298197.337</v>
      </c>
      <c r="W103" s="25">
        <f t="shared" si="14"/>
        <v>-6077760.43</v>
      </c>
      <c r="X103" s="25">
        <f t="shared" si="14"/>
        <v>-5865038.815</v>
      </c>
      <c r="Y103" s="25">
        <f t="shared" si="14"/>
        <v>-5659762.457</v>
      </c>
      <c r="Z103" s="25">
        <f t="shared" si="14"/>
        <v>-5461670.771</v>
      </c>
      <c r="AA103" s="25">
        <f t="shared" si="14"/>
        <v>-5270512.294</v>
      </c>
      <c r="AB103" s="25">
        <f t="shared" si="14"/>
        <v>-5086044.363</v>
      </c>
      <c r="AC103" s="25">
        <f t="shared" si="14"/>
        <v>-4908032.811</v>
      </c>
      <c r="AD103" s="25">
        <f t="shared" si="14"/>
        <v>-4736251.662</v>
      </c>
      <c r="AE103" s="25">
        <f t="shared" si="14"/>
        <v>-4570482.854</v>
      </c>
      <c r="AF103" s="25">
        <f t="shared" si="14"/>
        <v>-4410515.954</v>
      </c>
      <c r="AG103" s="25">
        <f t="shared" si="14"/>
        <v>-4256147.896</v>
      </c>
      <c r="AH103" s="25">
        <f t="shared" si="14"/>
        <v>-4107182.72</v>
      </c>
      <c r="AI103" s="25">
        <f t="shared" si="14"/>
        <v>-3963431.324</v>
      </c>
      <c r="AJ103" s="25">
        <f t="shared" si="14"/>
        <v>-3824711.228</v>
      </c>
      <c r="AK103" s="25">
        <f t="shared" si="14"/>
        <v>-3690846.335</v>
      </c>
      <c r="AL103" s="25"/>
      <c r="AM103" s="25"/>
      <c r="AN103" s="25"/>
      <c r="AO103" s="29"/>
      <c r="AP103" s="29"/>
    </row>
    <row r="104" ht="14.25" customHeight="1">
      <c r="B104" s="32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9"/>
      <c r="AP104" s="29"/>
    </row>
    <row r="105" ht="14.25" customHeight="1">
      <c r="B105" s="32" t="s">
        <v>103</v>
      </c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9"/>
      <c r="AP105" s="29"/>
    </row>
    <row r="106" ht="14.25" customHeight="1">
      <c r="B106" s="27" t="s">
        <v>104</v>
      </c>
      <c r="C106" s="27">
        <f t="shared" ref="C106:AK106" si="15">-195534*C92</f>
        <v>-188690.31</v>
      </c>
      <c r="D106" s="27">
        <f t="shared" si="15"/>
        <v>-182086.1492</v>
      </c>
      <c r="E106" s="27">
        <f t="shared" si="15"/>
        <v>-175713.1339</v>
      </c>
      <c r="F106" s="27">
        <f t="shared" si="15"/>
        <v>-169563.1742</v>
      </c>
      <c r="G106" s="27">
        <f t="shared" si="15"/>
        <v>-163628.4631</v>
      </c>
      <c r="H106" s="27">
        <f t="shared" si="15"/>
        <v>-157901.4669</v>
      </c>
      <c r="I106" s="27">
        <f t="shared" si="15"/>
        <v>-152374.9156</v>
      </c>
      <c r="J106" s="27">
        <f t="shared" si="15"/>
        <v>-147041.7935</v>
      </c>
      <c r="K106" s="27">
        <f t="shared" si="15"/>
        <v>-141895.3308</v>
      </c>
      <c r="L106" s="27">
        <f t="shared" si="15"/>
        <v>-136928.9942</v>
      </c>
      <c r="M106" s="27">
        <f t="shared" si="15"/>
        <v>-132136.4794</v>
      </c>
      <c r="N106" s="27">
        <f t="shared" si="15"/>
        <v>-127511.7026</v>
      </c>
      <c r="O106" s="27">
        <f t="shared" si="15"/>
        <v>-123048.793</v>
      </c>
      <c r="P106" s="27">
        <f t="shared" si="15"/>
        <v>-118742.0853</v>
      </c>
      <c r="Q106" s="27">
        <f t="shared" si="15"/>
        <v>-114586.1123</v>
      </c>
      <c r="R106" s="27">
        <f t="shared" si="15"/>
        <v>-110575.5984</v>
      </c>
      <c r="S106" s="27">
        <f t="shared" si="15"/>
        <v>-106705.4524</v>
      </c>
      <c r="T106" s="27">
        <f t="shared" si="15"/>
        <v>-102970.7616</v>
      </c>
      <c r="U106" s="27">
        <f t="shared" si="15"/>
        <v>-99366.78492</v>
      </c>
      <c r="V106" s="27">
        <f t="shared" si="15"/>
        <v>-95888.94745</v>
      </c>
      <c r="W106" s="27">
        <f t="shared" si="15"/>
        <v>-92532.83429</v>
      </c>
      <c r="X106" s="27">
        <f t="shared" si="15"/>
        <v>-89294.18509</v>
      </c>
      <c r="Y106" s="27">
        <f t="shared" si="15"/>
        <v>-86168.88861</v>
      </c>
      <c r="Z106" s="27">
        <f t="shared" si="15"/>
        <v>-83152.97751</v>
      </c>
      <c r="AA106" s="27">
        <f t="shared" si="15"/>
        <v>-80242.6233</v>
      </c>
      <c r="AB106" s="27">
        <f t="shared" si="15"/>
        <v>-77434.13148</v>
      </c>
      <c r="AC106" s="27">
        <f t="shared" si="15"/>
        <v>-74723.93688</v>
      </c>
      <c r="AD106" s="27">
        <f t="shared" si="15"/>
        <v>-72108.59909</v>
      </c>
      <c r="AE106" s="27">
        <f t="shared" si="15"/>
        <v>-69584.79812</v>
      </c>
      <c r="AF106" s="27">
        <f t="shared" si="15"/>
        <v>-67149.33019</v>
      </c>
      <c r="AG106" s="27">
        <f t="shared" si="15"/>
        <v>-64799.10363</v>
      </c>
      <c r="AH106" s="27">
        <f t="shared" si="15"/>
        <v>-62531.135</v>
      </c>
      <c r="AI106" s="27">
        <f t="shared" si="15"/>
        <v>-60342.54528</v>
      </c>
      <c r="AJ106" s="27">
        <f t="shared" si="15"/>
        <v>-58230.55619</v>
      </c>
      <c r="AK106" s="27">
        <f t="shared" si="15"/>
        <v>-56192.48673</v>
      </c>
      <c r="AL106" s="25"/>
      <c r="AM106" s="25"/>
      <c r="AN106" s="25"/>
      <c r="AO106" s="29"/>
      <c r="AP106" s="29"/>
    </row>
    <row r="107" ht="14.25" customHeight="1">
      <c r="B107" s="25" t="s">
        <v>105</v>
      </c>
      <c r="C107" s="25">
        <f t="shared" ref="C107:K107" si="16">$E$71*(C90*40/399) *C92</f>
        <v>-303416.1691</v>
      </c>
      <c r="D107" s="25">
        <f t="shared" si="16"/>
        <v>-585593.2063</v>
      </c>
      <c r="E107" s="25">
        <f t="shared" si="16"/>
        <v>-847646.1662</v>
      </c>
      <c r="F107" s="25">
        <f t="shared" si="16"/>
        <v>-1090638.067</v>
      </c>
      <c r="G107" s="25">
        <f t="shared" si="16"/>
        <v>-1315582.169</v>
      </c>
      <c r="H107" s="25">
        <f t="shared" si="16"/>
        <v>-1523444.151</v>
      </c>
      <c r="I107" s="25">
        <f t="shared" si="16"/>
        <v>-1715144.207</v>
      </c>
      <c r="J107" s="25">
        <f t="shared" si="16"/>
        <v>-1891559.04</v>
      </c>
      <c r="K107" s="25">
        <f t="shared" si="16"/>
        <v>-2053523.782</v>
      </c>
      <c r="L107" s="25">
        <f t="shared" ref="L107:AK107" si="17">$E$71*L92</f>
        <v>-2196329.249</v>
      </c>
      <c r="M107" s="25">
        <f t="shared" si="17"/>
        <v>-2119457.725</v>
      </c>
      <c r="N107" s="25">
        <f t="shared" si="17"/>
        <v>-2045276.705</v>
      </c>
      <c r="O107" s="25">
        <f t="shared" si="17"/>
        <v>-1973692.02</v>
      </c>
      <c r="P107" s="25">
        <f t="shared" si="17"/>
        <v>-1904612.799</v>
      </c>
      <c r="Q107" s="25">
        <f t="shared" si="17"/>
        <v>-1837951.351</v>
      </c>
      <c r="R107" s="25">
        <f t="shared" si="17"/>
        <v>-1773623.054</v>
      </c>
      <c r="S107" s="25">
        <f t="shared" si="17"/>
        <v>-1711546.247</v>
      </c>
      <c r="T107" s="25">
        <f t="shared" si="17"/>
        <v>-1651642.128</v>
      </c>
      <c r="U107" s="25">
        <f t="shared" si="17"/>
        <v>-1593834.654</v>
      </c>
      <c r="V107" s="25">
        <f t="shared" si="17"/>
        <v>-1538050.441</v>
      </c>
      <c r="W107" s="25">
        <f t="shared" si="17"/>
        <v>-1484218.676</v>
      </c>
      <c r="X107" s="25">
        <f t="shared" si="17"/>
        <v>-1432271.022</v>
      </c>
      <c r="Y107" s="25">
        <f t="shared" si="17"/>
        <v>-1382141.536</v>
      </c>
      <c r="Z107" s="25">
        <f t="shared" si="17"/>
        <v>-1333766.582</v>
      </c>
      <c r="AA107" s="25">
        <f t="shared" si="17"/>
        <v>-1287084.752</v>
      </c>
      <c r="AB107" s="25">
        <f t="shared" si="17"/>
        <v>-1242036.786</v>
      </c>
      <c r="AC107" s="25">
        <f t="shared" si="17"/>
        <v>-1198565.498</v>
      </c>
      <c r="AD107" s="25">
        <f t="shared" si="17"/>
        <v>-1156615.706</v>
      </c>
      <c r="AE107" s="25">
        <f t="shared" si="17"/>
        <v>-1116134.156</v>
      </c>
      <c r="AF107" s="25">
        <f t="shared" si="17"/>
        <v>-1077069.461</v>
      </c>
      <c r="AG107" s="25">
        <f t="shared" si="17"/>
        <v>-1039372.029</v>
      </c>
      <c r="AH107" s="25">
        <f t="shared" si="17"/>
        <v>-1002994.008</v>
      </c>
      <c r="AI107" s="25">
        <f t="shared" si="17"/>
        <v>-967889.2182</v>
      </c>
      <c r="AJ107" s="25">
        <f t="shared" si="17"/>
        <v>-934013.0955</v>
      </c>
      <c r="AK107" s="25">
        <f t="shared" si="17"/>
        <v>-901322.6372</v>
      </c>
      <c r="AL107" s="25"/>
      <c r="AM107" s="25"/>
      <c r="AN107" s="25"/>
      <c r="AO107" s="29"/>
      <c r="AP107" s="29"/>
    </row>
    <row r="108" ht="14.25" customHeight="1">
      <c r="B108" s="27" t="s">
        <v>106</v>
      </c>
      <c r="C108" s="33">
        <f t="shared" ref="C108:AK108" si="18">-293518.75*C92</f>
        <v>-283245.5938</v>
      </c>
      <c r="D108" s="33">
        <f t="shared" si="18"/>
        <v>-273331.998</v>
      </c>
      <c r="E108" s="33">
        <f t="shared" si="18"/>
        <v>-263765.378</v>
      </c>
      <c r="F108" s="33">
        <f t="shared" si="18"/>
        <v>-254533.5898</v>
      </c>
      <c r="G108" s="33">
        <f t="shared" si="18"/>
        <v>-245624.9142</v>
      </c>
      <c r="H108" s="33">
        <f t="shared" si="18"/>
        <v>-237028.0422</v>
      </c>
      <c r="I108" s="33">
        <f t="shared" si="18"/>
        <v>-228732.0607</v>
      </c>
      <c r="J108" s="33">
        <f t="shared" si="18"/>
        <v>-220726.4386</v>
      </c>
      <c r="K108" s="33">
        <f t="shared" si="18"/>
        <v>-213001.0132</v>
      </c>
      <c r="L108" s="33">
        <f t="shared" si="18"/>
        <v>-205545.9778</v>
      </c>
      <c r="M108" s="33">
        <f t="shared" si="18"/>
        <v>-198351.8685</v>
      </c>
      <c r="N108" s="33">
        <f t="shared" si="18"/>
        <v>-191409.5531</v>
      </c>
      <c r="O108" s="33">
        <f t="shared" si="18"/>
        <v>-184710.2188</v>
      </c>
      <c r="P108" s="33">
        <f t="shared" si="18"/>
        <v>-178245.3611</v>
      </c>
      <c r="Q108" s="33">
        <f t="shared" si="18"/>
        <v>-172006.7735</v>
      </c>
      <c r="R108" s="33">
        <f t="shared" si="18"/>
        <v>-165986.5364</v>
      </c>
      <c r="S108" s="33">
        <f t="shared" si="18"/>
        <v>-160177.0076</v>
      </c>
      <c r="T108" s="33">
        <f t="shared" si="18"/>
        <v>-154570.8124</v>
      </c>
      <c r="U108" s="33">
        <f t="shared" si="18"/>
        <v>-149160.8339</v>
      </c>
      <c r="V108" s="33">
        <f t="shared" si="18"/>
        <v>-143940.2047</v>
      </c>
      <c r="W108" s="33">
        <f t="shared" si="18"/>
        <v>-138902.2976</v>
      </c>
      <c r="X108" s="33">
        <f t="shared" si="18"/>
        <v>-134040.7172</v>
      </c>
      <c r="Y108" s="33">
        <f t="shared" si="18"/>
        <v>-129349.2921</v>
      </c>
      <c r="Z108" s="33">
        <f t="shared" si="18"/>
        <v>-124822.0668</v>
      </c>
      <c r="AA108" s="33">
        <f t="shared" si="18"/>
        <v>-120453.2945</v>
      </c>
      <c r="AB108" s="33">
        <f t="shared" si="18"/>
        <v>-116237.4292</v>
      </c>
      <c r="AC108" s="33">
        <f t="shared" si="18"/>
        <v>-112169.1192</v>
      </c>
      <c r="AD108" s="33">
        <f t="shared" si="18"/>
        <v>-108243.2</v>
      </c>
      <c r="AE108" s="33">
        <f t="shared" si="18"/>
        <v>-104454.688</v>
      </c>
      <c r="AF108" s="33">
        <f t="shared" si="18"/>
        <v>-100798.7739</v>
      </c>
      <c r="AG108" s="33">
        <f t="shared" si="18"/>
        <v>-97270.81683</v>
      </c>
      <c r="AH108" s="33">
        <f t="shared" si="18"/>
        <v>-93866.33825</v>
      </c>
      <c r="AI108" s="33">
        <f t="shared" si="18"/>
        <v>-90581.01641</v>
      </c>
      <c r="AJ108" s="33">
        <f t="shared" si="18"/>
        <v>-87410.68083</v>
      </c>
      <c r="AK108" s="33">
        <f t="shared" si="18"/>
        <v>-84351.307</v>
      </c>
      <c r="AL108" s="25"/>
      <c r="AM108" s="25"/>
      <c r="AN108" s="25"/>
      <c r="AO108" s="29"/>
      <c r="AP108" s="29"/>
    </row>
    <row r="109" ht="14.25" customHeight="1">
      <c r="B109" s="32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Z109" s="25"/>
      <c r="AA109" s="25"/>
      <c r="AB109" s="25"/>
      <c r="AC109" s="25"/>
      <c r="AD109" s="25"/>
      <c r="AE109" s="25"/>
      <c r="AF109" s="25"/>
      <c r="AG109" s="29"/>
      <c r="AH109" s="25"/>
      <c r="AI109" s="29"/>
      <c r="AJ109" s="25"/>
      <c r="AK109" s="29"/>
      <c r="AL109" s="25"/>
      <c r="AM109" s="25"/>
      <c r="AN109" s="25"/>
      <c r="AO109" s="29"/>
      <c r="AP109" s="29"/>
    </row>
    <row r="110" ht="14.25" customHeight="1">
      <c r="B110" s="31" t="s">
        <v>102</v>
      </c>
      <c r="C110" s="27">
        <f t="shared" ref="C110:AK110" si="19">sum(C106:C108)</f>
        <v>-775352.0728</v>
      </c>
      <c r="D110" s="27">
        <f t="shared" si="19"/>
        <v>-1041011.353</v>
      </c>
      <c r="E110" s="27">
        <f t="shared" si="19"/>
        <v>-1287124.678</v>
      </c>
      <c r="F110" s="27">
        <f t="shared" si="19"/>
        <v>-1514734.831</v>
      </c>
      <c r="G110" s="27">
        <f t="shared" si="19"/>
        <v>-1724835.546</v>
      </c>
      <c r="H110" s="27">
        <f t="shared" si="19"/>
        <v>-1918373.66</v>
      </c>
      <c r="I110" s="27">
        <f t="shared" si="19"/>
        <v>-2096251.183</v>
      </c>
      <c r="J110" s="27">
        <f t="shared" si="19"/>
        <v>-2259327.272</v>
      </c>
      <c r="K110" s="27">
        <f t="shared" si="19"/>
        <v>-2408420.126</v>
      </c>
      <c r="L110" s="27">
        <f t="shared" si="19"/>
        <v>-2538804.221</v>
      </c>
      <c r="M110" s="27">
        <f t="shared" si="19"/>
        <v>-2449946.073</v>
      </c>
      <c r="N110" s="27">
        <f t="shared" si="19"/>
        <v>-2364197.96</v>
      </c>
      <c r="O110" s="27">
        <f t="shared" si="19"/>
        <v>-2281451.032</v>
      </c>
      <c r="P110" s="27">
        <f t="shared" si="19"/>
        <v>-2201600.246</v>
      </c>
      <c r="Q110" s="27">
        <f t="shared" si="19"/>
        <v>-2124544.237</v>
      </c>
      <c r="R110" s="27">
        <f t="shared" si="19"/>
        <v>-2050185.189</v>
      </c>
      <c r="S110" s="27">
        <f t="shared" si="19"/>
        <v>-1978428.707</v>
      </c>
      <c r="T110" s="27">
        <f t="shared" si="19"/>
        <v>-1909183.702</v>
      </c>
      <c r="U110" s="27">
        <f t="shared" si="19"/>
        <v>-1842362.273</v>
      </c>
      <c r="V110" s="27">
        <f t="shared" si="19"/>
        <v>-1777879.593</v>
      </c>
      <c r="W110" s="27">
        <f t="shared" si="19"/>
        <v>-1715653.807</v>
      </c>
      <c r="X110" s="27">
        <f t="shared" si="19"/>
        <v>-1655605.924</v>
      </c>
      <c r="Y110" s="27">
        <f t="shared" si="19"/>
        <v>-1597659.717</v>
      </c>
      <c r="Z110" s="27">
        <f t="shared" si="19"/>
        <v>-1541741.627</v>
      </c>
      <c r="AA110" s="27">
        <f t="shared" si="19"/>
        <v>-1487780.67</v>
      </c>
      <c r="AB110" s="27">
        <f t="shared" si="19"/>
        <v>-1435708.346</v>
      </c>
      <c r="AC110" s="27">
        <f t="shared" si="19"/>
        <v>-1385458.554</v>
      </c>
      <c r="AD110" s="27">
        <f t="shared" si="19"/>
        <v>-1336967.505</v>
      </c>
      <c r="AE110" s="27">
        <f t="shared" si="19"/>
        <v>-1290173.642</v>
      </c>
      <c r="AF110" s="27">
        <f t="shared" si="19"/>
        <v>-1245017.565</v>
      </c>
      <c r="AG110" s="27">
        <f t="shared" si="19"/>
        <v>-1201441.95</v>
      </c>
      <c r="AH110" s="27">
        <f t="shared" si="19"/>
        <v>-1159391.482</v>
      </c>
      <c r="AI110" s="27">
        <f t="shared" si="19"/>
        <v>-1118812.78</v>
      </c>
      <c r="AJ110" s="27">
        <f t="shared" si="19"/>
        <v>-1079654.333</v>
      </c>
      <c r="AK110" s="27">
        <f t="shared" si="19"/>
        <v>-1041866.431</v>
      </c>
      <c r="AL110" s="25"/>
      <c r="AM110" s="25"/>
      <c r="AN110" s="25"/>
      <c r="AO110" s="29"/>
      <c r="AP110" s="29"/>
    </row>
    <row r="111" ht="14.25" customHeight="1">
      <c r="B111" s="32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Z111" s="25"/>
      <c r="AA111" s="25"/>
      <c r="AB111" s="25"/>
      <c r="AC111" s="25"/>
      <c r="AD111" s="25"/>
      <c r="AE111" s="25"/>
      <c r="AF111" s="25"/>
      <c r="AG111" s="29"/>
      <c r="AH111" s="25"/>
      <c r="AI111" s="29"/>
      <c r="AJ111" s="25"/>
      <c r="AK111" s="29"/>
      <c r="AL111" s="25"/>
      <c r="AM111" s="25"/>
      <c r="AN111" s="25"/>
      <c r="AO111" s="29"/>
      <c r="AP111" s="29"/>
    </row>
    <row r="112" ht="14.25" customHeight="1">
      <c r="B112" s="32" t="s">
        <v>107</v>
      </c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9"/>
      <c r="AP112" s="29"/>
    </row>
    <row r="113" ht="14.25" customHeight="1">
      <c r="B113" s="31" t="s">
        <v>96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7"/>
      <c r="N113" s="27"/>
      <c r="O113" s="27"/>
      <c r="P113" s="27"/>
      <c r="Q113" s="27"/>
      <c r="R113" s="25"/>
      <c r="S113" s="25"/>
      <c r="T113" s="25"/>
      <c r="U113" s="25"/>
      <c r="V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9"/>
      <c r="AP113" s="29"/>
    </row>
    <row r="114" ht="14.25" customHeight="1">
      <c r="B114" s="25" t="s">
        <v>108</v>
      </c>
      <c r="C114" s="25">
        <f t="shared" ref="C114:K114" si="20">-$E$46*40/399 *C92</f>
        <v>-13326751.58</v>
      </c>
      <c r="D114" s="25">
        <f t="shared" si="20"/>
        <v>-12860315.27</v>
      </c>
      <c r="E114" s="25">
        <f t="shared" si="20"/>
        <v>-12410204.24</v>
      </c>
      <c r="F114" s="25">
        <f t="shared" si="20"/>
        <v>-11975847.09</v>
      </c>
      <c r="G114" s="25">
        <f t="shared" si="20"/>
        <v>-11556692.44</v>
      </c>
      <c r="H114" s="25">
        <f t="shared" si="20"/>
        <v>-11152208.21</v>
      </c>
      <c r="I114" s="25">
        <f t="shared" si="20"/>
        <v>-10761880.92</v>
      </c>
      <c r="J114" s="25">
        <f t="shared" si="20"/>
        <v>-10385215.09</v>
      </c>
      <c r="K114" s="25">
        <f t="shared" si="20"/>
        <v>-10021732.56</v>
      </c>
      <c r="L114" s="25">
        <f>-$E$46*39/399*L92</f>
        <v>-9429197.622</v>
      </c>
      <c r="M114" s="27">
        <v>0.0</v>
      </c>
      <c r="N114" s="27">
        <v>0.0</v>
      </c>
      <c r="O114" s="27">
        <v>0.0</v>
      </c>
      <c r="P114" s="27">
        <v>0.0</v>
      </c>
      <c r="Q114" s="27">
        <v>0.0</v>
      </c>
      <c r="R114" s="25">
        <v>0.0</v>
      </c>
      <c r="S114" s="25">
        <v>0.0</v>
      </c>
      <c r="T114" s="25">
        <v>0.0</v>
      </c>
      <c r="U114" s="25">
        <v>0.0</v>
      </c>
      <c r="V114" s="25">
        <v>0.0</v>
      </c>
      <c r="W114" s="25">
        <v>0.0</v>
      </c>
      <c r="X114" s="25">
        <v>0.0</v>
      </c>
      <c r="Y114" s="25">
        <v>0.0</v>
      </c>
      <c r="Z114" s="25">
        <v>0.0</v>
      </c>
      <c r="AA114" s="25">
        <v>0.0</v>
      </c>
      <c r="AB114" s="25">
        <v>0.0</v>
      </c>
      <c r="AC114" s="25">
        <v>0.0</v>
      </c>
      <c r="AD114" s="25">
        <v>0.0</v>
      </c>
      <c r="AE114" s="25">
        <v>0.0</v>
      </c>
      <c r="AF114" s="25">
        <v>0.0</v>
      </c>
      <c r="AG114" s="25">
        <v>0.0</v>
      </c>
      <c r="AH114" s="25">
        <v>0.0</v>
      </c>
      <c r="AI114" s="25">
        <v>0.0</v>
      </c>
      <c r="AJ114" s="25">
        <v>0.0</v>
      </c>
      <c r="AK114" s="25">
        <v>0.0</v>
      </c>
      <c r="AL114" s="25"/>
      <c r="AM114" s="25"/>
      <c r="AN114" s="25"/>
      <c r="AO114" s="29"/>
      <c r="AP114" s="29"/>
    </row>
    <row r="115" ht="14.25" customHeight="1">
      <c r="B115" s="25" t="s">
        <v>109</v>
      </c>
      <c r="C115" s="25">
        <f t="shared" ref="C115:K115" si="21">$F$64*40/399 *C92</f>
        <v>2558657.594</v>
      </c>
      <c r="D115" s="25">
        <f t="shared" si="21"/>
        <v>2469104.578</v>
      </c>
      <c r="E115" s="25">
        <f t="shared" si="21"/>
        <v>2382685.918</v>
      </c>
      <c r="F115" s="25">
        <f t="shared" si="21"/>
        <v>2299291.911</v>
      </c>
      <c r="G115" s="25">
        <f t="shared" si="21"/>
        <v>2218816.694</v>
      </c>
      <c r="H115" s="25">
        <f t="shared" si="21"/>
        <v>2141158.11</v>
      </c>
      <c r="I115" s="25">
        <f t="shared" si="21"/>
        <v>2066217.576</v>
      </c>
      <c r="J115" s="25">
        <f t="shared" si="21"/>
        <v>1993899.961</v>
      </c>
      <c r="K115" s="25">
        <f t="shared" si="21"/>
        <v>1924113.462</v>
      </c>
      <c r="L115" s="25">
        <f>$F$64*39/399*L92</f>
        <v>1810350.254</v>
      </c>
      <c r="M115" s="27">
        <v>0.0</v>
      </c>
      <c r="N115" s="27">
        <v>0.0</v>
      </c>
      <c r="O115" s="27">
        <v>0.0</v>
      </c>
      <c r="P115" s="27">
        <v>0.0</v>
      </c>
      <c r="Q115" s="27">
        <v>0.0</v>
      </c>
      <c r="R115" s="25">
        <v>0.0</v>
      </c>
      <c r="S115" s="25">
        <v>0.0</v>
      </c>
      <c r="T115" s="25">
        <v>0.0</v>
      </c>
      <c r="U115" s="25">
        <v>0.0</v>
      </c>
      <c r="V115" s="25">
        <v>0.0</v>
      </c>
      <c r="W115" s="25">
        <v>0.0</v>
      </c>
      <c r="X115" s="25">
        <v>0.0</v>
      </c>
      <c r="Y115" s="25">
        <v>0.0</v>
      </c>
      <c r="Z115" s="25">
        <v>0.0</v>
      </c>
      <c r="AA115" s="25">
        <v>0.0</v>
      </c>
      <c r="AB115" s="25">
        <v>0.0</v>
      </c>
      <c r="AC115" s="25">
        <v>0.0</v>
      </c>
      <c r="AD115" s="25">
        <v>0.0</v>
      </c>
      <c r="AE115" s="25">
        <v>0.0</v>
      </c>
      <c r="AF115" s="25">
        <v>0.0</v>
      </c>
      <c r="AG115" s="25">
        <v>0.0</v>
      </c>
      <c r="AH115" s="25">
        <v>0.0</v>
      </c>
      <c r="AI115" s="25">
        <v>0.0</v>
      </c>
      <c r="AJ115" s="25">
        <v>0.0</v>
      </c>
      <c r="AK115" s="25">
        <v>0.0</v>
      </c>
      <c r="AL115" s="25"/>
      <c r="AM115" s="25"/>
      <c r="AN115" s="25"/>
      <c r="AO115" s="29"/>
      <c r="AP115" s="29"/>
    </row>
    <row r="116" ht="14.25" customHeight="1">
      <c r="B116" s="31" t="s">
        <v>100</v>
      </c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9"/>
      <c r="AP116" s="29"/>
    </row>
    <row r="117" ht="14.25" customHeight="1">
      <c r="B117" s="25" t="s">
        <v>110</v>
      </c>
      <c r="C117" s="25">
        <f t="shared" ref="C117:K117" si="22">$E$72*(C90*40/399) *C92</f>
        <v>-846946.5949</v>
      </c>
      <c r="D117" s="25">
        <f t="shared" si="22"/>
        <v>-1634606.928</v>
      </c>
      <c r="E117" s="25">
        <f t="shared" si="22"/>
        <v>-2366093.528</v>
      </c>
      <c r="F117" s="25">
        <f t="shared" si="22"/>
        <v>-3044373.673</v>
      </c>
      <c r="G117" s="25">
        <f t="shared" si="22"/>
        <v>-3672275.743</v>
      </c>
      <c r="H117" s="25">
        <f t="shared" si="22"/>
        <v>-4252495.311</v>
      </c>
      <c r="I117" s="25">
        <f t="shared" si="22"/>
        <v>-4787600.971</v>
      </c>
      <c r="J117" s="25">
        <f t="shared" si="22"/>
        <v>-5280039.928</v>
      </c>
      <c r="K117" s="25">
        <f t="shared" si="22"/>
        <v>-5732143.347</v>
      </c>
      <c r="L117" s="25">
        <f t="shared" ref="L117:AK117" si="23">$E$72 *L92</f>
        <v>-6130766.149</v>
      </c>
      <c r="M117" s="25">
        <f t="shared" si="23"/>
        <v>-5916189.333</v>
      </c>
      <c r="N117" s="25">
        <f t="shared" si="23"/>
        <v>-5709122.707</v>
      </c>
      <c r="O117" s="25">
        <f t="shared" si="23"/>
        <v>-5509303.412</v>
      </c>
      <c r="P117" s="25">
        <f t="shared" si="23"/>
        <v>-5316477.792</v>
      </c>
      <c r="Q117" s="25">
        <f t="shared" si="23"/>
        <v>-5130401.07</v>
      </c>
      <c r="R117" s="25">
        <f t="shared" si="23"/>
        <v>-4950837.032</v>
      </c>
      <c r="S117" s="25">
        <f t="shared" si="23"/>
        <v>-4777557.736</v>
      </c>
      <c r="T117" s="25">
        <f t="shared" si="23"/>
        <v>-4610343.215</v>
      </c>
      <c r="U117" s="25">
        <f t="shared" si="23"/>
        <v>-4448981.203</v>
      </c>
      <c r="V117" s="25">
        <f t="shared" si="23"/>
        <v>-4293266.861</v>
      </c>
      <c r="W117" s="25">
        <f t="shared" si="23"/>
        <v>-4143002.521</v>
      </c>
      <c r="X117" s="25">
        <f t="shared" si="23"/>
        <v>-3997997.432</v>
      </c>
      <c r="Y117" s="25">
        <f t="shared" si="23"/>
        <v>-3858067.522</v>
      </c>
      <c r="Z117" s="25">
        <f t="shared" si="23"/>
        <v>-3723035.159</v>
      </c>
      <c r="AA117" s="25">
        <f t="shared" si="23"/>
        <v>-3592728.928</v>
      </c>
      <c r="AB117" s="25">
        <f t="shared" si="23"/>
        <v>-3466983.416</v>
      </c>
      <c r="AC117" s="25">
        <f t="shared" si="23"/>
        <v>-3345638.996</v>
      </c>
      <c r="AD117" s="25">
        <f t="shared" si="23"/>
        <v>-3228541.632</v>
      </c>
      <c r="AE117" s="25">
        <f t="shared" si="23"/>
        <v>-3115542.674</v>
      </c>
      <c r="AF117" s="25">
        <f t="shared" si="23"/>
        <v>-3006498.681</v>
      </c>
      <c r="AG117" s="25">
        <f t="shared" si="23"/>
        <v>-2901271.227</v>
      </c>
      <c r="AH117" s="25">
        <f t="shared" si="23"/>
        <v>-2799726.734</v>
      </c>
      <c r="AI117" s="25">
        <f t="shared" si="23"/>
        <v>-2701736.298</v>
      </c>
      <c r="AJ117" s="25">
        <f t="shared" si="23"/>
        <v>-2607175.528</v>
      </c>
      <c r="AK117" s="25">
        <f t="shared" si="23"/>
        <v>-2515924.384</v>
      </c>
      <c r="AL117" s="25"/>
      <c r="AM117" s="25"/>
      <c r="AN117" s="25"/>
      <c r="AO117" s="29"/>
      <c r="AP117" s="29"/>
    </row>
    <row r="118" ht="14.25" customHeight="1">
      <c r="B118" s="27" t="s">
        <v>88</v>
      </c>
      <c r="C118" s="25">
        <f>-H53*(1-40/399*C90)*C92</f>
        <v>-2912392.983</v>
      </c>
      <c r="D118" s="25">
        <f>-H53*(1-40/399*D90)*D92</f>
        <v>-2497316.139</v>
      </c>
      <c r="E118" s="34">
        <f>-H53*(1-40/399*E90)*E92</f>
        <v>-2107726.993</v>
      </c>
      <c r="F118" s="25">
        <f>-H53*(1-40/399*F90)*F92</f>
        <v>-1742349.875</v>
      </c>
      <c r="G118" s="25">
        <f>-H53*(1-40/399*G90)*G92</f>
        <v>-1399967.189</v>
      </c>
      <c r="H118" s="25">
        <f>-H53*(1-40/399*H90)*H92</f>
        <v>-1079416.913</v>
      </c>
      <c r="I118" s="34">
        <f>-H53*(1-40/399*I90)*I92</f>
        <v>-779590.1961</v>
      </c>
      <c r="J118" s="25">
        <f>-H53*(1-40/399*J90)*J92</f>
        <v>-499429.0639</v>
      </c>
      <c r="K118" s="25">
        <f>-H53*(1-40/399*K90)*K92</f>
        <v>-237924.2129</v>
      </c>
      <c r="L118" s="27">
        <v>0.0</v>
      </c>
      <c r="M118" s="27">
        <v>0.0</v>
      </c>
      <c r="N118" s="27">
        <v>0.0</v>
      </c>
      <c r="O118" s="27">
        <v>0.0</v>
      </c>
      <c r="P118" s="27">
        <v>0.0</v>
      </c>
      <c r="Q118" s="25">
        <v>0.0</v>
      </c>
      <c r="R118" s="25">
        <v>0.0</v>
      </c>
      <c r="S118" s="25">
        <v>0.0</v>
      </c>
      <c r="T118" s="25">
        <v>0.0</v>
      </c>
      <c r="U118" s="25">
        <v>0.0</v>
      </c>
      <c r="V118" s="25">
        <v>0.0</v>
      </c>
      <c r="W118" s="25">
        <v>0.0</v>
      </c>
      <c r="X118" s="25">
        <v>0.0</v>
      </c>
      <c r="Y118" s="25">
        <v>0.0</v>
      </c>
      <c r="Z118" s="25">
        <v>0.0</v>
      </c>
      <c r="AA118" s="25">
        <v>0.0</v>
      </c>
      <c r="AB118" s="25">
        <v>0.0</v>
      </c>
      <c r="AC118" s="25">
        <v>0.0</v>
      </c>
      <c r="AD118" s="25">
        <v>0.0</v>
      </c>
      <c r="AE118" s="25">
        <v>0.0</v>
      </c>
      <c r="AF118" s="25">
        <v>0.0</v>
      </c>
      <c r="AG118" s="25">
        <v>0.0</v>
      </c>
      <c r="AH118" s="25">
        <v>0.0</v>
      </c>
      <c r="AI118" s="25">
        <v>0.0</v>
      </c>
      <c r="AJ118" s="25">
        <v>0.0</v>
      </c>
      <c r="AK118" s="25">
        <v>0.0</v>
      </c>
      <c r="AL118" s="25"/>
      <c r="AM118" s="25"/>
      <c r="AN118" s="25"/>
      <c r="AO118" s="29"/>
      <c r="AP118" s="29"/>
    </row>
    <row r="119" ht="14.25" customHeight="1">
      <c r="B119" s="27" t="s">
        <v>89</v>
      </c>
      <c r="C119" s="25">
        <f>H49*(1-(C90*40/399))*C92</f>
        <v>-10332271.93</v>
      </c>
      <c r="D119" s="25">
        <f>H49*(1-(D90*40/399))*D92</f>
        <v>-8859707.325</v>
      </c>
      <c r="E119" s="25">
        <f>H49*(1-(E90*40/399))*E92</f>
        <v>-7477565.209</v>
      </c>
      <c r="F119" s="25">
        <f>H49*(1-(F90*40/399))*F92</f>
        <v>-6181319.899</v>
      </c>
      <c r="G119" s="25">
        <f>H49*(1-(G90*40/399))*G92</f>
        <v>-4966651.744</v>
      </c>
      <c r="H119" s="25">
        <f>H49*(1-(H90*40/399))*H92</f>
        <v>-3829438.243</v>
      </c>
      <c r="I119" s="25">
        <f>H49*(1-(I90*40/399))*I92</f>
        <v>-2765745.539</v>
      </c>
      <c r="J119" s="25">
        <f>H49*(1-(J90*40/399))*J92</f>
        <v>-1771820.262</v>
      </c>
      <c r="K119" s="25">
        <f>H49*(1-(K90*40/399))*K92</f>
        <v>-844081.7158</v>
      </c>
      <c r="L119" s="27">
        <v>0.0</v>
      </c>
      <c r="M119" s="27">
        <v>0.0</v>
      </c>
      <c r="N119" s="27">
        <v>0.0</v>
      </c>
      <c r="O119" s="27">
        <v>0.0</v>
      </c>
      <c r="P119" s="27">
        <v>0.0</v>
      </c>
      <c r="Q119" s="25">
        <v>0.0</v>
      </c>
      <c r="R119" s="25">
        <v>0.0</v>
      </c>
      <c r="S119" s="25">
        <v>0.0</v>
      </c>
      <c r="T119" s="25">
        <v>0.0</v>
      </c>
      <c r="U119" s="25">
        <v>0.0</v>
      </c>
      <c r="V119" s="25">
        <v>0.0</v>
      </c>
      <c r="W119" s="25">
        <v>0.0</v>
      </c>
      <c r="X119" s="25">
        <v>0.0</v>
      </c>
      <c r="Y119" s="25">
        <v>0.0</v>
      </c>
      <c r="Z119" s="25">
        <v>0.0</v>
      </c>
      <c r="AA119" s="25">
        <v>0.0</v>
      </c>
      <c r="AB119" s="25">
        <v>0.0</v>
      </c>
      <c r="AC119" s="25">
        <v>0.0</v>
      </c>
      <c r="AD119" s="25">
        <v>0.0</v>
      </c>
      <c r="AE119" s="25">
        <v>0.0</v>
      </c>
      <c r="AF119" s="25">
        <v>0.0</v>
      </c>
      <c r="AG119" s="25">
        <v>0.0</v>
      </c>
      <c r="AH119" s="25">
        <v>0.0</v>
      </c>
      <c r="AI119" s="25">
        <v>0.0</v>
      </c>
      <c r="AJ119" s="25">
        <v>0.0</v>
      </c>
      <c r="AK119" s="25">
        <v>0.0</v>
      </c>
      <c r="AL119" s="25"/>
      <c r="AM119" s="25"/>
      <c r="AN119" s="25"/>
      <c r="AO119" s="29"/>
      <c r="AP119" s="29"/>
    </row>
    <row r="120" ht="14.25" customHeight="1">
      <c r="B120" s="27" t="s">
        <v>111</v>
      </c>
      <c r="C120" s="27">
        <v>0.0</v>
      </c>
      <c r="D120" s="27">
        <v>0.0</v>
      </c>
      <c r="E120" s="27">
        <v>0.0</v>
      </c>
      <c r="F120" s="27">
        <v>0.0</v>
      </c>
      <c r="G120" s="27">
        <v>0.0</v>
      </c>
      <c r="H120" s="27">
        <v>0.0</v>
      </c>
      <c r="I120" s="27">
        <v>0.0</v>
      </c>
      <c r="J120" s="27">
        <v>0.0</v>
      </c>
      <c r="K120" s="27">
        <v>0.0</v>
      </c>
      <c r="L120" s="27">
        <v>0.0</v>
      </c>
      <c r="M120" s="27">
        <v>0.0</v>
      </c>
      <c r="N120" s="27">
        <v>0.0</v>
      </c>
      <c r="O120" s="25">
        <f t="shared" ref="O120:W120" si="24">$H$50 * (O90-12) *40/399*O92</f>
        <v>-665165.8393</v>
      </c>
      <c r="P120" s="25">
        <f t="shared" si="24"/>
        <v>-1283770.07</v>
      </c>
      <c r="Q120" s="25">
        <f t="shared" si="24"/>
        <v>-1858257.176</v>
      </c>
      <c r="R120" s="25">
        <f t="shared" si="24"/>
        <v>-2390957.567</v>
      </c>
      <c r="S120" s="25">
        <f t="shared" si="24"/>
        <v>-2884092.565</v>
      </c>
      <c r="T120" s="25">
        <f t="shared" si="24"/>
        <v>-3339779.19</v>
      </c>
      <c r="U120" s="25">
        <f t="shared" si="24"/>
        <v>-3760034.738</v>
      </c>
      <c r="V120" s="25">
        <f t="shared" si="24"/>
        <v>-4146781.168</v>
      </c>
      <c r="W120" s="25">
        <f t="shared" si="24"/>
        <v>-4501849.306</v>
      </c>
      <c r="X120" s="25">
        <f t="shared" ref="X120:AK120" si="25">$H$50 *X92</f>
        <v>-4814915.41</v>
      </c>
      <c r="Y120" s="25">
        <f t="shared" si="25"/>
        <v>-4646393.37</v>
      </c>
      <c r="Z120" s="25">
        <f t="shared" si="25"/>
        <v>-4483769.602</v>
      </c>
      <c r="AA120" s="25">
        <f t="shared" si="25"/>
        <v>-4326837.666</v>
      </c>
      <c r="AB120" s="25">
        <f t="shared" si="25"/>
        <v>-4175398.348</v>
      </c>
      <c r="AC120" s="25">
        <f t="shared" si="25"/>
        <v>-4029259.406</v>
      </c>
      <c r="AD120" s="25">
        <f t="shared" si="25"/>
        <v>-3888235.326</v>
      </c>
      <c r="AE120" s="25">
        <f t="shared" si="25"/>
        <v>-3752147.09</v>
      </c>
      <c r="AF120" s="25">
        <f t="shared" si="25"/>
        <v>-3620821.942</v>
      </c>
      <c r="AG120" s="25">
        <f t="shared" si="25"/>
        <v>-3494093.174</v>
      </c>
      <c r="AH120" s="25">
        <f t="shared" si="25"/>
        <v>-3371799.913</v>
      </c>
      <c r="AI120" s="25">
        <f t="shared" si="25"/>
        <v>-3253786.916</v>
      </c>
      <c r="AJ120" s="25">
        <f t="shared" si="25"/>
        <v>-3139904.374</v>
      </c>
      <c r="AK120" s="25">
        <f t="shared" si="25"/>
        <v>-3030007.721</v>
      </c>
      <c r="AL120" s="25"/>
      <c r="AM120" s="25"/>
      <c r="AN120" s="25"/>
      <c r="AO120" s="29"/>
      <c r="AP120" s="29"/>
    </row>
    <row r="121" ht="14.25" customHeight="1">
      <c r="B121" s="26" t="s">
        <v>102</v>
      </c>
      <c r="C121" s="25">
        <f t="shared" ref="C121:AK121" si="26">SUM(C114:C120)</f>
        <v>-24859705.49</v>
      </c>
      <c r="D121" s="25">
        <f t="shared" si="26"/>
        <v>-23382841.09</v>
      </c>
      <c r="E121" s="25">
        <f t="shared" si="26"/>
        <v>-21978904.05</v>
      </c>
      <c r="F121" s="25">
        <f t="shared" si="26"/>
        <v>-20644598.63</v>
      </c>
      <c r="G121" s="25">
        <f t="shared" si="26"/>
        <v>-19376770.43</v>
      </c>
      <c r="H121" s="25">
        <f t="shared" si="26"/>
        <v>-18172400.56</v>
      </c>
      <c r="I121" s="25">
        <f t="shared" si="26"/>
        <v>-17028600.05</v>
      </c>
      <c r="J121" s="25">
        <f t="shared" si="26"/>
        <v>-15942604.38</v>
      </c>
      <c r="K121" s="25">
        <f t="shared" si="26"/>
        <v>-14911768.37</v>
      </c>
      <c r="L121" s="25">
        <f t="shared" si="26"/>
        <v>-13749613.52</v>
      </c>
      <c r="M121" s="25">
        <f t="shared" si="26"/>
        <v>-5916189.333</v>
      </c>
      <c r="N121" s="25">
        <f t="shared" si="26"/>
        <v>-5709122.707</v>
      </c>
      <c r="O121" s="25">
        <f t="shared" si="26"/>
        <v>-6174469.251</v>
      </c>
      <c r="P121" s="25">
        <f t="shared" si="26"/>
        <v>-6600247.862</v>
      </c>
      <c r="Q121" s="25">
        <f t="shared" si="26"/>
        <v>-6988658.246</v>
      </c>
      <c r="R121" s="25">
        <f t="shared" si="26"/>
        <v>-7341794.599</v>
      </c>
      <c r="S121" s="25">
        <f t="shared" si="26"/>
        <v>-7661650.301</v>
      </c>
      <c r="T121" s="25">
        <f t="shared" si="26"/>
        <v>-7950122.405</v>
      </c>
      <c r="U121" s="25">
        <f t="shared" si="26"/>
        <v>-8209015.941</v>
      </c>
      <c r="V121" s="25">
        <f t="shared" si="26"/>
        <v>-8440048.029</v>
      </c>
      <c r="W121" s="25">
        <f t="shared" si="26"/>
        <v>-8644851.826</v>
      </c>
      <c r="X121" s="25">
        <f t="shared" si="26"/>
        <v>-8812912.842</v>
      </c>
      <c r="Y121" s="25">
        <f t="shared" si="26"/>
        <v>-8504460.892</v>
      </c>
      <c r="Z121" s="25">
        <f t="shared" si="26"/>
        <v>-8206804.761</v>
      </c>
      <c r="AA121" s="25">
        <f t="shared" si="26"/>
        <v>-7919566.595</v>
      </c>
      <c r="AB121" s="25">
        <f t="shared" si="26"/>
        <v>-7642381.764</v>
      </c>
      <c r="AC121" s="25">
        <f t="shared" si="26"/>
        <v>-7374898.402</v>
      </c>
      <c r="AD121" s="25">
        <f t="shared" si="26"/>
        <v>-7116776.958</v>
      </c>
      <c r="AE121" s="25">
        <f t="shared" si="26"/>
        <v>-6867689.764</v>
      </c>
      <c r="AF121" s="25">
        <f t="shared" si="26"/>
        <v>-6627320.623</v>
      </c>
      <c r="AG121" s="25">
        <f t="shared" si="26"/>
        <v>-6395364.401</v>
      </c>
      <c r="AH121" s="25">
        <f t="shared" si="26"/>
        <v>-6171526.647</v>
      </c>
      <c r="AI121" s="25">
        <f t="shared" si="26"/>
        <v>-5955523.214</v>
      </c>
      <c r="AJ121" s="25">
        <f t="shared" si="26"/>
        <v>-5747079.902</v>
      </c>
      <c r="AK121" s="25">
        <f t="shared" si="26"/>
        <v>-5545932.105</v>
      </c>
    </row>
    <row r="122" ht="14.25" customHeight="1">
      <c r="Y122" s="6"/>
    </row>
    <row r="123" ht="14.25" customHeight="1">
      <c r="B123" s="28" t="s">
        <v>90</v>
      </c>
      <c r="C123" s="5">
        <f t="shared" ref="C123:AK123" si="27">sum(C103,C110,C121)</f>
        <v>-40528702.6</v>
      </c>
      <c r="D123" s="5">
        <f t="shared" si="27"/>
        <v>-38527412.32</v>
      </c>
      <c r="E123" s="5">
        <f t="shared" si="27"/>
        <v>-36616564.7</v>
      </c>
      <c r="F123" s="5">
        <f t="shared" si="27"/>
        <v>-34792280.34</v>
      </c>
      <c r="G123" s="5">
        <f t="shared" si="27"/>
        <v>-33050840.58</v>
      </c>
      <c r="H123" s="5">
        <f t="shared" si="27"/>
        <v>-31388681.07</v>
      </c>
      <c r="I123" s="5">
        <f t="shared" si="27"/>
        <v>-29802385.45</v>
      </c>
      <c r="J123" s="5">
        <f t="shared" si="27"/>
        <v>-28288679.38</v>
      </c>
      <c r="K123" s="5">
        <f t="shared" si="27"/>
        <v>-26844424.82</v>
      </c>
      <c r="L123" s="5">
        <f t="shared" si="27"/>
        <v>-25282215.77</v>
      </c>
      <c r="M123" s="5">
        <f t="shared" si="27"/>
        <v>-17045150.5</v>
      </c>
      <c r="N123" s="5">
        <f t="shared" si="27"/>
        <v>-16448570.24</v>
      </c>
      <c r="O123" s="5">
        <f t="shared" si="27"/>
        <v>-16538036.12</v>
      </c>
      <c r="P123" s="5">
        <f t="shared" si="27"/>
        <v>-16601089.89</v>
      </c>
      <c r="Q123" s="5">
        <f t="shared" si="27"/>
        <v>-16639470.8</v>
      </c>
      <c r="R123" s="5">
        <f t="shared" si="27"/>
        <v>-16654828.71</v>
      </c>
      <c r="S123" s="5">
        <f t="shared" si="27"/>
        <v>-16648728.22</v>
      </c>
      <c r="T123" s="5">
        <f t="shared" si="27"/>
        <v>-16622652.6</v>
      </c>
      <c r="U123" s="5">
        <f t="shared" si="27"/>
        <v>-16578007.58</v>
      </c>
      <c r="V123" s="5">
        <f t="shared" si="27"/>
        <v>-16516124.96</v>
      </c>
      <c r="W123" s="5">
        <f t="shared" si="27"/>
        <v>-16438266.06</v>
      </c>
      <c r="X123" s="5">
        <f t="shared" si="27"/>
        <v>-16333557.58</v>
      </c>
      <c r="Y123" s="5">
        <f t="shared" si="27"/>
        <v>-15761883.07</v>
      </c>
      <c r="Z123" s="5">
        <f t="shared" si="27"/>
        <v>-15210217.16</v>
      </c>
      <c r="AA123" s="5">
        <f t="shared" si="27"/>
        <v>-14677859.56</v>
      </c>
      <c r="AB123" s="5">
        <f t="shared" si="27"/>
        <v>-14164134.47</v>
      </c>
      <c r="AC123" s="5">
        <f t="shared" si="27"/>
        <v>-13668389.77</v>
      </c>
      <c r="AD123" s="5">
        <f t="shared" si="27"/>
        <v>-13189996.13</v>
      </c>
      <c r="AE123" s="5">
        <f t="shared" si="27"/>
        <v>-12728346.26</v>
      </c>
      <c r="AF123" s="5">
        <f t="shared" si="27"/>
        <v>-12282854.14</v>
      </c>
      <c r="AG123" s="5">
        <f t="shared" si="27"/>
        <v>-11852954.25</v>
      </c>
      <c r="AH123" s="5">
        <f t="shared" si="27"/>
        <v>-11438100.85</v>
      </c>
      <c r="AI123" s="5">
        <f t="shared" si="27"/>
        <v>-11037767.32</v>
      </c>
      <c r="AJ123" s="5">
        <f t="shared" si="27"/>
        <v>-10651445.46</v>
      </c>
      <c r="AK123" s="5">
        <f t="shared" si="27"/>
        <v>-10278644.87</v>
      </c>
    </row>
    <row r="124" ht="14.25" customHeight="1">
      <c r="C124" s="5">
        <f t="shared" ref="C124:AK124" si="28">C123/1000000</f>
        <v>-40.5287026</v>
      </c>
      <c r="D124" s="5">
        <f t="shared" si="28"/>
        <v>-38.52741232</v>
      </c>
      <c r="E124" s="5">
        <f t="shared" si="28"/>
        <v>-36.6165647</v>
      </c>
      <c r="F124" s="5">
        <f t="shared" si="28"/>
        <v>-34.79228034</v>
      </c>
      <c r="G124" s="5">
        <f t="shared" si="28"/>
        <v>-33.05084058</v>
      </c>
      <c r="H124" s="5">
        <f t="shared" si="28"/>
        <v>-31.38868107</v>
      </c>
      <c r="I124" s="5">
        <f t="shared" si="28"/>
        <v>-29.80238545</v>
      </c>
      <c r="J124" s="5">
        <f t="shared" si="28"/>
        <v>-28.28867938</v>
      </c>
      <c r="K124" s="5">
        <f t="shared" si="28"/>
        <v>-26.84442482</v>
      </c>
      <c r="L124" s="5">
        <f t="shared" si="28"/>
        <v>-25.28221577</v>
      </c>
      <c r="M124" s="5">
        <f t="shared" si="28"/>
        <v>-17.0451505</v>
      </c>
      <c r="N124" s="5">
        <f t="shared" si="28"/>
        <v>-16.44857024</v>
      </c>
      <c r="O124" s="5">
        <f t="shared" si="28"/>
        <v>-16.53803612</v>
      </c>
      <c r="P124" s="5">
        <f t="shared" si="28"/>
        <v>-16.60108989</v>
      </c>
      <c r="Q124" s="5">
        <f t="shared" si="28"/>
        <v>-16.6394708</v>
      </c>
      <c r="R124" s="5">
        <f t="shared" si="28"/>
        <v>-16.65482871</v>
      </c>
      <c r="S124" s="5">
        <f t="shared" si="28"/>
        <v>-16.64872822</v>
      </c>
      <c r="T124" s="5">
        <f t="shared" si="28"/>
        <v>-16.6226526</v>
      </c>
      <c r="U124" s="5">
        <f t="shared" si="28"/>
        <v>-16.57800758</v>
      </c>
      <c r="V124" s="5">
        <f t="shared" si="28"/>
        <v>-16.51612496</v>
      </c>
      <c r="W124" s="5">
        <f t="shared" si="28"/>
        <v>-16.43826606</v>
      </c>
      <c r="X124" s="5">
        <f t="shared" si="28"/>
        <v>-16.33355758</v>
      </c>
      <c r="Y124" s="5">
        <f t="shared" si="28"/>
        <v>-15.76188307</v>
      </c>
      <c r="Z124" s="5">
        <f t="shared" si="28"/>
        <v>-15.21021716</v>
      </c>
      <c r="AA124" s="5">
        <f t="shared" si="28"/>
        <v>-14.67785956</v>
      </c>
      <c r="AB124" s="5">
        <f t="shared" si="28"/>
        <v>-14.16413447</v>
      </c>
      <c r="AC124" s="5">
        <f t="shared" si="28"/>
        <v>-13.66838977</v>
      </c>
      <c r="AD124" s="5">
        <f t="shared" si="28"/>
        <v>-13.18999613</v>
      </c>
      <c r="AE124" s="5">
        <f t="shared" si="28"/>
        <v>-12.72834626</v>
      </c>
      <c r="AF124" s="5">
        <f t="shared" si="28"/>
        <v>-12.28285414</v>
      </c>
      <c r="AG124" s="5">
        <f t="shared" si="28"/>
        <v>-11.85295425</v>
      </c>
      <c r="AH124" s="5">
        <f t="shared" si="28"/>
        <v>-11.43810085</v>
      </c>
      <c r="AI124" s="5">
        <f t="shared" si="28"/>
        <v>-11.03776732</v>
      </c>
      <c r="AJ124" s="5">
        <f t="shared" si="28"/>
        <v>-10.65144546</v>
      </c>
      <c r="AK124" s="5">
        <f t="shared" si="28"/>
        <v>-10.27864487</v>
      </c>
    </row>
    <row r="125" ht="14.25" customHeight="1">
      <c r="B125" s="28" t="s">
        <v>112</v>
      </c>
      <c r="C125" s="5">
        <f t="shared" ref="C125:AK125" si="29">C123-C87</f>
        <v>-13956370.33</v>
      </c>
      <c r="D125" s="5">
        <f t="shared" si="29"/>
        <v>-12885111.68</v>
      </c>
      <c r="E125" s="5">
        <f t="shared" si="29"/>
        <v>-11871744.58</v>
      </c>
      <c r="F125" s="5">
        <f t="shared" si="29"/>
        <v>-10913528.92</v>
      </c>
      <c r="G125" s="5">
        <f t="shared" si="29"/>
        <v>-10007845.47</v>
      </c>
      <c r="H125" s="5">
        <f t="shared" si="29"/>
        <v>-9152190.789</v>
      </c>
      <c r="I125" s="5">
        <f t="shared" si="29"/>
        <v>-8344172.323</v>
      </c>
      <c r="J125" s="5">
        <f t="shared" si="29"/>
        <v>-7581503.716</v>
      </c>
      <c r="K125" s="5">
        <f t="shared" si="29"/>
        <v>-6862000.3</v>
      </c>
      <c r="L125" s="5">
        <f t="shared" si="29"/>
        <v>-5999176.109</v>
      </c>
      <c r="M125" s="5">
        <f t="shared" si="29"/>
        <v>1562982.766</v>
      </c>
      <c r="N125" s="5">
        <f t="shared" si="29"/>
        <v>1508278.369</v>
      </c>
      <c r="O125" s="5">
        <f t="shared" si="29"/>
        <v>790322.7866</v>
      </c>
      <c r="P125" s="5">
        <f t="shared" si="29"/>
        <v>120776.4541</v>
      </c>
      <c r="Q125" s="5">
        <f t="shared" si="29"/>
        <v>-502869.7805</v>
      </c>
      <c r="R125" s="5">
        <f t="shared" si="29"/>
        <v>-1083008.73</v>
      </c>
      <c r="S125" s="5">
        <f t="shared" si="29"/>
        <v>-1621921.937</v>
      </c>
      <c r="T125" s="5">
        <f t="shared" si="29"/>
        <v>-2121784.534</v>
      </c>
      <c r="U125" s="5">
        <f t="shared" si="29"/>
        <v>-2584669.895</v>
      </c>
      <c r="V125" s="5">
        <f t="shared" si="29"/>
        <v>-3012554.095</v>
      </c>
      <c r="W125" s="5">
        <f t="shared" si="29"/>
        <v>-3407320.18</v>
      </c>
      <c r="X125" s="5">
        <f t="shared" si="29"/>
        <v>-3758694.803</v>
      </c>
      <c r="Y125" s="5">
        <f t="shared" si="29"/>
        <v>-3627140.485</v>
      </c>
      <c r="Z125" s="5">
        <f t="shared" si="29"/>
        <v>-3500190.568</v>
      </c>
      <c r="AA125" s="5">
        <f t="shared" si="29"/>
        <v>-3377683.898</v>
      </c>
      <c r="AB125" s="5">
        <f t="shared" si="29"/>
        <v>-3259464.962</v>
      </c>
      <c r="AC125" s="5">
        <f t="shared" si="29"/>
        <v>-3145383.688</v>
      </c>
      <c r="AD125" s="5">
        <f t="shared" si="29"/>
        <v>-3035295.259</v>
      </c>
      <c r="AE125" s="5">
        <f t="shared" si="29"/>
        <v>-2929059.925</v>
      </c>
      <c r="AF125" s="5">
        <f t="shared" si="29"/>
        <v>-2826542.828</v>
      </c>
      <c r="AG125" s="5">
        <f t="shared" si="29"/>
        <v>-2727613.829</v>
      </c>
      <c r="AH125" s="5">
        <f t="shared" si="29"/>
        <v>-2632147.345</v>
      </c>
      <c r="AI125" s="5">
        <f t="shared" si="29"/>
        <v>-2540022.188</v>
      </c>
      <c r="AJ125" s="5">
        <f t="shared" si="29"/>
        <v>-2451121.411</v>
      </c>
      <c r="AK125" s="5">
        <f t="shared" si="29"/>
        <v>-2365332.162</v>
      </c>
    </row>
    <row r="126" ht="14.25" customHeight="1">
      <c r="C126" s="5">
        <f t="shared" ref="C126:AK126" si="30">C125/1000000</f>
        <v>-13.95637033</v>
      </c>
      <c r="D126" s="5">
        <f t="shared" si="30"/>
        <v>-12.88511168</v>
      </c>
      <c r="E126" s="5">
        <f t="shared" si="30"/>
        <v>-11.87174458</v>
      </c>
      <c r="F126" s="5">
        <f t="shared" si="30"/>
        <v>-10.91352892</v>
      </c>
      <c r="G126" s="5">
        <f t="shared" si="30"/>
        <v>-10.00784547</v>
      </c>
      <c r="H126" s="5">
        <f t="shared" si="30"/>
        <v>-9.152190789</v>
      </c>
      <c r="I126" s="5">
        <f t="shared" si="30"/>
        <v>-8.344172323</v>
      </c>
      <c r="J126" s="5">
        <f t="shared" si="30"/>
        <v>-7.581503716</v>
      </c>
      <c r="K126" s="5">
        <f t="shared" si="30"/>
        <v>-6.8620003</v>
      </c>
      <c r="L126" s="5">
        <f t="shared" si="30"/>
        <v>-5.999176109</v>
      </c>
      <c r="M126" s="5">
        <f t="shared" si="30"/>
        <v>1.562982766</v>
      </c>
      <c r="N126" s="5">
        <f t="shared" si="30"/>
        <v>1.508278369</v>
      </c>
      <c r="O126" s="5">
        <f t="shared" si="30"/>
        <v>0.7903227866</v>
      </c>
      <c r="P126" s="5">
        <f t="shared" si="30"/>
        <v>0.1207764541</v>
      </c>
      <c r="Q126" s="5">
        <f t="shared" si="30"/>
        <v>-0.5028697805</v>
      </c>
      <c r="R126" s="5">
        <f t="shared" si="30"/>
        <v>-1.08300873</v>
      </c>
      <c r="S126" s="5">
        <f t="shared" si="30"/>
        <v>-1.621921937</v>
      </c>
      <c r="T126" s="5">
        <f t="shared" si="30"/>
        <v>-2.121784534</v>
      </c>
      <c r="U126" s="5">
        <f t="shared" si="30"/>
        <v>-2.584669895</v>
      </c>
      <c r="V126" s="5">
        <f t="shared" si="30"/>
        <v>-3.012554095</v>
      </c>
      <c r="W126" s="5">
        <f t="shared" si="30"/>
        <v>-3.40732018</v>
      </c>
      <c r="X126" s="5">
        <f t="shared" si="30"/>
        <v>-3.758694803</v>
      </c>
      <c r="Y126" s="5">
        <f t="shared" si="30"/>
        <v>-3.627140485</v>
      </c>
      <c r="Z126" s="5">
        <f t="shared" si="30"/>
        <v>-3.500190568</v>
      </c>
      <c r="AA126" s="5">
        <f t="shared" si="30"/>
        <v>-3.377683898</v>
      </c>
      <c r="AB126" s="5">
        <f t="shared" si="30"/>
        <v>-3.259464962</v>
      </c>
      <c r="AC126" s="5">
        <f t="shared" si="30"/>
        <v>-3.145383688</v>
      </c>
      <c r="AD126" s="5">
        <f t="shared" si="30"/>
        <v>-3.035295259</v>
      </c>
      <c r="AE126" s="5">
        <f t="shared" si="30"/>
        <v>-2.929059925</v>
      </c>
      <c r="AF126" s="5">
        <f t="shared" si="30"/>
        <v>-2.826542828</v>
      </c>
      <c r="AG126" s="5">
        <f t="shared" si="30"/>
        <v>-2.727613829</v>
      </c>
      <c r="AH126" s="5">
        <f t="shared" si="30"/>
        <v>-2.632147345</v>
      </c>
      <c r="AI126" s="5">
        <f t="shared" si="30"/>
        <v>-2.540022188</v>
      </c>
      <c r="AJ126" s="5">
        <f t="shared" si="30"/>
        <v>-2.451121411</v>
      </c>
      <c r="AK126" s="5">
        <f t="shared" si="30"/>
        <v>-2.365332162</v>
      </c>
    </row>
    <row r="127" ht="14.25" customHeight="1">
      <c r="B127" s="35" t="s">
        <v>113</v>
      </c>
      <c r="C127" s="5">
        <f t="shared" ref="C127:AK127" si="31">C123-C95-C96-C97</f>
        <v>-37208439.17</v>
      </c>
      <c r="D127" s="5">
        <f t="shared" si="31"/>
        <v>-35323358.11</v>
      </c>
      <c r="E127" s="5">
        <f t="shared" si="31"/>
        <v>-33524652.39</v>
      </c>
      <c r="F127" s="5">
        <f t="shared" si="31"/>
        <v>-31808584.95</v>
      </c>
      <c r="G127" s="5">
        <f t="shared" si="31"/>
        <v>-30171574.54</v>
      </c>
      <c r="H127" s="5">
        <f t="shared" si="31"/>
        <v>-28610189.34</v>
      </c>
      <c r="I127" s="5">
        <f t="shared" si="31"/>
        <v>-27121140.93</v>
      </c>
      <c r="J127" s="5">
        <f t="shared" si="31"/>
        <v>-25701278.42</v>
      </c>
      <c r="K127" s="5">
        <f t="shared" si="31"/>
        <v>-24347582.89</v>
      </c>
      <c r="L127" s="5">
        <f t="shared" si="31"/>
        <v>-22872763.3</v>
      </c>
      <c r="M127" s="5">
        <f t="shared" si="31"/>
        <v>-14720028.88</v>
      </c>
      <c r="N127" s="5">
        <f t="shared" si="31"/>
        <v>-14204827.87</v>
      </c>
      <c r="O127" s="5">
        <f t="shared" si="31"/>
        <v>-14372824.73</v>
      </c>
      <c r="P127" s="5">
        <f t="shared" si="31"/>
        <v>-14511660.9</v>
      </c>
      <c r="Q127" s="5">
        <f t="shared" si="31"/>
        <v>-14623171.83</v>
      </c>
      <c r="R127" s="5">
        <f t="shared" si="31"/>
        <v>-14709100.21</v>
      </c>
      <c r="S127" s="5">
        <f t="shared" si="31"/>
        <v>-14771100.21</v>
      </c>
      <c r="T127" s="5">
        <f t="shared" si="31"/>
        <v>-14810741.57</v>
      </c>
      <c r="U127" s="5">
        <f t="shared" si="31"/>
        <v>-14829513.43</v>
      </c>
      <c r="V127" s="5">
        <f t="shared" si="31"/>
        <v>-14828828.11</v>
      </c>
      <c r="W127" s="5">
        <f t="shared" si="31"/>
        <v>-14810024.6</v>
      </c>
      <c r="X127" s="5">
        <f t="shared" si="31"/>
        <v>-14762304.57</v>
      </c>
      <c r="Y127" s="5">
        <f t="shared" si="31"/>
        <v>-14245623.91</v>
      </c>
      <c r="Z127" s="5">
        <f t="shared" si="31"/>
        <v>-13747027.08</v>
      </c>
      <c r="AA127" s="5">
        <f t="shared" si="31"/>
        <v>-13265881.13</v>
      </c>
      <c r="AB127" s="5">
        <f t="shared" si="31"/>
        <v>-12801575.29</v>
      </c>
      <c r="AC127" s="5">
        <f t="shared" si="31"/>
        <v>-12353520.15</v>
      </c>
      <c r="AD127" s="5">
        <f t="shared" si="31"/>
        <v>-11921146.95</v>
      </c>
      <c r="AE127" s="5">
        <f t="shared" si="31"/>
        <v>-11503906.8</v>
      </c>
      <c r="AF127" s="5">
        <f t="shared" si="31"/>
        <v>-11101270.07</v>
      </c>
      <c r="AG127" s="5">
        <f t="shared" si="31"/>
        <v>-10712725.61</v>
      </c>
      <c r="AH127" s="5">
        <f t="shared" si="31"/>
        <v>-10337780.22</v>
      </c>
      <c r="AI127" s="5">
        <f t="shared" si="31"/>
        <v>-9975957.91</v>
      </c>
      <c r="AJ127" s="5">
        <f t="shared" si="31"/>
        <v>-9626799.383</v>
      </c>
      <c r="AK127" s="5">
        <f t="shared" si="31"/>
        <v>-9289861.405</v>
      </c>
    </row>
    <row r="128" ht="14.25" customHeight="1"/>
    <row r="129" ht="14.25" customHeight="1">
      <c r="B129" s="15" t="s">
        <v>114</v>
      </c>
      <c r="C129" s="5">
        <f t="shared" ref="C129:AK129" si="32">C127-C87</f>
        <v>-10636106.9</v>
      </c>
      <c r="D129" s="5">
        <f t="shared" si="32"/>
        <v>-9681057.471</v>
      </c>
      <c r="E129" s="5">
        <f t="shared" si="32"/>
        <v>-8779832.272</v>
      </c>
      <c r="F129" s="5">
        <f t="shared" si="32"/>
        <v>-7929833.542</v>
      </c>
      <c r="G129" s="5">
        <f t="shared" si="32"/>
        <v>-7128579.429</v>
      </c>
      <c r="H129" s="5">
        <f t="shared" si="32"/>
        <v>-6373699.057</v>
      </c>
      <c r="I129" s="5">
        <f t="shared" si="32"/>
        <v>-5662927.802</v>
      </c>
      <c r="J129" s="5">
        <f t="shared" si="32"/>
        <v>-4994102.753</v>
      </c>
      <c r="K129" s="5">
        <f t="shared" si="32"/>
        <v>-4365158.371</v>
      </c>
      <c r="L129" s="5">
        <f t="shared" si="32"/>
        <v>-3589723.647</v>
      </c>
      <c r="M129" s="5">
        <f t="shared" si="32"/>
        <v>3888104.391</v>
      </c>
      <c r="N129" s="5">
        <f t="shared" si="32"/>
        <v>3752020.738</v>
      </c>
      <c r="O129" s="5">
        <f t="shared" si="32"/>
        <v>2955534.173</v>
      </c>
      <c r="P129" s="5">
        <f t="shared" si="32"/>
        <v>2210205.442</v>
      </c>
      <c r="Q129" s="5">
        <f t="shared" si="32"/>
        <v>1513429.192</v>
      </c>
      <c r="R129" s="5">
        <f t="shared" si="32"/>
        <v>862719.7791</v>
      </c>
      <c r="S129" s="5">
        <f t="shared" si="32"/>
        <v>255706.0738</v>
      </c>
      <c r="T129" s="5">
        <f t="shared" si="32"/>
        <v>-309873.5037</v>
      </c>
      <c r="U129" s="5">
        <f t="shared" si="32"/>
        <v>-836175.7508</v>
      </c>
      <c r="V129" s="5">
        <f t="shared" si="32"/>
        <v>-1325257.246</v>
      </c>
      <c r="W129" s="5">
        <f t="shared" si="32"/>
        <v>-1779078.72</v>
      </c>
      <c r="X129" s="5">
        <f t="shared" si="32"/>
        <v>-2187441.795</v>
      </c>
      <c r="Y129" s="5">
        <f t="shared" si="32"/>
        <v>-2110881.332</v>
      </c>
      <c r="Z129" s="5">
        <f t="shared" si="32"/>
        <v>-2037000.485</v>
      </c>
      <c r="AA129" s="5">
        <f t="shared" si="32"/>
        <v>-1965705.468</v>
      </c>
      <c r="AB129" s="5">
        <f t="shared" si="32"/>
        <v>-1896905.777</v>
      </c>
      <c r="AC129" s="5">
        <f t="shared" si="32"/>
        <v>-1830514.075</v>
      </c>
      <c r="AD129" s="5">
        <f t="shared" si="32"/>
        <v>-1766446.082</v>
      </c>
      <c r="AE129" s="5">
        <f t="shared" si="32"/>
        <v>-1704620.469</v>
      </c>
      <c r="AF129" s="5">
        <f t="shared" si="32"/>
        <v>-1644958.753</v>
      </c>
      <c r="AG129" s="5">
        <f t="shared" si="32"/>
        <v>-1587385.196</v>
      </c>
      <c r="AH129" s="5">
        <f t="shared" si="32"/>
        <v>-1531826.715</v>
      </c>
      <c r="AI129" s="5">
        <f t="shared" si="32"/>
        <v>-1478212.78</v>
      </c>
      <c r="AJ129" s="5">
        <f t="shared" si="32"/>
        <v>-1426475.332</v>
      </c>
      <c r="AK129" s="5">
        <f t="shared" si="32"/>
        <v>-1376548.696</v>
      </c>
    </row>
    <row r="130" ht="14.25" customHeight="1"/>
    <row r="131" ht="14.25" customHeight="1">
      <c r="AE131" s="5" t="s">
        <v>115</v>
      </c>
    </row>
    <row r="132" ht="14.25" customHeight="1"/>
    <row r="133" ht="14.25" customHeight="1"/>
    <row r="134" ht="14.25" customHeight="1"/>
    <row r="135" ht="14.25" customHeight="1">
      <c r="G135" s="36"/>
    </row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>
      <c r="A155" s="15" t="s">
        <v>116</v>
      </c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</row>
    <row r="156" ht="14.25" customHeight="1">
      <c r="B156" s="26" t="s">
        <v>85</v>
      </c>
      <c r="C156" s="26">
        <v>1.0</v>
      </c>
      <c r="D156" s="26">
        <v>2.0</v>
      </c>
      <c r="E156" s="26">
        <v>3.0</v>
      </c>
      <c r="F156" s="26">
        <v>4.0</v>
      </c>
      <c r="G156" s="26">
        <v>5.0</v>
      </c>
      <c r="H156" s="26">
        <v>6.0</v>
      </c>
      <c r="I156" s="26">
        <v>7.0</v>
      </c>
      <c r="J156" s="26">
        <v>8.0</v>
      </c>
      <c r="K156" s="26">
        <v>9.0</v>
      </c>
      <c r="L156" s="26">
        <v>10.0</v>
      </c>
      <c r="M156" s="26">
        <v>11.0</v>
      </c>
      <c r="N156" s="26">
        <v>12.0</v>
      </c>
      <c r="O156" s="26">
        <v>13.0</v>
      </c>
      <c r="P156" s="26">
        <v>14.0</v>
      </c>
      <c r="Q156" s="26">
        <v>15.0</v>
      </c>
      <c r="R156" s="26">
        <v>16.0</v>
      </c>
      <c r="S156" s="26">
        <v>17.0</v>
      </c>
      <c r="T156" s="26">
        <v>18.0</v>
      </c>
      <c r="U156" s="26">
        <v>19.0</v>
      </c>
      <c r="V156" s="26">
        <v>20.0</v>
      </c>
      <c r="W156" s="26">
        <v>21.0</v>
      </c>
      <c r="X156" s="26">
        <v>22.0</v>
      </c>
      <c r="Y156" s="26">
        <v>23.0</v>
      </c>
      <c r="Z156" s="26">
        <v>24.0</v>
      </c>
      <c r="AA156" s="26">
        <v>25.0</v>
      </c>
      <c r="AB156" s="26">
        <v>26.0</v>
      </c>
      <c r="AC156" s="26">
        <v>27.0</v>
      </c>
      <c r="AD156" s="26">
        <v>28.0</v>
      </c>
      <c r="AE156" s="26">
        <v>29.0</v>
      </c>
      <c r="AF156" s="26">
        <v>30.0</v>
      </c>
      <c r="AG156" s="26">
        <v>31.0</v>
      </c>
      <c r="AH156" s="26">
        <v>32.0</v>
      </c>
      <c r="AI156" s="26">
        <v>33.0</v>
      </c>
      <c r="AJ156" s="26">
        <v>34.0</v>
      </c>
      <c r="AK156" s="26">
        <v>35.0</v>
      </c>
    </row>
    <row r="157" ht="14.25" customHeight="1">
      <c r="B157" s="30" t="s">
        <v>95</v>
      </c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</row>
    <row r="158" ht="14.25" customHeight="1">
      <c r="B158" s="31" t="s">
        <v>96</v>
      </c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</row>
    <row r="159" ht="14.25" customHeight="1">
      <c r="B159" s="27" t="s">
        <v>97</v>
      </c>
      <c r="C159" s="25">
        <f t="shared" ref="C159:AK159" si="33">-$C$15/35</f>
        <v>-1928571.429</v>
      </c>
      <c r="D159" s="25">
        <f t="shared" si="33"/>
        <v>-1928571.429</v>
      </c>
      <c r="E159" s="25">
        <f t="shared" si="33"/>
        <v>-1928571.429</v>
      </c>
      <c r="F159" s="25">
        <f t="shared" si="33"/>
        <v>-1928571.429</v>
      </c>
      <c r="G159" s="25">
        <f t="shared" si="33"/>
        <v>-1928571.429</v>
      </c>
      <c r="H159" s="25">
        <f t="shared" si="33"/>
        <v>-1928571.429</v>
      </c>
      <c r="I159" s="25">
        <f t="shared" si="33"/>
        <v>-1928571.429</v>
      </c>
      <c r="J159" s="25">
        <f t="shared" si="33"/>
        <v>-1928571.429</v>
      </c>
      <c r="K159" s="25">
        <f t="shared" si="33"/>
        <v>-1928571.429</v>
      </c>
      <c r="L159" s="25">
        <f t="shared" si="33"/>
        <v>-1928571.429</v>
      </c>
      <c r="M159" s="25">
        <f t="shared" si="33"/>
        <v>-1928571.429</v>
      </c>
      <c r="N159" s="25">
        <f t="shared" si="33"/>
        <v>-1928571.429</v>
      </c>
      <c r="O159" s="25">
        <f t="shared" si="33"/>
        <v>-1928571.429</v>
      </c>
      <c r="P159" s="25">
        <f t="shared" si="33"/>
        <v>-1928571.429</v>
      </c>
      <c r="Q159" s="25">
        <f t="shared" si="33"/>
        <v>-1928571.429</v>
      </c>
      <c r="R159" s="25">
        <f t="shared" si="33"/>
        <v>-1928571.429</v>
      </c>
      <c r="S159" s="25">
        <f t="shared" si="33"/>
        <v>-1928571.429</v>
      </c>
      <c r="T159" s="25">
        <f t="shared" si="33"/>
        <v>-1928571.429</v>
      </c>
      <c r="U159" s="25">
        <f t="shared" si="33"/>
        <v>-1928571.429</v>
      </c>
      <c r="V159" s="25">
        <f t="shared" si="33"/>
        <v>-1928571.429</v>
      </c>
      <c r="W159" s="25">
        <f t="shared" si="33"/>
        <v>-1928571.429</v>
      </c>
      <c r="X159" s="25">
        <f t="shared" si="33"/>
        <v>-1928571.429</v>
      </c>
      <c r="Y159" s="25">
        <f t="shared" si="33"/>
        <v>-1928571.429</v>
      </c>
      <c r="Z159" s="25">
        <f t="shared" si="33"/>
        <v>-1928571.429</v>
      </c>
      <c r="AA159" s="25">
        <f t="shared" si="33"/>
        <v>-1928571.429</v>
      </c>
      <c r="AB159" s="25">
        <f t="shared" si="33"/>
        <v>-1928571.429</v>
      </c>
      <c r="AC159" s="25">
        <f t="shared" si="33"/>
        <v>-1928571.429</v>
      </c>
      <c r="AD159" s="25">
        <f t="shared" si="33"/>
        <v>-1928571.429</v>
      </c>
      <c r="AE159" s="25">
        <f t="shared" si="33"/>
        <v>-1928571.429</v>
      </c>
      <c r="AF159" s="25">
        <f t="shared" si="33"/>
        <v>-1928571.429</v>
      </c>
      <c r="AG159" s="25">
        <f t="shared" si="33"/>
        <v>-1928571.429</v>
      </c>
      <c r="AH159" s="25">
        <f t="shared" si="33"/>
        <v>-1928571.429</v>
      </c>
      <c r="AI159" s="25">
        <f t="shared" si="33"/>
        <v>-1928571.429</v>
      </c>
      <c r="AJ159" s="25">
        <f t="shared" si="33"/>
        <v>-1928571.429</v>
      </c>
      <c r="AK159" s="25">
        <f t="shared" si="33"/>
        <v>-1928571.429</v>
      </c>
    </row>
    <row r="160" ht="14.25" customHeight="1">
      <c r="B160" s="27" t="s">
        <v>98</v>
      </c>
      <c r="C160" s="25">
        <f t="shared" ref="C160:AK160" si="34">-$D$30/12</f>
        <v>-1512000</v>
      </c>
      <c r="D160" s="25">
        <f t="shared" si="34"/>
        <v>-1512000</v>
      </c>
      <c r="E160" s="25">
        <f t="shared" si="34"/>
        <v>-1512000</v>
      </c>
      <c r="F160" s="25">
        <f t="shared" si="34"/>
        <v>-1512000</v>
      </c>
      <c r="G160" s="25">
        <f t="shared" si="34"/>
        <v>-1512000</v>
      </c>
      <c r="H160" s="25">
        <f t="shared" si="34"/>
        <v>-1512000</v>
      </c>
      <c r="I160" s="25">
        <f t="shared" si="34"/>
        <v>-1512000</v>
      </c>
      <c r="J160" s="25">
        <f t="shared" si="34"/>
        <v>-1512000</v>
      </c>
      <c r="K160" s="25">
        <f t="shared" si="34"/>
        <v>-1512000</v>
      </c>
      <c r="L160" s="25">
        <f t="shared" si="34"/>
        <v>-1512000</v>
      </c>
      <c r="M160" s="25">
        <f t="shared" si="34"/>
        <v>-1512000</v>
      </c>
      <c r="N160" s="25">
        <f t="shared" si="34"/>
        <v>-1512000</v>
      </c>
      <c r="O160" s="25">
        <f t="shared" si="34"/>
        <v>-1512000</v>
      </c>
      <c r="P160" s="25">
        <f t="shared" si="34"/>
        <v>-1512000</v>
      </c>
      <c r="Q160" s="25">
        <f t="shared" si="34"/>
        <v>-1512000</v>
      </c>
      <c r="R160" s="25">
        <f t="shared" si="34"/>
        <v>-1512000</v>
      </c>
      <c r="S160" s="25">
        <f t="shared" si="34"/>
        <v>-1512000</v>
      </c>
      <c r="T160" s="25">
        <f t="shared" si="34"/>
        <v>-1512000</v>
      </c>
      <c r="U160" s="25">
        <f t="shared" si="34"/>
        <v>-1512000</v>
      </c>
      <c r="V160" s="25">
        <f t="shared" si="34"/>
        <v>-1512000</v>
      </c>
      <c r="W160" s="25">
        <f t="shared" si="34"/>
        <v>-1512000</v>
      </c>
      <c r="X160" s="25">
        <f t="shared" si="34"/>
        <v>-1512000</v>
      </c>
      <c r="Y160" s="25">
        <f t="shared" si="34"/>
        <v>-1512000</v>
      </c>
      <c r="Z160" s="25">
        <f t="shared" si="34"/>
        <v>-1512000</v>
      </c>
      <c r="AA160" s="25">
        <f t="shared" si="34"/>
        <v>-1512000</v>
      </c>
      <c r="AB160" s="25">
        <f t="shared" si="34"/>
        <v>-1512000</v>
      </c>
      <c r="AC160" s="25">
        <f t="shared" si="34"/>
        <v>-1512000</v>
      </c>
      <c r="AD160" s="25">
        <f t="shared" si="34"/>
        <v>-1512000</v>
      </c>
      <c r="AE160" s="25">
        <f t="shared" si="34"/>
        <v>-1512000</v>
      </c>
      <c r="AF160" s="25">
        <f t="shared" si="34"/>
        <v>-1512000</v>
      </c>
      <c r="AG160" s="25">
        <f t="shared" si="34"/>
        <v>-1512000</v>
      </c>
      <c r="AH160" s="25">
        <f t="shared" si="34"/>
        <v>-1512000</v>
      </c>
      <c r="AI160" s="25">
        <f t="shared" si="34"/>
        <v>-1512000</v>
      </c>
      <c r="AJ160" s="25">
        <f t="shared" si="34"/>
        <v>-1512000</v>
      </c>
      <c r="AK160" s="25">
        <f t="shared" si="34"/>
        <v>-1512000</v>
      </c>
    </row>
    <row r="161" ht="14.25" customHeight="1">
      <c r="B161" s="27" t="s">
        <v>99</v>
      </c>
      <c r="C161" s="27">
        <f t="shared" ref="C161:AK161" si="35">-1160.64/10</f>
        <v>-116.064</v>
      </c>
      <c r="D161" s="27">
        <f t="shared" si="35"/>
        <v>-116.064</v>
      </c>
      <c r="E161" s="27">
        <f t="shared" si="35"/>
        <v>-116.064</v>
      </c>
      <c r="F161" s="27">
        <f t="shared" si="35"/>
        <v>-116.064</v>
      </c>
      <c r="G161" s="27">
        <f t="shared" si="35"/>
        <v>-116.064</v>
      </c>
      <c r="H161" s="27">
        <f t="shared" si="35"/>
        <v>-116.064</v>
      </c>
      <c r="I161" s="27">
        <f t="shared" si="35"/>
        <v>-116.064</v>
      </c>
      <c r="J161" s="27">
        <f t="shared" si="35"/>
        <v>-116.064</v>
      </c>
      <c r="K161" s="27">
        <f t="shared" si="35"/>
        <v>-116.064</v>
      </c>
      <c r="L161" s="27">
        <f t="shared" si="35"/>
        <v>-116.064</v>
      </c>
      <c r="M161" s="27">
        <f t="shared" si="35"/>
        <v>-116.064</v>
      </c>
      <c r="N161" s="27">
        <f t="shared" si="35"/>
        <v>-116.064</v>
      </c>
      <c r="O161" s="27">
        <f t="shared" si="35"/>
        <v>-116.064</v>
      </c>
      <c r="P161" s="27">
        <f t="shared" si="35"/>
        <v>-116.064</v>
      </c>
      <c r="Q161" s="27">
        <f t="shared" si="35"/>
        <v>-116.064</v>
      </c>
      <c r="R161" s="27">
        <f t="shared" si="35"/>
        <v>-116.064</v>
      </c>
      <c r="S161" s="27">
        <f t="shared" si="35"/>
        <v>-116.064</v>
      </c>
      <c r="T161" s="27">
        <f t="shared" si="35"/>
        <v>-116.064</v>
      </c>
      <c r="U161" s="27">
        <f t="shared" si="35"/>
        <v>-116.064</v>
      </c>
      <c r="V161" s="27">
        <f t="shared" si="35"/>
        <v>-116.064</v>
      </c>
      <c r="W161" s="27">
        <f t="shared" si="35"/>
        <v>-116.064</v>
      </c>
      <c r="X161" s="27">
        <f t="shared" si="35"/>
        <v>-116.064</v>
      </c>
      <c r="Y161" s="27">
        <f t="shared" si="35"/>
        <v>-116.064</v>
      </c>
      <c r="Z161" s="27">
        <f t="shared" si="35"/>
        <v>-116.064</v>
      </c>
      <c r="AA161" s="27">
        <f t="shared" si="35"/>
        <v>-116.064</v>
      </c>
      <c r="AB161" s="27">
        <f t="shared" si="35"/>
        <v>-116.064</v>
      </c>
      <c r="AC161" s="27">
        <f t="shared" si="35"/>
        <v>-116.064</v>
      </c>
      <c r="AD161" s="27">
        <f t="shared" si="35"/>
        <v>-116.064</v>
      </c>
      <c r="AE161" s="27">
        <f t="shared" si="35"/>
        <v>-116.064</v>
      </c>
      <c r="AF161" s="27">
        <f t="shared" si="35"/>
        <v>-116.064</v>
      </c>
      <c r="AG161" s="27">
        <f t="shared" si="35"/>
        <v>-116.064</v>
      </c>
      <c r="AH161" s="27">
        <f t="shared" si="35"/>
        <v>-116.064</v>
      </c>
      <c r="AI161" s="27">
        <f t="shared" si="35"/>
        <v>-116.064</v>
      </c>
      <c r="AJ161" s="27">
        <f t="shared" si="35"/>
        <v>-116.064</v>
      </c>
      <c r="AK161" s="27">
        <f t="shared" si="35"/>
        <v>-116.064</v>
      </c>
    </row>
    <row r="162" ht="14.25" customHeight="1"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</row>
    <row r="163" ht="14.25" customHeight="1">
      <c r="B163" s="31" t="s">
        <v>100</v>
      </c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</row>
    <row r="164" ht="14.25" customHeight="1">
      <c r="B164" s="27" t="s">
        <v>101</v>
      </c>
      <c r="C164" s="25">
        <f t="shared" ref="C164:K164" si="36">$E$70*(C156*40/399) </f>
        <v>-942598.1393</v>
      </c>
      <c r="D164" s="25">
        <f t="shared" si="36"/>
        <v>-1885196.279</v>
      </c>
      <c r="E164" s="25">
        <f t="shared" si="36"/>
        <v>-2827794.418</v>
      </c>
      <c r="F164" s="25">
        <f t="shared" si="36"/>
        <v>-3770392.557</v>
      </c>
      <c r="G164" s="25">
        <f t="shared" si="36"/>
        <v>-4712990.697</v>
      </c>
      <c r="H164" s="25">
        <f t="shared" si="36"/>
        <v>-5655588.836</v>
      </c>
      <c r="I164" s="25">
        <f t="shared" si="36"/>
        <v>-6598186.975</v>
      </c>
      <c r="J164" s="25">
        <f t="shared" si="36"/>
        <v>-7540785.115</v>
      </c>
      <c r="K164" s="25">
        <f t="shared" si="36"/>
        <v>-8483383.254</v>
      </c>
      <c r="L164" s="25">
        <f t="shared" ref="L164:AK164" si="37">$E$70</f>
        <v>-9402416.44</v>
      </c>
      <c r="M164" s="25">
        <f t="shared" si="37"/>
        <v>-9402416.44</v>
      </c>
      <c r="N164" s="25">
        <f t="shared" si="37"/>
        <v>-9402416.44</v>
      </c>
      <c r="O164" s="25">
        <f t="shared" si="37"/>
        <v>-9402416.44</v>
      </c>
      <c r="P164" s="25">
        <f t="shared" si="37"/>
        <v>-9402416.44</v>
      </c>
      <c r="Q164" s="25">
        <f t="shared" si="37"/>
        <v>-9402416.44</v>
      </c>
      <c r="R164" s="25">
        <f t="shared" si="37"/>
        <v>-9402416.44</v>
      </c>
      <c r="S164" s="25">
        <f t="shared" si="37"/>
        <v>-9402416.44</v>
      </c>
      <c r="T164" s="25">
        <f t="shared" si="37"/>
        <v>-9402416.44</v>
      </c>
      <c r="U164" s="25">
        <f t="shared" si="37"/>
        <v>-9402416.44</v>
      </c>
      <c r="V164" s="25">
        <f t="shared" si="37"/>
        <v>-9402416.44</v>
      </c>
      <c r="W164" s="25">
        <f t="shared" si="37"/>
        <v>-9402416.44</v>
      </c>
      <c r="X164" s="25">
        <f t="shared" si="37"/>
        <v>-9402416.44</v>
      </c>
      <c r="Y164" s="25">
        <f t="shared" si="37"/>
        <v>-9402416.44</v>
      </c>
      <c r="Z164" s="25">
        <f t="shared" si="37"/>
        <v>-9402416.44</v>
      </c>
      <c r="AA164" s="25">
        <f t="shared" si="37"/>
        <v>-9402416.44</v>
      </c>
      <c r="AB164" s="25">
        <f t="shared" si="37"/>
        <v>-9402416.44</v>
      </c>
      <c r="AC164" s="25">
        <f t="shared" si="37"/>
        <v>-9402416.44</v>
      </c>
      <c r="AD164" s="25">
        <f t="shared" si="37"/>
        <v>-9402416.44</v>
      </c>
      <c r="AE164" s="25">
        <f t="shared" si="37"/>
        <v>-9402416.44</v>
      </c>
      <c r="AF164" s="25">
        <f t="shared" si="37"/>
        <v>-9402416.44</v>
      </c>
      <c r="AG164" s="25">
        <f t="shared" si="37"/>
        <v>-9402416.44</v>
      </c>
      <c r="AH164" s="25">
        <f t="shared" si="37"/>
        <v>-9402416.44</v>
      </c>
      <c r="AI164" s="25">
        <f t="shared" si="37"/>
        <v>-9402416.44</v>
      </c>
      <c r="AJ164" s="25">
        <f t="shared" si="37"/>
        <v>-9402416.44</v>
      </c>
      <c r="AK164" s="25">
        <f t="shared" si="37"/>
        <v>-9402416.44</v>
      </c>
    </row>
    <row r="165" ht="14.25" customHeight="1">
      <c r="B165" s="25" t="s">
        <v>87</v>
      </c>
      <c r="C165" s="25">
        <f t="shared" ref="C165:K165" si="38">-$H$70*(1-(C156*40/399))</f>
        <v>-11050543.41</v>
      </c>
      <c r="D165" s="25">
        <f t="shared" si="38"/>
        <v>-9819285.096</v>
      </c>
      <c r="E165" s="25">
        <f t="shared" si="38"/>
        <v>-8588026.776</v>
      </c>
      <c r="F165" s="25">
        <f t="shared" si="38"/>
        <v>-7356768.457</v>
      </c>
      <c r="G165" s="25">
        <f t="shared" si="38"/>
        <v>-6125510.138</v>
      </c>
      <c r="H165" s="25">
        <f t="shared" si="38"/>
        <v>-4894251.819</v>
      </c>
      <c r="I165" s="25">
        <f t="shared" si="38"/>
        <v>-3662993.5</v>
      </c>
      <c r="J165" s="25">
        <f t="shared" si="38"/>
        <v>-2431735.18</v>
      </c>
      <c r="K165" s="25">
        <f t="shared" si="38"/>
        <v>-1200476.861</v>
      </c>
      <c r="L165" s="27">
        <v>0.0</v>
      </c>
      <c r="M165" s="27">
        <v>0.0</v>
      </c>
      <c r="N165" s="27">
        <v>0.0</v>
      </c>
      <c r="O165" s="27">
        <v>0.0</v>
      </c>
      <c r="P165" s="27">
        <v>0.0</v>
      </c>
      <c r="Q165" s="25">
        <v>0.0</v>
      </c>
      <c r="R165" s="25">
        <v>0.0</v>
      </c>
      <c r="S165" s="25">
        <v>0.0</v>
      </c>
      <c r="T165" s="25">
        <v>0.0</v>
      </c>
      <c r="U165" s="25">
        <v>0.0</v>
      </c>
      <c r="V165" s="25">
        <v>0.0</v>
      </c>
      <c r="W165" s="25">
        <v>0.0</v>
      </c>
      <c r="X165" s="25">
        <v>0.0</v>
      </c>
      <c r="Y165" s="25">
        <v>0.0</v>
      </c>
      <c r="Z165" s="25">
        <v>0.0</v>
      </c>
      <c r="AA165" s="25">
        <v>0.0</v>
      </c>
      <c r="AB165" s="25">
        <v>0.0</v>
      </c>
      <c r="AC165" s="25">
        <v>0.0</v>
      </c>
      <c r="AD165" s="25">
        <v>0.0</v>
      </c>
      <c r="AE165" s="25">
        <v>0.0</v>
      </c>
      <c r="AF165" s="25">
        <v>0.0</v>
      </c>
      <c r="AG165" s="25">
        <v>0.0</v>
      </c>
      <c r="AH165" s="25">
        <v>0.0</v>
      </c>
      <c r="AI165" s="25">
        <v>0.0</v>
      </c>
      <c r="AJ165" s="25">
        <v>0.0</v>
      </c>
      <c r="AK165" s="25">
        <v>0.0</v>
      </c>
    </row>
    <row r="166" ht="14.25" customHeight="1">
      <c r="B166" s="32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</row>
    <row r="167" ht="14.25" customHeight="1">
      <c r="B167" s="31" t="s">
        <v>102</v>
      </c>
      <c r="C167" s="25">
        <f t="shared" ref="C167:AK167" si="39">sum(C159:C166)</f>
        <v>-15433829.05</v>
      </c>
      <c r="D167" s="25">
        <f t="shared" si="39"/>
        <v>-15145168.87</v>
      </c>
      <c r="E167" s="25">
        <f t="shared" si="39"/>
        <v>-14856508.69</v>
      </c>
      <c r="F167" s="25">
        <f t="shared" si="39"/>
        <v>-14567848.51</v>
      </c>
      <c r="G167" s="25">
        <f t="shared" si="39"/>
        <v>-14279188.33</v>
      </c>
      <c r="H167" s="25">
        <f t="shared" si="39"/>
        <v>-13990528.15</v>
      </c>
      <c r="I167" s="25">
        <f t="shared" si="39"/>
        <v>-13701867.97</v>
      </c>
      <c r="J167" s="25">
        <f t="shared" si="39"/>
        <v>-13413207.79</v>
      </c>
      <c r="K167" s="25">
        <f t="shared" si="39"/>
        <v>-13124547.61</v>
      </c>
      <c r="L167" s="25">
        <f t="shared" si="39"/>
        <v>-12843103.93</v>
      </c>
      <c r="M167" s="25">
        <f t="shared" si="39"/>
        <v>-12843103.93</v>
      </c>
      <c r="N167" s="25">
        <f t="shared" si="39"/>
        <v>-12843103.93</v>
      </c>
      <c r="O167" s="25">
        <f t="shared" si="39"/>
        <v>-12843103.93</v>
      </c>
      <c r="P167" s="25">
        <f t="shared" si="39"/>
        <v>-12843103.93</v>
      </c>
      <c r="Q167" s="25">
        <f t="shared" si="39"/>
        <v>-12843103.93</v>
      </c>
      <c r="R167" s="25">
        <f t="shared" si="39"/>
        <v>-12843103.93</v>
      </c>
      <c r="S167" s="25">
        <f t="shared" si="39"/>
        <v>-12843103.93</v>
      </c>
      <c r="T167" s="25">
        <f t="shared" si="39"/>
        <v>-12843103.93</v>
      </c>
      <c r="U167" s="25">
        <f t="shared" si="39"/>
        <v>-12843103.93</v>
      </c>
      <c r="V167" s="25">
        <f t="shared" si="39"/>
        <v>-12843103.93</v>
      </c>
      <c r="W167" s="25">
        <f t="shared" si="39"/>
        <v>-12843103.93</v>
      </c>
      <c r="X167" s="25">
        <f t="shared" si="39"/>
        <v>-12843103.93</v>
      </c>
      <c r="Y167" s="25">
        <f t="shared" si="39"/>
        <v>-12843103.93</v>
      </c>
      <c r="Z167" s="25">
        <f t="shared" si="39"/>
        <v>-12843103.93</v>
      </c>
      <c r="AA167" s="25">
        <f t="shared" si="39"/>
        <v>-12843103.93</v>
      </c>
      <c r="AB167" s="25">
        <f t="shared" si="39"/>
        <v>-12843103.93</v>
      </c>
      <c r="AC167" s="25">
        <f t="shared" si="39"/>
        <v>-12843103.93</v>
      </c>
      <c r="AD167" s="25">
        <f t="shared" si="39"/>
        <v>-12843103.93</v>
      </c>
      <c r="AE167" s="25">
        <f t="shared" si="39"/>
        <v>-12843103.93</v>
      </c>
      <c r="AF167" s="25">
        <f t="shared" si="39"/>
        <v>-12843103.93</v>
      </c>
      <c r="AG167" s="25">
        <f t="shared" si="39"/>
        <v>-12843103.93</v>
      </c>
      <c r="AH167" s="25">
        <f t="shared" si="39"/>
        <v>-12843103.93</v>
      </c>
      <c r="AI167" s="25">
        <f t="shared" si="39"/>
        <v>-12843103.93</v>
      </c>
      <c r="AJ167" s="25">
        <f t="shared" si="39"/>
        <v>-12843103.93</v>
      </c>
      <c r="AK167" s="25">
        <f t="shared" si="39"/>
        <v>-12843103.93</v>
      </c>
    </row>
    <row r="168" ht="14.25" customHeight="1">
      <c r="B168" s="32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</row>
    <row r="169" ht="14.25" customHeight="1">
      <c r="B169" s="32" t="s">
        <v>103</v>
      </c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</row>
    <row r="170" ht="14.25" customHeight="1">
      <c r="B170" s="27" t="s">
        <v>104</v>
      </c>
      <c r="C170" s="27">
        <f t="shared" ref="C170:AK170" si="40">-195534</f>
        <v>-195534</v>
      </c>
      <c r="D170" s="27">
        <f t="shared" si="40"/>
        <v>-195534</v>
      </c>
      <c r="E170" s="27">
        <f t="shared" si="40"/>
        <v>-195534</v>
      </c>
      <c r="F170" s="27">
        <f t="shared" si="40"/>
        <v>-195534</v>
      </c>
      <c r="G170" s="27">
        <f t="shared" si="40"/>
        <v>-195534</v>
      </c>
      <c r="H170" s="27">
        <f t="shared" si="40"/>
        <v>-195534</v>
      </c>
      <c r="I170" s="27">
        <f t="shared" si="40"/>
        <v>-195534</v>
      </c>
      <c r="J170" s="27">
        <f t="shared" si="40"/>
        <v>-195534</v>
      </c>
      <c r="K170" s="27">
        <f t="shared" si="40"/>
        <v>-195534</v>
      </c>
      <c r="L170" s="27">
        <f t="shared" si="40"/>
        <v>-195534</v>
      </c>
      <c r="M170" s="27">
        <f t="shared" si="40"/>
        <v>-195534</v>
      </c>
      <c r="N170" s="27">
        <f t="shared" si="40"/>
        <v>-195534</v>
      </c>
      <c r="O170" s="27">
        <f t="shared" si="40"/>
        <v>-195534</v>
      </c>
      <c r="P170" s="27">
        <f t="shared" si="40"/>
        <v>-195534</v>
      </c>
      <c r="Q170" s="27">
        <f t="shared" si="40"/>
        <v>-195534</v>
      </c>
      <c r="R170" s="27">
        <f t="shared" si="40"/>
        <v>-195534</v>
      </c>
      <c r="S170" s="27">
        <f t="shared" si="40"/>
        <v>-195534</v>
      </c>
      <c r="T170" s="27">
        <f t="shared" si="40"/>
        <v>-195534</v>
      </c>
      <c r="U170" s="27">
        <f t="shared" si="40"/>
        <v>-195534</v>
      </c>
      <c r="V170" s="27">
        <f t="shared" si="40"/>
        <v>-195534</v>
      </c>
      <c r="W170" s="27">
        <f t="shared" si="40"/>
        <v>-195534</v>
      </c>
      <c r="X170" s="27">
        <f t="shared" si="40"/>
        <v>-195534</v>
      </c>
      <c r="Y170" s="27">
        <f t="shared" si="40"/>
        <v>-195534</v>
      </c>
      <c r="Z170" s="27">
        <f t="shared" si="40"/>
        <v>-195534</v>
      </c>
      <c r="AA170" s="27">
        <f t="shared" si="40"/>
        <v>-195534</v>
      </c>
      <c r="AB170" s="27">
        <f t="shared" si="40"/>
        <v>-195534</v>
      </c>
      <c r="AC170" s="27">
        <f t="shared" si="40"/>
        <v>-195534</v>
      </c>
      <c r="AD170" s="27">
        <f t="shared" si="40"/>
        <v>-195534</v>
      </c>
      <c r="AE170" s="27">
        <f t="shared" si="40"/>
        <v>-195534</v>
      </c>
      <c r="AF170" s="27">
        <f t="shared" si="40"/>
        <v>-195534</v>
      </c>
      <c r="AG170" s="27">
        <f t="shared" si="40"/>
        <v>-195534</v>
      </c>
      <c r="AH170" s="27">
        <f t="shared" si="40"/>
        <v>-195534</v>
      </c>
      <c r="AI170" s="27">
        <f t="shared" si="40"/>
        <v>-195534</v>
      </c>
      <c r="AJ170" s="27">
        <f t="shared" si="40"/>
        <v>-195534</v>
      </c>
      <c r="AK170" s="27">
        <f t="shared" si="40"/>
        <v>-195534</v>
      </c>
    </row>
    <row r="171" ht="14.25" customHeight="1">
      <c r="B171" s="25" t="s">
        <v>105</v>
      </c>
      <c r="C171" s="25">
        <f t="shared" ref="C171:K171" si="41">$E$71*(C156*40/399) </f>
        <v>-314420.9006</v>
      </c>
      <c r="D171" s="25">
        <f t="shared" si="41"/>
        <v>-628841.8012</v>
      </c>
      <c r="E171" s="25">
        <f t="shared" si="41"/>
        <v>-943262.7018</v>
      </c>
      <c r="F171" s="25">
        <f t="shared" si="41"/>
        <v>-1257683.602</v>
      </c>
      <c r="G171" s="25">
        <f t="shared" si="41"/>
        <v>-1572104.503</v>
      </c>
      <c r="H171" s="25">
        <f t="shared" si="41"/>
        <v>-1886525.404</v>
      </c>
      <c r="I171" s="25">
        <f t="shared" si="41"/>
        <v>-2200946.304</v>
      </c>
      <c r="J171" s="25">
        <f t="shared" si="41"/>
        <v>-2515367.205</v>
      </c>
      <c r="K171" s="25">
        <f t="shared" si="41"/>
        <v>-2829788.106</v>
      </c>
      <c r="L171" s="25">
        <f t="shared" ref="L171:AK171" si="42">$E$71</f>
        <v>-3136348.484</v>
      </c>
      <c r="M171" s="25">
        <f t="shared" si="42"/>
        <v>-3136348.484</v>
      </c>
      <c r="N171" s="25">
        <f t="shared" si="42"/>
        <v>-3136348.484</v>
      </c>
      <c r="O171" s="25">
        <f t="shared" si="42"/>
        <v>-3136348.484</v>
      </c>
      <c r="P171" s="25">
        <f t="shared" si="42"/>
        <v>-3136348.484</v>
      </c>
      <c r="Q171" s="25">
        <f t="shared" si="42"/>
        <v>-3136348.484</v>
      </c>
      <c r="R171" s="25">
        <f t="shared" si="42"/>
        <v>-3136348.484</v>
      </c>
      <c r="S171" s="25">
        <f t="shared" si="42"/>
        <v>-3136348.484</v>
      </c>
      <c r="T171" s="25">
        <f t="shared" si="42"/>
        <v>-3136348.484</v>
      </c>
      <c r="U171" s="25">
        <f t="shared" si="42"/>
        <v>-3136348.484</v>
      </c>
      <c r="V171" s="25">
        <f t="shared" si="42"/>
        <v>-3136348.484</v>
      </c>
      <c r="W171" s="25">
        <f t="shared" si="42"/>
        <v>-3136348.484</v>
      </c>
      <c r="X171" s="25">
        <f t="shared" si="42"/>
        <v>-3136348.484</v>
      </c>
      <c r="Y171" s="25">
        <f t="shared" si="42"/>
        <v>-3136348.484</v>
      </c>
      <c r="Z171" s="25">
        <f t="shared" si="42"/>
        <v>-3136348.484</v>
      </c>
      <c r="AA171" s="25">
        <f t="shared" si="42"/>
        <v>-3136348.484</v>
      </c>
      <c r="AB171" s="25">
        <f t="shared" si="42"/>
        <v>-3136348.484</v>
      </c>
      <c r="AC171" s="25">
        <f t="shared" si="42"/>
        <v>-3136348.484</v>
      </c>
      <c r="AD171" s="25">
        <f t="shared" si="42"/>
        <v>-3136348.484</v>
      </c>
      <c r="AE171" s="25">
        <f t="shared" si="42"/>
        <v>-3136348.484</v>
      </c>
      <c r="AF171" s="25">
        <f t="shared" si="42"/>
        <v>-3136348.484</v>
      </c>
      <c r="AG171" s="25">
        <f t="shared" si="42"/>
        <v>-3136348.484</v>
      </c>
      <c r="AH171" s="25">
        <f t="shared" si="42"/>
        <v>-3136348.484</v>
      </c>
      <c r="AI171" s="25">
        <f t="shared" si="42"/>
        <v>-3136348.484</v>
      </c>
      <c r="AJ171" s="25">
        <f t="shared" si="42"/>
        <v>-3136348.484</v>
      </c>
      <c r="AK171" s="25">
        <f t="shared" si="42"/>
        <v>-3136348.484</v>
      </c>
    </row>
    <row r="172" ht="14.25" customHeight="1">
      <c r="B172" s="27" t="s">
        <v>106</v>
      </c>
      <c r="C172" s="33">
        <f t="shared" ref="C172:AK172" si="43">-293518.75</f>
        <v>-293518.75</v>
      </c>
      <c r="D172" s="33">
        <f t="shared" si="43"/>
        <v>-293518.75</v>
      </c>
      <c r="E172" s="33">
        <f t="shared" si="43"/>
        <v>-293518.75</v>
      </c>
      <c r="F172" s="33">
        <f t="shared" si="43"/>
        <v>-293518.75</v>
      </c>
      <c r="G172" s="33">
        <f t="shared" si="43"/>
        <v>-293518.75</v>
      </c>
      <c r="H172" s="33">
        <f t="shared" si="43"/>
        <v>-293518.75</v>
      </c>
      <c r="I172" s="33">
        <f t="shared" si="43"/>
        <v>-293518.75</v>
      </c>
      <c r="J172" s="33">
        <f t="shared" si="43"/>
        <v>-293518.75</v>
      </c>
      <c r="K172" s="33">
        <f t="shared" si="43"/>
        <v>-293518.75</v>
      </c>
      <c r="L172" s="33">
        <f t="shared" si="43"/>
        <v>-293518.75</v>
      </c>
      <c r="M172" s="33">
        <f t="shared" si="43"/>
        <v>-293518.75</v>
      </c>
      <c r="N172" s="33">
        <f t="shared" si="43"/>
        <v>-293518.75</v>
      </c>
      <c r="O172" s="33">
        <f t="shared" si="43"/>
        <v>-293518.75</v>
      </c>
      <c r="P172" s="33">
        <f t="shared" si="43"/>
        <v>-293518.75</v>
      </c>
      <c r="Q172" s="33">
        <f t="shared" si="43"/>
        <v>-293518.75</v>
      </c>
      <c r="R172" s="33">
        <f t="shared" si="43"/>
        <v>-293518.75</v>
      </c>
      <c r="S172" s="33">
        <f t="shared" si="43"/>
        <v>-293518.75</v>
      </c>
      <c r="T172" s="33">
        <f t="shared" si="43"/>
        <v>-293518.75</v>
      </c>
      <c r="U172" s="33">
        <f t="shared" si="43"/>
        <v>-293518.75</v>
      </c>
      <c r="V172" s="33">
        <f t="shared" si="43"/>
        <v>-293518.75</v>
      </c>
      <c r="W172" s="33">
        <f t="shared" si="43"/>
        <v>-293518.75</v>
      </c>
      <c r="X172" s="33">
        <f t="shared" si="43"/>
        <v>-293518.75</v>
      </c>
      <c r="Y172" s="33">
        <f t="shared" si="43"/>
        <v>-293518.75</v>
      </c>
      <c r="Z172" s="33">
        <f t="shared" si="43"/>
        <v>-293518.75</v>
      </c>
      <c r="AA172" s="33">
        <f t="shared" si="43"/>
        <v>-293518.75</v>
      </c>
      <c r="AB172" s="33">
        <f t="shared" si="43"/>
        <v>-293518.75</v>
      </c>
      <c r="AC172" s="33">
        <f t="shared" si="43"/>
        <v>-293518.75</v>
      </c>
      <c r="AD172" s="33">
        <f t="shared" si="43"/>
        <v>-293518.75</v>
      </c>
      <c r="AE172" s="33">
        <f t="shared" si="43"/>
        <v>-293518.75</v>
      </c>
      <c r="AF172" s="33">
        <f t="shared" si="43"/>
        <v>-293518.75</v>
      </c>
      <c r="AG172" s="33">
        <f t="shared" si="43"/>
        <v>-293518.75</v>
      </c>
      <c r="AH172" s="33">
        <f t="shared" si="43"/>
        <v>-293518.75</v>
      </c>
      <c r="AI172" s="33">
        <f t="shared" si="43"/>
        <v>-293518.75</v>
      </c>
      <c r="AJ172" s="33">
        <f t="shared" si="43"/>
        <v>-293518.75</v>
      </c>
      <c r="AK172" s="33">
        <f t="shared" si="43"/>
        <v>-293518.75</v>
      </c>
    </row>
    <row r="173" ht="14.25" customHeight="1">
      <c r="B173" s="32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Z173" s="25"/>
      <c r="AA173" s="25"/>
      <c r="AB173" s="25"/>
      <c r="AC173" s="25"/>
      <c r="AD173" s="25"/>
      <c r="AE173" s="25"/>
      <c r="AF173" s="25"/>
      <c r="AG173" s="29"/>
      <c r="AH173" s="25"/>
      <c r="AI173" s="29"/>
      <c r="AJ173" s="25"/>
      <c r="AK173" s="29"/>
    </row>
    <row r="174" ht="14.25" customHeight="1">
      <c r="B174" s="31" t="s">
        <v>102</v>
      </c>
      <c r="C174" s="27">
        <f t="shared" ref="C174:AK174" si="44">sum(C170:C172)</f>
        <v>-803473.6506</v>
      </c>
      <c r="D174" s="27">
        <f t="shared" si="44"/>
        <v>-1117894.551</v>
      </c>
      <c r="E174" s="27">
        <f t="shared" si="44"/>
        <v>-1432315.452</v>
      </c>
      <c r="F174" s="27">
        <f t="shared" si="44"/>
        <v>-1746736.352</v>
      </c>
      <c r="G174" s="27">
        <f t="shared" si="44"/>
        <v>-2061157.253</v>
      </c>
      <c r="H174" s="27">
        <f t="shared" si="44"/>
        <v>-2375578.154</v>
      </c>
      <c r="I174" s="27">
        <f t="shared" si="44"/>
        <v>-2689999.054</v>
      </c>
      <c r="J174" s="27">
        <f t="shared" si="44"/>
        <v>-3004419.955</v>
      </c>
      <c r="K174" s="27">
        <f t="shared" si="44"/>
        <v>-3318840.856</v>
      </c>
      <c r="L174" s="27">
        <f t="shared" si="44"/>
        <v>-3625401.234</v>
      </c>
      <c r="M174" s="27">
        <f t="shared" si="44"/>
        <v>-3625401.234</v>
      </c>
      <c r="N174" s="27">
        <f t="shared" si="44"/>
        <v>-3625401.234</v>
      </c>
      <c r="O174" s="27">
        <f t="shared" si="44"/>
        <v>-3625401.234</v>
      </c>
      <c r="P174" s="27">
        <f t="shared" si="44"/>
        <v>-3625401.234</v>
      </c>
      <c r="Q174" s="27">
        <f t="shared" si="44"/>
        <v>-3625401.234</v>
      </c>
      <c r="R174" s="27">
        <f t="shared" si="44"/>
        <v>-3625401.234</v>
      </c>
      <c r="S174" s="27">
        <f t="shared" si="44"/>
        <v>-3625401.234</v>
      </c>
      <c r="T174" s="27">
        <f t="shared" si="44"/>
        <v>-3625401.234</v>
      </c>
      <c r="U174" s="27">
        <f t="shared" si="44"/>
        <v>-3625401.234</v>
      </c>
      <c r="V174" s="27">
        <f t="shared" si="44"/>
        <v>-3625401.234</v>
      </c>
      <c r="W174" s="27">
        <f t="shared" si="44"/>
        <v>-3625401.234</v>
      </c>
      <c r="X174" s="27">
        <f t="shared" si="44"/>
        <v>-3625401.234</v>
      </c>
      <c r="Y174" s="27">
        <f t="shared" si="44"/>
        <v>-3625401.234</v>
      </c>
      <c r="Z174" s="27">
        <f t="shared" si="44"/>
        <v>-3625401.234</v>
      </c>
      <c r="AA174" s="27">
        <f t="shared" si="44"/>
        <v>-3625401.234</v>
      </c>
      <c r="AB174" s="27">
        <f t="shared" si="44"/>
        <v>-3625401.234</v>
      </c>
      <c r="AC174" s="27">
        <f t="shared" si="44"/>
        <v>-3625401.234</v>
      </c>
      <c r="AD174" s="27">
        <f t="shared" si="44"/>
        <v>-3625401.234</v>
      </c>
      <c r="AE174" s="27">
        <f t="shared" si="44"/>
        <v>-3625401.234</v>
      </c>
      <c r="AF174" s="27">
        <f t="shared" si="44"/>
        <v>-3625401.234</v>
      </c>
      <c r="AG174" s="27">
        <f t="shared" si="44"/>
        <v>-3625401.234</v>
      </c>
      <c r="AH174" s="27">
        <f t="shared" si="44"/>
        <v>-3625401.234</v>
      </c>
      <c r="AI174" s="27">
        <f t="shared" si="44"/>
        <v>-3625401.234</v>
      </c>
      <c r="AJ174" s="27">
        <f t="shared" si="44"/>
        <v>-3625401.234</v>
      </c>
      <c r="AK174" s="27">
        <f t="shared" si="44"/>
        <v>-3625401.234</v>
      </c>
    </row>
    <row r="175" ht="14.25" customHeight="1">
      <c r="B175" s="32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Z175" s="25"/>
      <c r="AA175" s="25"/>
      <c r="AB175" s="25"/>
      <c r="AC175" s="25"/>
      <c r="AD175" s="25"/>
      <c r="AE175" s="25"/>
      <c r="AF175" s="25"/>
      <c r="AG175" s="29"/>
      <c r="AH175" s="25"/>
      <c r="AI175" s="29"/>
      <c r="AJ175" s="25"/>
      <c r="AK175" s="29"/>
    </row>
    <row r="176" ht="14.25" customHeight="1">
      <c r="B176" s="32" t="s">
        <v>107</v>
      </c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</row>
    <row r="177" ht="14.25" customHeight="1">
      <c r="B177" s="31" t="s">
        <v>96</v>
      </c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7"/>
      <c r="N177" s="27"/>
      <c r="O177" s="27"/>
      <c r="P177" s="27"/>
      <c r="Q177" s="27"/>
      <c r="R177" s="25"/>
      <c r="S177" s="25"/>
      <c r="T177" s="25"/>
      <c r="U177" s="25"/>
      <c r="V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</row>
    <row r="178" ht="14.25" customHeight="1">
      <c r="B178" s="25" t="s">
        <v>108</v>
      </c>
      <c r="C178" s="25">
        <f t="shared" ref="C178:K178" si="45">-$E$46*40/399</f>
        <v>-13810105.26</v>
      </c>
      <c r="D178" s="25">
        <f t="shared" si="45"/>
        <v>-13810105.26</v>
      </c>
      <c r="E178" s="25">
        <f t="shared" si="45"/>
        <v>-13810105.26</v>
      </c>
      <c r="F178" s="25">
        <f t="shared" si="45"/>
        <v>-13810105.26</v>
      </c>
      <c r="G178" s="25">
        <f t="shared" si="45"/>
        <v>-13810105.26</v>
      </c>
      <c r="H178" s="25">
        <f t="shared" si="45"/>
        <v>-13810105.26</v>
      </c>
      <c r="I178" s="25">
        <f t="shared" si="45"/>
        <v>-13810105.26</v>
      </c>
      <c r="J178" s="25">
        <f t="shared" si="45"/>
        <v>-13810105.26</v>
      </c>
      <c r="K178" s="25">
        <f t="shared" si="45"/>
        <v>-13810105.26</v>
      </c>
      <c r="L178" s="25">
        <f>-$E$46*39/399</f>
        <v>-13464852.63</v>
      </c>
      <c r="M178" s="27">
        <v>0.0</v>
      </c>
      <c r="N178" s="27">
        <v>0.0</v>
      </c>
      <c r="O178" s="27">
        <v>0.0</v>
      </c>
      <c r="P178" s="27">
        <v>0.0</v>
      </c>
      <c r="Q178" s="27">
        <v>0.0</v>
      </c>
      <c r="R178" s="25">
        <v>0.0</v>
      </c>
      <c r="S178" s="25">
        <v>0.0</v>
      </c>
      <c r="T178" s="25">
        <v>0.0</v>
      </c>
      <c r="U178" s="25">
        <v>0.0</v>
      </c>
      <c r="V178" s="25">
        <v>0.0</v>
      </c>
      <c r="W178" s="25">
        <v>0.0</v>
      </c>
      <c r="X178" s="25">
        <v>0.0</v>
      </c>
      <c r="Y178" s="25">
        <v>0.0</v>
      </c>
      <c r="Z178" s="25">
        <v>0.0</v>
      </c>
      <c r="AA178" s="25">
        <v>0.0</v>
      </c>
      <c r="AB178" s="25">
        <v>0.0</v>
      </c>
      <c r="AC178" s="25">
        <v>0.0</v>
      </c>
      <c r="AD178" s="25">
        <v>0.0</v>
      </c>
      <c r="AE178" s="25">
        <v>0.0</v>
      </c>
      <c r="AF178" s="25">
        <v>0.0</v>
      </c>
      <c r="AG178" s="25">
        <v>0.0</v>
      </c>
      <c r="AH178" s="25">
        <v>0.0</v>
      </c>
      <c r="AI178" s="25">
        <v>0.0</v>
      </c>
      <c r="AJ178" s="25">
        <v>0.0</v>
      </c>
      <c r="AK178" s="25">
        <v>0.0</v>
      </c>
    </row>
    <row r="179" ht="14.25" customHeight="1">
      <c r="B179" s="25" t="s">
        <v>109</v>
      </c>
      <c r="C179" s="25">
        <f t="shared" ref="C179:K179" si="46">$F$64*40/399 </f>
        <v>2651458.647</v>
      </c>
      <c r="D179" s="25">
        <f t="shared" si="46"/>
        <v>2651458.647</v>
      </c>
      <c r="E179" s="25">
        <f t="shared" si="46"/>
        <v>2651458.647</v>
      </c>
      <c r="F179" s="25">
        <f t="shared" si="46"/>
        <v>2651458.647</v>
      </c>
      <c r="G179" s="25">
        <f t="shared" si="46"/>
        <v>2651458.647</v>
      </c>
      <c r="H179" s="25">
        <f t="shared" si="46"/>
        <v>2651458.647</v>
      </c>
      <c r="I179" s="25">
        <f t="shared" si="46"/>
        <v>2651458.647</v>
      </c>
      <c r="J179" s="25">
        <f t="shared" si="46"/>
        <v>2651458.647</v>
      </c>
      <c r="K179" s="25">
        <f t="shared" si="46"/>
        <v>2651458.647</v>
      </c>
      <c r="L179" s="25">
        <f>$F$64*39/399</f>
        <v>2585172.18</v>
      </c>
      <c r="M179" s="27">
        <v>0.0</v>
      </c>
      <c r="N179" s="27">
        <v>0.0</v>
      </c>
      <c r="O179" s="27">
        <v>0.0</v>
      </c>
      <c r="P179" s="27">
        <v>0.0</v>
      </c>
      <c r="Q179" s="27">
        <v>0.0</v>
      </c>
      <c r="R179" s="25">
        <v>0.0</v>
      </c>
      <c r="S179" s="25">
        <v>0.0</v>
      </c>
      <c r="T179" s="25">
        <v>0.0</v>
      </c>
      <c r="U179" s="25">
        <v>0.0</v>
      </c>
      <c r="V179" s="25">
        <v>0.0</v>
      </c>
      <c r="W179" s="25">
        <v>0.0</v>
      </c>
      <c r="X179" s="25">
        <v>0.0</v>
      </c>
      <c r="Y179" s="25">
        <v>0.0</v>
      </c>
      <c r="Z179" s="25">
        <v>0.0</v>
      </c>
      <c r="AA179" s="25">
        <v>0.0</v>
      </c>
      <c r="AB179" s="25">
        <v>0.0</v>
      </c>
      <c r="AC179" s="25">
        <v>0.0</v>
      </c>
      <c r="AD179" s="25">
        <v>0.0</v>
      </c>
      <c r="AE179" s="25">
        <v>0.0</v>
      </c>
      <c r="AF179" s="25">
        <v>0.0</v>
      </c>
      <c r="AG179" s="25">
        <v>0.0</v>
      </c>
      <c r="AH179" s="25">
        <v>0.0</v>
      </c>
      <c r="AI179" s="25">
        <v>0.0</v>
      </c>
      <c r="AJ179" s="25">
        <v>0.0</v>
      </c>
      <c r="AK179" s="25">
        <v>0.0</v>
      </c>
    </row>
    <row r="180" ht="14.25" customHeight="1">
      <c r="B180" s="31" t="s">
        <v>100</v>
      </c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</row>
    <row r="181" ht="14.25" customHeight="1">
      <c r="B181" s="25" t="s">
        <v>110</v>
      </c>
      <c r="C181" s="25">
        <f t="shared" ref="C181:K181" si="47">$E$72*(C156*40/399) </f>
        <v>-877664.8652</v>
      </c>
      <c r="D181" s="25">
        <f t="shared" si="47"/>
        <v>-1755329.73</v>
      </c>
      <c r="E181" s="25">
        <f t="shared" si="47"/>
        <v>-2632994.595</v>
      </c>
      <c r="F181" s="25">
        <f t="shared" si="47"/>
        <v>-3510659.461</v>
      </c>
      <c r="G181" s="25">
        <f t="shared" si="47"/>
        <v>-4388324.326</v>
      </c>
      <c r="H181" s="25">
        <f t="shared" si="47"/>
        <v>-5265989.191</v>
      </c>
      <c r="I181" s="25">
        <f t="shared" si="47"/>
        <v>-6143654.056</v>
      </c>
      <c r="J181" s="25">
        <f t="shared" si="47"/>
        <v>-7021318.921</v>
      </c>
      <c r="K181" s="25">
        <f t="shared" si="47"/>
        <v>-7898983.786</v>
      </c>
      <c r="L181" s="25">
        <f t="shared" ref="L181:AK181" si="48">$E$72</f>
        <v>-8754707.03</v>
      </c>
      <c r="M181" s="25">
        <f t="shared" si="48"/>
        <v>-8754707.03</v>
      </c>
      <c r="N181" s="25">
        <f t="shared" si="48"/>
        <v>-8754707.03</v>
      </c>
      <c r="O181" s="25">
        <f t="shared" si="48"/>
        <v>-8754707.03</v>
      </c>
      <c r="P181" s="25">
        <f t="shared" si="48"/>
        <v>-8754707.03</v>
      </c>
      <c r="Q181" s="25">
        <f t="shared" si="48"/>
        <v>-8754707.03</v>
      </c>
      <c r="R181" s="25">
        <f t="shared" si="48"/>
        <v>-8754707.03</v>
      </c>
      <c r="S181" s="25">
        <f t="shared" si="48"/>
        <v>-8754707.03</v>
      </c>
      <c r="T181" s="25">
        <f t="shared" si="48"/>
        <v>-8754707.03</v>
      </c>
      <c r="U181" s="25">
        <f t="shared" si="48"/>
        <v>-8754707.03</v>
      </c>
      <c r="V181" s="25">
        <f t="shared" si="48"/>
        <v>-8754707.03</v>
      </c>
      <c r="W181" s="25">
        <f t="shared" si="48"/>
        <v>-8754707.03</v>
      </c>
      <c r="X181" s="25">
        <f t="shared" si="48"/>
        <v>-8754707.03</v>
      </c>
      <c r="Y181" s="25">
        <f t="shared" si="48"/>
        <v>-8754707.03</v>
      </c>
      <c r="Z181" s="25">
        <f t="shared" si="48"/>
        <v>-8754707.03</v>
      </c>
      <c r="AA181" s="25">
        <f t="shared" si="48"/>
        <v>-8754707.03</v>
      </c>
      <c r="AB181" s="25">
        <f t="shared" si="48"/>
        <v>-8754707.03</v>
      </c>
      <c r="AC181" s="25">
        <f t="shared" si="48"/>
        <v>-8754707.03</v>
      </c>
      <c r="AD181" s="25">
        <f t="shared" si="48"/>
        <v>-8754707.03</v>
      </c>
      <c r="AE181" s="25">
        <f t="shared" si="48"/>
        <v>-8754707.03</v>
      </c>
      <c r="AF181" s="25">
        <f t="shared" si="48"/>
        <v>-8754707.03</v>
      </c>
      <c r="AG181" s="25">
        <f t="shared" si="48"/>
        <v>-8754707.03</v>
      </c>
      <c r="AH181" s="25">
        <f t="shared" si="48"/>
        <v>-8754707.03</v>
      </c>
      <c r="AI181" s="25">
        <f t="shared" si="48"/>
        <v>-8754707.03</v>
      </c>
      <c r="AJ181" s="25">
        <f t="shared" si="48"/>
        <v>-8754707.03</v>
      </c>
      <c r="AK181" s="25">
        <f t="shared" si="48"/>
        <v>-8754707.03</v>
      </c>
    </row>
    <row r="182" ht="14.25" customHeight="1">
      <c r="B182" s="27" t="s">
        <v>88</v>
      </c>
      <c r="C182" s="25">
        <f t="shared" ref="C182:K182" si="49">-$H$53*(1-40/399*C156)</f>
        <v>-3018023.817</v>
      </c>
      <c r="D182" s="25">
        <f t="shared" si="49"/>
        <v>-2681753.754</v>
      </c>
      <c r="E182" s="25">
        <f t="shared" si="49"/>
        <v>-2345483.691</v>
      </c>
      <c r="F182" s="25">
        <f t="shared" si="49"/>
        <v>-2009213.627</v>
      </c>
      <c r="G182" s="25">
        <f t="shared" si="49"/>
        <v>-1672943.564</v>
      </c>
      <c r="H182" s="25">
        <f t="shared" si="49"/>
        <v>-1336673.501</v>
      </c>
      <c r="I182" s="25">
        <f t="shared" si="49"/>
        <v>-1000403.438</v>
      </c>
      <c r="J182" s="25">
        <f t="shared" si="49"/>
        <v>-664133.3747</v>
      </c>
      <c r="K182" s="25">
        <f t="shared" si="49"/>
        <v>-327863.3116</v>
      </c>
      <c r="L182" s="27">
        <v>0.0</v>
      </c>
      <c r="M182" s="27">
        <v>0.0</v>
      </c>
      <c r="N182" s="27">
        <v>0.0</v>
      </c>
      <c r="O182" s="27">
        <v>0.0</v>
      </c>
      <c r="P182" s="27">
        <v>0.0</v>
      </c>
      <c r="Q182" s="25">
        <v>0.0</v>
      </c>
      <c r="R182" s="25">
        <v>0.0</v>
      </c>
      <c r="S182" s="25">
        <v>0.0</v>
      </c>
      <c r="T182" s="25">
        <v>0.0</v>
      </c>
      <c r="U182" s="25">
        <v>0.0</v>
      </c>
      <c r="V182" s="25">
        <v>0.0</v>
      </c>
      <c r="W182" s="25">
        <v>0.0</v>
      </c>
      <c r="X182" s="25">
        <v>0.0</v>
      </c>
      <c r="Y182" s="25">
        <v>0.0</v>
      </c>
      <c r="Z182" s="25">
        <v>0.0</v>
      </c>
      <c r="AA182" s="25">
        <v>0.0</v>
      </c>
      <c r="AB182" s="25">
        <v>0.0</v>
      </c>
      <c r="AC182" s="25">
        <v>0.0</v>
      </c>
      <c r="AD182" s="25">
        <v>0.0</v>
      </c>
      <c r="AE182" s="25">
        <v>0.0</v>
      </c>
      <c r="AF182" s="25">
        <v>0.0</v>
      </c>
      <c r="AG182" s="25">
        <v>0.0</v>
      </c>
      <c r="AH182" s="25">
        <v>0.0</v>
      </c>
      <c r="AI182" s="25">
        <v>0.0</v>
      </c>
      <c r="AJ182" s="25">
        <v>0.0</v>
      </c>
      <c r="AK182" s="25">
        <v>0.0</v>
      </c>
    </row>
    <row r="183" ht="14.25" customHeight="1">
      <c r="B183" s="27" t="s">
        <v>89</v>
      </c>
      <c r="C183" s="25">
        <f t="shared" ref="C183:K183" si="50">$H$49*(1-(C156*40/399))</f>
        <v>-10707017.54</v>
      </c>
      <c r="D183" s="25">
        <f t="shared" si="50"/>
        <v>-9514035.088</v>
      </c>
      <c r="E183" s="25">
        <f t="shared" si="50"/>
        <v>-8321052.632</v>
      </c>
      <c r="F183" s="25">
        <f t="shared" si="50"/>
        <v>-7128070.175</v>
      </c>
      <c r="G183" s="25">
        <f t="shared" si="50"/>
        <v>-5935087.719</v>
      </c>
      <c r="H183" s="25">
        <f t="shared" si="50"/>
        <v>-4742105.263</v>
      </c>
      <c r="I183" s="25">
        <f t="shared" si="50"/>
        <v>-3549122.807</v>
      </c>
      <c r="J183" s="25">
        <f t="shared" si="50"/>
        <v>-2356140.351</v>
      </c>
      <c r="K183" s="25">
        <f t="shared" si="50"/>
        <v>-1163157.895</v>
      </c>
      <c r="L183" s="27">
        <v>0.0</v>
      </c>
      <c r="M183" s="27">
        <v>0.0</v>
      </c>
      <c r="N183" s="27">
        <v>0.0</v>
      </c>
      <c r="O183" s="27">
        <v>0.0</v>
      </c>
      <c r="P183" s="27">
        <v>0.0</v>
      </c>
      <c r="Q183" s="25">
        <v>0.0</v>
      </c>
      <c r="R183" s="25">
        <v>0.0</v>
      </c>
      <c r="S183" s="25">
        <v>0.0</v>
      </c>
      <c r="T183" s="25">
        <v>0.0</v>
      </c>
      <c r="U183" s="25">
        <v>0.0</v>
      </c>
      <c r="V183" s="25">
        <v>0.0</v>
      </c>
      <c r="W183" s="25">
        <v>0.0</v>
      </c>
      <c r="X183" s="25">
        <v>0.0</v>
      </c>
      <c r="Y183" s="25">
        <v>0.0</v>
      </c>
      <c r="Z183" s="25">
        <v>0.0</v>
      </c>
      <c r="AA183" s="25">
        <v>0.0</v>
      </c>
      <c r="AB183" s="25">
        <v>0.0</v>
      </c>
      <c r="AC183" s="25">
        <v>0.0</v>
      </c>
      <c r="AD183" s="25">
        <v>0.0</v>
      </c>
      <c r="AE183" s="25">
        <v>0.0</v>
      </c>
      <c r="AF183" s="25">
        <v>0.0</v>
      </c>
      <c r="AG183" s="25">
        <v>0.0</v>
      </c>
      <c r="AH183" s="25">
        <v>0.0</v>
      </c>
      <c r="AI183" s="25">
        <v>0.0</v>
      </c>
      <c r="AJ183" s="25">
        <v>0.0</v>
      </c>
      <c r="AK183" s="25">
        <v>0.0</v>
      </c>
    </row>
    <row r="184" ht="14.25" customHeight="1">
      <c r="B184" s="27" t="s">
        <v>111</v>
      </c>
      <c r="C184" s="27">
        <v>0.0</v>
      </c>
      <c r="D184" s="27">
        <v>0.0</v>
      </c>
      <c r="E184" s="27">
        <v>0.0</v>
      </c>
      <c r="F184" s="27">
        <v>0.0</v>
      </c>
      <c r="G184" s="27">
        <v>0.0</v>
      </c>
      <c r="H184" s="27">
        <v>0.0</v>
      </c>
      <c r="I184" s="27">
        <v>0.0</v>
      </c>
      <c r="J184" s="27">
        <v>0.0</v>
      </c>
      <c r="K184" s="27">
        <v>0.0</v>
      </c>
      <c r="L184" s="27">
        <v>0.0</v>
      </c>
      <c r="M184" s="27">
        <v>0.0</v>
      </c>
      <c r="N184" s="27">
        <v>0.0</v>
      </c>
      <c r="O184" s="25">
        <f t="shared" ref="O184:W184" si="51">$H$50 * (O156-12) *40/399</f>
        <v>-1056999.699</v>
      </c>
      <c r="P184" s="25">
        <f t="shared" si="51"/>
        <v>-2113999.398</v>
      </c>
      <c r="Q184" s="25">
        <f t="shared" si="51"/>
        <v>-3170999.098</v>
      </c>
      <c r="R184" s="25">
        <f t="shared" si="51"/>
        <v>-4227998.797</v>
      </c>
      <c r="S184" s="25">
        <f t="shared" si="51"/>
        <v>-5284998.496</v>
      </c>
      <c r="T184" s="25">
        <f t="shared" si="51"/>
        <v>-6341998.195</v>
      </c>
      <c r="U184" s="25">
        <f t="shared" si="51"/>
        <v>-7398997.895</v>
      </c>
      <c r="V184" s="25">
        <f t="shared" si="51"/>
        <v>-8455997.594</v>
      </c>
      <c r="W184" s="25">
        <f t="shared" si="51"/>
        <v>-9512997.293</v>
      </c>
      <c r="X184" s="37">
        <f t="shared" ref="X184:AK184" si="52">$H$50</f>
        <v>-10543572</v>
      </c>
      <c r="Y184" s="37">
        <f t="shared" si="52"/>
        <v>-10543572</v>
      </c>
      <c r="Z184" s="37">
        <f t="shared" si="52"/>
        <v>-10543572</v>
      </c>
      <c r="AA184" s="37">
        <f t="shared" si="52"/>
        <v>-10543572</v>
      </c>
      <c r="AB184" s="37">
        <f t="shared" si="52"/>
        <v>-10543572</v>
      </c>
      <c r="AC184" s="37">
        <f t="shared" si="52"/>
        <v>-10543572</v>
      </c>
      <c r="AD184" s="37">
        <f t="shared" si="52"/>
        <v>-10543572</v>
      </c>
      <c r="AE184" s="37">
        <f t="shared" si="52"/>
        <v>-10543572</v>
      </c>
      <c r="AF184" s="37">
        <f t="shared" si="52"/>
        <v>-10543572</v>
      </c>
      <c r="AG184" s="37">
        <f t="shared" si="52"/>
        <v>-10543572</v>
      </c>
      <c r="AH184" s="37">
        <f t="shared" si="52"/>
        <v>-10543572</v>
      </c>
      <c r="AI184" s="37">
        <f t="shared" si="52"/>
        <v>-10543572</v>
      </c>
      <c r="AJ184" s="37">
        <f t="shared" si="52"/>
        <v>-10543572</v>
      </c>
      <c r="AK184" s="37">
        <f t="shared" si="52"/>
        <v>-10543572</v>
      </c>
    </row>
    <row r="185" ht="14.25" customHeight="1">
      <c r="B185" s="26" t="s">
        <v>102</v>
      </c>
      <c r="C185" s="25">
        <f t="shared" ref="C185:AK185" si="53">SUM(C178:C184)</f>
        <v>-25761352.84</v>
      </c>
      <c r="D185" s="25">
        <f t="shared" si="53"/>
        <v>-25109765.19</v>
      </c>
      <c r="E185" s="25">
        <f t="shared" si="53"/>
        <v>-24458177.53</v>
      </c>
      <c r="F185" s="25">
        <f t="shared" si="53"/>
        <v>-23806589.88</v>
      </c>
      <c r="G185" s="25">
        <f t="shared" si="53"/>
        <v>-23155002.23</v>
      </c>
      <c r="H185" s="25">
        <f t="shared" si="53"/>
        <v>-22503414.57</v>
      </c>
      <c r="I185" s="25">
        <f t="shared" si="53"/>
        <v>-21851826.92</v>
      </c>
      <c r="J185" s="25">
        <f t="shared" si="53"/>
        <v>-21200239.26</v>
      </c>
      <c r="K185" s="25">
        <f t="shared" si="53"/>
        <v>-20548651.61</v>
      </c>
      <c r="L185" s="25">
        <f t="shared" si="53"/>
        <v>-19634387.48</v>
      </c>
      <c r="M185" s="25">
        <f t="shared" si="53"/>
        <v>-8754707.03</v>
      </c>
      <c r="N185" s="25">
        <f t="shared" si="53"/>
        <v>-8754707.03</v>
      </c>
      <c r="O185" s="25">
        <f t="shared" si="53"/>
        <v>-9811706.729</v>
      </c>
      <c r="P185" s="25">
        <f t="shared" si="53"/>
        <v>-10868706.43</v>
      </c>
      <c r="Q185" s="25">
        <f t="shared" si="53"/>
        <v>-11925706.13</v>
      </c>
      <c r="R185" s="25">
        <f t="shared" si="53"/>
        <v>-12982705.83</v>
      </c>
      <c r="S185" s="25">
        <f t="shared" si="53"/>
        <v>-14039705.53</v>
      </c>
      <c r="T185" s="25">
        <f t="shared" si="53"/>
        <v>-15096705.23</v>
      </c>
      <c r="U185" s="25">
        <f t="shared" si="53"/>
        <v>-16153704.92</v>
      </c>
      <c r="V185" s="25">
        <f t="shared" si="53"/>
        <v>-17210704.62</v>
      </c>
      <c r="W185" s="25">
        <f t="shared" si="53"/>
        <v>-18267704.32</v>
      </c>
      <c r="X185" s="25">
        <f t="shared" si="53"/>
        <v>-19298279.03</v>
      </c>
      <c r="Y185" s="25">
        <f t="shared" si="53"/>
        <v>-19298279.03</v>
      </c>
      <c r="Z185" s="25">
        <f t="shared" si="53"/>
        <v>-19298279.03</v>
      </c>
      <c r="AA185" s="25">
        <f t="shared" si="53"/>
        <v>-19298279.03</v>
      </c>
      <c r="AB185" s="25">
        <f t="shared" si="53"/>
        <v>-19298279.03</v>
      </c>
      <c r="AC185" s="25">
        <f t="shared" si="53"/>
        <v>-19298279.03</v>
      </c>
      <c r="AD185" s="25">
        <f t="shared" si="53"/>
        <v>-19298279.03</v>
      </c>
      <c r="AE185" s="25">
        <f t="shared" si="53"/>
        <v>-19298279.03</v>
      </c>
      <c r="AF185" s="25">
        <f t="shared" si="53"/>
        <v>-19298279.03</v>
      </c>
      <c r="AG185" s="25">
        <f t="shared" si="53"/>
        <v>-19298279.03</v>
      </c>
      <c r="AH185" s="25">
        <f t="shared" si="53"/>
        <v>-19298279.03</v>
      </c>
      <c r="AI185" s="25">
        <f t="shared" si="53"/>
        <v>-19298279.03</v>
      </c>
      <c r="AJ185" s="25">
        <f t="shared" si="53"/>
        <v>-19298279.03</v>
      </c>
      <c r="AK185" s="25">
        <f t="shared" si="53"/>
        <v>-19298279.03</v>
      </c>
    </row>
    <row r="186" ht="14.25" customHeight="1">
      <c r="Y186" s="6"/>
    </row>
    <row r="187" ht="14.25" customHeight="1">
      <c r="B187" s="28" t="s">
        <v>90</v>
      </c>
      <c r="C187" s="5">
        <f t="shared" ref="C187:AK187" si="54">sum(C167,C174,C185)</f>
        <v>-41998655.54</v>
      </c>
      <c r="D187" s="5">
        <f t="shared" si="54"/>
        <v>-41372828.61</v>
      </c>
      <c r="E187" s="5">
        <f t="shared" si="54"/>
        <v>-40747001.67</v>
      </c>
      <c r="F187" s="5">
        <f t="shared" si="54"/>
        <v>-40121174.74</v>
      </c>
      <c r="G187" s="5">
        <f t="shared" si="54"/>
        <v>-39495347.81</v>
      </c>
      <c r="H187" s="5">
        <f t="shared" si="54"/>
        <v>-38869520.87</v>
      </c>
      <c r="I187" s="5">
        <f t="shared" si="54"/>
        <v>-38243693.94</v>
      </c>
      <c r="J187" s="5">
        <f t="shared" si="54"/>
        <v>-37617867.01</v>
      </c>
      <c r="K187" s="5">
        <f t="shared" si="54"/>
        <v>-36992040.07</v>
      </c>
      <c r="L187" s="5">
        <f t="shared" si="54"/>
        <v>-36102892.65</v>
      </c>
      <c r="M187" s="5">
        <f t="shared" si="54"/>
        <v>-25223212.2</v>
      </c>
      <c r="N187" s="5">
        <f t="shared" si="54"/>
        <v>-25223212.2</v>
      </c>
      <c r="O187" s="5">
        <f t="shared" si="54"/>
        <v>-26280211.9</v>
      </c>
      <c r="P187" s="5">
        <f t="shared" si="54"/>
        <v>-27337211.59</v>
      </c>
      <c r="Q187" s="5">
        <f t="shared" si="54"/>
        <v>-28394211.29</v>
      </c>
      <c r="R187" s="5">
        <f t="shared" si="54"/>
        <v>-29451210.99</v>
      </c>
      <c r="S187" s="5">
        <f t="shared" si="54"/>
        <v>-30508210.69</v>
      </c>
      <c r="T187" s="5">
        <f t="shared" si="54"/>
        <v>-31565210.39</v>
      </c>
      <c r="U187" s="5">
        <f t="shared" si="54"/>
        <v>-32622210.09</v>
      </c>
      <c r="V187" s="5">
        <f t="shared" si="54"/>
        <v>-33679209.79</v>
      </c>
      <c r="W187" s="5">
        <f t="shared" si="54"/>
        <v>-34736209.49</v>
      </c>
      <c r="X187" s="5">
        <f t="shared" si="54"/>
        <v>-35766784.2</v>
      </c>
      <c r="Y187" s="5">
        <f t="shared" si="54"/>
        <v>-35766784.2</v>
      </c>
      <c r="Z187" s="5">
        <f t="shared" si="54"/>
        <v>-35766784.2</v>
      </c>
      <c r="AA187" s="5">
        <f t="shared" si="54"/>
        <v>-35766784.2</v>
      </c>
      <c r="AB187" s="5">
        <f t="shared" si="54"/>
        <v>-35766784.2</v>
      </c>
      <c r="AC187" s="5">
        <f t="shared" si="54"/>
        <v>-35766784.2</v>
      </c>
      <c r="AD187" s="5">
        <f t="shared" si="54"/>
        <v>-35766784.2</v>
      </c>
      <c r="AE187" s="5">
        <f t="shared" si="54"/>
        <v>-35766784.2</v>
      </c>
      <c r="AF187" s="5">
        <f t="shared" si="54"/>
        <v>-35766784.2</v>
      </c>
      <c r="AG187" s="5">
        <f t="shared" si="54"/>
        <v>-35766784.2</v>
      </c>
      <c r="AH187" s="5">
        <f t="shared" si="54"/>
        <v>-35766784.2</v>
      </c>
      <c r="AI187" s="5">
        <f t="shared" si="54"/>
        <v>-35766784.2</v>
      </c>
      <c r="AJ187" s="5">
        <f t="shared" si="54"/>
        <v>-35766784.2</v>
      </c>
      <c r="AK187" s="5">
        <f t="shared" si="54"/>
        <v>-35766784.2</v>
      </c>
    </row>
    <row r="188" ht="14.25" customHeight="1">
      <c r="B188" s="26" t="s">
        <v>85</v>
      </c>
      <c r="C188" s="26">
        <v>1.0</v>
      </c>
      <c r="D188" s="26">
        <v>2.0</v>
      </c>
      <c r="E188" s="26">
        <v>3.0</v>
      </c>
      <c r="F188" s="26">
        <v>4.0</v>
      </c>
      <c r="G188" s="26">
        <v>5.0</v>
      </c>
      <c r="H188" s="26">
        <v>6.0</v>
      </c>
      <c r="I188" s="26">
        <v>7.0</v>
      </c>
      <c r="J188" s="26">
        <v>8.0</v>
      </c>
      <c r="K188" s="26">
        <v>9.0</v>
      </c>
      <c r="L188" s="26">
        <v>10.0</v>
      </c>
      <c r="M188" s="26">
        <v>11.0</v>
      </c>
      <c r="N188" s="26">
        <v>12.0</v>
      </c>
      <c r="O188" s="26">
        <v>13.0</v>
      </c>
      <c r="P188" s="26">
        <v>14.0</v>
      </c>
      <c r="Q188" s="26">
        <v>15.0</v>
      </c>
      <c r="R188" s="26">
        <v>16.0</v>
      </c>
      <c r="S188" s="26">
        <v>17.0</v>
      </c>
      <c r="T188" s="26">
        <v>18.0</v>
      </c>
      <c r="U188" s="26">
        <v>19.0</v>
      </c>
      <c r="V188" s="26">
        <v>20.0</v>
      </c>
      <c r="W188" s="26">
        <v>21.0</v>
      </c>
      <c r="X188" s="26">
        <v>22.0</v>
      </c>
      <c r="Y188" s="26">
        <v>23.0</v>
      </c>
      <c r="Z188" s="26">
        <v>24.0</v>
      </c>
      <c r="AA188" s="26">
        <v>25.0</v>
      </c>
      <c r="AB188" s="26">
        <v>26.0</v>
      </c>
      <c r="AC188" s="26">
        <v>27.0</v>
      </c>
      <c r="AD188" s="26">
        <v>28.0</v>
      </c>
      <c r="AE188" s="26">
        <v>29.0</v>
      </c>
      <c r="AF188" s="26">
        <v>30.0</v>
      </c>
      <c r="AG188" s="26">
        <v>31.0</v>
      </c>
      <c r="AH188" s="26">
        <v>32.0</v>
      </c>
      <c r="AI188" s="26">
        <v>33.0</v>
      </c>
      <c r="AJ188" s="26">
        <v>34.0</v>
      </c>
      <c r="AK188" s="26">
        <v>35.0</v>
      </c>
    </row>
    <row r="189" ht="14.25" customHeight="1"/>
    <row r="191" ht="14.25" customHeight="1">
      <c r="B191" s="25" t="s">
        <v>87</v>
      </c>
      <c r="C191" s="25">
        <f t="shared" ref="C191:AK191" si="55">-$H$70</f>
        <v>-12281801.73</v>
      </c>
      <c r="D191" s="25">
        <f t="shared" si="55"/>
        <v>-12281801.73</v>
      </c>
      <c r="E191" s="25">
        <f t="shared" si="55"/>
        <v>-12281801.73</v>
      </c>
      <c r="F191" s="25">
        <f t="shared" si="55"/>
        <v>-12281801.73</v>
      </c>
      <c r="G191" s="25">
        <f t="shared" si="55"/>
        <v>-12281801.73</v>
      </c>
      <c r="H191" s="25">
        <f t="shared" si="55"/>
        <v>-12281801.73</v>
      </c>
      <c r="I191" s="25">
        <f t="shared" si="55"/>
        <v>-12281801.73</v>
      </c>
      <c r="J191" s="25">
        <f t="shared" si="55"/>
        <v>-12281801.73</v>
      </c>
      <c r="K191" s="25">
        <f t="shared" si="55"/>
        <v>-12281801.73</v>
      </c>
      <c r="L191" s="25">
        <f t="shared" si="55"/>
        <v>-12281801.73</v>
      </c>
      <c r="M191" s="25">
        <f t="shared" si="55"/>
        <v>-12281801.73</v>
      </c>
      <c r="N191" s="25">
        <f t="shared" si="55"/>
        <v>-12281801.73</v>
      </c>
      <c r="O191" s="25">
        <f t="shared" si="55"/>
        <v>-12281801.73</v>
      </c>
      <c r="P191" s="25">
        <f t="shared" si="55"/>
        <v>-12281801.73</v>
      </c>
      <c r="Q191" s="25">
        <f t="shared" si="55"/>
        <v>-12281801.73</v>
      </c>
      <c r="R191" s="25">
        <f t="shared" si="55"/>
        <v>-12281801.73</v>
      </c>
      <c r="S191" s="25">
        <f t="shared" si="55"/>
        <v>-12281801.73</v>
      </c>
      <c r="T191" s="25">
        <f t="shared" si="55"/>
        <v>-12281801.73</v>
      </c>
      <c r="U191" s="25">
        <f t="shared" si="55"/>
        <v>-12281801.73</v>
      </c>
      <c r="V191" s="25">
        <f t="shared" si="55"/>
        <v>-12281801.73</v>
      </c>
      <c r="W191" s="25">
        <f t="shared" si="55"/>
        <v>-12281801.73</v>
      </c>
      <c r="X191" s="25">
        <f t="shared" si="55"/>
        <v>-12281801.73</v>
      </c>
      <c r="Y191" s="25">
        <f t="shared" si="55"/>
        <v>-12281801.73</v>
      </c>
      <c r="Z191" s="25">
        <f t="shared" si="55"/>
        <v>-12281801.73</v>
      </c>
      <c r="AA191" s="25">
        <f t="shared" si="55"/>
        <v>-12281801.73</v>
      </c>
      <c r="AB191" s="25">
        <f t="shared" si="55"/>
        <v>-12281801.73</v>
      </c>
      <c r="AC191" s="25">
        <f t="shared" si="55"/>
        <v>-12281801.73</v>
      </c>
      <c r="AD191" s="25">
        <f t="shared" si="55"/>
        <v>-12281801.73</v>
      </c>
      <c r="AE191" s="25">
        <f t="shared" si="55"/>
        <v>-12281801.73</v>
      </c>
      <c r="AF191" s="25">
        <f t="shared" si="55"/>
        <v>-12281801.73</v>
      </c>
      <c r="AG191" s="25">
        <f t="shared" si="55"/>
        <v>-12281801.73</v>
      </c>
      <c r="AH191" s="25">
        <f t="shared" si="55"/>
        <v>-12281801.73</v>
      </c>
      <c r="AI191" s="25">
        <f t="shared" si="55"/>
        <v>-12281801.73</v>
      </c>
      <c r="AJ191" s="25">
        <f t="shared" si="55"/>
        <v>-12281801.73</v>
      </c>
      <c r="AK191" s="25">
        <f t="shared" si="55"/>
        <v>-12281801.73</v>
      </c>
      <c r="AL191" s="25"/>
    </row>
    <row r="192" ht="14.25" customHeight="1">
      <c r="B192" s="27" t="s">
        <v>88</v>
      </c>
      <c r="C192" s="25">
        <f t="shared" ref="C192:AK192" si="56">-$H$53</f>
        <v>-3354293.88</v>
      </c>
      <c r="D192" s="25">
        <f t="shared" si="56"/>
        <v>-3354293.88</v>
      </c>
      <c r="E192" s="25">
        <f t="shared" si="56"/>
        <v>-3354293.88</v>
      </c>
      <c r="F192" s="25">
        <f t="shared" si="56"/>
        <v>-3354293.88</v>
      </c>
      <c r="G192" s="25">
        <f t="shared" si="56"/>
        <v>-3354293.88</v>
      </c>
      <c r="H192" s="25">
        <f t="shared" si="56"/>
        <v>-3354293.88</v>
      </c>
      <c r="I192" s="25">
        <f t="shared" si="56"/>
        <v>-3354293.88</v>
      </c>
      <c r="J192" s="25">
        <f t="shared" si="56"/>
        <v>-3354293.88</v>
      </c>
      <c r="K192" s="25">
        <f t="shared" si="56"/>
        <v>-3354293.88</v>
      </c>
      <c r="L192" s="25">
        <f t="shared" si="56"/>
        <v>-3354293.88</v>
      </c>
      <c r="M192" s="25">
        <f t="shared" si="56"/>
        <v>-3354293.88</v>
      </c>
      <c r="N192" s="25">
        <f t="shared" si="56"/>
        <v>-3354293.88</v>
      </c>
      <c r="O192" s="25">
        <f t="shared" si="56"/>
        <v>-3354293.88</v>
      </c>
      <c r="P192" s="25">
        <f t="shared" si="56"/>
        <v>-3354293.88</v>
      </c>
      <c r="Q192" s="25">
        <f t="shared" si="56"/>
        <v>-3354293.88</v>
      </c>
      <c r="R192" s="25">
        <f t="shared" si="56"/>
        <v>-3354293.88</v>
      </c>
      <c r="S192" s="25">
        <f t="shared" si="56"/>
        <v>-3354293.88</v>
      </c>
      <c r="T192" s="25">
        <f t="shared" si="56"/>
        <v>-3354293.88</v>
      </c>
      <c r="U192" s="25">
        <f t="shared" si="56"/>
        <v>-3354293.88</v>
      </c>
      <c r="V192" s="25">
        <f t="shared" si="56"/>
        <v>-3354293.88</v>
      </c>
      <c r="W192" s="25">
        <f t="shared" si="56"/>
        <v>-3354293.88</v>
      </c>
      <c r="X192" s="25">
        <f t="shared" si="56"/>
        <v>-3354293.88</v>
      </c>
      <c r="Y192" s="25">
        <f t="shared" si="56"/>
        <v>-3354293.88</v>
      </c>
      <c r="Z192" s="25">
        <f t="shared" si="56"/>
        <v>-3354293.88</v>
      </c>
      <c r="AA192" s="25">
        <f t="shared" si="56"/>
        <v>-3354293.88</v>
      </c>
      <c r="AB192" s="25">
        <f t="shared" si="56"/>
        <v>-3354293.88</v>
      </c>
      <c r="AC192" s="25">
        <f t="shared" si="56"/>
        <v>-3354293.88</v>
      </c>
      <c r="AD192" s="25">
        <f t="shared" si="56"/>
        <v>-3354293.88</v>
      </c>
      <c r="AE192" s="25">
        <f t="shared" si="56"/>
        <v>-3354293.88</v>
      </c>
      <c r="AF192" s="25">
        <f t="shared" si="56"/>
        <v>-3354293.88</v>
      </c>
      <c r="AG192" s="25">
        <f t="shared" si="56"/>
        <v>-3354293.88</v>
      </c>
      <c r="AH192" s="25">
        <f t="shared" si="56"/>
        <v>-3354293.88</v>
      </c>
      <c r="AI192" s="25">
        <f t="shared" si="56"/>
        <v>-3354293.88</v>
      </c>
      <c r="AJ192" s="25">
        <f t="shared" si="56"/>
        <v>-3354293.88</v>
      </c>
      <c r="AK192" s="25">
        <f t="shared" si="56"/>
        <v>-3354293.88</v>
      </c>
    </row>
    <row r="193" ht="14.25" customHeight="1">
      <c r="B193" s="27" t="s">
        <v>89</v>
      </c>
      <c r="C193" s="25">
        <f t="shared" ref="C193:AK193" si="57">$H$49</f>
        <v>-11900000</v>
      </c>
      <c r="D193" s="25">
        <f t="shared" si="57"/>
        <v>-11900000</v>
      </c>
      <c r="E193" s="25">
        <f t="shared" si="57"/>
        <v>-11900000</v>
      </c>
      <c r="F193" s="25">
        <f t="shared" si="57"/>
        <v>-11900000</v>
      </c>
      <c r="G193" s="25">
        <f t="shared" si="57"/>
        <v>-11900000</v>
      </c>
      <c r="H193" s="25">
        <f t="shared" si="57"/>
        <v>-11900000</v>
      </c>
      <c r="I193" s="25">
        <f t="shared" si="57"/>
        <v>-11900000</v>
      </c>
      <c r="J193" s="25">
        <f t="shared" si="57"/>
        <v>-11900000</v>
      </c>
      <c r="K193" s="25">
        <f t="shared" si="57"/>
        <v>-11900000</v>
      </c>
      <c r="L193" s="25">
        <f t="shared" si="57"/>
        <v>-11900000</v>
      </c>
      <c r="M193" s="25">
        <f t="shared" si="57"/>
        <v>-11900000</v>
      </c>
      <c r="N193" s="25">
        <f t="shared" si="57"/>
        <v>-11900000</v>
      </c>
      <c r="O193" s="25">
        <f t="shared" si="57"/>
        <v>-11900000</v>
      </c>
      <c r="P193" s="25">
        <f t="shared" si="57"/>
        <v>-11900000</v>
      </c>
      <c r="Q193" s="25">
        <f t="shared" si="57"/>
        <v>-11900000</v>
      </c>
      <c r="R193" s="25">
        <f t="shared" si="57"/>
        <v>-11900000</v>
      </c>
      <c r="S193" s="25">
        <f t="shared" si="57"/>
        <v>-11900000</v>
      </c>
      <c r="T193" s="25">
        <f t="shared" si="57"/>
        <v>-11900000</v>
      </c>
      <c r="U193" s="25">
        <f t="shared" si="57"/>
        <v>-11900000</v>
      </c>
      <c r="V193" s="25">
        <f t="shared" si="57"/>
        <v>-11900000</v>
      </c>
      <c r="W193" s="25">
        <f t="shared" si="57"/>
        <v>-11900000</v>
      </c>
      <c r="X193" s="25">
        <f t="shared" si="57"/>
        <v>-11900000</v>
      </c>
      <c r="Y193" s="25">
        <f t="shared" si="57"/>
        <v>-11900000</v>
      </c>
      <c r="Z193" s="25">
        <f t="shared" si="57"/>
        <v>-11900000</v>
      </c>
      <c r="AA193" s="25">
        <f t="shared" si="57"/>
        <v>-11900000</v>
      </c>
      <c r="AB193" s="25">
        <f t="shared" si="57"/>
        <v>-11900000</v>
      </c>
      <c r="AC193" s="25">
        <f t="shared" si="57"/>
        <v>-11900000</v>
      </c>
      <c r="AD193" s="25">
        <f t="shared" si="57"/>
        <v>-11900000</v>
      </c>
      <c r="AE193" s="25">
        <f t="shared" si="57"/>
        <v>-11900000</v>
      </c>
      <c r="AF193" s="25">
        <f t="shared" si="57"/>
        <v>-11900000</v>
      </c>
      <c r="AG193" s="25">
        <f t="shared" si="57"/>
        <v>-11900000</v>
      </c>
      <c r="AH193" s="25">
        <f t="shared" si="57"/>
        <v>-11900000</v>
      </c>
      <c r="AI193" s="25">
        <f t="shared" si="57"/>
        <v>-11900000</v>
      </c>
      <c r="AJ193" s="25">
        <f t="shared" si="57"/>
        <v>-11900000</v>
      </c>
      <c r="AK193" s="25">
        <f t="shared" si="57"/>
        <v>-11900000</v>
      </c>
    </row>
    <row r="194" ht="14.25" customHeight="1"/>
    <row r="195" ht="14.25" customHeight="1">
      <c r="B195" s="28" t="s">
        <v>90</v>
      </c>
      <c r="C195" s="5">
        <f t="shared" ref="C195:AK195" si="58">sum(C191:C193)</f>
        <v>-27536095.61</v>
      </c>
      <c r="D195" s="5">
        <f t="shared" si="58"/>
        <v>-27536095.61</v>
      </c>
      <c r="E195" s="5">
        <f t="shared" si="58"/>
        <v>-27536095.61</v>
      </c>
      <c r="F195" s="5">
        <f t="shared" si="58"/>
        <v>-27536095.61</v>
      </c>
      <c r="G195" s="5">
        <f t="shared" si="58"/>
        <v>-27536095.61</v>
      </c>
      <c r="H195" s="5">
        <f t="shared" si="58"/>
        <v>-27536095.61</v>
      </c>
      <c r="I195" s="5">
        <f t="shared" si="58"/>
        <v>-27536095.61</v>
      </c>
      <c r="J195" s="5">
        <f t="shared" si="58"/>
        <v>-27536095.61</v>
      </c>
      <c r="K195" s="5">
        <f t="shared" si="58"/>
        <v>-27536095.61</v>
      </c>
      <c r="L195" s="5">
        <f t="shared" si="58"/>
        <v>-27536095.61</v>
      </c>
      <c r="M195" s="5">
        <f t="shared" si="58"/>
        <v>-27536095.61</v>
      </c>
      <c r="N195" s="5">
        <f t="shared" si="58"/>
        <v>-27536095.61</v>
      </c>
      <c r="O195" s="5">
        <f t="shared" si="58"/>
        <v>-27536095.61</v>
      </c>
      <c r="P195" s="5">
        <f t="shared" si="58"/>
        <v>-27536095.61</v>
      </c>
      <c r="Q195" s="5">
        <f t="shared" si="58"/>
        <v>-27536095.61</v>
      </c>
      <c r="R195" s="5">
        <f t="shared" si="58"/>
        <v>-27536095.61</v>
      </c>
      <c r="S195" s="5">
        <f t="shared" si="58"/>
        <v>-27536095.61</v>
      </c>
      <c r="T195" s="5">
        <f t="shared" si="58"/>
        <v>-27536095.61</v>
      </c>
      <c r="U195" s="5">
        <f t="shared" si="58"/>
        <v>-27536095.61</v>
      </c>
      <c r="V195" s="5">
        <f t="shared" si="58"/>
        <v>-27536095.61</v>
      </c>
      <c r="W195" s="5">
        <f t="shared" si="58"/>
        <v>-27536095.61</v>
      </c>
      <c r="X195" s="5">
        <f t="shared" si="58"/>
        <v>-27536095.61</v>
      </c>
      <c r="Y195" s="5">
        <f t="shared" si="58"/>
        <v>-27536095.61</v>
      </c>
      <c r="Z195" s="5">
        <f t="shared" si="58"/>
        <v>-27536095.61</v>
      </c>
      <c r="AA195" s="5">
        <f t="shared" si="58"/>
        <v>-27536095.61</v>
      </c>
      <c r="AB195" s="5">
        <f t="shared" si="58"/>
        <v>-27536095.61</v>
      </c>
      <c r="AC195" s="5">
        <f t="shared" si="58"/>
        <v>-27536095.61</v>
      </c>
      <c r="AD195" s="5">
        <f t="shared" si="58"/>
        <v>-27536095.61</v>
      </c>
      <c r="AE195" s="5">
        <f t="shared" si="58"/>
        <v>-27536095.61</v>
      </c>
      <c r="AF195" s="5">
        <f t="shared" si="58"/>
        <v>-27536095.61</v>
      </c>
      <c r="AG195" s="5">
        <f t="shared" si="58"/>
        <v>-27536095.61</v>
      </c>
      <c r="AH195" s="5">
        <f t="shared" si="58"/>
        <v>-27536095.61</v>
      </c>
      <c r="AI195" s="5">
        <f t="shared" si="58"/>
        <v>-27536095.61</v>
      </c>
      <c r="AJ195" s="5">
        <f t="shared" si="58"/>
        <v>-27536095.61</v>
      </c>
      <c r="AK195" s="5">
        <f t="shared" si="58"/>
        <v>-27536095.61</v>
      </c>
    </row>
    <row r="196" ht="14.25" customHeight="1"/>
    <row r="197" ht="14.25" customHeight="1">
      <c r="B197" s="28" t="s">
        <v>112</v>
      </c>
      <c r="C197" s="5">
        <f t="shared" ref="C197:AK197" si="59">C187-C195</f>
        <v>-14462559.93</v>
      </c>
      <c r="D197" s="5">
        <f t="shared" si="59"/>
        <v>-13836732.99</v>
      </c>
      <c r="E197" s="5">
        <f t="shared" si="59"/>
        <v>-13210906.06</v>
      </c>
      <c r="F197" s="5">
        <f t="shared" si="59"/>
        <v>-12585079.13</v>
      </c>
      <c r="G197" s="5">
        <f t="shared" si="59"/>
        <v>-11959252.19</v>
      </c>
      <c r="H197" s="5">
        <f t="shared" si="59"/>
        <v>-11333425.26</v>
      </c>
      <c r="I197" s="5">
        <f t="shared" si="59"/>
        <v>-10707598.33</v>
      </c>
      <c r="J197" s="5">
        <f t="shared" si="59"/>
        <v>-10081771.39</v>
      </c>
      <c r="K197" s="5">
        <f t="shared" si="59"/>
        <v>-9455944.459</v>
      </c>
      <c r="L197" s="5">
        <f t="shared" si="59"/>
        <v>-8566797.033</v>
      </c>
      <c r="M197" s="5">
        <f t="shared" si="59"/>
        <v>2312883.418</v>
      </c>
      <c r="N197" s="5">
        <f t="shared" si="59"/>
        <v>2312883.418</v>
      </c>
      <c r="O197" s="5">
        <f t="shared" si="59"/>
        <v>1255883.719</v>
      </c>
      <c r="P197" s="5">
        <f t="shared" si="59"/>
        <v>198884.0194</v>
      </c>
      <c r="Q197" s="5">
        <f t="shared" si="59"/>
        <v>-858115.6799</v>
      </c>
      <c r="R197" s="5">
        <f t="shared" si="59"/>
        <v>-1915115.379</v>
      </c>
      <c r="S197" s="5">
        <f t="shared" si="59"/>
        <v>-2972115.078</v>
      </c>
      <c r="T197" s="5">
        <f t="shared" si="59"/>
        <v>-4029114.778</v>
      </c>
      <c r="U197" s="5">
        <f t="shared" si="59"/>
        <v>-5086114.477</v>
      </c>
      <c r="V197" s="5">
        <f t="shared" si="59"/>
        <v>-6143114.176</v>
      </c>
      <c r="W197" s="5">
        <f t="shared" si="59"/>
        <v>-7200113.875</v>
      </c>
      <c r="X197" s="5">
        <f t="shared" si="59"/>
        <v>-8230688.582</v>
      </c>
      <c r="Y197" s="5">
        <f t="shared" si="59"/>
        <v>-8230688.582</v>
      </c>
      <c r="Z197" s="5">
        <f t="shared" si="59"/>
        <v>-8230688.582</v>
      </c>
      <c r="AA197" s="5">
        <f t="shared" si="59"/>
        <v>-8230688.582</v>
      </c>
      <c r="AB197" s="5">
        <f t="shared" si="59"/>
        <v>-8230688.582</v>
      </c>
      <c r="AC197" s="5">
        <f t="shared" si="59"/>
        <v>-8230688.582</v>
      </c>
      <c r="AD197" s="5">
        <f t="shared" si="59"/>
        <v>-8230688.582</v>
      </c>
      <c r="AE197" s="5">
        <f t="shared" si="59"/>
        <v>-8230688.582</v>
      </c>
      <c r="AF197" s="5">
        <f t="shared" si="59"/>
        <v>-8230688.582</v>
      </c>
      <c r="AG197" s="5">
        <f t="shared" si="59"/>
        <v>-8230688.582</v>
      </c>
      <c r="AH197" s="5">
        <f t="shared" si="59"/>
        <v>-8230688.582</v>
      </c>
      <c r="AI197" s="5">
        <f t="shared" si="59"/>
        <v>-8230688.582</v>
      </c>
      <c r="AJ197" s="5">
        <f t="shared" si="59"/>
        <v>-8230688.582</v>
      </c>
      <c r="AK197" s="5">
        <f t="shared" si="59"/>
        <v>-8230688.582</v>
      </c>
    </row>
    <row r="198" ht="14.25" customHeight="1"/>
    <row r="199" ht="14.25" customHeight="1">
      <c r="B199" s="15" t="s">
        <v>86</v>
      </c>
      <c r="C199" s="15">
        <v>0.965</v>
      </c>
      <c r="D199" s="5">
        <f t="shared" ref="D199:AK199" si="60">C199*0.965</f>
        <v>0.931225</v>
      </c>
      <c r="E199" s="5">
        <f t="shared" si="60"/>
        <v>0.898632125</v>
      </c>
      <c r="F199" s="5">
        <f t="shared" si="60"/>
        <v>0.8671800006</v>
      </c>
      <c r="G199" s="5">
        <f t="shared" si="60"/>
        <v>0.8368287006</v>
      </c>
      <c r="H199" s="5">
        <f t="shared" si="60"/>
        <v>0.8075396961</v>
      </c>
      <c r="I199" s="5">
        <f t="shared" si="60"/>
        <v>0.7792758067</v>
      </c>
      <c r="J199" s="5">
        <f t="shared" si="60"/>
        <v>0.7520011535</v>
      </c>
      <c r="K199" s="5">
        <f t="shared" si="60"/>
        <v>0.7256811131</v>
      </c>
      <c r="L199" s="5">
        <f t="shared" si="60"/>
        <v>0.7002822742</v>
      </c>
      <c r="M199" s="5">
        <f t="shared" si="60"/>
        <v>0.6757723946</v>
      </c>
      <c r="N199" s="5">
        <f t="shared" si="60"/>
        <v>0.6521203607</v>
      </c>
      <c r="O199" s="5">
        <f t="shared" si="60"/>
        <v>0.6292961481</v>
      </c>
      <c r="P199" s="5">
        <f t="shared" si="60"/>
        <v>0.6072707829</v>
      </c>
      <c r="Q199" s="5">
        <f t="shared" si="60"/>
        <v>0.5860163055</v>
      </c>
      <c r="R199" s="5">
        <f t="shared" si="60"/>
        <v>0.5655057348</v>
      </c>
      <c r="S199" s="5">
        <f t="shared" si="60"/>
        <v>0.5457130341</v>
      </c>
      <c r="T199" s="5">
        <f t="shared" si="60"/>
        <v>0.5266130779</v>
      </c>
      <c r="U199" s="5">
        <f t="shared" si="60"/>
        <v>0.5081816202</v>
      </c>
      <c r="V199" s="5">
        <f t="shared" si="60"/>
        <v>0.4903952635</v>
      </c>
      <c r="W199" s="5">
        <f t="shared" si="60"/>
        <v>0.4732314293</v>
      </c>
      <c r="X199" s="5">
        <f t="shared" si="60"/>
        <v>0.4566683292</v>
      </c>
      <c r="Y199" s="5">
        <f t="shared" si="60"/>
        <v>0.4406849377</v>
      </c>
      <c r="Z199" s="5">
        <f t="shared" si="60"/>
        <v>0.4252609649</v>
      </c>
      <c r="AA199" s="5">
        <f t="shared" si="60"/>
        <v>0.4103768311</v>
      </c>
      <c r="AB199" s="5">
        <f t="shared" si="60"/>
        <v>0.396013642</v>
      </c>
      <c r="AC199" s="5">
        <f t="shared" si="60"/>
        <v>0.3821531646</v>
      </c>
      <c r="AD199" s="5">
        <f t="shared" si="60"/>
        <v>0.3687778038</v>
      </c>
      <c r="AE199" s="5">
        <f t="shared" si="60"/>
        <v>0.3558705807</v>
      </c>
      <c r="AF199" s="5">
        <f t="shared" si="60"/>
        <v>0.3434151104</v>
      </c>
      <c r="AG199" s="5">
        <f t="shared" si="60"/>
        <v>0.3313955815</v>
      </c>
      <c r="AH199" s="5">
        <f t="shared" si="60"/>
        <v>0.3197967361</v>
      </c>
      <c r="AI199" s="5">
        <f t="shared" si="60"/>
        <v>0.3086038504</v>
      </c>
      <c r="AJ199" s="5">
        <f t="shared" si="60"/>
        <v>0.2978027156</v>
      </c>
      <c r="AK199" s="5">
        <f t="shared" si="60"/>
        <v>0.2873796206</v>
      </c>
    </row>
    <row r="200" ht="14.25" customHeight="1"/>
    <row r="201" ht="14.25" customHeight="1"/>
    <row r="202" ht="14.25" customHeight="1"/>
    <row r="203" ht="14.25" customHeight="1"/>
    <row r="204" ht="14.25" customHeight="1">
      <c r="A204" s="35" t="s">
        <v>117</v>
      </c>
      <c r="B204" s="26" t="s">
        <v>85</v>
      </c>
      <c r="C204" s="26">
        <v>1.0</v>
      </c>
      <c r="D204" s="26">
        <v>2.0</v>
      </c>
      <c r="E204" s="26">
        <v>3.0</v>
      </c>
      <c r="F204" s="26">
        <v>4.0</v>
      </c>
      <c r="G204" s="26">
        <v>5.0</v>
      </c>
      <c r="H204" s="26">
        <v>6.0</v>
      </c>
      <c r="I204" s="26">
        <v>7.0</v>
      </c>
      <c r="J204" s="26">
        <v>8.0</v>
      </c>
      <c r="K204" s="26">
        <v>9.0</v>
      </c>
      <c r="L204" s="26">
        <v>10.0</v>
      </c>
      <c r="M204" s="26">
        <v>11.0</v>
      </c>
      <c r="N204" s="26">
        <v>12.0</v>
      </c>
      <c r="O204" s="26">
        <v>13.0</v>
      </c>
      <c r="P204" s="26">
        <v>14.0</v>
      </c>
      <c r="Q204" s="26">
        <v>15.0</v>
      </c>
      <c r="R204" s="26">
        <v>16.0</v>
      </c>
      <c r="S204" s="26">
        <v>17.0</v>
      </c>
      <c r="T204" s="26">
        <v>18.0</v>
      </c>
      <c r="U204" s="26">
        <v>19.0</v>
      </c>
      <c r="V204" s="26">
        <v>20.0</v>
      </c>
      <c r="W204" s="26">
        <v>21.0</v>
      </c>
      <c r="X204" s="26">
        <v>22.0</v>
      </c>
      <c r="Y204" s="26">
        <v>23.0</v>
      </c>
      <c r="Z204" s="26">
        <v>24.0</v>
      </c>
      <c r="AA204" s="26">
        <v>25.0</v>
      </c>
      <c r="AB204" s="26">
        <v>26.0</v>
      </c>
      <c r="AC204" s="26">
        <v>27.0</v>
      </c>
      <c r="AD204" s="26">
        <v>28.0</v>
      </c>
      <c r="AE204" s="26">
        <v>29.0</v>
      </c>
      <c r="AF204" s="26">
        <v>30.0</v>
      </c>
      <c r="AG204" s="26">
        <v>31.0</v>
      </c>
      <c r="AH204" s="26">
        <v>32.0</v>
      </c>
      <c r="AI204" s="26">
        <v>33.0</v>
      </c>
      <c r="AJ204" s="26">
        <v>34.0</v>
      </c>
      <c r="AK204" s="26">
        <v>35.0</v>
      </c>
    </row>
    <row r="205" ht="14.25" customHeight="1">
      <c r="B205" s="30" t="s">
        <v>95</v>
      </c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</row>
    <row r="206" ht="14.25" customHeight="1">
      <c r="B206" s="31" t="s">
        <v>96</v>
      </c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</row>
    <row r="207" ht="14.25" customHeight="1">
      <c r="B207" s="27" t="s">
        <v>118</v>
      </c>
      <c r="C207" s="25">
        <f>C15</f>
        <v>67500000</v>
      </c>
      <c r="D207" s="25">
        <f t="shared" ref="D207:AK207" si="61">C207+C208</f>
        <v>63642857.14</v>
      </c>
      <c r="E207" s="25">
        <f t="shared" si="61"/>
        <v>60006122.45</v>
      </c>
      <c r="F207" s="25">
        <f t="shared" si="61"/>
        <v>56577201.17</v>
      </c>
      <c r="G207" s="25">
        <f t="shared" si="61"/>
        <v>53344218.24</v>
      </c>
      <c r="H207" s="25">
        <f t="shared" si="61"/>
        <v>50295977.2</v>
      </c>
      <c r="I207" s="25">
        <f t="shared" si="61"/>
        <v>47421921.36</v>
      </c>
      <c r="J207" s="25">
        <f t="shared" si="61"/>
        <v>44712097.28</v>
      </c>
      <c r="K207" s="25">
        <f t="shared" si="61"/>
        <v>42157120.29</v>
      </c>
      <c r="L207" s="25">
        <f t="shared" si="61"/>
        <v>39748141.99</v>
      </c>
      <c r="M207" s="25">
        <f t="shared" si="61"/>
        <v>37476819.59</v>
      </c>
      <c r="N207" s="25">
        <f t="shared" si="61"/>
        <v>35335287.04</v>
      </c>
      <c r="O207" s="25">
        <f t="shared" si="61"/>
        <v>33316127.78</v>
      </c>
      <c r="P207" s="25">
        <f t="shared" si="61"/>
        <v>31412349.05</v>
      </c>
      <c r="Q207" s="25">
        <f t="shared" si="61"/>
        <v>29617357.68</v>
      </c>
      <c r="R207" s="25">
        <f t="shared" si="61"/>
        <v>27924937.24</v>
      </c>
      <c r="S207" s="25">
        <f t="shared" si="61"/>
        <v>26329226.54</v>
      </c>
      <c r="T207" s="25">
        <f t="shared" si="61"/>
        <v>24824699.31</v>
      </c>
      <c r="U207" s="25">
        <f t="shared" si="61"/>
        <v>23406145.06</v>
      </c>
      <c r="V207" s="25">
        <f t="shared" si="61"/>
        <v>22068651.06</v>
      </c>
      <c r="W207" s="25">
        <f t="shared" si="61"/>
        <v>20807585.29</v>
      </c>
      <c r="X207" s="25">
        <f t="shared" si="61"/>
        <v>19618580.41</v>
      </c>
      <c r="Y207" s="25">
        <f t="shared" si="61"/>
        <v>18497518.67</v>
      </c>
      <c r="Z207" s="25">
        <f t="shared" si="61"/>
        <v>17440517.61</v>
      </c>
      <c r="AA207" s="25">
        <f t="shared" si="61"/>
        <v>16443916.6</v>
      </c>
      <c r="AB207" s="25">
        <f t="shared" si="61"/>
        <v>15504264.22</v>
      </c>
      <c r="AC207" s="25">
        <f t="shared" si="61"/>
        <v>14618306.27</v>
      </c>
      <c r="AD207" s="25">
        <f t="shared" si="61"/>
        <v>13782974.48</v>
      </c>
      <c r="AE207" s="25">
        <f t="shared" si="61"/>
        <v>12995375.94</v>
      </c>
      <c r="AF207" s="25">
        <f t="shared" si="61"/>
        <v>12252783.03</v>
      </c>
      <c r="AG207" s="25">
        <f t="shared" si="61"/>
        <v>11552624</v>
      </c>
      <c r="AH207" s="25">
        <f t="shared" si="61"/>
        <v>10892474.06</v>
      </c>
      <c r="AI207" s="25">
        <f t="shared" si="61"/>
        <v>10270046.97</v>
      </c>
      <c r="AJ207" s="25">
        <f t="shared" si="61"/>
        <v>9683187.14</v>
      </c>
      <c r="AK207" s="25">
        <f t="shared" si="61"/>
        <v>9129862.161</v>
      </c>
    </row>
    <row r="208" ht="14.25" customHeight="1">
      <c r="B208" s="27" t="s">
        <v>119</v>
      </c>
      <c r="C208" s="25">
        <f t="shared" ref="C208:AK208" si="62">-C207/35*2</f>
        <v>-3857142.857</v>
      </c>
      <c r="D208" s="25">
        <f t="shared" si="62"/>
        <v>-3636734.694</v>
      </c>
      <c r="E208" s="25">
        <f t="shared" si="62"/>
        <v>-3428921.283</v>
      </c>
      <c r="F208" s="25">
        <f t="shared" si="62"/>
        <v>-3232982.924</v>
      </c>
      <c r="G208" s="25">
        <f t="shared" si="62"/>
        <v>-3048241.042</v>
      </c>
      <c r="H208" s="25">
        <f t="shared" si="62"/>
        <v>-2874055.84</v>
      </c>
      <c r="I208" s="25">
        <f t="shared" si="62"/>
        <v>-2709824.078</v>
      </c>
      <c r="J208" s="25">
        <f t="shared" si="62"/>
        <v>-2554976.988</v>
      </c>
      <c r="K208" s="25">
        <f t="shared" si="62"/>
        <v>-2408978.303</v>
      </c>
      <c r="L208" s="25">
        <f t="shared" si="62"/>
        <v>-2271322.4</v>
      </c>
      <c r="M208" s="25">
        <f t="shared" si="62"/>
        <v>-2141532.548</v>
      </c>
      <c r="N208" s="25">
        <f t="shared" si="62"/>
        <v>-2019159.26</v>
      </c>
      <c r="O208" s="25">
        <f t="shared" si="62"/>
        <v>-1903778.731</v>
      </c>
      <c r="P208" s="25">
        <f t="shared" si="62"/>
        <v>-1794991.375</v>
      </c>
      <c r="Q208" s="25">
        <f t="shared" si="62"/>
        <v>-1692420.439</v>
      </c>
      <c r="R208" s="25">
        <f t="shared" si="62"/>
        <v>-1595710.699</v>
      </c>
      <c r="S208" s="25">
        <f t="shared" si="62"/>
        <v>-1504527.231</v>
      </c>
      <c r="T208" s="25">
        <f t="shared" si="62"/>
        <v>-1418554.246</v>
      </c>
      <c r="U208" s="25">
        <f t="shared" si="62"/>
        <v>-1337494.004</v>
      </c>
      <c r="V208" s="25">
        <f t="shared" si="62"/>
        <v>-1261065.775</v>
      </c>
      <c r="W208" s="25">
        <f t="shared" si="62"/>
        <v>-1189004.873</v>
      </c>
      <c r="X208" s="25">
        <f t="shared" si="62"/>
        <v>-1121061.738</v>
      </c>
      <c r="Y208" s="25">
        <f t="shared" si="62"/>
        <v>-1057001.067</v>
      </c>
      <c r="Z208" s="25">
        <f t="shared" si="62"/>
        <v>-996601.0061</v>
      </c>
      <c r="AA208" s="25">
        <f t="shared" si="62"/>
        <v>-939652.3772</v>
      </c>
      <c r="AB208" s="25">
        <f t="shared" si="62"/>
        <v>-885957.9556</v>
      </c>
      <c r="AC208" s="25">
        <f t="shared" si="62"/>
        <v>-835331.7868</v>
      </c>
      <c r="AD208" s="25">
        <f t="shared" si="62"/>
        <v>-787598.5418</v>
      </c>
      <c r="AE208" s="25">
        <f t="shared" si="62"/>
        <v>-742592.9108</v>
      </c>
      <c r="AF208" s="25">
        <f t="shared" si="62"/>
        <v>-700159.0302</v>
      </c>
      <c r="AG208" s="25">
        <f t="shared" si="62"/>
        <v>-660149.9428</v>
      </c>
      <c r="AH208" s="25">
        <f t="shared" si="62"/>
        <v>-622427.0889</v>
      </c>
      <c r="AI208" s="25">
        <f t="shared" si="62"/>
        <v>-586859.8267</v>
      </c>
      <c r="AJ208" s="25">
        <f t="shared" si="62"/>
        <v>-553324.9794</v>
      </c>
      <c r="AK208" s="25">
        <f t="shared" si="62"/>
        <v>-521706.4092</v>
      </c>
    </row>
    <row r="209" ht="14.25" customHeight="1">
      <c r="B209" s="27" t="s">
        <v>120</v>
      </c>
      <c r="C209" s="25">
        <f>D30</f>
        <v>18144000</v>
      </c>
      <c r="D209" s="25">
        <f t="shared" ref="D209:N209" si="63">C209+C210</f>
        <v>15120000</v>
      </c>
      <c r="E209" s="25">
        <f t="shared" si="63"/>
        <v>12600000</v>
      </c>
      <c r="F209" s="25">
        <f t="shared" si="63"/>
        <v>10500000</v>
      </c>
      <c r="G209" s="25">
        <f t="shared" si="63"/>
        <v>8750000</v>
      </c>
      <c r="H209" s="25">
        <f t="shared" si="63"/>
        <v>7291666.667</v>
      </c>
      <c r="I209" s="25">
        <f t="shared" si="63"/>
        <v>6076388.889</v>
      </c>
      <c r="J209" s="25">
        <f t="shared" si="63"/>
        <v>5063657.407</v>
      </c>
      <c r="K209" s="25">
        <f t="shared" si="63"/>
        <v>4219714.506</v>
      </c>
      <c r="L209" s="25">
        <f t="shared" si="63"/>
        <v>3516428.755</v>
      </c>
      <c r="M209" s="25">
        <f t="shared" si="63"/>
        <v>2930357.296</v>
      </c>
      <c r="N209" s="25">
        <f t="shared" si="63"/>
        <v>2441964.413</v>
      </c>
      <c r="O209" s="25">
        <v>1.8144E7</v>
      </c>
      <c r="P209" s="25">
        <v>1.512E7</v>
      </c>
      <c r="Q209" s="25">
        <v>1.26E7</v>
      </c>
      <c r="R209" s="25">
        <v>1.05E7</v>
      </c>
      <c r="S209" s="25">
        <v>8750000.0</v>
      </c>
      <c r="T209" s="25">
        <v>7291666.666666667</v>
      </c>
      <c r="U209" s="25">
        <v>6076388.888888889</v>
      </c>
      <c r="V209" s="25">
        <v>5063657.407407408</v>
      </c>
      <c r="W209" s="25">
        <v>4219714.50617284</v>
      </c>
      <c r="X209" s="25">
        <v>3516428.755144033</v>
      </c>
      <c r="Y209" s="25">
        <v>2930357.295953361</v>
      </c>
      <c r="Z209" s="25">
        <v>2441964.413294467</v>
      </c>
      <c r="AA209" s="25">
        <v>1.8144E7</v>
      </c>
      <c r="AB209" s="25">
        <v>1.512E7</v>
      </c>
      <c r="AC209" s="25">
        <v>1.26E7</v>
      </c>
      <c r="AD209" s="25">
        <v>1.05E7</v>
      </c>
      <c r="AE209" s="25">
        <v>8750000.0</v>
      </c>
      <c r="AF209" s="25">
        <v>7291666.666666667</v>
      </c>
      <c r="AG209" s="25">
        <v>6076388.888888889</v>
      </c>
      <c r="AH209" s="25">
        <v>5063657.407407408</v>
      </c>
      <c r="AI209" s="25">
        <v>4219714.50617284</v>
      </c>
      <c r="AJ209" s="25">
        <v>3516428.755144033</v>
      </c>
      <c r="AK209" s="25">
        <v>2930357.295953361</v>
      </c>
    </row>
    <row r="210" ht="14.25" customHeight="1">
      <c r="B210" s="27" t="s">
        <v>121</v>
      </c>
      <c r="C210" s="25">
        <f t="shared" ref="C210:AK210" si="64">-C209*2/12</f>
        <v>-3024000</v>
      </c>
      <c r="D210" s="25">
        <f t="shared" si="64"/>
        <v>-2520000</v>
      </c>
      <c r="E210" s="25">
        <f t="shared" si="64"/>
        <v>-2100000</v>
      </c>
      <c r="F210" s="25">
        <f t="shared" si="64"/>
        <v>-1750000</v>
      </c>
      <c r="G210" s="25">
        <f t="shared" si="64"/>
        <v>-1458333.333</v>
      </c>
      <c r="H210" s="25">
        <f t="shared" si="64"/>
        <v>-1215277.778</v>
      </c>
      <c r="I210" s="25">
        <f t="shared" si="64"/>
        <v>-1012731.481</v>
      </c>
      <c r="J210" s="25">
        <f t="shared" si="64"/>
        <v>-843942.9012</v>
      </c>
      <c r="K210" s="25">
        <f t="shared" si="64"/>
        <v>-703285.751</v>
      </c>
      <c r="L210" s="25">
        <f t="shared" si="64"/>
        <v>-586071.4592</v>
      </c>
      <c r="M210" s="25">
        <f t="shared" si="64"/>
        <v>-488392.8827</v>
      </c>
      <c r="N210" s="25">
        <f t="shared" si="64"/>
        <v>-406994.0689</v>
      </c>
      <c r="O210" s="25">
        <f t="shared" si="64"/>
        <v>-3024000</v>
      </c>
      <c r="P210" s="25">
        <f t="shared" si="64"/>
        <v>-2520000</v>
      </c>
      <c r="Q210" s="25">
        <f t="shared" si="64"/>
        <v>-2100000</v>
      </c>
      <c r="R210" s="25">
        <f t="shared" si="64"/>
        <v>-1750000</v>
      </c>
      <c r="S210" s="25">
        <f t="shared" si="64"/>
        <v>-1458333.333</v>
      </c>
      <c r="T210" s="25">
        <f t="shared" si="64"/>
        <v>-1215277.778</v>
      </c>
      <c r="U210" s="25">
        <f t="shared" si="64"/>
        <v>-1012731.481</v>
      </c>
      <c r="V210" s="25">
        <f t="shared" si="64"/>
        <v>-843942.9012</v>
      </c>
      <c r="W210" s="25">
        <f t="shared" si="64"/>
        <v>-703285.751</v>
      </c>
      <c r="X210" s="25">
        <f t="shared" si="64"/>
        <v>-586071.4592</v>
      </c>
      <c r="Y210" s="25">
        <f t="shared" si="64"/>
        <v>-488392.8827</v>
      </c>
      <c r="Z210" s="25">
        <f t="shared" si="64"/>
        <v>-406994.0689</v>
      </c>
      <c r="AA210" s="25">
        <f t="shared" si="64"/>
        <v>-3024000</v>
      </c>
      <c r="AB210" s="25">
        <f t="shared" si="64"/>
        <v>-2520000</v>
      </c>
      <c r="AC210" s="25">
        <f t="shared" si="64"/>
        <v>-2100000</v>
      </c>
      <c r="AD210" s="25">
        <f t="shared" si="64"/>
        <v>-1750000</v>
      </c>
      <c r="AE210" s="25">
        <f t="shared" si="64"/>
        <v>-1458333.333</v>
      </c>
      <c r="AF210" s="25">
        <f t="shared" si="64"/>
        <v>-1215277.778</v>
      </c>
      <c r="AG210" s="25">
        <f t="shared" si="64"/>
        <v>-1012731.481</v>
      </c>
      <c r="AH210" s="25">
        <f t="shared" si="64"/>
        <v>-843942.9012</v>
      </c>
      <c r="AI210" s="25">
        <f t="shared" si="64"/>
        <v>-703285.751</v>
      </c>
      <c r="AJ210" s="25">
        <f t="shared" si="64"/>
        <v>-586071.4592</v>
      </c>
      <c r="AK210" s="25">
        <f t="shared" si="64"/>
        <v>-488392.8827</v>
      </c>
    </row>
    <row r="211" ht="14.25" customHeight="1">
      <c r="B211" s="27" t="s">
        <v>122</v>
      </c>
      <c r="C211" s="27">
        <v>1160.64</v>
      </c>
      <c r="D211" s="27">
        <f t="shared" ref="D211:L211" si="65">C211+C212</f>
        <v>928.512</v>
      </c>
      <c r="E211" s="27">
        <f t="shared" si="65"/>
        <v>742.8096</v>
      </c>
      <c r="F211" s="27">
        <f t="shared" si="65"/>
        <v>594.24768</v>
      </c>
      <c r="G211" s="27">
        <f t="shared" si="65"/>
        <v>475.398144</v>
      </c>
      <c r="H211" s="27">
        <f t="shared" si="65"/>
        <v>380.3185152</v>
      </c>
      <c r="I211" s="27">
        <f t="shared" si="65"/>
        <v>304.2548122</v>
      </c>
      <c r="J211" s="27">
        <f t="shared" si="65"/>
        <v>243.4038497</v>
      </c>
      <c r="K211" s="27">
        <f t="shared" si="65"/>
        <v>194.7230798</v>
      </c>
      <c r="L211" s="27">
        <f t="shared" si="65"/>
        <v>155.7784638</v>
      </c>
      <c r="M211" s="27">
        <v>1160.64</v>
      </c>
      <c r="N211" s="27">
        <v>928.5120000000001</v>
      </c>
      <c r="O211" s="27">
        <v>742.8096</v>
      </c>
      <c r="P211" s="27">
        <v>594.2476800000001</v>
      </c>
      <c r="Q211" s="27">
        <v>475.39814400000006</v>
      </c>
      <c r="R211" s="27">
        <v>380.31851520000004</v>
      </c>
      <c r="S211" s="27">
        <v>304.25481216000003</v>
      </c>
      <c r="T211" s="27">
        <v>243.403849728</v>
      </c>
      <c r="U211" s="27">
        <v>194.72307978240002</v>
      </c>
      <c r="V211" s="27">
        <v>155.77846382592003</v>
      </c>
      <c r="W211" s="27">
        <v>1160.64</v>
      </c>
      <c r="X211" s="27">
        <v>928.5120000000001</v>
      </c>
      <c r="Y211" s="27">
        <v>742.8096</v>
      </c>
      <c r="Z211" s="27">
        <v>594.2476800000001</v>
      </c>
      <c r="AA211" s="27">
        <v>475.39814400000006</v>
      </c>
      <c r="AB211" s="27">
        <v>380.31851520000004</v>
      </c>
      <c r="AC211" s="27">
        <v>304.25481216000003</v>
      </c>
      <c r="AD211" s="27">
        <v>243.403849728</v>
      </c>
      <c r="AE211" s="27">
        <v>194.72307978240002</v>
      </c>
      <c r="AF211" s="27">
        <v>155.77846382592003</v>
      </c>
      <c r="AG211" s="27">
        <v>1160.64</v>
      </c>
      <c r="AH211" s="27">
        <v>928.5120000000001</v>
      </c>
      <c r="AI211" s="27">
        <v>742.8096</v>
      </c>
      <c r="AJ211" s="27">
        <v>594.2476800000001</v>
      </c>
      <c r="AK211" s="27">
        <v>475.39814400000006</v>
      </c>
    </row>
    <row r="212" ht="14.25" customHeight="1">
      <c r="B212" s="27" t="s">
        <v>123</v>
      </c>
      <c r="C212" s="27">
        <f t="shared" ref="C212:K212" si="66">-C211/10*2</f>
        <v>-232.128</v>
      </c>
      <c r="D212" s="27">
        <f t="shared" si="66"/>
        <v>-185.7024</v>
      </c>
      <c r="E212" s="27">
        <f t="shared" si="66"/>
        <v>-148.56192</v>
      </c>
      <c r="F212" s="27">
        <f t="shared" si="66"/>
        <v>-118.849536</v>
      </c>
      <c r="G212" s="27">
        <f t="shared" si="66"/>
        <v>-95.0796288</v>
      </c>
      <c r="H212" s="27">
        <f t="shared" si="66"/>
        <v>-76.06370304</v>
      </c>
      <c r="I212" s="27">
        <f t="shared" si="66"/>
        <v>-60.85096243</v>
      </c>
      <c r="J212" s="27">
        <f t="shared" si="66"/>
        <v>-48.68076995</v>
      </c>
      <c r="K212" s="27">
        <f t="shared" si="66"/>
        <v>-38.94461596</v>
      </c>
      <c r="L212" s="27">
        <f>-1160.64/10</f>
        <v>-116.064</v>
      </c>
      <c r="M212" s="27">
        <v>-232.12800000000001</v>
      </c>
      <c r="N212" s="27">
        <v>-185.7024</v>
      </c>
      <c r="O212" s="27">
        <v>-148.56192000000001</v>
      </c>
      <c r="P212" s="27">
        <v>-118.84953600000001</v>
      </c>
      <c r="Q212" s="27">
        <v>-95.07962880000001</v>
      </c>
      <c r="R212" s="27">
        <v>-76.06370304000001</v>
      </c>
      <c r="S212" s="27">
        <v>-60.850962432</v>
      </c>
      <c r="T212" s="27">
        <v>-48.680769945600005</v>
      </c>
      <c r="U212" s="27">
        <v>-38.94461595648001</v>
      </c>
      <c r="V212" s="27">
        <v>-116.06400000000001</v>
      </c>
      <c r="W212" s="27">
        <v>-232.12800000000001</v>
      </c>
      <c r="X212" s="27">
        <v>-185.7024</v>
      </c>
      <c r="Y212" s="27">
        <v>-148.56192000000001</v>
      </c>
      <c r="Z212" s="27">
        <v>-118.84953600000001</v>
      </c>
      <c r="AA212" s="27">
        <v>-95.07962880000001</v>
      </c>
      <c r="AB212" s="27">
        <v>-76.06370304000001</v>
      </c>
      <c r="AC212" s="27">
        <v>-60.850962432</v>
      </c>
      <c r="AD212" s="27">
        <v>-48.680769945600005</v>
      </c>
      <c r="AE212" s="27">
        <v>-38.94461595648001</v>
      </c>
      <c r="AF212" s="27">
        <v>-116.06400000000001</v>
      </c>
      <c r="AG212" s="27">
        <v>-232.12800000000001</v>
      </c>
      <c r="AH212" s="27">
        <v>-185.7024</v>
      </c>
      <c r="AI212" s="27">
        <v>-148.56192000000001</v>
      </c>
      <c r="AJ212" s="27">
        <v>-118.84953600000001</v>
      </c>
      <c r="AK212" s="27">
        <v>-95.07962880000001</v>
      </c>
    </row>
    <row r="213" ht="14.25" customHeight="1"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</row>
    <row r="214" ht="14.25" customHeight="1">
      <c r="B214" s="31" t="s">
        <v>100</v>
      </c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</row>
    <row r="215" ht="14.25" customHeight="1">
      <c r="B215" s="27" t="s">
        <v>101</v>
      </c>
      <c r="C215" s="25">
        <f t="shared" ref="C215:K215" si="67">$E$70*(C204*40/399) </f>
        <v>-942598.1393</v>
      </c>
      <c r="D215" s="25">
        <f t="shared" si="67"/>
        <v>-1885196.279</v>
      </c>
      <c r="E215" s="25">
        <f t="shared" si="67"/>
        <v>-2827794.418</v>
      </c>
      <c r="F215" s="25">
        <f t="shared" si="67"/>
        <v>-3770392.557</v>
      </c>
      <c r="G215" s="25">
        <f t="shared" si="67"/>
        <v>-4712990.697</v>
      </c>
      <c r="H215" s="25">
        <f t="shared" si="67"/>
        <v>-5655588.836</v>
      </c>
      <c r="I215" s="25">
        <f t="shared" si="67"/>
        <v>-6598186.975</v>
      </c>
      <c r="J215" s="25">
        <f t="shared" si="67"/>
        <v>-7540785.115</v>
      </c>
      <c r="K215" s="25">
        <f t="shared" si="67"/>
        <v>-8483383.254</v>
      </c>
      <c r="L215" s="25">
        <f t="shared" ref="L215:AK215" si="68">$E$70</f>
        <v>-9402416.44</v>
      </c>
      <c r="M215" s="25">
        <f t="shared" si="68"/>
        <v>-9402416.44</v>
      </c>
      <c r="N215" s="25">
        <f t="shared" si="68"/>
        <v>-9402416.44</v>
      </c>
      <c r="O215" s="25">
        <f t="shared" si="68"/>
        <v>-9402416.44</v>
      </c>
      <c r="P215" s="25">
        <f t="shared" si="68"/>
        <v>-9402416.44</v>
      </c>
      <c r="Q215" s="25">
        <f t="shared" si="68"/>
        <v>-9402416.44</v>
      </c>
      <c r="R215" s="25">
        <f t="shared" si="68"/>
        <v>-9402416.44</v>
      </c>
      <c r="S215" s="25">
        <f t="shared" si="68"/>
        <v>-9402416.44</v>
      </c>
      <c r="T215" s="25">
        <f t="shared" si="68"/>
        <v>-9402416.44</v>
      </c>
      <c r="U215" s="25">
        <f t="shared" si="68"/>
        <v>-9402416.44</v>
      </c>
      <c r="V215" s="25">
        <f t="shared" si="68"/>
        <v>-9402416.44</v>
      </c>
      <c r="W215" s="25">
        <f t="shared" si="68"/>
        <v>-9402416.44</v>
      </c>
      <c r="X215" s="25">
        <f t="shared" si="68"/>
        <v>-9402416.44</v>
      </c>
      <c r="Y215" s="25">
        <f t="shared" si="68"/>
        <v>-9402416.44</v>
      </c>
      <c r="Z215" s="25">
        <f t="shared" si="68"/>
        <v>-9402416.44</v>
      </c>
      <c r="AA215" s="25">
        <f t="shared" si="68"/>
        <v>-9402416.44</v>
      </c>
      <c r="AB215" s="25">
        <f t="shared" si="68"/>
        <v>-9402416.44</v>
      </c>
      <c r="AC215" s="25">
        <f t="shared" si="68"/>
        <v>-9402416.44</v>
      </c>
      <c r="AD215" s="25">
        <f t="shared" si="68"/>
        <v>-9402416.44</v>
      </c>
      <c r="AE215" s="25">
        <f t="shared" si="68"/>
        <v>-9402416.44</v>
      </c>
      <c r="AF215" s="25">
        <f t="shared" si="68"/>
        <v>-9402416.44</v>
      </c>
      <c r="AG215" s="25">
        <f t="shared" si="68"/>
        <v>-9402416.44</v>
      </c>
      <c r="AH215" s="25">
        <f t="shared" si="68"/>
        <v>-9402416.44</v>
      </c>
      <c r="AI215" s="25">
        <f t="shared" si="68"/>
        <v>-9402416.44</v>
      </c>
      <c r="AJ215" s="25">
        <f t="shared" si="68"/>
        <v>-9402416.44</v>
      </c>
      <c r="AK215" s="25">
        <f t="shared" si="68"/>
        <v>-9402416.44</v>
      </c>
    </row>
    <row r="216" ht="14.25" customHeight="1">
      <c r="B216" s="25" t="s">
        <v>87</v>
      </c>
      <c r="C216" s="25">
        <f t="shared" ref="C216:K216" si="69">-$H$70*(1-(C204*40/399))</f>
        <v>-11050543.41</v>
      </c>
      <c r="D216" s="25">
        <f t="shared" si="69"/>
        <v>-9819285.096</v>
      </c>
      <c r="E216" s="25">
        <f t="shared" si="69"/>
        <v>-8588026.776</v>
      </c>
      <c r="F216" s="25">
        <f t="shared" si="69"/>
        <v>-7356768.457</v>
      </c>
      <c r="G216" s="25">
        <f t="shared" si="69"/>
        <v>-6125510.138</v>
      </c>
      <c r="H216" s="25">
        <f t="shared" si="69"/>
        <v>-4894251.819</v>
      </c>
      <c r="I216" s="25">
        <f t="shared" si="69"/>
        <v>-3662993.5</v>
      </c>
      <c r="J216" s="25">
        <f t="shared" si="69"/>
        <v>-2431735.18</v>
      </c>
      <c r="K216" s="25">
        <f t="shared" si="69"/>
        <v>-1200476.861</v>
      </c>
      <c r="L216" s="27">
        <v>0.0</v>
      </c>
      <c r="M216" s="27">
        <v>0.0</v>
      </c>
      <c r="N216" s="27">
        <v>0.0</v>
      </c>
      <c r="O216" s="27">
        <v>0.0</v>
      </c>
      <c r="P216" s="27">
        <v>0.0</v>
      </c>
      <c r="Q216" s="25">
        <v>0.0</v>
      </c>
      <c r="R216" s="25">
        <v>0.0</v>
      </c>
      <c r="S216" s="25">
        <v>0.0</v>
      </c>
      <c r="T216" s="25">
        <v>0.0</v>
      </c>
      <c r="U216" s="25">
        <v>0.0</v>
      </c>
      <c r="V216" s="25">
        <v>0.0</v>
      </c>
      <c r="W216" s="25">
        <v>0.0</v>
      </c>
      <c r="X216" s="25">
        <v>0.0</v>
      </c>
      <c r="Y216" s="25">
        <v>0.0</v>
      </c>
      <c r="Z216" s="25">
        <v>0.0</v>
      </c>
      <c r="AA216" s="25">
        <v>0.0</v>
      </c>
      <c r="AB216" s="25">
        <v>0.0</v>
      </c>
      <c r="AC216" s="25">
        <v>0.0</v>
      </c>
      <c r="AD216" s="25">
        <v>0.0</v>
      </c>
      <c r="AE216" s="25">
        <v>0.0</v>
      </c>
      <c r="AF216" s="25">
        <v>0.0</v>
      </c>
      <c r="AG216" s="25">
        <v>0.0</v>
      </c>
      <c r="AH216" s="25">
        <v>0.0</v>
      </c>
      <c r="AI216" s="25">
        <v>0.0</v>
      </c>
      <c r="AJ216" s="25">
        <v>0.0</v>
      </c>
      <c r="AK216" s="25">
        <v>0.0</v>
      </c>
    </row>
    <row r="217" ht="14.25" customHeight="1">
      <c r="B217" s="32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</row>
    <row r="218" ht="14.25" customHeight="1">
      <c r="B218" s="31" t="s">
        <v>102</v>
      </c>
      <c r="C218" s="25">
        <f t="shared" ref="C218:AK218" si="70">sum(C210,C208,C212,C215,C216)</f>
        <v>-18874516.54</v>
      </c>
      <c r="D218" s="25">
        <f t="shared" si="70"/>
        <v>-17861401.77</v>
      </c>
      <c r="E218" s="25">
        <f t="shared" si="70"/>
        <v>-16944891.04</v>
      </c>
      <c r="F218" s="25">
        <f t="shared" si="70"/>
        <v>-16110262.79</v>
      </c>
      <c r="G218" s="25">
        <f t="shared" si="70"/>
        <v>-15345170.29</v>
      </c>
      <c r="H218" s="25">
        <f t="shared" si="70"/>
        <v>-14639250.34</v>
      </c>
      <c r="I218" s="25">
        <f t="shared" si="70"/>
        <v>-13983796.89</v>
      </c>
      <c r="J218" s="25">
        <f t="shared" si="70"/>
        <v>-13371488.86</v>
      </c>
      <c r="K218" s="25">
        <f t="shared" si="70"/>
        <v>-12796163.11</v>
      </c>
      <c r="L218" s="25">
        <f t="shared" si="70"/>
        <v>-12259926.36</v>
      </c>
      <c r="M218" s="25">
        <f t="shared" si="70"/>
        <v>-12032574</v>
      </c>
      <c r="N218" s="25">
        <f t="shared" si="70"/>
        <v>-11828755.47</v>
      </c>
      <c r="O218" s="25">
        <f t="shared" si="70"/>
        <v>-14330343.73</v>
      </c>
      <c r="P218" s="25">
        <f t="shared" si="70"/>
        <v>-13717526.66</v>
      </c>
      <c r="Q218" s="25">
        <f t="shared" si="70"/>
        <v>-13194931.96</v>
      </c>
      <c r="R218" s="25">
        <f t="shared" si="70"/>
        <v>-12748203.2</v>
      </c>
      <c r="S218" s="25">
        <f t="shared" si="70"/>
        <v>-12365337.86</v>
      </c>
      <c r="T218" s="25">
        <f t="shared" si="70"/>
        <v>-12036297.14</v>
      </c>
      <c r="U218" s="25">
        <f t="shared" si="70"/>
        <v>-11752680.87</v>
      </c>
      <c r="V218" s="25">
        <f t="shared" si="70"/>
        <v>-11507541.18</v>
      </c>
      <c r="W218" s="25">
        <f t="shared" si="70"/>
        <v>-11294939.19</v>
      </c>
      <c r="X218" s="25">
        <f t="shared" si="70"/>
        <v>-11109735.34</v>
      </c>
      <c r="Y218" s="25">
        <f t="shared" si="70"/>
        <v>-10947958.95</v>
      </c>
      <c r="Z218" s="25">
        <f t="shared" si="70"/>
        <v>-10806130.36</v>
      </c>
      <c r="AA218" s="25">
        <f t="shared" si="70"/>
        <v>-13366163.9</v>
      </c>
      <c r="AB218" s="25">
        <f t="shared" si="70"/>
        <v>-12808450.46</v>
      </c>
      <c r="AC218" s="25">
        <f t="shared" si="70"/>
        <v>-12337809.08</v>
      </c>
      <c r="AD218" s="25">
        <f t="shared" si="70"/>
        <v>-11940063.66</v>
      </c>
      <c r="AE218" s="25">
        <f t="shared" si="70"/>
        <v>-11603381.63</v>
      </c>
      <c r="AF218" s="25">
        <f t="shared" si="70"/>
        <v>-11317969.31</v>
      </c>
      <c r="AG218" s="25">
        <f t="shared" si="70"/>
        <v>-11075529.99</v>
      </c>
      <c r="AH218" s="25">
        <f t="shared" si="70"/>
        <v>-10868972.13</v>
      </c>
      <c r="AI218" s="25">
        <f t="shared" si="70"/>
        <v>-10692710.58</v>
      </c>
      <c r="AJ218" s="25">
        <f t="shared" si="70"/>
        <v>-10541931.73</v>
      </c>
      <c r="AK218" s="25">
        <f t="shared" si="70"/>
        <v>-10412610.81</v>
      </c>
    </row>
    <row r="219" ht="14.25" customHeight="1">
      <c r="B219" s="32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</row>
    <row r="220" ht="14.25" customHeight="1">
      <c r="B220" s="32" t="s">
        <v>103</v>
      </c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</row>
    <row r="221" ht="14.25" customHeight="1">
      <c r="B221" s="27" t="s">
        <v>124</v>
      </c>
      <c r="C221" s="27">
        <v>1955340.0</v>
      </c>
      <c r="D221" s="27">
        <f t="shared" ref="D221:L221" si="71">C221+C222</f>
        <v>1564272</v>
      </c>
      <c r="E221" s="27">
        <f t="shared" si="71"/>
        <v>1251417.6</v>
      </c>
      <c r="F221" s="27">
        <f t="shared" si="71"/>
        <v>1001134.08</v>
      </c>
      <c r="G221" s="27">
        <f t="shared" si="71"/>
        <v>800907.264</v>
      </c>
      <c r="H221" s="27">
        <f t="shared" si="71"/>
        <v>640725.8112</v>
      </c>
      <c r="I221" s="27">
        <f t="shared" si="71"/>
        <v>512580.649</v>
      </c>
      <c r="J221" s="27">
        <f t="shared" si="71"/>
        <v>410064.5192</v>
      </c>
      <c r="K221" s="27">
        <f t="shared" si="71"/>
        <v>328051.6153</v>
      </c>
      <c r="L221" s="27">
        <f t="shared" si="71"/>
        <v>262441.2923</v>
      </c>
      <c r="M221" s="27">
        <v>1955340.0</v>
      </c>
      <c r="N221" s="27">
        <v>1564272.0</v>
      </c>
      <c r="O221" s="27">
        <v>1251417.6</v>
      </c>
      <c r="P221" s="27">
        <v>1001134.0800000001</v>
      </c>
      <c r="Q221" s="27">
        <v>800907.2640000001</v>
      </c>
      <c r="R221" s="27">
        <v>640725.8112000001</v>
      </c>
      <c r="S221" s="27">
        <v>512580.6489600001</v>
      </c>
      <c r="T221" s="27">
        <v>410064.5191680001</v>
      </c>
      <c r="U221" s="27">
        <v>328051.6153344001</v>
      </c>
      <c r="V221" s="27">
        <v>262441.2922675201</v>
      </c>
      <c r="W221" s="38">
        <v>1955340.0</v>
      </c>
      <c r="X221" s="38">
        <v>1564272.0</v>
      </c>
      <c r="Y221" s="38">
        <v>1251417.6</v>
      </c>
      <c r="Z221" s="27">
        <v>1001134.0800000001</v>
      </c>
      <c r="AA221" s="27">
        <v>800907.2640000001</v>
      </c>
      <c r="AB221" s="27">
        <v>640725.8112000001</v>
      </c>
      <c r="AC221" s="27">
        <v>512580.6489600001</v>
      </c>
      <c r="AD221" s="27">
        <v>410064.5191680001</v>
      </c>
      <c r="AE221" s="27">
        <v>328051.6153344001</v>
      </c>
      <c r="AF221" s="27">
        <v>262441.2922675201</v>
      </c>
      <c r="AG221" s="27">
        <v>1955340.0</v>
      </c>
      <c r="AH221" s="27">
        <v>1564272.0</v>
      </c>
      <c r="AI221" s="27">
        <v>1251417.6</v>
      </c>
      <c r="AJ221" s="27">
        <v>1001134.0800000001</v>
      </c>
      <c r="AK221" s="27">
        <v>800907.2640000001</v>
      </c>
    </row>
    <row r="222" ht="14.25" customHeight="1">
      <c r="B222" s="27" t="s">
        <v>125</v>
      </c>
      <c r="C222" s="27">
        <f t="shared" ref="C222:L222" si="72">-C221/10*2</f>
        <v>-391068</v>
      </c>
      <c r="D222" s="27">
        <f t="shared" si="72"/>
        <v>-312854.4</v>
      </c>
      <c r="E222" s="27">
        <f t="shared" si="72"/>
        <v>-250283.52</v>
      </c>
      <c r="F222" s="27">
        <f t="shared" si="72"/>
        <v>-200226.816</v>
      </c>
      <c r="G222" s="27">
        <f t="shared" si="72"/>
        <v>-160181.4528</v>
      </c>
      <c r="H222" s="27">
        <f t="shared" si="72"/>
        <v>-128145.1622</v>
      </c>
      <c r="I222" s="27">
        <f t="shared" si="72"/>
        <v>-102516.1298</v>
      </c>
      <c r="J222" s="27">
        <f t="shared" si="72"/>
        <v>-82012.90383</v>
      </c>
      <c r="K222" s="27">
        <f t="shared" si="72"/>
        <v>-65610.32307</v>
      </c>
      <c r="L222" s="27">
        <f t="shared" si="72"/>
        <v>-52488.25845</v>
      </c>
      <c r="M222" s="27">
        <v>-391068.0</v>
      </c>
      <c r="N222" s="27">
        <v>-312854.4</v>
      </c>
      <c r="O222" s="27">
        <v>-250283.52000000002</v>
      </c>
      <c r="P222" s="27">
        <v>-200226.81600000002</v>
      </c>
      <c r="Q222" s="27">
        <v>-160181.45280000003</v>
      </c>
      <c r="R222" s="27">
        <v>-128145.16224000002</v>
      </c>
      <c r="S222" s="27">
        <v>-102516.12979200002</v>
      </c>
      <c r="T222" s="27">
        <v>-82012.90383360002</v>
      </c>
      <c r="U222" s="27">
        <v>-65610.32306688002</v>
      </c>
      <c r="V222" s="27">
        <v>-52488.25845350402</v>
      </c>
      <c r="W222" s="27">
        <v>-391068.0</v>
      </c>
      <c r="X222" s="27">
        <v>-312854.4</v>
      </c>
      <c r="Y222" s="27">
        <v>-250283.52000000002</v>
      </c>
      <c r="Z222" s="27">
        <v>-200226.81600000002</v>
      </c>
      <c r="AA222" s="27">
        <v>-160181.45280000003</v>
      </c>
      <c r="AB222" s="27">
        <v>-128145.16224000002</v>
      </c>
      <c r="AC222" s="27">
        <v>-102516.12979200002</v>
      </c>
      <c r="AD222" s="27">
        <v>-82012.90383360002</v>
      </c>
      <c r="AE222" s="27">
        <v>-65610.32306688002</v>
      </c>
      <c r="AF222" s="27">
        <v>-52488.25845350402</v>
      </c>
      <c r="AG222" s="27">
        <v>-391068.0</v>
      </c>
      <c r="AH222" s="27">
        <v>-312854.4</v>
      </c>
      <c r="AI222" s="27">
        <v>-250283.52000000002</v>
      </c>
      <c r="AJ222" s="27">
        <v>-200226.81600000002</v>
      </c>
      <c r="AK222" s="27">
        <v>-160181.45280000003</v>
      </c>
    </row>
    <row r="223" ht="14.25" customHeight="1">
      <c r="B223" s="25" t="s">
        <v>105</v>
      </c>
      <c r="C223" s="25">
        <f t="shared" ref="C223:K223" si="73">$E$71*(C204*40/399) </f>
        <v>-314420.9006</v>
      </c>
      <c r="D223" s="25">
        <f t="shared" si="73"/>
        <v>-628841.8012</v>
      </c>
      <c r="E223" s="25">
        <f t="shared" si="73"/>
        <v>-943262.7018</v>
      </c>
      <c r="F223" s="25">
        <f t="shared" si="73"/>
        <v>-1257683.602</v>
      </c>
      <c r="G223" s="25">
        <f t="shared" si="73"/>
        <v>-1572104.503</v>
      </c>
      <c r="H223" s="25">
        <f t="shared" si="73"/>
        <v>-1886525.404</v>
      </c>
      <c r="I223" s="25">
        <f t="shared" si="73"/>
        <v>-2200946.304</v>
      </c>
      <c r="J223" s="25">
        <f t="shared" si="73"/>
        <v>-2515367.205</v>
      </c>
      <c r="K223" s="25">
        <f t="shared" si="73"/>
        <v>-2829788.106</v>
      </c>
      <c r="L223" s="25">
        <f t="shared" ref="L223:AK223" si="74">$E$71</f>
        <v>-3136348.484</v>
      </c>
      <c r="M223" s="25">
        <f t="shared" si="74"/>
        <v>-3136348.484</v>
      </c>
      <c r="N223" s="25">
        <f t="shared" si="74"/>
        <v>-3136348.484</v>
      </c>
      <c r="O223" s="25">
        <f t="shared" si="74"/>
        <v>-3136348.484</v>
      </c>
      <c r="P223" s="25">
        <f t="shared" si="74"/>
        <v>-3136348.484</v>
      </c>
      <c r="Q223" s="25">
        <f t="shared" si="74"/>
        <v>-3136348.484</v>
      </c>
      <c r="R223" s="25">
        <f t="shared" si="74"/>
        <v>-3136348.484</v>
      </c>
      <c r="S223" s="25">
        <f t="shared" si="74"/>
        <v>-3136348.484</v>
      </c>
      <c r="T223" s="25">
        <f t="shared" si="74"/>
        <v>-3136348.484</v>
      </c>
      <c r="U223" s="25">
        <f t="shared" si="74"/>
        <v>-3136348.484</v>
      </c>
      <c r="V223" s="25">
        <f t="shared" si="74"/>
        <v>-3136348.484</v>
      </c>
      <c r="W223" s="25">
        <f t="shared" si="74"/>
        <v>-3136348.484</v>
      </c>
      <c r="X223" s="25">
        <f t="shared" si="74"/>
        <v>-3136348.484</v>
      </c>
      <c r="Y223" s="25">
        <f t="shared" si="74"/>
        <v>-3136348.484</v>
      </c>
      <c r="Z223" s="25">
        <f t="shared" si="74"/>
        <v>-3136348.484</v>
      </c>
      <c r="AA223" s="25">
        <f t="shared" si="74"/>
        <v>-3136348.484</v>
      </c>
      <c r="AB223" s="25">
        <f t="shared" si="74"/>
        <v>-3136348.484</v>
      </c>
      <c r="AC223" s="25">
        <f t="shared" si="74"/>
        <v>-3136348.484</v>
      </c>
      <c r="AD223" s="25">
        <f t="shared" si="74"/>
        <v>-3136348.484</v>
      </c>
      <c r="AE223" s="25">
        <f t="shared" si="74"/>
        <v>-3136348.484</v>
      </c>
      <c r="AF223" s="25">
        <f t="shared" si="74"/>
        <v>-3136348.484</v>
      </c>
      <c r="AG223" s="25">
        <f t="shared" si="74"/>
        <v>-3136348.484</v>
      </c>
      <c r="AH223" s="25">
        <f t="shared" si="74"/>
        <v>-3136348.484</v>
      </c>
      <c r="AI223" s="25">
        <f t="shared" si="74"/>
        <v>-3136348.484</v>
      </c>
      <c r="AJ223" s="25">
        <f t="shared" si="74"/>
        <v>-3136348.484</v>
      </c>
      <c r="AK223" s="25">
        <f t="shared" si="74"/>
        <v>-3136348.484</v>
      </c>
    </row>
    <row r="224" ht="14.25" customHeight="1">
      <c r="B224" s="27" t="s">
        <v>106</v>
      </c>
      <c r="C224" s="33">
        <f t="shared" ref="C224:AK224" si="75">-293518.75</f>
        <v>-293518.75</v>
      </c>
      <c r="D224" s="33">
        <f t="shared" si="75"/>
        <v>-293518.75</v>
      </c>
      <c r="E224" s="33">
        <f t="shared" si="75"/>
        <v>-293518.75</v>
      </c>
      <c r="F224" s="33">
        <f t="shared" si="75"/>
        <v>-293518.75</v>
      </c>
      <c r="G224" s="33">
        <f t="shared" si="75"/>
        <v>-293518.75</v>
      </c>
      <c r="H224" s="33">
        <f t="shared" si="75"/>
        <v>-293518.75</v>
      </c>
      <c r="I224" s="33">
        <f t="shared" si="75"/>
        <v>-293518.75</v>
      </c>
      <c r="J224" s="33">
        <f t="shared" si="75"/>
        <v>-293518.75</v>
      </c>
      <c r="K224" s="33">
        <f t="shared" si="75"/>
        <v>-293518.75</v>
      </c>
      <c r="L224" s="33">
        <f t="shared" si="75"/>
        <v>-293518.75</v>
      </c>
      <c r="M224" s="33">
        <f t="shared" si="75"/>
        <v>-293518.75</v>
      </c>
      <c r="N224" s="33">
        <f t="shared" si="75"/>
        <v>-293518.75</v>
      </c>
      <c r="O224" s="33">
        <f t="shared" si="75"/>
        <v>-293518.75</v>
      </c>
      <c r="P224" s="33">
        <f t="shared" si="75"/>
        <v>-293518.75</v>
      </c>
      <c r="Q224" s="33">
        <f t="shared" si="75"/>
        <v>-293518.75</v>
      </c>
      <c r="R224" s="33">
        <f t="shared" si="75"/>
        <v>-293518.75</v>
      </c>
      <c r="S224" s="33">
        <f t="shared" si="75"/>
        <v>-293518.75</v>
      </c>
      <c r="T224" s="33">
        <f t="shared" si="75"/>
        <v>-293518.75</v>
      </c>
      <c r="U224" s="33">
        <f t="shared" si="75"/>
        <v>-293518.75</v>
      </c>
      <c r="V224" s="33">
        <f t="shared" si="75"/>
        <v>-293518.75</v>
      </c>
      <c r="W224" s="33">
        <f t="shared" si="75"/>
        <v>-293518.75</v>
      </c>
      <c r="X224" s="33">
        <f t="shared" si="75"/>
        <v>-293518.75</v>
      </c>
      <c r="Y224" s="33">
        <f t="shared" si="75"/>
        <v>-293518.75</v>
      </c>
      <c r="Z224" s="33">
        <f t="shared" si="75"/>
        <v>-293518.75</v>
      </c>
      <c r="AA224" s="33">
        <f t="shared" si="75"/>
        <v>-293518.75</v>
      </c>
      <c r="AB224" s="33">
        <f t="shared" si="75"/>
        <v>-293518.75</v>
      </c>
      <c r="AC224" s="33">
        <f t="shared" si="75"/>
        <v>-293518.75</v>
      </c>
      <c r="AD224" s="33">
        <f t="shared" si="75"/>
        <v>-293518.75</v>
      </c>
      <c r="AE224" s="33">
        <f t="shared" si="75"/>
        <v>-293518.75</v>
      </c>
      <c r="AF224" s="33">
        <f t="shared" si="75"/>
        <v>-293518.75</v>
      </c>
      <c r="AG224" s="33">
        <f t="shared" si="75"/>
        <v>-293518.75</v>
      </c>
      <c r="AH224" s="33">
        <f t="shared" si="75"/>
        <v>-293518.75</v>
      </c>
      <c r="AI224" s="33">
        <f t="shared" si="75"/>
        <v>-293518.75</v>
      </c>
      <c r="AJ224" s="33">
        <f t="shared" si="75"/>
        <v>-293518.75</v>
      </c>
      <c r="AK224" s="33">
        <f t="shared" si="75"/>
        <v>-293518.75</v>
      </c>
    </row>
    <row r="225" ht="14.25" customHeight="1">
      <c r="B225" s="32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Z225" s="25"/>
      <c r="AA225" s="25"/>
      <c r="AB225" s="25"/>
      <c r="AC225" s="25"/>
      <c r="AD225" s="25"/>
      <c r="AE225" s="25"/>
      <c r="AF225" s="25"/>
      <c r="AG225" s="29"/>
      <c r="AH225" s="25"/>
      <c r="AI225" s="29"/>
      <c r="AJ225" s="25"/>
      <c r="AK225" s="29"/>
    </row>
    <row r="226" ht="14.25" customHeight="1">
      <c r="B226" s="31" t="s">
        <v>102</v>
      </c>
      <c r="C226" s="27">
        <f t="shared" ref="C226:AK226" si="76">sum(C222:C224)</f>
        <v>-999007.6506</v>
      </c>
      <c r="D226" s="27">
        <f t="shared" si="76"/>
        <v>-1235214.951</v>
      </c>
      <c r="E226" s="27">
        <f t="shared" si="76"/>
        <v>-1487064.972</v>
      </c>
      <c r="F226" s="27">
        <f t="shared" si="76"/>
        <v>-1751429.168</v>
      </c>
      <c r="G226" s="27">
        <f t="shared" si="76"/>
        <v>-2025804.706</v>
      </c>
      <c r="H226" s="27">
        <f t="shared" si="76"/>
        <v>-2308189.316</v>
      </c>
      <c r="I226" s="27">
        <f t="shared" si="76"/>
        <v>-2596981.184</v>
      </c>
      <c r="J226" s="27">
        <f t="shared" si="76"/>
        <v>-2890898.859</v>
      </c>
      <c r="K226" s="27">
        <f t="shared" si="76"/>
        <v>-3188917.179</v>
      </c>
      <c r="L226" s="27">
        <f t="shared" si="76"/>
        <v>-3482355.492</v>
      </c>
      <c r="M226" s="27">
        <f t="shared" si="76"/>
        <v>-3820935.234</v>
      </c>
      <c r="N226" s="27">
        <f t="shared" si="76"/>
        <v>-3742721.634</v>
      </c>
      <c r="O226" s="27">
        <f t="shared" si="76"/>
        <v>-3680150.754</v>
      </c>
      <c r="P226" s="27">
        <f t="shared" si="76"/>
        <v>-3630094.05</v>
      </c>
      <c r="Q226" s="27">
        <f t="shared" si="76"/>
        <v>-3590048.686</v>
      </c>
      <c r="R226" s="27">
        <f t="shared" si="76"/>
        <v>-3558012.396</v>
      </c>
      <c r="S226" s="27">
        <f t="shared" si="76"/>
        <v>-3532383.363</v>
      </c>
      <c r="T226" s="27">
        <f t="shared" si="76"/>
        <v>-3511880.137</v>
      </c>
      <c r="U226" s="27">
        <f t="shared" si="76"/>
        <v>-3495477.557</v>
      </c>
      <c r="V226" s="27">
        <f t="shared" si="76"/>
        <v>-3482355.492</v>
      </c>
      <c r="W226" s="27">
        <f t="shared" si="76"/>
        <v>-3820935.234</v>
      </c>
      <c r="X226" s="27">
        <f t="shared" si="76"/>
        <v>-3742721.634</v>
      </c>
      <c r="Y226" s="27">
        <f t="shared" si="76"/>
        <v>-3680150.754</v>
      </c>
      <c r="Z226" s="27">
        <f t="shared" si="76"/>
        <v>-3630094.05</v>
      </c>
      <c r="AA226" s="27">
        <f t="shared" si="76"/>
        <v>-3590048.686</v>
      </c>
      <c r="AB226" s="27">
        <f t="shared" si="76"/>
        <v>-3558012.396</v>
      </c>
      <c r="AC226" s="27">
        <f t="shared" si="76"/>
        <v>-3532383.363</v>
      </c>
      <c r="AD226" s="27">
        <f t="shared" si="76"/>
        <v>-3511880.137</v>
      </c>
      <c r="AE226" s="27">
        <f t="shared" si="76"/>
        <v>-3495477.557</v>
      </c>
      <c r="AF226" s="27">
        <f t="shared" si="76"/>
        <v>-3482355.492</v>
      </c>
      <c r="AG226" s="27">
        <f t="shared" si="76"/>
        <v>-3820935.234</v>
      </c>
      <c r="AH226" s="27">
        <f t="shared" si="76"/>
        <v>-3742721.634</v>
      </c>
      <c r="AI226" s="27">
        <f t="shared" si="76"/>
        <v>-3680150.754</v>
      </c>
      <c r="AJ226" s="27">
        <f t="shared" si="76"/>
        <v>-3630094.05</v>
      </c>
      <c r="AK226" s="27">
        <f t="shared" si="76"/>
        <v>-3590048.686</v>
      </c>
    </row>
    <row r="227" ht="14.25" customHeight="1">
      <c r="B227" s="32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Z227" s="25"/>
      <c r="AA227" s="25"/>
      <c r="AB227" s="25"/>
      <c r="AC227" s="25"/>
      <c r="AD227" s="25"/>
      <c r="AE227" s="25"/>
      <c r="AF227" s="25"/>
      <c r="AG227" s="29"/>
      <c r="AH227" s="25"/>
      <c r="AI227" s="29"/>
      <c r="AJ227" s="25"/>
      <c r="AK227" s="29"/>
    </row>
    <row r="228" ht="14.25" customHeight="1">
      <c r="B228" s="32" t="s">
        <v>107</v>
      </c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</row>
    <row r="229" ht="14.25" customHeight="1">
      <c r="B229" s="31" t="s">
        <v>96</v>
      </c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7"/>
      <c r="N229" s="27"/>
      <c r="O229" s="27"/>
      <c r="P229" s="27"/>
      <c r="Q229" s="27"/>
      <c r="R229" s="25"/>
      <c r="S229" s="25"/>
      <c r="T229" s="25"/>
      <c r="U229" s="25"/>
      <c r="V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</row>
    <row r="230" ht="14.25" customHeight="1">
      <c r="B230" s="25" t="s">
        <v>108</v>
      </c>
      <c r="C230" s="25">
        <f t="shared" ref="C230:K230" si="77">-$E$46*40/399</f>
        <v>-13810105.26</v>
      </c>
      <c r="D230" s="25">
        <f t="shared" si="77"/>
        <v>-13810105.26</v>
      </c>
      <c r="E230" s="25">
        <f t="shared" si="77"/>
        <v>-13810105.26</v>
      </c>
      <c r="F230" s="25">
        <f t="shared" si="77"/>
        <v>-13810105.26</v>
      </c>
      <c r="G230" s="25">
        <f t="shared" si="77"/>
        <v>-13810105.26</v>
      </c>
      <c r="H230" s="25">
        <f t="shared" si="77"/>
        <v>-13810105.26</v>
      </c>
      <c r="I230" s="25">
        <f t="shared" si="77"/>
        <v>-13810105.26</v>
      </c>
      <c r="J230" s="25">
        <f t="shared" si="77"/>
        <v>-13810105.26</v>
      </c>
      <c r="K230" s="25">
        <f t="shared" si="77"/>
        <v>-13810105.26</v>
      </c>
      <c r="L230" s="25">
        <f>-$E$46*39/399</f>
        <v>-13464852.63</v>
      </c>
      <c r="M230" s="27">
        <v>0.0</v>
      </c>
      <c r="N230" s="27">
        <v>0.0</v>
      </c>
      <c r="O230" s="27">
        <v>0.0</v>
      </c>
      <c r="P230" s="27">
        <v>0.0</v>
      </c>
      <c r="Q230" s="27">
        <v>0.0</v>
      </c>
      <c r="R230" s="25">
        <v>0.0</v>
      </c>
      <c r="S230" s="25">
        <v>0.0</v>
      </c>
      <c r="T230" s="25">
        <v>0.0</v>
      </c>
      <c r="U230" s="25">
        <v>0.0</v>
      </c>
      <c r="V230" s="25">
        <v>0.0</v>
      </c>
      <c r="W230" s="25">
        <v>0.0</v>
      </c>
      <c r="X230" s="25">
        <v>0.0</v>
      </c>
      <c r="Y230" s="25">
        <v>0.0</v>
      </c>
      <c r="Z230" s="25">
        <v>0.0</v>
      </c>
      <c r="AA230" s="25">
        <v>0.0</v>
      </c>
      <c r="AB230" s="25">
        <v>0.0</v>
      </c>
      <c r="AC230" s="25">
        <v>0.0</v>
      </c>
      <c r="AD230" s="25">
        <v>0.0</v>
      </c>
      <c r="AE230" s="25">
        <v>0.0</v>
      </c>
      <c r="AF230" s="25">
        <v>0.0</v>
      </c>
      <c r="AG230" s="25">
        <v>0.0</v>
      </c>
      <c r="AH230" s="25">
        <v>0.0</v>
      </c>
      <c r="AI230" s="25">
        <v>0.0</v>
      </c>
      <c r="AJ230" s="25">
        <v>0.0</v>
      </c>
      <c r="AK230" s="25">
        <v>0.0</v>
      </c>
    </row>
    <row r="231" ht="14.25" customHeight="1">
      <c r="B231" s="25" t="s">
        <v>109</v>
      </c>
      <c r="C231" s="25">
        <f t="shared" ref="C231:I231" si="78">$B$50*40 </f>
        <v>2484000</v>
      </c>
      <c r="D231" s="25">
        <f t="shared" si="78"/>
        <v>2484000</v>
      </c>
      <c r="E231" s="25">
        <f t="shared" si="78"/>
        <v>2484000</v>
      </c>
      <c r="F231" s="25">
        <f t="shared" si="78"/>
        <v>2484000</v>
      </c>
      <c r="G231" s="25">
        <f t="shared" si="78"/>
        <v>2484000</v>
      </c>
      <c r="H231" s="25">
        <f t="shared" si="78"/>
        <v>2484000</v>
      </c>
      <c r="I231" s="25">
        <f t="shared" si="78"/>
        <v>2484000</v>
      </c>
      <c r="J231" s="25">
        <f>$B$50*23 + $B$52*17</f>
        <v>2779800</v>
      </c>
      <c r="K231" s="25">
        <f>$B$52*40 </f>
        <v>3180000</v>
      </c>
      <c r="L231" s="25">
        <f>$B$52*39</f>
        <v>3100500</v>
      </c>
      <c r="M231" s="27">
        <v>0.0</v>
      </c>
      <c r="N231" s="27">
        <v>0.0</v>
      </c>
      <c r="O231" s="27">
        <v>0.0</v>
      </c>
      <c r="P231" s="27">
        <v>0.0</v>
      </c>
      <c r="Q231" s="27">
        <v>0.0</v>
      </c>
      <c r="R231" s="25">
        <v>0.0</v>
      </c>
      <c r="S231" s="25">
        <v>0.0</v>
      </c>
      <c r="T231" s="25">
        <v>0.0</v>
      </c>
      <c r="U231" s="25">
        <v>0.0</v>
      </c>
      <c r="V231" s="25">
        <v>0.0</v>
      </c>
      <c r="W231" s="25">
        <v>0.0</v>
      </c>
      <c r="X231" s="25">
        <v>0.0</v>
      </c>
      <c r="Y231" s="25">
        <v>0.0</v>
      </c>
      <c r="Z231" s="25">
        <v>0.0</v>
      </c>
      <c r="AA231" s="25">
        <v>0.0</v>
      </c>
      <c r="AB231" s="25">
        <v>0.0</v>
      </c>
      <c r="AC231" s="25">
        <v>0.0</v>
      </c>
      <c r="AD231" s="25">
        <v>0.0</v>
      </c>
      <c r="AE231" s="25">
        <v>0.0</v>
      </c>
      <c r="AF231" s="25">
        <v>0.0</v>
      </c>
      <c r="AG231" s="25">
        <v>0.0</v>
      </c>
      <c r="AH231" s="25">
        <v>0.0</v>
      </c>
      <c r="AI231" s="25">
        <v>0.0</v>
      </c>
      <c r="AJ231" s="25">
        <v>0.0</v>
      </c>
      <c r="AK231" s="25">
        <v>0.0</v>
      </c>
    </row>
    <row r="232" ht="14.25" customHeight="1">
      <c r="B232" s="31" t="s">
        <v>100</v>
      </c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</row>
    <row r="233" ht="14.25" customHeight="1">
      <c r="B233" s="25" t="s">
        <v>110</v>
      </c>
      <c r="C233" s="25">
        <f t="shared" ref="C233:K233" si="79">$E$72*(C204*40/399) </f>
        <v>-877664.8652</v>
      </c>
      <c r="D233" s="25">
        <f t="shared" si="79"/>
        <v>-1755329.73</v>
      </c>
      <c r="E233" s="25">
        <f t="shared" si="79"/>
        <v>-2632994.595</v>
      </c>
      <c r="F233" s="25">
        <f t="shared" si="79"/>
        <v>-3510659.461</v>
      </c>
      <c r="G233" s="25">
        <f t="shared" si="79"/>
        <v>-4388324.326</v>
      </c>
      <c r="H233" s="25">
        <f t="shared" si="79"/>
        <v>-5265989.191</v>
      </c>
      <c r="I233" s="25">
        <f t="shared" si="79"/>
        <v>-6143654.056</v>
      </c>
      <c r="J233" s="25">
        <f t="shared" si="79"/>
        <v>-7021318.921</v>
      </c>
      <c r="K233" s="25">
        <f t="shared" si="79"/>
        <v>-7898983.786</v>
      </c>
      <c r="L233" s="25">
        <f t="shared" ref="L233:AK233" si="80">$E$72</f>
        <v>-8754707.03</v>
      </c>
      <c r="M233" s="25">
        <f t="shared" si="80"/>
        <v>-8754707.03</v>
      </c>
      <c r="N233" s="25">
        <f t="shared" si="80"/>
        <v>-8754707.03</v>
      </c>
      <c r="O233" s="25">
        <f t="shared" si="80"/>
        <v>-8754707.03</v>
      </c>
      <c r="P233" s="25">
        <f t="shared" si="80"/>
        <v>-8754707.03</v>
      </c>
      <c r="Q233" s="25">
        <f t="shared" si="80"/>
        <v>-8754707.03</v>
      </c>
      <c r="R233" s="25">
        <f t="shared" si="80"/>
        <v>-8754707.03</v>
      </c>
      <c r="S233" s="25">
        <f t="shared" si="80"/>
        <v>-8754707.03</v>
      </c>
      <c r="T233" s="25">
        <f t="shared" si="80"/>
        <v>-8754707.03</v>
      </c>
      <c r="U233" s="25">
        <f t="shared" si="80"/>
        <v>-8754707.03</v>
      </c>
      <c r="V233" s="25">
        <f t="shared" si="80"/>
        <v>-8754707.03</v>
      </c>
      <c r="W233" s="25">
        <f t="shared" si="80"/>
        <v>-8754707.03</v>
      </c>
      <c r="X233" s="25">
        <f t="shared" si="80"/>
        <v>-8754707.03</v>
      </c>
      <c r="Y233" s="25">
        <f t="shared" si="80"/>
        <v>-8754707.03</v>
      </c>
      <c r="Z233" s="25">
        <f t="shared" si="80"/>
        <v>-8754707.03</v>
      </c>
      <c r="AA233" s="25">
        <f t="shared" si="80"/>
        <v>-8754707.03</v>
      </c>
      <c r="AB233" s="25">
        <f t="shared" si="80"/>
        <v>-8754707.03</v>
      </c>
      <c r="AC233" s="25">
        <f t="shared" si="80"/>
        <v>-8754707.03</v>
      </c>
      <c r="AD233" s="25">
        <f t="shared" si="80"/>
        <v>-8754707.03</v>
      </c>
      <c r="AE233" s="25">
        <f t="shared" si="80"/>
        <v>-8754707.03</v>
      </c>
      <c r="AF233" s="25">
        <f t="shared" si="80"/>
        <v>-8754707.03</v>
      </c>
      <c r="AG233" s="25">
        <f t="shared" si="80"/>
        <v>-8754707.03</v>
      </c>
      <c r="AH233" s="25">
        <f t="shared" si="80"/>
        <v>-8754707.03</v>
      </c>
      <c r="AI233" s="25">
        <f t="shared" si="80"/>
        <v>-8754707.03</v>
      </c>
      <c r="AJ233" s="25">
        <f t="shared" si="80"/>
        <v>-8754707.03</v>
      </c>
      <c r="AK233" s="25">
        <f t="shared" si="80"/>
        <v>-8754707.03</v>
      </c>
    </row>
    <row r="234" ht="14.25" customHeight="1">
      <c r="B234" s="27" t="s">
        <v>88</v>
      </c>
      <c r="C234" s="25">
        <f t="shared" ref="C234:K234" si="81">-$H$53*(1-40/399*C204)</f>
        <v>-3018023.817</v>
      </c>
      <c r="D234" s="25">
        <f t="shared" si="81"/>
        <v>-2681753.754</v>
      </c>
      <c r="E234" s="25">
        <f t="shared" si="81"/>
        <v>-2345483.691</v>
      </c>
      <c r="F234" s="25">
        <f t="shared" si="81"/>
        <v>-2009213.627</v>
      </c>
      <c r="G234" s="25">
        <f t="shared" si="81"/>
        <v>-1672943.564</v>
      </c>
      <c r="H234" s="25">
        <f t="shared" si="81"/>
        <v>-1336673.501</v>
      </c>
      <c r="I234" s="25">
        <f t="shared" si="81"/>
        <v>-1000403.438</v>
      </c>
      <c r="J234" s="25">
        <f t="shared" si="81"/>
        <v>-664133.3747</v>
      </c>
      <c r="K234" s="25">
        <f t="shared" si="81"/>
        <v>-327863.3116</v>
      </c>
      <c r="L234" s="27">
        <v>0.0</v>
      </c>
      <c r="M234" s="27">
        <v>0.0</v>
      </c>
      <c r="N234" s="27">
        <v>0.0</v>
      </c>
      <c r="O234" s="27">
        <v>0.0</v>
      </c>
      <c r="P234" s="27">
        <v>0.0</v>
      </c>
      <c r="Q234" s="25">
        <v>0.0</v>
      </c>
      <c r="R234" s="25">
        <v>0.0</v>
      </c>
      <c r="S234" s="25">
        <v>0.0</v>
      </c>
      <c r="T234" s="25">
        <v>0.0</v>
      </c>
      <c r="U234" s="25">
        <v>0.0</v>
      </c>
      <c r="V234" s="25">
        <v>0.0</v>
      </c>
      <c r="W234" s="25">
        <v>0.0</v>
      </c>
      <c r="X234" s="25">
        <v>0.0</v>
      </c>
      <c r="Y234" s="25">
        <v>0.0</v>
      </c>
      <c r="Z234" s="25">
        <v>0.0</v>
      </c>
      <c r="AA234" s="25">
        <v>0.0</v>
      </c>
      <c r="AB234" s="25">
        <v>0.0</v>
      </c>
      <c r="AC234" s="25">
        <v>0.0</v>
      </c>
      <c r="AD234" s="25">
        <v>0.0</v>
      </c>
      <c r="AE234" s="25">
        <v>0.0</v>
      </c>
      <c r="AF234" s="25">
        <v>0.0</v>
      </c>
      <c r="AG234" s="25">
        <v>0.0</v>
      </c>
      <c r="AH234" s="25">
        <v>0.0</v>
      </c>
      <c r="AI234" s="25">
        <v>0.0</v>
      </c>
      <c r="AJ234" s="25">
        <v>0.0</v>
      </c>
      <c r="AK234" s="25">
        <v>0.0</v>
      </c>
    </row>
    <row r="235" ht="14.25" customHeight="1">
      <c r="B235" s="27" t="s">
        <v>126</v>
      </c>
      <c r="C235" s="25">
        <f t="shared" ref="C235:K235" si="82">$H$49*(1-(C204*40/399))</f>
        <v>-10707017.54</v>
      </c>
      <c r="D235" s="25">
        <f t="shared" si="82"/>
        <v>-9514035.088</v>
      </c>
      <c r="E235" s="25">
        <f t="shared" si="82"/>
        <v>-8321052.632</v>
      </c>
      <c r="F235" s="25">
        <f t="shared" si="82"/>
        <v>-7128070.175</v>
      </c>
      <c r="G235" s="25">
        <f t="shared" si="82"/>
        <v>-5935087.719</v>
      </c>
      <c r="H235" s="25">
        <f t="shared" si="82"/>
        <v>-4742105.263</v>
      </c>
      <c r="I235" s="25">
        <f t="shared" si="82"/>
        <v>-3549122.807</v>
      </c>
      <c r="J235" s="25">
        <f t="shared" si="82"/>
        <v>-2356140.351</v>
      </c>
      <c r="K235" s="25">
        <f t="shared" si="82"/>
        <v>-1163157.895</v>
      </c>
      <c r="L235" s="27">
        <v>0.0</v>
      </c>
      <c r="M235" s="27">
        <v>0.0</v>
      </c>
      <c r="N235" s="27">
        <v>0.0</v>
      </c>
      <c r="O235" s="27">
        <v>0.0</v>
      </c>
      <c r="P235" s="27">
        <v>0.0</v>
      </c>
      <c r="Q235" s="25">
        <v>0.0</v>
      </c>
      <c r="R235" s="25">
        <v>0.0</v>
      </c>
      <c r="S235" s="25">
        <v>0.0</v>
      </c>
      <c r="T235" s="25">
        <v>0.0</v>
      </c>
      <c r="U235" s="25">
        <v>0.0</v>
      </c>
      <c r="V235" s="25">
        <v>0.0</v>
      </c>
      <c r="W235" s="25">
        <v>0.0</v>
      </c>
      <c r="X235" s="25">
        <v>0.0</v>
      </c>
      <c r="Y235" s="25">
        <v>0.0</v>
      </c>
      <c r="Z235" s="25">
        <v>0.0</v>
      </c>
      <c r="AA235" s="25">
        <v>0.0</v>
      </c>
      <c r="AB235" s="25">
        <v>0.0</v>
      </c>
      <c r="AC235" s="25">
        <v>0.0</v>
      </c>
      <c r="AD235" s="25">
        <v>0.0</v>
      </c>
      <c r="AE235" s="25">
        <v>0.0</v>
      </c>
      <c r="AF235" s="25">
        <v>0.0</v>
      </c>
      <c r="AG235" s="25">
        <v>0.0</v>
      </c>
      <c r="AH235" s="25">
        <v>0.0</v>
      </c>
      <c r="AI235" s="25">
        <v>0.0</v>
      </c>
      <c r="AJ235" s="25">
        <v>0.0</v>
      </c>
      <c r="AK235" s="25">
        <v>0.0</v>
      </c>
    </row>
    <row r="236" ht="14.25" customHeight="1">
      <c r="B236" s="27" t="s">
        <v>127</v>
      </c>
      <c r="C236" s="27">
        <v>0.0</v>
      </c>
      <c r="D236" s="27">
        <v>0.0</v>
      </c>
      <c r="E236" s="27">
        <v>0.0</v>
      </c>
      <c r="F236" s="27">
        <v>0.0</v>
      </c>
      <c r="G236" s="27">
        <v>0.0</v>
      </c>
      <c r="H236" s="27">
        <v>0.0</v>
      </c>
      <c r="I236" s="27">
        <v>0.0</v>
      </c>
      <c r="J236" s="27">
        <v>0.0</v>
      </c>
      <c r="K236" s="27">
        <v>0.0</v>
      </c>
      <c r="L236" s="27">
        <v>0.0</v>
      </c>
      <c r="M236" s="27">
        <v>0.0</v>
      </c>
      <c r="N236" s="27">
        <v>0.0</v>
      </c>
      <c r="O236" s="37">
        <f t="shared" ref="O236:W236" si="83">$H$50</f>
        <v>-10543572</v>
      </c>
      <c r="P236" s="37">
        <f t="shared" si="83"/>
        <v>-10543572</v>
      </c>
      <c r="Q236" s="37">
        <f t="shared" si="83"/>
        <v>-10543572</v>
      </c>
      <c r="R236" s="37">
        <f t="shared" si="83"/>
        <v>-10543572</v>
      </c>
      <c r="S236" s="37">
        <f t="shared" si="83"/>
        <v>-10543572</v>
      </c>
      <c r="T236" s="37">
        <f t="shared" si="83"/>
        <v>-10543572</v>
      </c>
      <c r="U236" s="37">
        <f t="shared" si="83"/>
        <v>-10543572</v>
      </c>
      <c r="V236" s="37">
        <f t="shared" si="83"/>
        <v>-10543572</v>
      </c>
      <c r="W236" s="37">
        <f t="shared" si="83"/>
        <v>-10543572</v>
      </c>
      <c r="X236" s="25">
        <f>$H$50*39/40</f>
        <v>-10279982.7</v>
      </c>
      <c r="Y236" s="37">
        <f t="shared" ref="Y236:AG236" si="84">$H$50</f>
        <v>-10543572</v>
      </c>
      <c r="Z236" s="37">
        <f t="shared" si="84"/>
        <v>-10543572</v>
      </c>
      <c r="AA236" s="37">
        <f t="shared" si="84"/>
        <v>-10543572</v>
      </c>
      <c r="AB236" s="37">
        <f t="shared" si="84"/>
        <v>-10543572</v>
      </c>
      <c r="AC236" s="37">
        <f t="shared" si="84"/>
        <v>-10543572</v>
      </c>
      <c r="AD236" s="37">
        <f t="shared" si="84"/>
        <v>-10543572</v>
      </c>
      <c r="AE236" s="37">
        <f t="shared" si="84"/>
        <v>-10543572</v>
      </c>
      <c r="AF236" s="37">
        <f t="shared" si="84"/>
        <v>-10543572</v>
      </c>
      <c r="AG236" s="37">
        <f t="shared" si="84"/>
        <v>-10543572</v>
      </c>
      <c r="AH236" s="25">
        <f>$H$50*39/40</f>
        <v>-10279982.7</v>
      </c>
      <c r="AI236" s="37">
        <f t="shared" ref="AI236:AK236" si="85">$H$50</f>
        <v>-10543572</v>
      </c>
      <c r="AJ236" s="37">
        <f t="shared" si="85"/>
        <v>-10543572</v>
      </c>
      <c r="AK236" s="37">
        <f t="shared" si="85"/>
        <v>-10543572</v>
      </c>
    </row>
    <row r="237" ht="14.25" customHeight="1">
      <c r="B237" s="26" t="s">
        <v>102</v>
      </c>
      <c r="C237" s="25">
        <f t="shared" ref="C237:AK237" si="86">SUM(C230:C236)</f>
        <v>-25928811.49</v>
      </c>
      <c r="D237" s="25">
        <f t="shared" si="86"/>
        <v>-25277223.83</v>
      </c>
      <c r="E237" s="25">
        <f t="shared" si="86"/>
        <v>-24625636.18</v>
      </c>
      <c r="F237" s="25">
        <f t="shared" si="86"/>
        <v>-23974048.53</v>
      </c>
      <c r="G237" s="25">
        <f t="shared" si="86"/>
        <v>-23322460.87</v>
      </c>
      <c r="H237" s="25">
        <f t="shared" si="86"/>
        <v>-22670873.22</v>
      </c>
      <c r="I237" s="25">
        <f t="shared" si="86"/>
        <v>-22019285.56</v>
      </c>
      <c r="J237" s="25">
        <f t="shared" si="86"/>
        <v>-21071897.91</v>
      </c>
      <c r="K237" s="25">
        <f t="shared" si="86"/>
        <v>-20020110.26</v>
      </c>
      <c r="L237" s="25">
        <f t="shared" si="86"/>
        <v>-19119059.66</v>
      </c>
      <c r="M237" s="25">
        <f t="shared" si="86"/>
        <v>-8754707.03</v>
      </c>
      <c r="N237" s="25">
        <f t="shared" si="86"/>
        <v>-8754707.03</v>
      </c>
      <c r="O237" s="25">
        <f t="shared" si="86"/>
        <v>-19298279.03</v>
      </c>
      <c r="P237" s="25">
        <f t="shared" si="86"/>
        <v>-19298279.03</v>
      </c>
      <c r="Q237" s="25">
        <f t="shared" si="86"/>
        <v>-19298279.03</v>
      </c>
      <c r="R237" s="25">
        <f t="shared" si="86"/>
        <v>-19298279.03</v>
      </c>
      <c r="S237" s="25">
        <f t="shared" si="86"/>
        <v>-19298279.03</v>
      </c>
      <c r="T237" s="25">
        <f t="shared" si="86"/>
        <v>-19298279.03</v>
      </c>
      <c r="U237" s="25">
        <f t="shared" si="86"/>
        <v>-19298279.03</v>
      </c>
      <c r="V237" s="25">
        <f t="shared" si="86"/>
        <v>-19298279.03</v>
      </c>
      <c r="W237" s="25">
        <f t="shared" si="86"/>
        <v>-19298279.03</v>
      </c>
      <c r="X237" s="25">
        <f t="shared" si="86"/>
        <v>-19034689.73</v>
      </c>
      <c r="Y237" s="25">
        <f t="shared" si="86"/>
        <v>-19298279.03</v>
      </c>
      <c r="Z237" s="25">
        <f t="shared" si="86"/>
        <v>-19298279.03</v>
      </c>
      <c r="AA237" s="25">
        <f t="shared" si="86"/>
        <v>-19298279.03</v>
      </c>
      <c r="AB237" s="25">
        <f t="shared" si="86"/>
        <v>-19298279.03</v>
      </c>
      <c r="AC237" s="25">
        <f t="shared" si="86"/>
        <v>-19298279.03</v>
      </c>
      <c r="AD237" s="25">
        <f t="shared" si="86"/>
        <v>-19298279.03</v>
      </c>
      <c r="AE237" s="25">
        <f t="shared" si="86"/>
        <v>-19298279.03</v>
      </c>
      <c r="AF237" s="25">
        <f t="shared" si="86"/>
        <v>-19298279.03</v>
      </c>
      <c r="AG237" s="25">
        <f t="shared" si="86"/>
        <v>-19298279.03</v>
      </c>
      <c r="AH237" s="25">
        <f t="shared" si="86"/>
        <v>-19034689.73</v>
      </c>
      <c r="AI237" s="25">
        <f t="shared" si="86"/>
        <v>-19298279.03</v>
      </c>
      <c r="AJ237" s="25">
        <f t="shared" si="86"/>
        <v>-19298279.03</v>
      </c>
      <c r="AK237" s="25">
        <f t="shared" si="86"/>
        <v>-19298279.03</v>
      </c>
    </row>
    <row r="238" ht="14.25" customHeight="1">
      <c r="B238" s="28" t="s">
        <v>90</v>
      </c>
      <c r="C238" s="5">
        <f t="shared" ref="C238:AK238" si="87">sum(C218,C226,C237)</f>
        <v>-45802335.68</v>
      </c>
      <c r="D238" s="5">
        <f t="shared" si="87"/>
        <v>-44373840.56</v>
      </c>
      <c r="E238" s="5">
        <f t="shared" si="87"/>
        <v>-43057592.19</v>
      </c>
      <c r="F238" s="5">
        <f t="shared" si="87"/>
        <v>-41835740.48</v>
      </c>
      <c r="G238" s="5">
        <f t="shared" si="87"/>
        <v>-40693435.87</v>
      </c>
      <c r="H238" s="5">
        <f t="shared" si="87"/>
        <v>-39618312.87</v>
      </c>
      <c r="I238" s="5">
        <f t="shared" si="87"/>
        <v>-38600063.63</v>
      </c>
      <c r="J238" s="5">
        <f t="shared" si="87"/>
        <v>-37334285.63</v>
      </c>
      <c r="K238" s="5">
        <f t="shared" si="87"/>
        <v>-36005190.55</v>
      </c>
      <c r="L238" s="5">
        <f t="shared" si="87"/>
        <v>-34861341.52</v>
      </c>
      <c r="M238" s="5">
        <f t="shared" si="87"/>
        <v>-24608216.26</v>
      </c>
      <c r="N238" s="5">
        <f t="shared" si="87"/>
        <v>-24326184.13</v>
      </c>
      <c r="O238" s="5">
        <f t="shared" si="87"/>
        <v>-37308773.52</v>
      </c>
      <c r="P238" s="5">
        <f t="shared" si="87"/>
        <v>-36645899.74</v>
      </c>
      <c r="Q238" s="5">
        <f t="shared" si="87"/>
        <v>-36083259.67</v>
      </c>
      <c r="R238" s="5">
        <f t="shared" si="87"/>
        <v>-35604494.63</v>
      </c>
      <c r="S238" s="5">
        <f t="shared" si="87"/>
        <v>-35196000.25</v>
      </c>
      <c r="T238" s="5">
        <f t="shared" si="87"/>
        <v>-34846456.31</v>
      </c>
      <c r="U238" s="5">
        <f t="shared" si="87"/>
        <v>-34546437.46</v>
      </c>
      <c r="V238" s="5">
        <f t="shared" si="87"/>
        <v>-34288175.7</v>
      </c>
      <c r="W238" s="5">
        <f t="shared" si="87"/>
        <v>-34414153.46</v>
      </c>
      <c r="X238" s="5">
        <f t="shared" si="87"/>
        <v>-33887146.7</v>
      </c>
      <c r="Y238" s="5">
        <f t="shared" si="87"/>
        <v>-33926388.74</v>
      </c>
      <c r="Z238" s="5">
        <f t="shared" si="87"/>
        <v>-33734503.44</v>
      </c>
      <c r="AA238" s="5">
        <f t="shared" si="87"/>
        <v>-36254491.61</v>
      </c>
      <c r="AB238" s="5">
        <f t="shared" si="87"/>
        <v>-35664741.89</v>
      </c>
      <c r="AC238" s="5">
        <f t="shared" si="87"/>
        <v>-35168471.47</v>
      </c>
      <c r="AD238" s="5">
        <f t="shared" si="87"/>
        <v>-34750222.83</v>
      </c>
      <c r="AE238" s="5">
        <f t="shared" si="87"/>
        <v>-34397138.22</v>
      </c>
      <c r="AF238" s="5">
        <f t="shared" si="87"/>
        <v>-34098603.83</v>
      </c>
      <c r="AG238" s="5">
        <f t="shared" si="87"/>
        <v>-34194744.26</v>
      </c>
      <c r="AH238" s="5">
        <f t="shared" si="87"/>
        <v>-33646383.5</v>
      </c>
      <c r="AI238" s="5">
        <f t="shared" si="87"/>
        <v>-33671140.36</v>
      </c>
      <c r="AJ238" s="5">
        <f t="shared" si="87"/>
        <v>-33470304.81</v>
      </c>
      <c r="AK238" s="5">
        <f t="shared" si="87"/>
        <v>-33300938.53</v>
      </c>
    </row>
    <row r="239">
      <c r="C239" s="5">
        <f t="shared" ref="C239:AK239" si="88">C238/1000000</f>
        <v>-45.80233568</v>
      </c>
      <c r="D239" s="5">
        <f t="shared" si="88"/>
        <v>-44.37384056</v>
      </c>
      <c r="E239" s="5">
        <f t="shared" si="88"/>
        <v>-43.05759219</v>
      </c>
      <c r="F239" s="5">
        <f t="shared" si="88"/>
        <v>-41.83574048</v>
      </c>
      <c r="G239" s="5">
        <f t="shared" si="88"/>
        <v>-40.69343587</v>
      </c>
      <c r="H239" s="5">
        <f t="shared" si="88"/>
        <v>-39.61831287</v>
      </c>
      <c r="I239" s="5">
        <f t="shared" si="88"/>
        <v>-38.60006363</v>
      </c>
      <c r="J239" s="5">
        <f t="shared" si="88"/>
        <v>-37.33428563</v>
      </c>
      <c r="K239" s="5">
        <f t="shared" si="88"/>
        <v>-36.00519055</v>
      </c>
      <c r="L239" s="5">
        <f t="shared" si="88"/>
        <v>-34.86134152</v>
      </c>
      <c r="M239" s="5">
        <f t="shared" si="88"/>
        <v>-24.60821626</v>
      </c>
      <c r="N239" s="5">
        <f t="shared" si="88"/>
        <v>-24.32618413</v>
      </c>
      <c r="O239" s="5">
        <f t="shared" si="88"/>
        <v>-37.30877352</v>
      </c>
      <c r="P239" s="5">
        <f t="shared" si="88"/>
        <v>-36.64589974</v>
      </c>
      <c r="Q239" s="5">
        <f t="shared" si="88"/>
        <v>-36.08325967</v>
      </c>
      <c r="R239" s="5">
        <f t="shared" si="88"/>
        <v>-35.60449463</v>
      </c>
      <c r="S239" s="5">
        <f t="shared" si="88"/>
        <v>-35.19600025</v>
      </c>
      <c r="T239" s="5">
        <f t="shared" si="88"/>
        <v>-34.84645631</v>
      </c>
      <c r="U239" s="5">
        <f t="shared" si="88"/>
        <v>-34.54643746</v>
      </c>
      <c r="V239" s="5">
        <f t="shared" si="88"/>
        <v>-34.2881757</v>
      </c>
      <c r="W239" s="5">
        <f t="shared" si="88"/>
        <v>-34.41415346</v>
      </c>
      <c r="X239" s="5">
        <f t="shared" si="88"/>
        <v>-33.8871467</v>
      </c>
      <c r="Y239" s="5">
        <f t="shared" si="88"/>
        <v>-33.92638874</v>
      </c>
      <c r="Z239" s="5">
        <f t="shared" si="88"/>
        <v>-33.73450344</v>
      </c>
      <c r="AA239" s="5">
        <f t="shared" si="88"/>
        <v>-36.25449161</v>
      </c>
      <c r="AB239" s="5">
        <f t="shared" si="88"/>
        <v>-35.66474189</v>
      </c>
      <c r="AC239" s="5">
        <f t="shared" si="88"/>
        <v>-35.16847147</v>
      </c>
      <c r="AD239" s="5">
        <f t="shared" si="88"/>
        <v>-34.75022283</v>
      </c>
      <c r="AE239" s="5">
        <f t="shared" si="88"/>
        <v>-34.39713822</v>
      </c>
      <c r="AF239" s="5">
        <f t="shared" si="88"/>
        <v>-34.09860383</v>
      </c>
      <c r="AG239" s="5">
        <f t="shared" si="88"/>
        <v>-34.19474426</v>
      </c>
      <c r="AH239" s="5">
        <f t="shared" si="88"/>
        <v>-33.6463835</v>
      </c>
      <c r="AI239" s="5">
        <f t="shared" si="88"/>
        <v>-33.67114036</v>
      </c>
      <c r="AJ239" s="5">
        <f t="shared" si="88"/>
        <v>-33.47030481</v>
      </c>
      <c r="AK239" s="5">
        <f t="shared" si="88"/>
        <v>-33.30093853</v>
      </c>
    </row>
    <row r="240" ht="14.25" customHeight="1">
      <c r="B240" s="39" t="s">
        <v>128</v>
      </c>
      <c r="C240" s="29">
        <f t="shared" ref="C240:AK240" si="89">C238-C208-C210-C212</f>
        <v>-38920960.69</v>
      </c>
      <c r="D240" s="29">
        <f t="shared" si="89"/>
        <v>-38216920.16</v>
      </c>
      <c r="E240" s="29">
        <f t="shared" si="89"/>
        <v>-37528522.35</v>
      </c>
      <c r="F240" s="29">
        <f t="shared" si="89"/>
        <v>-36852638.71</v>
      </c>
      <c r="G240" s="29">
        <f t="shared" si="89"/>
        <v>-36186766.41</v>
      </c>
      <c r="H240" s="29">
        <f t="shared" si="89"/>
        <v>-35528903.19</v>
      </c>
      <c r="I240" s="29">
        <f t="shared" si="89"/>
        <v>-34877447.22</v>
      </c>
      <c r="J240" s="29">
        <f t="shared" si="89"/>
        <v>-33935317.06</v>
      </c>
      <c r="K240" s="29">
        <f t="shared" si="89"/>
        <v>-32892887.55</v>
      </c>
      <c r="L240" s="29">
        <f t="shared" si="89"/>
        <v>-32003831.59</v>
      </c>
      <c r="M240" s="29">
        <f t="shared" si="89"/>
        <v>-21978058.7</v>
      </c>
      <c r="N240" s="29">
        <f t="shared" si="89"/>
        <v>-21899845.1</v>
      </c>
      <c r="O240" s="29">
        <f t="shared" si="89"/>
        <v>-32380846.22</v>
      </c>
      <c r="P240" s="29">
        <f t="shared" si="89"/>
        <v>-32330789.52</v>
      </c>
      <c r="Q240" s="29">
        <f t="shared" si="89"/>
        <v>-32290744.16</v>
      </c>
      <c r="R240" s="29">
        <f t="shared" si="89"/>
        <v>-32258707.87</v>
      </c>
      <c r="S240" s="29">
        <f t="shared" si="89"/>
        <v>-32233078.83</v>
      </c>
      <c r="T240" s="29">
        <f t="shared" si="89"/>
        <v>-32212575.61</v>
      </c>
      <c r="U240" s="29">
        <f t="shared" si="89"/>
        <v>-32196173.03</v>
      </c>
      <c r="V240" s="29">
        <f t="shared" si="89"/>
        <v>-32183050.96</v>
      </c>
      <c r="W240" s="29">
        <f t="shared" si="89"/>
        <v>-32521630.7</v>
      </c>
      <c r="X240" s="29">
        <f t="shared" si="89"/>
        <v>-32179827.8</v>
      </c>
      <c r="Y240" s="29">
        <f t="shared" si="89"/>
        <v>-32380846.22</v>
      </c>
      <c r="Z240" s="29">
        <f t="shared" si="89"/>
        <v>-32330789.52</v>
      </c>
      <c r="AA240" s="29">
        <f t="shared" si="89"/>
        <v>-32290744.16</v>
      </c>
      <c r="AB240" s="29">
        <f t="shared" si="89"/>
        <v>-32258707.87</v>
      </c>
      <c r="AC240" s="29">
        <f t="shared" si="89"/>
        <v>-32233078.83</v>
      </c>
      <c r="AD240" s="29">
        <f t="shared" si="89"/>
        <v>-32212575.61</v>
      </c>
      <c r="AE240" s="29">
        <f t="shared" si="89"/>
        <v>-32196173.03</v>
      </c>
      <c r="AF240" s="29">
        <f t="shared" si="89"/>
        <v>-32183050.96</v>
      </c>
      <c r="AG240" s="29">
        <f t="shared" si="89"/>
        <v>-32521630.7</v>
      </c>
      <c r="AH240" s="29">
        <f t="shared" si="89"/>
        <v>-32179827.8</v>
      </c>
      <c r="AI240" s="29">
        <f t="shared" si="89"/>
        <v>-32380846.22</v>
      </c>
      <c r="AJ240" s="29">
        <f t="shared" si="89"/>
        <v>-32330789.52</v>
      </c>
      <c r="AK240" s="29">
        <f t="shared" si="89"/>
        <v>-32290744.16</v>
      </c>
    </row>
    <row r="241" ht="14.25" customHeight="1">
      <c r="B241" s="40"/>
      <c r="C241" s="29">
        <f t="shared" ref="C241:AK241" si="90">C240/1000000</f>
        <v>-38.92096069</v>
      </c>
      <c r="D241" s="29">
        <f t="shared" si="90"/>
        <v>-38.21692016</v>
      </c>
      <c r="E241" s="29">
        <f t="shared" si="90"/>
        <v>-37.52852235</v>
      </c>
      <c r="F241" s="29">
        <f t="shared" si="90"/>
        <v>-36.85263871</v>
      </c>
      <c r="G241" s="29">
        <f t="shared" si="90"/>
        <v>-36.18676641</v>
      </c>
      <c r="H241" s="29">
        <f t="shared" si="90"/>
        <v>-35.52890319</v>
      </c>
      <c r="I241" s="29">
        <f t="shared" si="90"/>
        <v>-34.87744722</v>
      </c>
      <c r="J241" s="29">
        <f t="shared" si="90"/>
        <v>-33.93531706</v>
      </c>
      <c r="K241" s="29">
        <f t="shared" si="90"/>
        <v>-32.89288755</v>
      </c>
      <c r="L241" s="29">
        <f t="shared" si="90"/>
        <v>-32.00383159</v>
      </c>
      <c r="M241" s="29">
        <f t="shared" si="90"/>
        <v>-21.9780587</v>
      </c>
      <c r="N241" s="29">
        <f t="shared" si="90"/>
        <v>-21.8998451</v>
      </c>
      <c r="O241" s="29">
        <f t="shared" si="90"/>
        <v>-32.38084622</v>
      </c>
      <c r="P241" s="29">
        <f t="shared" si="90"/>
        <v>-32.33078952</v>
      </c>
      <c r="Q241" s="29">
        <f t="shared" si="90"/>
        <v>-32.29074416</v>
      </c>
      <c r="R241" s="29">
        <f t="shared" si="90"/>
        <v>-32.25870787</v>
      </c>
      <c r="S241" s="29">
        <f t="shared" si="90"/>
        <v>-32.23307883</v>
      </c>
      <c r="T241" s="29">
        <f t="shared" si="90"/>
        <v>-32.21257561</v>
      </c>
      <c r="U241" s="29">
        <f t="shared" si="90"/>
        <v>-32.19617303</v>
      </c>
      <c r="V241" s="29">
        <f t="shared" si="90"/>
        <v>-32.18305096</v>
      </c>
      <c r="W241" s="29">
        <f t="shared" si="90"/>
        <v>-32.5216307</v>
      </c>
      <c r="X241" s="29">
        <f t="shared" si="90"/>
        <v>-32.1798278</v>
      </c>
      <c r="Y241" s="29">
        <f t="shared" si="90"/>
        <v>-32.38084622</v>
      </c>
      <c r="Z241" s="29">
        <f t="shared" si="90"/>
        <v>-32.33078952</v>
      </c>
      <c r="AA241" s="29">
        <f t="shared" si="90"/>
        <v>-32.29074416</v>
      </c>
      <c r="AB241" s="29">
        <f t="shared" si="90"/>
        <v>-32.25870787</v>
      </c>
      <c r="AC241" s="29">
        <f t="shared" si="90"/>
        <v>-32.23307883</v>
      </c>
      <c r="AD241" s="29">
        <f t="shared" si="90"/>
        <v>-32.21257561</v>
      </c>
      <c r="AE241" s="29">
        <f t="shared" si="90"/>
        <v>-32.19617303</v>
      </c>
      <c r="AF241" s="29">
        <f t="shared" si="90"/>
        <v>-32.18305096</v>
      </c>
      <c r="AG241" s="29">
        <f t="shared" si="90"/>
        <v>-32.5216307</v>
      </c>
      <c r="AH241" s="29">
        <f t="shared" si="90"/>
        <v>-32.1798278</v>
      </c>
      <c r="AI241" s="29">
        <f t="shared" si="90"/>
        <v>-32.38084622</v>
      </c>
      <c r="AJ241" s="29">
        <f t="shared" si="90"/>
        <v>-32.33078952</v>
      </c>
      <c r="AK241" s="29">
        <f t="shared" si="90"/>
        <v>-32.29074416</v>
      </c>
    </row>
    <row r="242" ht="14.25" customHeight="1"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</row>
    <row r="243" ht="14.25" customHeight="1">
      <c r="B243" s="26" t="s">
        <v>85</v>
      </c>
      <c r="C243" s="26">
        <v>1.0</v>
      </c>
      <c r="D243" s="26">
        <v>2.0</v>
      </c>
      <c r="E243" s="26">
        <v>3.0</v>
      </c>
      <c r="F243" s="26">
        <v>4.0</v>
      </c>
      <c r="G243" s="26">
        <v>5.0</v>
      </c>
      <c r="H243" s="26">
        <v>6.0</v>
      </c>
      <c r="I243" s="26">
        <v>7.0</v>
      </c>
      <c r="J243" s="26">
        <v>8.0</v>
      </c>
      <c r="K243" s="26">
        <v>9.0</v>
      </c>
      <c r="L243" s="26">
        <v>10.0</v>
      </c>
      <c r="M243" s="26">
        <v>11.0</v>
      </c>
      <c r="N243" s="26">
        <v>12.0</v>
      </c>
      <c r="O243" s="26">
        <v>13.0</v>
      </c>
      <c r="P243" s="26">
        <v>14.0</v>
      </c>
      <c r="Q243" s="26">
        <v>15.0</v>
      </c>
      <c r="R243" s="26">
        <v>16.0</v>
      </c>
      <c r="S243" s="26">
        <v>17.0</v>
      </c>
      <c r="T243" s="26">
        <v>18.0</v>
      </c>
      <c r="U243" s="26">
        <v>19.0</v>
      </c>
      <c r="V243" s="26">
        <v>20.0</v>
      </c>
      <c r="W243" s="26">
        <v>21.0</v>
      </c>
      <c r="X243" s="26">
        <v>22.0</v>
      </c>
      <c r="Y243" s="26">
        <v>23.0</v>
      </c>
      <c r="Z243" s="26">
        <v>24.0</v>
      </c>
      <c r="AA243" s="26">
        <v>25.0</v>
      </c>
      <c r="AB243" s="26">
        <v>26.0</v>
      </c>
      <c r="AC243" s="26">
        <v>27.0</v>
      </c>
      <c r="AD243" s="26">
        <v>28.0</v>
      </c>
      <c r="AE243" s="26">
        <v>29.0</v>
      </c>
      <c r="AF243" s="26">
        <v>30.0</v>
      </c>
      <c r="AG243" s="26">
        <v>31.0</v>
      </c>
      <c r="AH243" s="26">
        <v>32.0</v>
      </c>
      <c r="AI243" s="26">
        <v>33.0</v>
      </c>
      <c r="AJ243" s="26">
        <v>34.0</v>
      </c>
      <c r="AK243" s="26">
        <v>35.0</v>
      </c>
    </row>
    <row r="244" ht="14.25" customHeight="1"/>
    <row r="245" ht="14.25" customHeight="1"/>
    <row r="246" ht="14.25" customHeight="1">
      <c r="B246" s="25" t="s">
        <v>87</v>
      </c>
      <c r="C246" s="25">
        <f t="shared" ref="C246:AK246" si="91">-$H$70</f>
        <v>-12281801.73</v>
      </c>
      <c r="D246" s="25">
        <f t="shared" si="91"/>
        <v>-12281801.73</v>
      </c>
      <c r="E246" s="25">
        <f t="shared" si="91"/>
        <v>-12281801.73</v>
      </c>
      <c r="F246" s="25">
        <f t="shared" si="91"/>
        <v>-12281801.73</v>
      </c>
      <c r="G246" s="25">
        <f t="shared" si="91"/>
        <v>-12281801.73</v>
      </c>
      <c r="H246" s="25">
        <f t="shared" si="91"/>
        <v>-12281801.73</v>
      </c>
      <c r="I246" s="25">
        <f t="shared" si="91"/>
        <v>-12281801.73</v>
      </c>
      <c r="J246" s="25">
        <f t="shared" si="91"/>
        <v>-12281801.73</v>
      </c>
      <c r="K246" s="25">
        <f t="shared" si="91"/>
        <v>-12281801.73</v>
      </c>
      <c r="L246" s="25">
        <f t="shared" si="91"/>
        <v>-12281801.73</v>
      </c>
      <c r="M246" s="25">
        <f t="shared" si="91"/>
        <v>-12281801.73</v>
      </c>
      <c r="N246" s="25">
        <f t="shared" si="91"/>
        <v>-12281801.73</v>
      </c>
      <c r="O246" s="25">
        <f t="shared" si="91"/>
        <v>-12281801.73</v>
      </c>
      <c r="P246" s="25">
        <f t="shared" si="91"/>
        <v>-12281801.73</v>
      </c>
      <c r="Q246" s="25">
        <f t="shared" si="91"/>
        <v>-12281801.73</v>
      </c>
      <c r="R246" s="25">
        <f t="shared" si="91"/>
        <v>-12281801.73</v>
      </c>
      <c r="S246" s="25">
        <f t="shared" si="91"/>
        <v>-12281801.73</v>
      </c>
      <c r="T246" s="25">
        <f t="shared" si="91"/>
        <v>-12281801.73</v>
      </c>
      <c r="U246" s="25">
        <f t="shared" si="91"/>
        <v>-12281801.73</v>
      </c>
      <c r="V246" s="25">
        <f t="shared" si="91"/>
        <v>-12281801.73</v>
      </c>
      <c r="W246" s="25">
        <f t="shared" si="91"/>
        <v>-12281801.73</v>
      </c>
      <c r="X246" s="25">
        <f t="shared" si="91"/>
        <v>-12281801.73</v>
      </c>
      <c r="Y246" s="25">
        <f t="shared" si="91"/>
        <v>-12281801.73</v>
      </c>
      <c r="Z246" s="25">
        <f t="shared" si="91"/>
        <v>-12281801.73</v>
      </c>
      <c r="AA246" s="25">
        <f t="shared" si="91"/>
        <v>-12281801.73</v>
      </c>
      <c r="AB246" s="25">
        <f t="shared" si="91"/>
        <v>-12281801.73</v>
      </c>
      <c r="AC246" s="25">
        <f t="shared" si="91"/>
        <v>-12281801.73</v>
      </c>
      <c r="AD246" s="25">
        <f t="shared" si="91"/>
        <v>-12281801.73</v>
      </c>
      <c r="AE246" s="25">
        <f t="shared" si="91"/>
        <v>-12281801.73</v>
      </c>
      <c r="AF246" s="25">
        <f t="shared" si="91"/>
        <v>-12281801.73</v>
      </c>
      <c r="AG246" s="25">
        <f t="shared" si="91"/>
        <v>-12281801.73</v>
      </c>
      <c r="AH246" s="25">
        <f t="shared" si="91"/>
        <v>-12281801.73</v>
      </c>
      <c r="AI246" s="25">
        <f t="shared" si="91"/>
        <v>-12281801.73</v>
      </c>
      <c r="AJ246" s="25">
        <f t="shared" si="91"/>
        <v>-12281801.73</v>
      </c>
      <c r="AK246" s="25">
        <f t="shared" si="91"/>
        <v>-12281801.73</v>
      </c>
    </row>
    <row r="247" ht="14.25" customHeight="1">
      <c r="B247" s="27" t="s">
        <v>88</v>
      </c>
      <c r="C247" s="25">
        <f t="shared" ref="C247:AK247" si="92">-$H$53</f>
        <v>-3354293.88</v>
      </c>
      <c r="D247" s="25">
        <f t="shared" si="92"/>
        <v>-3354293.88</v>
      </c>
      <c r="E247" s="25">
        <f t="shared" si="92"/>
        <v>-3354293.88</v>
      </c>
      <c r="F247" s="25">
        <f t="shared" si="92"/>
        <v>-3354293.88</v>
      </c>
      <c r="G247" s="25">
        <f t="shared" si="92"/>
        <v>-3354293.88</v>
      </c>
      <c r="H247" s="25">
        <f t="shared" si="92"/>
        <v>-3354293.88</v>
      </c>
      <c r="I247" s="25">
        <f t="shared" si="92"/>
        <v>-3354293.88</v>
      </c>
      <c r="J247" s="25">
        <f t="shared" si="92"/>
        <v>-3354293.88</v>
      </c>
      <c r="K247" s="25">
        <f t="shared" si="92"/>
        <v>-3354293.88</v>
      </c>
      <c r="L247" s="25">
        <f t="shared" si="92"/>
        <v>-3354293.88</v>
      </c>
      <c r="M247" s="25">
        <f t="shared" si="92"/>
        <v>-3354293.88</v>
      </c>
      <c r="N247" s="25">
        <f t="shared" si="92"/>
        <v>-3354293.88</v>
      </c>
      <c r="O247" s="25">
        <f t="shared" si="92"/>
        <v>-3354293.88</v>
      </c>
      <c r="P247" s="25">
        <f t="shared" si="92"/>
        <v>-3354293.88</v>
      </c>
      <c r="Q247" s="25">
        <f t="shared" si="92"/>
        <v>-3354293.88</v>
      </c>
      <c r="R247" s="25">
        <f t="shared" si="92"/>
        <v>-3354293.88</v>
      </c>
      <c r="S247" s="25">
        <f t="shared" si="92"/>
        <v>-3354293.88</v>
      </c>
      <c r="T247" s="25">
        <f t="shared" si="92"/>
        <v>-3354293.88</v>
      </c>
      <c r="U247" s="25">
        <f t="shared" si="92"/>
        <v>-3354293.88</v>
      </c>
      <c r="V247" s="25">
        <f t="shared" si="92"/>
        <v>-3354293.88</v>
      </c>
      <c r="W247" s="25">
        <f t="shared" si="92"/>
        <v>-3354293.88</v>
      </c>
      <c r="X247" s="25">
        <f t="shared" si="92"/>
        <v>-3354293.88</v>
      </c>
      <c r="Y247" s="25">
        <f t="shared" si="92"/>
        <v>-3354293.88</v>
      </c>
      <c r="Z247" s="25">
        <f t="shared" si="92"/>
        <v>-3354293.88</v>
      </c>
      <c r="AA247" s="25">
        <f t="shared" si="92"/>
        <v>-3354293.88</v>
      </c>
      <c r="AB247" s="25">
        <f t="shared" si="92"/>
        <v>-3354293.88</v>
      </c>
      <c r="AC247" s="25">
        <f t="shared" si="92"/>
        <v>-3354293.88</v>
      </c>
      <c r="AD247" s="25">
        <f t="shared" si="92"/>
        <v>-3354293.88</v>
      </c>
      <c r="AE247" s="25">
        <f t="shared" si="92"/>
        <v>-3354293.88</v>
      </c>
      <c r="AF247" s="25">
        <f t="shared" si="92"/>
        <v>-3354293.88</v>
      </c>
      <c r="AG247" s="25">
        <f t="shared" si="92"/>
        <v>-3354293.88</v>
      </c>
      <c r="AH247" s="25">
        <f t="shared" si="92"/>
        <v>-3354293.88</v>
      </c>
      <c r="AI247" s="25">
        <f t="shared" si="92"/>
        <v>-3354293.88</v>
      </c>
      <c r="AJ247" s="25">
        <f t="shared" si="92"/>
        <v>-3354293.88</v>
      </c>
      <c r="AK247" s="25">
        <f t="shared" si="92"/>
        <v>-3354293.88</v>
      </c>
    </row>
    <row r="248" ht="14.25" customHeight="1">
      <c r="B248" s="27" t="s">
        <v>129</v>
      </c>
      <c r="C248" s="25">
        <f t="shared" ref="C248:AK248" si="93">$H$49</f>
        <v>-11900000</v>
      </c>
      <c r="D248" s="25">
        <f t="shared" si="93"/>
        <v>-11900000</v>
      </c>
      <c r="E248" s="25">
        <f t="shared" si="93"/>
        <v>-11900000</v>
      </c>
      <c r="F248" s="25">
        <f t="shared" si="93"/>
        <v>-11900000</v>
      </c>
      <c r="G248" s="25">
        <f t="shared" si="93"/>
        <v>-11900000</v>
      </c>
      <c r="H248" s="25">
        <f t="shared" si="93"/>
        <v>-11900000</v>
      </c>
      <c r="I248" s="25">
        <f t="shared" si="93"/>
        <v>-11900000</v>
      </c>
      <c r="J248" s="25">
        <f t="shared" si="93"/>
        <v>-11900000</v>
      </c>
      <c r="K248" s="25">
        <f t="shared" si="93"/>
        <v>-11900000</v>
      </c>
      <c r="L248" s="25">
        <f t="shared" si="93"/>
        <v>-11900000</v>
      </c>
      <c r="M248" s="25">
        <f t="shared" si="93"/>
        <v>-11900000</v>
      </c>
      <c r="N248" s="25">
        <f t="shared" si="93"/>
        <v>-11900000</v>
      </c>
      <c r="O248" s="25">
        <f t="shared" si="93"/>
        <v>-11900000</v>
      </c>
      <c r="P248" s="25">
        <f t="shared" si="93"/>
        <v>-11900000</v>
      </c>
      <c r="Q248" s="25">
        <f t="shared" si="93"/>
        <v>-11900000</v>
      </c>
      <c r="R248" s="25">
        <f t="shared" si="93"/>
        <v>-11900000</v>
      </c>
      <c r="S248" s="25">
        <f t="shared" si="93"/>
        <v>-11900000</v>
      </c>
      <c r="T248" s="25">
        <f t="shared" si="93"/>
        <v>-11900000</v>
      </c>
      <c r="U248" s="25">
        <f t="shared" si="93"/>
        <v>-11900000</v>
      </c>
      <c r="V248" s="25">
        <f t="shared" si="93"/>
        <v>-11900000</v>
      </c>
      <c r="W248" s="25">
        <f t="shared" si="93"/>
        <v>-11900000</v>
      </c>
      <c r="X248" s="25">
        <f t="shared" si="93"/>
        <v>-11900000</v>
      </c>
      <c r="Y248" s="25">
        <f t="shared" si="93"/>
        <v>-11900000</v>
      </c>
      <c r="Z248" s="25">
        <f t="shared" si="93"/>
        <v>-11900000</v>
      </c>
      <c r="AA248" s="25">
        <f t="shared" si="93"/>
        <v>-11900000</v>
      </c>
      <c r="AB248" s="25">
        <f t="shared" si="93"/>
        <v>-11900000</v>
      </c>
      <c r="AC248" s="25">
        <f t="shared" si="93"/>
        <v>-11900000</v>
      </c>
      <c r="AD248" s="25">
        <f t="shared" si="93"/>
        <v>-11900000</v>
      </c>
      <c r="AE248" s="25">
        <f t="shared" si="93"/>
        <v>-11900000</v>
      </c>
      <c r="AF248" s="25">
        <f t="shared" si="93"/>
        <v>-11900000</v>
      </c>
      <c r="AG248" s="25">
        <f t="shared" si="93"/>
        <v>-11900000</v>
      </c>
      <c r="AH248" s="25">
        <f t="shared" si="93"/>
        <v>-11900000</v>
      </c>
      <c r="AI248" s="25">
        <f t="shared" si="93"/>
        <v>-11900000</v>
      </c>
      <c r="AJ248" s="25">
        <f t="shared" si="93"/>
        <v>-11900000</v>
      </c>
      <c r="AK248" s="25">
        <f t="shared" si="93"/>
        <v>-11900000</v>
      </c>
    </row>
    <row r="249" ht="14.25" customHeight="1"/>
    <row r="250" ht="14.25" customHeight="1">
      <c r="B250" s="28" t="s">
        <v>90</v>
      </c>
      <c r="C250" s="5">
        <f t="shared" ref="C250:AK250" si="94">sum(C246:C248)</f>
        <v>-27536095.61</v>
      </c>
      <c r="D250" s="5">
        <f t="shared" si="94"/>
        <v>-27536095.61</v>
      </c>
      <c r="E250" s="5">
        <f t="shared" si="94"/>
        <v>-27536095.61</v>
      </c>
      <c r="F250" s="5">
        <f t="shared" si="94"/>
        <v>-27536095.61</v>
      </c>
      <c r="G250" s="5">
        <f t="shared" si="94"/>
        <v>-27536095.61</v>
      </c>
      <c r="H250" s="5">
        <f t="shared" si="94"/>
        <v>-27536095.61</v>
      </c>
      <c r="I250" s="5">
        <f t="shared" si="94"/>
        <v>-27536095.61</v>
      </c>
      <c r="J250" s="5">
        <f t="shared" si="94"/>
        <v>-27536095.61</v>
      </c>
      <c r="K250" s="5">
        <f t="shared" si="94"/>
        <v>-27536095.61</v>
      </c>
      <c r="L250" s="5">
        <f t="shared" si="94"/>
        <v>-27536095.61</v>
      </c>
      <c r="M250" s="5">
        <f t="shared" si="94"/>
        <v>-27536095.61</v>
      </c>
      <c r="N250" s="5">
        <f t="shared" si="94"/>
        <v>-27536095.61</v>
      </c>
      <c r="O250" s="5">
        <f t="shared" si="94"/>
        <v>-27536095.61</v>
      </c>
      <c r="P250" s="5">
        <f t="shared" si="94"/>
        <v>-27536095.61</v>
      </c>
      <c r="Q250" s="5">
        <f t="shared" si="94"/>
        <v>-27536095.61</v>
      </c>
      <c r="R250" s="5">
        <f t="shared" si="94"/>
        <v>-27536095.61</v>
      </c>
      <c r="S250" s="5">
        <f t="shared" si="94"/>
        <v>-27536095.61</v>
      </c>
      <c r="T250" s="5">
        <f t="shared" si="94"/>
        <v>-27536095.61</v>
      </c>
      <c r="U250" s="5">
        <f t="shared" si="94"/>
        <v>-27536095.61</v>
      </c>
      <c r="V250" s="5">
        <f t="shared" si="94"/>
        <v>-27536095.61</v>
      </c>
      <c r="W250" s="5">
        <f t="shared" si="94"/>
        <v>-27536095.61</v>
      </c>
      <c r="X250" s="5">
        <f t="shared" si="94"/>
        <v>-27536095.61</v>
      </c>
      <c r="Y250" s="5">
        <f t="shared" si="94"/>
        <v>-27536095.61</v>
      </c>
      <c r="Z250" s="5">
        <f t="shared" si="94"/>
        <v>-27536095.61</v>
      </c>
      <c r="AA250" s="5">
        <f t="shared" si="94"/>
        <v>-27536095.61</v>
      </c>
      <c r="AB250" s="5">
        <f t="shared" si="94"/>
        <v>-27536095.61</v>
      </c>
      <c r="AC250" s="5">
        <f t="shared" si="94"/>
        <v>-27536095.61</v>
      </c>
      <c r="AD250" s="5">
        <f t="shared" si="94"/>
        <v>-27536095.61</v>
      </c>
      <c r="AE250" s="5">
        <f t="shared" si="94"/>
        <v>-27536095.61</v>
      </c>
      <c r="AF250" s="5">
        <f t="shared" si="94"/>
        <v>-27536095.61</v>
      </c>
      <c r="AG250" s="5">
        <f t="shared" si="94"/>
        <v>-27536095.61</v>
      </c>
      <c r="AH250" s="5">
        <f t="shared" si="94"/>
        <v>-27536095.61</v>
      </c>
      <c r="AI250" s="5">
        <f t="shared" si="94"/>
        <v>-27536095.61</v>
      </c>
      <c r="AJ250" s="5">
        <f t="shared" si="94"/>
        <v>-27536095.61</v>
      </c>
      <c r="AK250" s="5">
        <f t="shared" si="94"/>
        <v>-27536095.61</v>
      </c>
    </row>
    <row r="251" ht="14.25" customHeight="1">
      <c r="C251" s="5">
        <f t="shared" ref="C251:AK251" si="95">C250/1000000</f>
        <v>-27.53609561</v>
      </c>
      <c r="D251" s="5">
        <f t="shared" si="95"/>
        <v>-27.53609561</v>
      </c>
      <c r="E251" s="5">
        <f t="shared" si="95"/>
        <v>-27.53609561</v>
      </c>
      <c r="F251" s="5">
        <f t="shared" si="95"/>
        <v>-27.53609561</v>
      </c>
      <c r="G251" s="5">
        <f t="shared" si="95"/>
        <v>-27.53609561</v>
      </c>
      <c r="H251" s="5">
        <f t="shared" si="95"/>
        <v>-27.53609561</v>
      </c>
      <c r="I251" s="5">
        <f t="shared" si="95"/>
        <v>-27.53609561</v>
      </c>
      <c r="J251" s="5">
        <f t="shared" si="95"/>
        <v>-27.53609561</v>
      </c>
      <c r="K251" s="5">
        <f t="shared" si="95"/>
        <v>-27.53609561</v>
      </c>
      <c r="L251" s="5">
        <f t="shared" si="95"/>
        <v>-27.53609561</v>
      </c>
      <c r="M251" s="5">
        <f t="shared" si="95"/>
        <v>-27.53609561</v>
      </c>
      <c r="N251" s="5">
        <f t="shared" si="95"/>
        <v>-27.53609561</v>
      </c>
      <c r="O251" s="5">
        <f t="shared" si="95"/>
        <v>-27.53609561</v>
      </c>
      <c r="P251" s="5">
        <f t="shared" si="95"/>
        <v>-27.53609561</v>
      </c>
      <c r="Q251" s="5">
        <f t="shared" si="95"/>
        <v>-27.53609561</v>
      </c>
      <c r="R251" s="5">
        <f t="shared" si="95"/>
        <v>-27.53609561</v>
      </c>
      <c r="S251" s="5">
        <f t="shared" si="95"/>
        <v>-27.53609561</v>
      </c>
      <c r="T251" s="5">
        <f t="shared" si="95"/>
        <v>-27.53609561</v>
      </c>
      <c r="U251" s="5">
        <f t="shared" si="95"/>
        <v>-27.53609561</v>
      </c>
      <c r="V251" s="5">
        <f t="shared" si="95"/>
        <v>-27.53609561</v>
      </c>
      <c r="W251" s="5">
        <f t="shared" si="95"/>
        <v>-27.53609561</v>
      </c>
      <c r="X251" s="5">
        <f t="shared" si="95"/>
        <v>-27.53609561</v>
      </c>
      <c r="Y251" s="5">
        <f t="shared" si="95"/>
        <v>-27.53609561</v>
      </c>
      <c r="Z251" s="5">
        <f t="shared" si="95"/>
        <v>-27.53609561</v>
      </c>
      <c r="AA251" s="5">
        <f t="shared" si="95"/>
        <v>-27.53609561</v>
      </c>
      <c r="AB251" s="5">
        <f t="shared" si="95"/>
        <v>-27.53609561</v>
      </c>
      <c r="AC251" s="5">
        <f t="shared" si="95"/>
        <v>-27.53609561</v>
      </c>
      <c r="AD251" s="5">
        <f t="shared" si="95"/>
        <v>-27.53609561</v>
      </c>
      <c r="AE251" s="5">
        <f t="shared" si="95"/>
        <v>-27.53609561</v>
      </c>
      <c r="AF251" s="5">
        <f t="shared" si="95"/>
        <v>-27.53609561</v>
      </c>
      <c r="AG251" s="5">
        <f t="shared" si="95"/>
        <v>-27.53609561</v>
      </c>
      <c r="AH251" s="5">
        <f t="shared" si="95"/>
        <v>-27.53609561</v>
      </c>
      <c r="AI251" s="5">
        <f t="shared" si="95"/>
        <v>-27.53609561</v>
      </c>
      <c r="AJ251" s="5">
        <f t="shared" si="95"/>
        <v>-27.53609561</v>
      </c>
      <c r="AK251" s="5">
        <f t="shared" si="95"/>
        <v>-27.53609561</v>
      </c>
    </row>
    <row r="252" ht="14.25" customHeight="1">
      <c r="B252" s="28" t="s">
        <v>112</v>
      </c>
      <c r="C252" s="5">
        <f t="shared" ref="C252:AK252" si="96">C238-C250</f>
        <v>-18266240.06</v>
      </c>
      <c r="D252" s="5">
        <f t="shared" si="96"/>
        <v>-16837744.94</v>
      </c>
      <c r="E252" s="5">
        <f t="shared" si="96"/>
        <v>-15521496.58</v>
      </c>
      <c r="F252" s="5">
        <f t="shared" si="96"/>
        <v>-14299644.87</v>
      </c>
      <c r="G252" s="5">
        <f t="shared" si="96"/>
        <v>-13157340.25</v>
      </c>
      <c r="H252" s="5">
        <f t="shared" si="96"/>
        <v>-12082217.26</v>
      </c>
      <c r="I252" s="5">
        <f t="shared" si="96"/>
        <v>-11063968.02</v>
      </c>
      <c r="J252" s="5">
        <f t="shared" si="96"/>
        <v>-9798190.02</v>
      </c>
      <c r="K252" s="5">
        <f t="shared" si="96"/>
        <v>-8469094.934</v>
      </c>
      <c r="L252" s="5">
        <f t="shared" si="96"/>
        <v>-7325245.902</v>
      </c>
      <c r="M252" s="5">
        <f t="shared" si="96"/>
        <v>2927879.352</v>
      </c>
      <c r="N252" s="5">
        <f t="shared" si="96"/>
        <v>3209911.479</v>
      </c>
      <c r="O252" s="5">
        <f t="shared" si="96"/>
        <v>-9772677.902</v>
      </c>
      <c r="P252" s="5">
        <f t="shared" si="96"/>
        <v>-9109804.13</v>
      </c>
      <c r="Q252" s="5">
        <f t="shared" si="96"/>
        <v>-8547164.061</v>
      </c>
      <c r="R252" s="5">
        <f t="shared" si="96"/>
        <v>-8068399.015</v>
      </c>
      <c r="S252" s="5">
        <f t="shared" si="96"/>
        <v>-7659904.635</v>
      </c>
      <c r="T252" s="5">
        <f t="shared" si="96"/>
        <v>-7310360.698</v>
      </c>
      <c r="U252" s="5">
        <f t="shared" si="96"/>
        <v>-7010341.842</v>
      </c>
      <c r="V252" s="5">
        <f t="shared" si="96"/>
        <v>-6752080.088</v>
      </c>
      <c r="W252" s="5">
        <f t="shared" si="96"/>
        <v>-6878057.842</v>
      </c>
      <c r="X252" s="5">
        <f t="shared" si="96"/>
        <v>-6351051.089</v>
      </c>
      <c r="Y252" s="5">
        <f t="shared" si="96"/>
        <v>-6390293.121</v>
      </c>
      <c r="Z252" s="5">
        <f t="shared" si="96"/>
        <v>-6198407.83</v>
      </c>
      <c r="AA252" s="5">
        <f t="shared" si="96"/>
        <v>-8718395.999</v>
      </c>
      <c r="AB252" s="5">
        <f t="shared" si="96"/>
        <v>-8128646.271</v>
      </c>
      <c r="AC252" s="5">
        <f t="shared" si="96"/>
        <v>-7632375.857</v>
      </c>
      <c r="AD252" s="5">
        <f t="shared" si="96"/>
        <v>-7214127.216</v>
      </c>
      <c r="AE252" s="5">
        <f t="shared" si="96"/>
        <v>-6861042.601</v>
      </c>
      <c r="AF252" s="5">
        <f t="shared" si="96"/>
        <v>-6562508.22</v>
      </c>
      <c r="AG252" s="5">
        <f t="shared" si="96"/>
        <v>-6658648.642</v>
      </c>
      <c r="AH252" s="5">
        <f t="shared" si="96"/>
        <v>-6110287.882</v>
      </c>
      <c r="AI252" s="5">
        <f t="shared" si="96"/>
        <v>-6135044.749</v>
      </c>
      <c r="AJ252" s="5">
        <f t="shared" si="96"/>
        <v>-5934209.194</v>
      </c>
      <c r="AK252" s="5">
        <f t="shared" si="96"/>
        <v>-5764842.914</v>
      </c>
    </row>
    <row r="253" ht="14.25" customHeight="1">
      <c r="C253" s="5">
        <f t="shared" ref="C253:AK253" si="97">C252/1000000</f>
        <v>-18.26624006</v>
      </c>
      <c r="D253" s="5">
        <f t="shared" si="97"/>
        <v>-16.83774494</v>
      </c>
      <c r="E253" s="5">
        <f t="shared" si="97"/>
        <v>-15.52149658</v>
      </c>
      <c r="F253" s="5">
        <f t="shared" si="97"/>
        <v>-14.29964487</v>
      </c>
      <c r="G253" s="5">
        <f t="shared" si="97"/>
        <v>-13.15734025</v>
      </c>
      <c r="H253" s="5">
        <f t="shared" si="97"/>
        <v>-12.08221726</v>
      </c>
      <c r="I253" s="5">
        <f t="shared" si="97"/>
        <v>-11.06396802</v>
      </c>
      <c r="J253" s="5">
        <f t="shared" si="97"/>
        <v>-9.79819002</v>
      </c>
      <c r="K253" s="5">
        <f t="shared" si="97"/>
        <v>-8.469094934</v>
      </c>
      <c r="L253" s="5">
        <f t="shared" si="97"/>
        <v>-7.325245902</v>
      </c>
      <c r="M253" s="5">
        <f t="shared" si="97"/>
        <v>2.927879352</v>
      </c>
      <c r="N253" s="5">
        <f t="shared" si="97"/>
        <v>3.209911479</v>
      </c>
      <c r="O253" s="5">
        <f t="shared" si="97"/>
        <v>-9.772677902</v>
      </c>
      <c r="P253" s="5">
        <f t="shared" si="97"/>
        <v>-9.10980413</v>
      </c>
      <c r="Q253" s="5">
        <f t="shared" si="97"/>
        <v>-8.547164061</v>
      </c>
      <c r="R253" s="5">
        <f t="shared" si="97"/>
        <v>-8.068399015</v>
      </c>
      <c r="S253" s="5">
        <f t="shared" si="97"/>
        <v>-7.659904635</v>
      </c>
      <c r="T253" s="5">
        <f t="shared" si="97"/>
        <v>-7.310360698</v>
      </c>
      <c r="U253" s="5">
        <f t="shared" si="97"/>
        <v>-7.010341842</v>
      </c>
      <c r="V253" s="5">
        <f t="shared" si="97"/>
        <v>-6.752080088</v>
      </c>
      <c r="W253" s="5">
        <f t="shared" si="97"/>
        <v>-6.878057842</v>
      </c>
      <c r="X253" s="5">
        <f t="shared" si="97"/>
        <v>-6.351051089</v>
      </c>
      <c r="Y253" s="5">
        <f t="shared" si="97"/>
        <v>-6.390293121</v>
      </c>
      <c r="Z253" s="5">
        <f t="shared" si="97"/>
        <v>-6.19840783</v>
      </c>
      <c r="AA253" s="5">
        <f t="shared" si="97"/>
        <v>-8.718395999</v>
      </c>
      <c r="AB253" s="5">
        <f t="shared" si="97"/>
        <v>-8.128646271</v>
      </c>
      <c r="AC253" s="5">
        <f t="shared" si="97"/>
        <v>-7.632375857</v>
      </c>
      <c r="AD253" s="5">
        <f t="shared" si="97"/>
        <v>-7.214127216</v>
      </c>
      <c r="AE253" s="5">
        <f t="shared" si="97"/>
        <v>-6.861042601</v>
      </c>
      <c r="AF253" s="5">
        <f t="shared" si="97"/>
        <v>-6.56250822</v>
      </c>
      <c r="AG253" s="5">
        <f t="shared" si="97"/>
        <v>-6.658648642</v>
      </c>
      <c r="AH253" s="5">
        <f t="shared" si="97"/>
        <v>-6.110287882</v>
      </c>
      <c r="AI253" s="5">
        <f t="shared" si="97"/>
        <v>-6.135044749</v>
      </c>
      <c r="AJ253" s="5">
        <f t="shared" si="97"/>
        <v>-5.934209194</v>
      </c>
      <c r="AK253" s="5">
        <f t="shared" si="97"/>
        <v>-5.764842914</v>
      </c>
    </row>
    <row r="254" ht="14.25" customHeight="1">
      <c r="B254" s="15" t="s">
        <v>130</v>
      </c>
      <c r="C254" s="15">
        <f t="shared" ref="C254:AK254" si="98">C240-C250</f>
        <v>-11384865.08</v>
      </c>
      <c r="D254" s="15">
        <f t="shared" si="98"/>
        <v>-10680824.55</v>
      </c>
      <c r="E254" s="15">
        <f t="shared" si="98"/>
        <v>-9992426.733</v>
      </c>
      <c r="F254" s="15">
        <f t="shared" si="98"/>
        <v>-9316543.096</v>
      </c>
      <c r="G254" s="15">
        <f t="shared" si="98"/>
        <v>-8650670.799</v>
      </c>
      <c r="H254" s="15">
        <f t="shared" si="98"/>
        <v>-7992807.575</v>
      </c>
      <c r="I254" s="15">
        <f t="shared" si="98"/>
        <v>-7341351.609</v>
      </c>
      <c r="J254" s="15">
        <f t="shared" si="98"/>
        <v>-6399221.45</v>
      </c>
      <c r="K254" s="15">
        <f t="shared" si="98"/>
        <v>-5356791.936</v>
      </c>
      <c r="L254" s="15">
        <f t="shared" si="98"/>
        <v>-4467735.98</v>
      </c>
      <c r="M254" s="15">
        <f t="shared" si="98"/>
        <v>5558036.91</v>
      </c>
      <c r="N254" s="15">
        <f t="shared" si="98"/>
        <v>5636250.51</v>
      </c>
      <c r="O254" s="15">
        <f t="shared" si="98"/>
        <v>-4844750.61</v>
      </c>
      <c r="P254" s="15">
        <f t="shared" si="98"/>
        <v>-4794693.906</v>
      </c>
      <c r="Q254" s="15">
        <f t="shared" si="98"/>
        <v>-4754648.542</v>
      </c>
      <c r="R254" s="15">
        <f t="shared" si="98"/>
        <v>-4722612.252</v>
      </c>
      <c r="S254" s="15">
        <f t="shared" si="98"/>
        <v>-4696983.219</v>
      </c>
      <c r="T254" s="15">
        <f t="shared" si="98"/>
        <v>-4676479.993</v>
      </c>
      <c r="U254" s="15">
        <f t="shared" si="98"/>
        <v>-4660077.413</v>
      </c>
      <c r="V254" s="15">
        <f t="shared" si="98"/>
        <v>-4646955.348</v>
      </c>
      <c r="W254" s="15">
        <f t="shared" si="98"/>
        <v>-4985535.09</v>
      </c>
      <c r="X254" s="15">
        <f t="shared" si="98"/>
        <v>-4643732.19</v>
      </c>
      <c r="Y254" s="15">
        <f t="shared" si="98"/>
        <v>-4844750.61</v>
      </c>
      <c r="Z254" s="15">
        <f t="shared" si="98"/>
        <v>-4794693.906</v>
      </c>
      <c r="AA254" s="15">
        <f t="shared" si="98"/>
        <v>-4754648.542</v>
      </c>
      <c r="AB254" s="15">
        <f t="shared" si="98"/>
        <v>-4722612.252</v>
      </c>
      <c r="AC254" s="15">
        <f t="shared" si="98"/>
        <v>-4696983.219</v>
      </c>
      <c r="AD254" s="15">
        <f t="shared" si="98"/>
        <v>-4676479.993</v>
      </c>
      <c r="AE254" s="15">
        <f t="shared" si="98"/>
        <v>-4660077.413</v>
      </c>
      <c r="AF254" s="15">
        <f t="shared" si="98"/>
        <v>-4646955.348</v>
      </c>
      <c r="AG254" s="15">
        <f t="shared" si="98"/>
        <v>-4985535.09</v>
      </c>
      <c r="AH254" s="15">
        <f t="shared" si="98"/>
        <v>-4643732.19</v>
      </c>
      <c r="AI254" s="15">
        <f t="shared" si="98"/>
        <v>-4844750.61</v>
      </c>
      <c r="AJ254" s="15">
        <f t="shared" si="98"/>
        <v>-4794693.906</v>
      </c>
      <c r="AK254" s="15">
        <f t="shared" si="98"/>
        <v>-4754648.542</v>
      </c>
    </row>
    <row r="255" ht="14.25" customHeight="1">
      <c r="B255" s="15"/>
      <c r="C255" s="15">
        <f t="shared" ref="C255:AK255" si="99">C254/1000000</f>
        <v>-11.38486508</v>
      </c>
      <c r="D255" s="15">
        <f t="shared" si="99"/>
        <v>-10.68082455</v>
      </c>
      <c r="E255" s="15">
        <f t="shared" si="99"/>
        <v>-9.992426733</v>
      </c>
      <c r="F255" s="15">
        <f t="shared" si="99"/>
        <v>-9.316543096</v>
      </c>
      <c r="G255" s="15">
        <f t="shared" si="99"/>
        <v>-8.650670799</v>
      </c>
      <c r="H255" s="15">
        <f t="shared" si="99"/>
        <v>-7.992807575</v>
      </c>
      <c r="I255" s="15">
        <f t="shared" si="99"/>
        <v>-7.341351609</v>
      </c>
      <c r="J255" s="15">
        <f t="shared" si="99"/>
        <v>-6.39922145</v>
      </c>
      <c r="K255" s="15">
        <f t="shared" si="99"/>
        <v>-5.356791936</v>
      </c>
      <c r="L255" s="15">
        <f t="shared" si="99"/>
        <v>-4.46773598</v>
      </c>
      <c r="M255" s="15">
        <f t="shared" si="99"/>
        <v>5.55803691</v>
      </c>
      <c r="N255" s="15">
        <f t="shared" si="99"/>
        <v>5.63625051</v>
      </c>
      <c r="O255" s="15">
        <f t="shared" si="99"/>
        <v>-4.84475061</v>
      </c>
      <c r="P255" s="15">
        <f t="shared" si="99"/>
        <v>-4.794693906</v>
      </c>
      <c r="Q255" s="15">
        <f t="shared" si="99"/>
        <v>-4.754648542</v>
      </c>
      <c r="R255" s="15">
        <f t="shared" si="99"/>
        <v>-4.722612252</v>
      </c>
      <c r="S255" s="15">
        <f t="shared" si="99"/>
        <v>-4.696983219</v>
      </c>
      <c r="T255" s="15">
        <f t="shared" si="99"/>
        <v>-4.676479993</v>
      </c>
      <c r="U255" s="15">
        <f t="shared" si="99"/>
        <v>-4.660077413</v>
      </c>
      <c r="V255" s="15">
        <f t="shared" si="99"/>
        <v>-4.646955348</v>
      </c>
      <c r="W255" s="15">
        <f t="shared" si="99"/>
        <v>-4.98553509</v>
      </c>
      <c r="X255" s="15">
        <f t="shared" si="99"/>
        <v>-4.64373219</v>
      </c>
      <c r="Y255" s="15">
        <f t="shared" si="99"/>
        <v>-4.84475061</v>
      </c>
      <c r="Z255" s="15">
        <f t="shared" si="99"/>
        <v>-4.794693906</v>
      </c>
      <c r="AA255" s="15">
        <f t="shared" si="99"/>
        <v>-4.754648542</v>
      </c>
      <c r="AB255" s="15">
        <f t="shared" si="99"/>
        <v>-4.722612252</v>
      </c>
      <c r="AC255" s="15">
        <f t="shared" si="99"/>
        <v>-4.696983219</v>
      </c>
      <c r="AD255" s="15">
        <f t="shared" si="99"/>
        <v>-4.676479993</v>
      </c>
      <c r="AE255" s="15">
        <f t="shared" si="99"/>
        <v>-4.660077413</v>
      </c>
      <c r="AF255" s="15">
        <f t="shared" si="99"/>
        <v>-4.646955348</v>
      </c>
      <c r="AG255" s="15">
        <f t="shared" si="99"/>
        <v>-4.98553509</v>
      </c>
      <c r="AH255" s="15">
        <f t="shared" si="99"/>
        <v>-4.64373219</v>
      </c>
      <c r="AI255" s="15">
        <f t="shared" si="99"/>
        <v>-4.84475061</v>
      </c>
      <c r="AJ255" s="15">
        <f t="shared" si="99"/>
        <v>-4.794693906</v>
      </c>
      <c r="AK255" s="15">
        <f t="shared" si="99"/>
        <v>-4.754648542</v>
      </c>
    </row>
    <row r="256" ht="14.25" customHeight="1">
      <c r="B256" s="15" t="s">
        <v>86</v>
      </c>
      <c r="C256" s="15">
        <v>0.965</v>
      </c>
      <c r="D256" s="5">
        <f t="shared" ref="D256:AK256" si="100">C256*0.965</f>
        <v>0.931225</v>
      </c>
      <c r="E256" s="5">
        <f t="shared" si="100"/>
        <v>0.898632125</v>
      </c>
      <c r="F256" s="5">
        <f t="shared" si="100"/>
        <v>0.8671800006</v>
      </c>
      <c r="G256" s="5">
        <f t="shared" si="100"/>
        <v>0.8368287006</v>
      </c>
      <c r="H256" s="5">
        <f t="shared" si="100"/>
        <v>0.8075396961</v>
      </c>
      <c r="I256" s="5">
        <f t="shared" si="100"/>
        <v>0.7792758067</v>
      </c>
      <c r="J256" s="5">
        <f t="shared" si="100"/>
        <v>0.7520011535</v>
      </c>
      <c r="K256" s="5">
        <f t="shared" si="100"/>
        <v>0.7256811131</v>
      </c>
      <c r="L256" s="5">
        <f t="shared" si="100"/>
        <v>0.7002822742</v>
      </c>
      <c r="M256" s="5">
        <f t="shared" si="100"/>
        <v>0.6757723946</v>
      </c>
      <c r="N256" s="5">
        <f t="shared" si="100"/>
        <v>0.6521203607</v>
      </c>
      <c r="O256" s="5">
        <f t="shared" si="100"/>
        <v>0.6292961481</v>
      </c>
      <c r="P256" s="5">
        <f t="shared" si="100"/>
        <v>0.6072707829</v>
      </c>
      <c r="Q256" s="5">
        <f t="shared" si="100"/>
        <v>0.5860163055</v>
      </c>
      <c r="R256" s="5">
        <f t="shared" si="100"/>
        <v>0.5655057348</v>
      </c>
      <c r="S256" s="5">
        <f t="shared" si="100"/>
        <v>0.5457130341</v>
      </c>
      <c r="T256" s="5">
        <f t="shared" si="100"/>
        <v>0.5266130779</v>
      </c>
      <c r="U256" s="5">
        <f t="shared" si="100"/>
        <v>0.5081816202</v>
      </c>
      <c r="V256" s="5">
        <f t="shared" si="100"/>
        <v>0.4903952635</v>
      </c>
      <c r="W256" s="5">
        <f t="shared" si="100"/>
        <v>0.4732314293</v>
      </c>
      <c r="X256" s="5">
        <f t="shared" si="100"/>
        <v>0.4566683292</v>
      </c>
      <c r="Y256" s="5">
        <f t="shared" si="100"/>
        <v>0.4406849377</v>
      </c>
      <c r="Z256" s="5">
        <f t="shared" si="100"/>
        <v>0.4252609649</v>
      </c>
      <c r="AA256" s="5">
        <f t="shared" si="100"/>
        <v>0.4103768311</v>
      </c>
      <c r="AB256" s="5">
        <f t="shared" si="100"/>
        <v>0.396013642</v>
      </c>
      <c r="AC256" s="5">
        <f t="shared" si="100"/>
        <v>0.3821531646</v>
      </c>
      <c r="AD256" s="5">
        <f t="shared" si="100"/>
        <v>0.3687778038</v>
      </c>
      <c r="AE256" s="5">
        <f t="shared" si="100"/>
        <v>0.3558705807</v>
      </c>
      <c r="AF256" s="5">
        <f t="shared" si="100"/>
        <v>0.3434151104</v>
      </c>
      <c r="AG256" s="5">
        <f t="shared" si="100"/>
        <v>0.3313955815</v>
      </c>
      <c r="AH256" s="5">
        <f t="shared" si="100"/>
        <v>0.3197967361</v>
      </c>
      <c r="AI256" s="5">
        <f t="shared" si="100"/>
        <v>0.3086038504</v>
      </c>
      <c r="AJ256" s="5">
        <f t="shared" si="100"/>
        <v>0.2978027156</v>
      </c>
      <c r="AK256" s="5">
        <f t="shared" si="100"/>
        <v>0.2873796206</v>
      </c>
    </row>
    <row r="257" ht="14.25" customHeight="1">
      <c r="A257" s="5">
        <f>sum(C252:L252)</f>
        <v>-126821182.8</v>
      </c>
    </row>
    <row r="258" ht="14.25" customHeight="1">
      <c r="B258" s="15" t="s">
        <v>131</v>
      </c>
    </row>
    <row r="259" ht="14.25" customHeight="1">
      <c r="B259" s="15" t="s">
        <v>132</v>
      </c>
      <c r="C259" s="5">
        <f t="shared" ref="C259:AK259" si="101">C250*C256</f>
        <v>-26572332.27</v>
      </c>
      <c r="D259" s="5">
        <f t="shared" si="101"/>
        <v>-25642300.64</v>
      </c>
      <c r="E259" s="5">
        <f t="shared" si="101"/>
        <v>-24744820.12</v>
      </c>
      <c r="F259" s="5">
        <f t="shared" si="101"/>
        <v>-23878751.41</v>
      </c>
      <c r="G259" s="5">
        <f t="shared" si="101"/>
        <v>-23042995.11</v>
      </c>
      <c r="H259" s="5">
        <f t="shared" si="101"/>
        <v>-22236490.28</v>
      </c>
      <c r="I259" s="5">
        <f t="shared" si="101"/>
        <v>-21458213.12</v>
      </c>
      <c r="J259" s="5">
        <f t="shared" si="101"/>
        <v>-20707175.66</v>
      </c>
      <c r="K259" s="5">
        <f t="shared" si="101"/>
        <v>-19982424.52</v>
      </c>
      <c r="L259" s="5">
        <f t="shared" si="101"/>
        <v>-19283039.66</v>
      </c>
      <c r="M259" s="5">
        <f t="shared" si="101"/>
        <v>-18608133.27</v>
      </c>
      <c r="N259" s="5">
        <f t="shared" si="101"/>
        <v>-17956848.61</v>
      </c>
      <c r="O259" s="5">
        <f t="shared" si="101"/>
        <v>-17328358.9</v>
      </c>
      <c r="P259" s="5">
        <f t="shared" si="101"/>
        <v>-16721866.34</v>
      </c>
      <c r="Q259" s="5">
        <f t="shared" si="101"/>
        <v>-16136601.02</v>
      </c>
      <c r="R259" s="5">
        <f t="shared" si="101"/>
        <v>-15571819.98</v>
      </c>
      <c r="S259" s="5">
        <f t="shared" si="101"/>
        <v>-15026806.29</v>
      </c>
      <c r="T259" s="5">
        <f t="shared" si="101"/>
        <v>-14500868.07</v>
      </c>
      <c r="U259" s="5">
        <f t="shared" si="101"/>
        <v>-13993337.68</v>
      </c>
      <c r="V259" s="5">
        <f t="shared" si="101"/>
        <v>-13503570.86</v>
      </c>
      <c r="W259" s="5">
        <f t="shared" si="101"/>
        <v>-13030945.88</v>
      </c>
      <c r="X259" s="5">
        <f t="shared" si="101"/>
        <v>-12574862.78</v>
      </c>
      <c r="Y259" s="5">
        <f t="shared" si="101"/>
        <v>-12134742.58</v>
      </c>
      <c r="Z259" s="5">
        <f t="shared" si="101"/>
        <v>-11710026.59</v>
      </c>
      <c r="AA259" s="5">
        <f t="shared" si="101"/>
        <v>-11300175.66</v>
      </c>
      <c r="AB259" s="5">
        <f t="shared" si="101"/>
        <v>-10904669.51</v>
      </c>
      <c r="AC259" s="5">
        <f t="shared" si="101"/>
        <v>-10523006.08</v>
      </c>
      <c r="AD259" s="5">
        <f t="shared" si="101"/>
        <v>-10154700.87</v>
      </c>
      <c r="AE259" s="5">
        <f t="shared" si="101"/>
        <v>-9799286.336</v>
      </c>
      <c r="AF259" s="5">
        <f t="shared" si="101"/>
        <v>-9456311.314</v>
      </c>
      <c r="AG259" s="5">
        <f t="shared" si="101"/>
        <v>-9125340.418</v>
      </c>
      <c r="AH259" s="5">
        <f t="shared" si="101"/>
        <v>-8805953.503</v>
      </c>
      <c r="AI259" s="5">
        <f t="shared" si="101"/>
        <v>-8497745.131</v>
      </c>
      <c r="AJ259" s="5">
        <f t="shared" si="101"/>
        <v>-8200324.051</v>
      </c>
      <c r="AK259" s="5">
        <f t="shared" si="101"/>
        <v>-7913312.709</v>
      </c>
    </row>
    <row r="260" ht="14.25" customHeight="1">
      <c r="B260" s="15" t="s">
        <v>133</v>
      </c>
      <c r="C260" s="5">
        <f t="shared" ref="C260:AK260" si="102">C238*C256</f>
        <v>-44199253.93</v>
      </c>
      <c r="D260" s="5">
        <f t="shared" si="102"/>
        <v>-41322029.67</v>
      </c>
      <c r="E260" s="5">
        <f t="shared" si="102"/>
        <v>-38692935.57</v>
      </c>
      <c r="F260" s="5">
        <f t="shared" si="102"/>
        <v>-36279117.46</v>
      </c>
      <c r="G260" s="5">
        <f t="shared" si="102"/>
        <v>-34053435.06</v>
      </c>
      <c r="H260" s="5">
        <f t="shared" si="102"/>
        <v>-31993360.33</v>
      </c>
      <c r="I260" s="5">
        <f t="shared" si="102"/>
        <v>-30080095.73</v>
      </c>
      <c r="J260" s="5">
        <f t="shared" si="102"/>
        <v>-28075425.86</v>
      </c>
      <c r="K260" s="5">
        <f t="shared" si="102"/>
        <v>-26128286.75</v>
      </c>
      <c r="L260" s="5">
        <f t="shared" si="102"/>
        <v>-24412779.52</v>
      </c>
      <c r="M260" s="5">
        <f t="shared" si="102"/>
        <v>-16629553.23</v>
      </c>
      <c r="N260" s="5">
        <f t="shared" si="102"/>
        <v>-15863599.97</v>
      </c>
      <c r="O260" s="5">
        <f t="shared" si="102"/>
        <v>-23478267.46</v>
      </c>
      <c r="P260" s="5">
        <f t="shared" si="102"/>
        <v>-22253984.23</v>
      </c>
      <c r="Q260" s="5">
        <f t="shared" si="102"/>
        <v>-21145378.53</v>
      </c>
      <c r="R260" s="5">
        <f t="shared" si="102"/>
        <v>-20134545.9</v>
      </c>
      <c r="S260" s="5">
        <f t="shared" si="102"/>
        <v>-19206916.08</v>
      </c>
      <c r="T260" s="5">
        <f t="shared" si="102"/>
        <v>-18350599.61</v>
      </c>
      <c r="U260" s="5">
        <f t="shared" si="102"/>
        <v>-17555864.56</v>
      </c>
      <c r="V260" s="5">
        <f t="shared" si="102"/>
        <v>-16814758.96</v>
      </c>
      <c r="W260" s="5">
        <f t="shared" si="102"/>
        <v>-16285859.03</v>
      </c>
      <c r="X260" s="5">
        <f t="shared" si="102"/>
        <v>-15475186.67</v>
      </c>
      <c r="Y260" s="5">
        <f t="shared" si="102"/>
        <v>-14950848.51</v>
      </c>
      <c r="Z260" s="5">
        <f t="shared" si="102"/>
        <v>-14345967.49</v>
      </c>
      <c r="AA260" s="5">
        <f t="shared" si="102"/>
        <v>-14878003.38</v>
      </c>
      <c r="AB260" s="5">
        <f t="shared" si="102"/>
        <v>-14123724.33</v>
      </c>
      <c r="AC260" s="5">
        <f t="shared" si="102"/>
        <v>-13439742.67</v>
      </c>
      <c r="AD260" s="5">
        <f t="shared" si="102"/>
        <v>-12815110.86</v>
      </c>
      <c r="AE260" s="5">
        <f t="shared" si="102"/>
        <v>-12240929.55</v>
      </c>
      <c r="AF260" s="5">
        <f t="shared" si="102"/>
        <v>-11709975.8</v>
      </c>
      <c r="AG260" s="5">
        <f t="shared" si="102"/>
        <v>-11331987.16</v>
      </c>
      <c r="AH260" s="5">
        <f t="shared" si="102"/>
        <v>-10760003.62</v>
      </c>
      <c r="AI260" s="5">
        <f t="shared" si="102"/>
        <v>-10391043.56</v>
      </c>
      <c r="AJ260" s="5">
        <f t="shared" si="102"/>
        <v>-9967547.664</v>
      </c>
      <c r="AK260" s="5">
        <f t="shared" si="102"/>
        <v>-9570011.079</v>
      </c>
    </row>
    <row r="261" ht="14.25" customHeight="1">
      <c r="B261" s="15" t="s">
        <v>134</v>
      </c>
      <c r="C261" s="5">
        <f t="shared" ref="C261:AK261" si="103">C252*C256</f>
        <v>-17626921.66</v>
      </c>
      <c r="D261" s="5">
        <f t="shared" si="103"/>
        <v>-15679729.03</v>
      </c>
      <c r="E261" s="5">
        <f t="shared" si="103"/>
        <v>-13948115.45</v>
      </c>
      <c r="F261" s="5">
        <f t="shared" si="103"/>
        <v>-12400366.05</v>
      </c>
      <c r="G261" s="5">
        <f t="shared" si="103"/>
        <v>-11010439.95</v>
      </c>
      <c r="H261" s="5">
        <f t="shared" si="103"/>
        <v>-9756870.051</v>
      </c>
      <c r="I261" s="5">
        <f t="shared" si="103"/>
        <v>-8621882.604</v>
      </c>
      <c r="J261" s="5">
        <f t="shared" si="103"/>
        <v>-7368250.197</v>
      </c>
      <c r="K261" s="5">
        <f t="shared" si="103"/>
        <v>-6145862.239</v>
      </c>
      <c r="L261" s="5">
        <f t="shared" si="103"/>
        <v>-5129739.859</v>
      </c>
      <c r="M261" s="5">
        <f t="shared" si="103"/>
        <v>1978580.04</v>
      </c>
      <c r="N261" s="5">
        <f t="shared" si="103"/>
        <v>2093248.632</v>
      </c>
      <c r="O261" s="5">
        <f t="shared" si="103"/>
        <v>-6149908.561</v>
      </c>
      <c r="P261" s="5">
        <f t="shared" si="103"/>
        <v>-5532117.886</v>
      </c>
      <c r="Q261" s="5">
        <f t="shared" si="103"/>
        <v>-5008777.506</v>
      </c>
      <c r="R261" s="5">
        <f t="shared" si="103"/>
        <v>-4562725.914</v>
      </c>
      <c r="S261" s="5">
        <f t="shared" si="103"/>
        <v>-4180109.799</v>
      </c>
      <c r="T261" s="5">
        <f t="shared" si="103"/>
        <v>-3849731.548</v>
      </c>
      <c r="U261" s="5">
        <f t="shared" si="103"/>
        <v>-3562526.876</v>
      </c>
      <c r="V261" s="5">
        <f t="shared" si="103"/>
        <v>-3311188.094</v>
      </c>
      <c r="W261" s="5">
        <f t="shared" si="103"/>
        <v>-3254913.143</v>
      </c>
      <c r="X261" s="5">
        <f t="shared" si="103"/>
        <v>-2900323.89</v>
      </c>
      <c r="Y261" s="5">
        <f t="shared" si="103"/>
        <v>-2816105.926</v>
      </c>
      <c r="Z261" s="5">
        <f t="shared" si="103"/>
        <v>-2635940.895</v>
      </c>
      <c r="AA261" s="5">
        <f t="shared" si="103"/>
        <v>-3577827.723</v>
      </c>
      <c r="AB261" s="5">
        <f t="shared" si="103"/>
        <v>-3219054.815</v>
      </c>
      <c r="AC261" s="5">
        <f t="shared" si="103"/>
        <v>-2916736.587</v>
      </c>
      <c r="AD261" s="5">
        <f t="shared" si="103"/>
        <v>-2660409.991</v>
      </c>
      <c r="AE261" s="5">
        <f t="shared" si="103"/>
        <v>-2441643.215</v>
      </c>
      <c r="AF261" s="5">
        <f t="shared" si="103"/>
        <v>-2253664.485</v>
      </c>
      <c r="AG261" s="5">
        <f t="shared" si="103"/>
        <v>-2206646.739</v>
      </c>
      <c r="AH261" s="5">
        <f t="shared" si="103"/>
        <v>-1954050.122</v>
      </c>
      <c r="AI261" s="5">
        <f t="shared" si="103"/>
        <v>-1893298.432</v>
      </c>
      <c r="AJ261" s="5">
        <f t="shared" si="103"/>
        <v>-1767223.613</v>
      </c>
      <c r="AK261" s="5">
        <f t="shared" si="103"/>
        <v>-1656698.369</v>
      </c>
    </row>
    <row r="262" ht="14.25" customHeight="1">
      <c r="B262" s="15" t="s">
        <v>135</v>
      </c>
      <c r="C262" s="5">
        <f t="shared" ref="C262:AK262" si="104">C240*C256</f>
        <v>-37558727.07</v>
      </c>
      <c r="D262" s="5">
        <f t="shared" si="104"/>
        <v>-35588551.48</v>
      </c>
      <c r="E262" s="5">
        <f t="shared" si="104"/>
        <v>-33724335.78</v>
      </c>
      <c r="F262" s="5">
        <f t="shared" si="104"/>
        <v>-31957871.26</v>
      </c>
      <c r="G262" s="5">
        <f t="shared" si="104"/>
        <v>-30282124.72</v>
      </c>
      <c r="H262" s="5">
        <f t="shared" si="104"/>
        <v>-28690999.68</v>
      </c>
      <c r="I262" s="5">
        <f t="shared" si="104"/>
        <v>-27179150.82</v>
      </c>
      <c r="J262" s="5">
        <f t="shared" si="104"/>
        <v>-25519397.58</v>
      </c>
      <c r="K262" s="5">
        <f t="shared" si="104"/>
        <v>-23869747.25</v>
      </c>
      <c r="L262" s="5">
        <f t="shared" si="104"/>
        <v>-22411715.97</v>
      </c>
      <c r="M262" s="5">
        <f t="shared" si="104"/>
        <v>-14852165.36</v>
      </c>
      <c r="N262" s="5">
        <f t="shared" si="104"/>
        <v>-14281334.89</v>
      </c>
      <c r="O262" s="5">
        <f t="shared" si="104"/>
        <v>-20377141.8</v>
      </c>
      <c r="P262" s="5">
        <f t="shared" si="104"/>
        <v>-19633543.86</v>
      </c>
      <c r="Q262" s="5">
        <f t="shared" si="104"/>
        <v>-18922902.59</v>
      </c>
      <c r="R262" s="5">
        <f t="shared" si="104"/>
        <v>-18242484.3</v>
      </c>
      <c r="S262" s="5">
        <f t="shared" si="104"/>
        <v>-17590011.25</v>
      </c>
      <c r="T262" s="5">
        <f t="shared" si="104"/>
        <v>-16963563.59</v>
      </c>
      <c r="U262" s="5">
        <f t="shared" si="104"/>
        <v>-16361503.37</v>
      </c>
      <c r="V262" s="5">
        <f t="shared" si="104"/>
        <v>-15782415.76</v>
      </c>
      <c r="W262" s="5">
        <f t="shared" si="104"/>
        <v>-15390257.78</v>
      </c>
      <c r="X262" s="5">
        <f t="shared" si="104"/>
        <v>-14695508.2</v>
      </c>
      <c r="Y262" s="5">
        <f t="shared" si="104"/>
        <v>-14269751.2</v>
      </c>
      <c r="Z262" s="5">
        <f t="shared" si="104"/>
        <v>-13749022.75</v>
      </c>
      <c r="AA262" s="5">
        <f t="shared" si="104"/>
        <v>-13251373.26</v>
      </c>
      <c r="AB262" s="5">
        <f t="shared" si="104"/>
        <v>-12774888.39</v>
      </c>
      <c r="AC262" s="5">
        <f t="shared" si="104"/>
        <v>-12317973.08</v>
      </c>
      <c r="AD262" s="5">
        <f t="shared" si="104"/>
        <v>-11879282.89</v>
      </c>
      <c r="AE262" s="5">
        <f t="shared" si="104"/>
        <v>-11457670.79</v>
      </c>
      <c r="AF262" s="5">
        <f t="shared" si="104"/>
        <v>-11052146</v>
      </c>
      <c r="AG262" s="5">
        <f t="shared" si="104"/>
        <v>-10777524.72</v>
      </c>
      <c r="AH262" s="5">
        <f t="shared" si="104"/>
        <v>-10291003.9</v>
      </c>
      <c r="AI262" s="5">
        <f t="shared" si="104"/>
        <v>-9992853.823</v>
      </c>
      <c r="AJ262" s="5">
        <f t="shared" si="104"/>
        <v>-9628196.917</v>
      </c>
      <c r="AK262" s="5">
        <f t="shared" si="104"/>
        <v>-9279701.803</v>
      </c>
    </row>
    <row r="263" ht="14.25" customHeight="1">
      <c r="B263" s="15" t="s">
        <v>130</v>
      </c>
      <c r="C263" s="5">
        <f t="shared" ref="C263:AK263" si="105">C254*C256</f>
        <v>-10986394.8</v>
      </c>
      <c r="D263" s="5">
        <f t="shared" si="105"/>
        <v>-9946250.838</v>
      </c>
      <c r="E263" s="5">
        <f t="shared" si="105"/>
        <v>-8979515.669</v>
      </c>
      <c r="F263" s="5">
        <f t="shared" si="105"/>
        <v>-8079119.848</v>
      </c>
      <c r="G263" s="5">
        <f t="shared" si="105"/>
        <v>-7239129.604</v>
      </c>
      <c r="H263" s="5">
        <f t="shared" si="105"/>
        <v>-6454509.4</v>
      </c>
      <c r="I263" s="5">
        <f t="shared" si="105"/>
        <v>-5720937.698</v>
      </c>
      <c r="J263" s="5">
        <f t="shared" si="105"/>
        <v>-4812221.912</v>
      </c>
      <c r="K263" s="5">
        <f t="shared" si="105"/>
        <v>-3887322.735</v>
      </c>
      <c r="L263" s="5">
        <f t="shared" si="105"/>
        <v>-3128676.312</v>
      </c>
      <c r="M263" s="5">
        <f t="shared" si="105"/>
        <v>3755967.912</v>
      </c>
      <c r="N263" s="5">
        <f t="shared" si="105"/>
        <v>3675513.716</v>
      </c>
      <c r="O263" s="5">
        <f t="shared" si="105"/>
        <v>-3048782.897</v>
      </c>
      <c r="P263" s="5">
        <f t="shared" si="105"/>
        <v>-2911677.522</v>
      </c>
      <c r="Q263" s="5">
        <f t="shared" si="105"/>
        <v>-2786301.573</v>
      </c>
      <c r="R263" s="5">
        <f t="shared" si="105"/>
        <v>-2670664.312</v>
      </c>
      <c r="S263" s="5">
        <f t="shared" si="105"/>
        <v>-2563204.964</v>
      </c>
      <c r="T263" s="5">
        <f t="shared" si="105"/>
        <v>-2462695.523</v>
      </c>
      <c r="U263" s="5">
        <f t="shared" si="105"/>
        <v>-2368165.69</v>
      </c>
      <c r="V263" s="5">
        <f t="shared" si="105"/>
        <v>-2278844.892</v>
      </c>
      <c r="W263" s="5">
        <f t="shared" si="105"/>
        <v>-2359311.896</v>
      </c>
      <c r="X263" s="5">
        <f t="shared" si="105"/>
        <v>-2120645.42</v>
      </c>
      <c r="Y263" s="5">
        <f t="shared" si="105"/>
        <v>-2135008.621</v>
      </c>
      <c r="Z263" s="5">
        <f t="shared" si="105"/>
        <v>-2038996.157</v>
      </c>
      <c r="AA263" s="5">
        <f t="shared" si="105"/>
        <v>-1951197.602</v>
      </c>
      <c r="AB263" s="5">
        <f t="shared" si="105"/>
        <v>-1870218.878</v>
      </c>
      <c r="AC263" s="5">
        <f t="shared" si="105"/>
        <v>-1794967.001</v>
      </c>
      <c r="AD263" s="5">
        <f t="shared" si="105"/>
        <v>-1724582.022</v>
      </c>
      <c r="AE263" s="5">
        <f t="shared" si="105"/>
        <v>-1658384.455</v>
      </c>
      <c r="AF263" s="5">
        <f t="shared" si="105"/>
        <v>-1595834.684</v>
      </c>
      <c r="AG263" s="5">
        <f t="shared" si="105"/>
        <v>-1652184.3</v>
      </c>
      <c r="AH263" s="5">
        <f t="shared" si="105"/>
        <v>-1485050.398</v>
      </c>
      <c r="AI263" s="5">
        <f t="shared" si="105"/>
        <v>-1495108.692</v>
      </c>
      <c r="AJ263" s="5">
        <f t="shared" si="105"/>
        <v>-1427872.866</v>
      </c>
      <c r="AK263" s="5">
        <f t="shared" si="105"/>
        <v>-1366389.094</v>
      </c>
    </row>
    <row r="264" ht="14.25" customHeight="1">
      <c r="B264" s="15" t="s">
        <v>132</v>
      </c>
      <c r="C264" s="5">
        <f t="shared" ref="C264:AK264" si="106">C259/1000000</f>
        <v>-26.57233227</v>
      </c>
      <c r="D264" s="5">
        <f t="shared" si="106"/>
        <v>-25.64230064</v>
      </c>
      <c r="E264" s="5">
        <f t="shared" si="106"/>
        <v>-24.74482012</v>
      </c>
      <c r="F264" s="5">
        <f t="shared" si="106"/>
        <v>-23.87875141</v>
      </c>
      <c r="G264" s="5">
        <f t="shared" si="106"/>
        <v>-23.04299511</v>
      </c>
      <c r="H264" s="5">
        <f t="shared" si="106"/>
        <v>-22.23649028</v>
      </c>
      <c r="I264" s="5">
        <f t="shared" si="106"/>
        <v>-21.45821312</v>
      </c>
      <c r="J264" s="5">
        <f t="shared" si="106"/>
        <v>-20.70717566</v>
      </c>
      <c r="K264" s="5">
        <f t="shared" si="106"/>
        <v>-19.98242452</v>
      </c>
      <c r="L264" s="5">
        <f t="shared" si="106"/>
        <v>-19.28303966</v>
      </c>
      <c r="M264" s="5">
        <f t="shared" si="106"/>
        <v>-18.60813327</v>
      </c>
      <c r="N264" s="5">
        <f t="shared" si="106"/>
        <v>-17.95684861</v>
      </c>
      <c r="O264" s="5">
        <f t="shared" si="106"/>
        <v>-17.3283589</v>
      </c>
      <c r="P264" s="5">
        <f t="shared" si="106"/>
        <v>-16.72186634</v>
      </c>
      <c r="Q264" s="5">
        <f t="shared" si="106"/>
        <v>-16.13660102</v>
      </c>
      <c r="R264" s="5">
        <f t="shared" si="106"/>
        <v>-15.57181998</v>
      </c>
      <c r="S264" s="5">
        <f t="shared" si="106"/>
        <v>-15.02680629</v>
      </c>
      <c r="T264" s="5">
        <f t="shared" si="106"/>
        <v>-14.50086807</v>
      </c>
      <c r="U264" s="5">
        <f t="shared" si="106"/>
        <v>-13.99333768</v>
      </c>
      <c r="V264" s="5">
        <f t="shared" si="106"/>
        <v>-13.50357086</v>
      </c>
      <c r="W264" s="5">
        <f t="shared" si="106"/>
        <v>-13.03094588</v>
      </c>
      <c r="X264" s="5">
        <f t="shared" si="106"/>
        <v>-12.57486278</v>
      </c>
      <c r="Y264" s="5">
        <f t="shared" si="106"/>
        <v>-12.13474258</v>
      </c>
      <c r="Z264" s="5">
        <f t="shared" si="106"/>
        <v>-11.71002659</v>
      </c>
      <c r="AA264" s="5">
        <f t="shared" si="106"/>
        <v>-11.30017566</v>
      </c>
      <c r="AB264" s="5">
        <f t="shared" si="106"/>
        <v>-10.90466951</v>
      </c>
      <c r="AC264" s="5">
        <f t="shared" si="106"/>
        <v>-10.52300608</v>
      </c>
      <c r="AD264" s="5">
        <f t="shared" si="106"/>
        <v>-10.15470087</v>
      </c>
      <c r="AE264" s="5">
        <f t="shared" si="106"/>
        <v>-9.799286336</v>
      </c>
      <c r="AF264" s="5">
        <f t="shared" si="106"/>
        <v>-9.456311314</v>
      </c>
      <c r="AG264" s="5">
        <f t="shared" si="106"/>
        <v>-9.125340418</v>
      </c>
      <c r="AH264" s="5">
        <f t="shared" si="106"/>
        <v>-8.805953503</v>
      </c>
      <c r="AI264" s="5">
        <f t="shared" si="106"/>
        <v>-8.497745131</v>
      </c>
      <c r="AJ264" s="5">
        <f t="shared" si="106"/>
        <v>-8.200324051</v>
      </c>
      <c r="AK264" s="5">
        <f t="shared" si="106"/>
        <v>-7.913312709</v>
      </c>
    </row>
    <row r="265" ht="14.25" customHeight="1">
      <c r="B265" s="15" t="s">
        <v>133</v>
      </c>
      <c r="C265" s="5">
        <f t="shared" ref="C265:AK265" si="107">C260/1000000</f>
        <v>-44.19925393</v>
      </c>
      <c r="D265" s="5">
        <f t="shared" si="107"/>
        <v>-41.32202967</v>
      </c>
      <c r="E265" s="5">
        <f t="shared" si="107"/>
        <v>-38.69293557</v>
      </c>
      <c r="F265" s="5">
        <f t="shared" si="107"/>
        <v>-36.27911746</v>
      </c>
      <c r="G265" s="5">
        <f t="shared" si="107"/>
        <v>-34.05343506</v>
      </c>
      <c r="H265" s="5">
        <f t="shared" si="107"/>
        <v>-31.99336033</v>
      </c>
      <c r="I265" s="5">
        <f t="shared" si="107"/>
        <v>-30.08009573</v>
      </c>
      <c r="J265" s="5">
        <f t="shared" si="107"/>
        <v>-28.07542586</v>
      </c>
      <c r="K265" s="5">
        <f t="shared" si="107"/>
        <v>-26.12828675</v>
      </c>
      <c r="L265" s="5">
        <f t="shared" si="107"/>
        <v>-24.41277952</v>
      </c>
      <c r="M265" s="5">
        <f t="shared" si="107"/>
        <v>-16.62955323</v>
      </c>
      <c r="N265" s="5">
        <f t="shared" si="107"/>
        <v>-15.86359997</v>
      </c>
      <c r="O265" s="5">
        <f t="shared" si="107"/>
        <v>-23.47826746</v>
      </c>
      <c r="P265" s="5">
        <f t="shared" si="107"/>
        <v>-22.25398423</v>
      </c>
      <c r="Q265" s="5">
        <f t="shared" si="107"/>
        <v>-21.14537853</v>
      </c>
      <c r="R265" s="5">
        <f t="shared" si="107"/>
        <v>-20.1345459</v>
      </c>
      <c r="S265" s="5">
        <f t="shared" si="107"/>
        <v>-19.20691608</v>
      </c>
      <c r="T265" s="5">
        <f t="shared" si="107"/>
        <v>-18.35059961</v>
      </c>
      <c r="U265" s="5">
        <f t="shared" si="107"/>
        <v>-17.55586456</v>
      </c>
      <c r="V265" s="5">
        <f t="shared" si="107"/>
        <v>-16.81475896</v>
      </c>
      <c r="W265" s="5">
        <f t="shared" si="107"/>
        <v>-16.28585903</v>
      </c>
      <c r="X265" s="5">
        <f t="shared" si="107"/>
        <v>-15.47518667</v>
      </c>
      <c r="Y265" s="5">
        <f t="shared" si="107"/>
        <v>-14.95084851</v>
      </c>
      <c r="Z265" s="5">
        <f t="shared" si="107"/>
        <v>-14.34596749</v>
      </c>
      <c r="AA265" s="5">
        <f t="shared" si="107"/>
        <v>-14.87800338</v>
      </c>
      <c r="AB265" s="5">
        <f t="shared" si="107"/>
        <v>-14.12372433</v>
      </c>
      <c r="AC265" s="5">
        <f t="shared" si="107"/>
        <v>-13.43974267</v>
      </c>
      <c r="AD265" s="5">
        <f t="shared" si="107"/>
        <v>-12.81511086</v>
      </c>
      <c r="AE265" s="5">
        <f t="shared" si="107"/>
        <v>-12.24092955</v>
      </c>
      <c r="AF265" s="5">
        <f t="shared" si="107"/>
        <v>-11.7099758</v>
      </c>
      <c r="AG265" s="5">
        <f t="shared" si="107"/>
        <v>-11.33198716</v>
      </c>
      <c r="AH265" s="5">
        <f t="shared" si="107"/>
        <v>-10.76000362</v>
      </c>
      <c r="AI265" s="5">
        <f t="shared" si="107"/>
        <v>-10.39104356</v>
      </c>
      <c r="AJ265" s="5">
        <f t="shared" si="107"/>
        <v>-9.967547664</v>
      </c>
      <c r="AK265" s="5">
        <f t="shared" si="107"/>
        <v>-9.570011079</v>
      </c>
    </row>
    <row r="266" ht="14.25" customHeight="1">
      <c r="B266" s="15" t="s">
        <v>134</v>
      </c>
      <c r="C266" s="5">
        <f t="shared" ref="C266:AK266" si="108">C261/1000000</f>
        <v>-17.62692166</v>
      </c>
      <c r="D266" s="5">
        <f t="shared" si="108"/>
        <v>-15.67972903</v>
      </c>
      <c r="E266" s="5">
        <f t="shared" si="108"/>
        <v>-13.94811545</v>
      </c>
      <c r="F266" s="5">
        <f t="shared" si="108"/>
        <v>-12.40036605</v>
      </c>
      <c r="G266" s="5">
        <f t="shared" si="108"/>
        <v>-11.01043995</v>
      </c>
      <c r="H266" s="5">
        <f t="shared" si="108"/>
        <v>-9.756870051</v>
      </c>
      <c r="I266" s="5">
        <f t="shared" si="108"/>
        <v>-8.621882604</v>
      </c>
      <c r="J266" s="5">
        <f t="shared" si="108"/>
        <v>-7.368250197</v>
      </c>
      <c r="K266" s="5">
        <f t="shared" si="108"/>
        <v>-6.145862239</v>
      </c>
      <c r="L266" s="5">
        <f t="shared" si="108"/>
        <v>-5.129739859</v>
      </c>
      <c r="M266" s="5">
        <f t="shared" si="108"/>
        <v>1.97858004</v>
      </c>
      <c r="N266" s="5">
        <f t="shared" si="108"/>
        <v>2.093248632</v>
      </c>
      <c r="O266" s="5">
        <f t="shared" si="108"/>
        <v>-6.149908561</v>
      </c>
      <c r="P266" s="5">
        <f t="shared" si="108"/>
        <v>-5.532117886</v>
      </c>
      <c r="Q266" s="5">
        <f t="shared" si="108"/>
        <v>-5.008777506</v>
      </c>
      <c r="R266" s="5">
        <f t="shared" si="108"/>
        <v>-4.562725914</v>
      </c>
      <c r="S266" s="5">
        <f t="shared" si="108"/>
        <v>-4.180109799</v>
      </c>
      <c r="T266" s="5">
        <f t="shared" si="108"/>
        <v>-3.849731548</v>
      </c>
      <c r="U266" s="5">
        <f t="shared" si="108"/>
        <v>-3.562526876</v>
      </c>
      <c r="V266" s="5">
        <f t="shared" si="108"/>
        <v>-3.311188094</v>
      </c>
      <c r="W266" s="5">
        <f t="shared" si="108"/>
        <v>-3.254913143</v>
      </c>
      <c r="X266" s="5">
        <f t="shared" si="108"/>
        <v>-2.90032389</v>
      </c>
      <c r="Y266" s="5">
        <f t="shared" si="108"/>
        <v>-2.816105926</v>
      </c>
      <c r="Z266" s="5">
        <f t="shared" si="108"/>
        <v>-2.635940895</v>
      </c>
      <c r="AA266" s="5">
        <f t="shared" si="108"/>
        <v>-3.577827723</v>
      </c>
      <c r="AB266" s="5">
        <f t="shared" si="108"/>
        <v>-3.219054815</v>
      </c>
      <c r="AC266" s="5">
        <f t="shared" si="108"/>
        <v>-2.916736587</v>
      </c>
      <c r="AD266" s="5">
        <f t="shared" si="108"/>
        <v>-2.660409991</v>
      </c>
      <c r="AE266" s="5">
        <f t="shared" si="108"/>
        <v>-2.441643215</v>
      </c>
      <c r="AF266" s="5">
        <f t="shared" si="108"/>
        <v>-2.253664485</v>
      </c>
      <c r="AG266" s="5">
        <f t="shared" si="108"/>
        <v>-2.206646739</v>
      </c>
      <c r="AH266" s="5">
        <f t="shared" si="108"/>
        <v>-1.954050122</v>
      </c>
      <c r="AI266" s="5">
        <f t="shared" si="108"/>
        <v>-1.893298432</v>
      </c>
      <c r="AJ266" s="5">
        <f t="shared" si="108"/>
        <v>-1.767223613</v>
      </c>
      <c r="AK266" s="5">
        <f t="shared" si="108"/>
        <v>-1.656698369</v>
      </c>
    </row>
    <row r="267" ht="14.25" customHeight="1">
      <c r="B267" s="15" t="s">
        <v>135</v>
      </c>
      <c r="C267" s="5">
        <f t="shared" ref="C267:AK267" si="109">C262/1000000</f>
        <v>-37.55872707</v>
      </c>
      <c r="D267" s="5">
        <f t="shared" si="109"/>
        <v>-35.58855148</v>
      </c>
      <c r="E267" s="5">
        <f t="shared" si="109"/>
        <v>-33.72433578</v>
      </c>
      <c r="F267" s="5">
        <f t="shared" si="109"/>
        <v>-31.95787126</v>
      </c>
      <c r="G267" s="5">
        <f t="shared" si="109"/>
        <v>-30.28212472</v>
      </c>
      <c r="H267" s="5">
        <f t="shared" si="109"/>
        <v>-28.69099968</v>
      </c>
      <c r="I267" s="5">
        <f t="shared" si="109"/>
        <v>-27.17915082</v>
      </c>
      <c r="J267" s="5">
        <f t="shared" si="109"/>
        <v>-25.51939758</v>
      </c>
      <c r="K267" s="5">
        <f t="shared" si="109"/>
        <v>-23.86974725</v>
      </c>
      <c r="L267" s="5">
        <f t="shared" si="109"/>
        <v>-22.41171597</v>
      </c>
      <c r="M267" s="5">
        <f t="shared" si="109"/>
        <v>-14.85216536</v>
      </c>
      <c r="N267" s="5">
        <f t="shared" si="109"/>
        <v>-14.28133489</v>
      </c>
      <c r="O267" s="5">
        <f t="shared" si="109"/>
        <v>-20.3771418</v>
      </c>
      <c r="P267" s="5">
        <f t="shared" si="109"/>
        <v>-19.63354386</v>
      </c>
      <c r="Q267" s="5">
        <f t="shared" si="109"/>
        <v>-18.92290259</v>
      </c>
      <c r="R267" s="5">
        <f t="shared" si="109"/>
        <v>-18.2424843</v>
      </c>
      <c r="S267" s="5">
        <f t="shared" si="109"/>
        <v>-17.59001125</v>
      </c>
      <c r="T267" s="5">
        <f t="shared" si="109"/>
        <v>-16.96356359</v>
      </c>
      <c r="U267" s="5">
        <f t="shared" si="109"/>
        <v>-16.36150337</v>
      </c>
      <c r="V267" s="5">
        <f t="shared" si="109"/>
        <v>-15.78241576</v>
      </c>
      <c r="W267" s="5">
        <f t="shared" si="109"/>
        <v>-15.39025778</v>
      </c>
      <c r="X267" s="5">
        <f t="shared" si="109"/>
        <v>-14.6955082</v>
      </c>
      <c r="Y267" s="5">
        <f t="shared" si="109"/>
        <v>-14.2697512</v>
      </c>
      <c r="Z267" s="5">
        <f t="shared" si="109"/>
        <v>-13.74902275</v>
      </c>
      <c r="AA267" s="5">
        <f t="shared" si="109"/>
        <v>-13.25137326</v>
      </c>
      <c r="AB267" s="5">
        <f t="shared" si="109"/>
        <v>-12.77488839</v>
      </c>
      <c r="AC267" s="5">
        <f t="shared" si="109"/>
        <v>-12.31797308</v>
      </c>
      <c r="AD267" s="5">
        <f t="shared" si="109"/>
        <v>-11.87928289</v>
      </c>
      <c r="AE267" s="5">
        <f t="shared" si="109"/>
        <v>-11.45767079</v>
      </c>
      <c r="AF267" s="5">
        <f t="shared" si="109"/>
        <v>-11.052146</v>
      </c>
      <c r="AG267" s="5">
        <f t="shared" si="109"/>
        <v>-10.77752472</v>
      </c>
      <c r="AH267" s="5">
        <f t="shared" si="109"/>
        <v>-10.2910039</v>
      </c>
      <c r="AI267" s="5">
        <f t="shared" si="109"/>
        <v>-9.992853823</v>
      </c>
      <c r="AJ267" s="5">
        <f t="shared" si="109"/>
        <v>-9.628196917</v>
      </c>
      <c r="AK267" s="5">
        <f t="shared" si="109"/>
        <v>-9.279701803</v>
      </c>
    </row>
    <row r="268" ht="14.25" customHeight="1">
      <c r="B268" s="15" t="s">
        <v>130</v>
      </c>
      <c r="C268" s="5">
        <f t="shared" ref="C268:AK268" si="110">C263/1000000</f>
        <v>-10.9863948</v>
      </c>
      <c r="D268" s="5">
        <f t="shared" si="110"/>
        <v>-9.946250838</v>
      </c>
      <c r="E268" s="5">
        <f t="shared" si="110"/>
        <v>-8.979515669</v>
      </c>
      <c r="F268" s="5">
        <f t="shared" si="110"/>
        <v>-8.079119848</v>
      </c>
      <c r="G268" s="5">
        <f t="shared" si="110"/>
        <v>-7.239129604</v>
      </c>
      <c r="H268" s="5">
        <f t="shared" si="110"/>
        <v>-6.4545094</v>
      </c>
      <c r="I268" s="5">
        <f t="shared" si="110"/>
        <v>-5.720937698</v>
      </c>
      <c r="J268" s="5">
        <f t="shared" si="110"/>
        <v>-4.812221912</v>
      </c>
      <c r="K268" s="5">
        <f t="shared" si="110"/>
        <v>-3.887322735</v>
      </c>
      <c r="L268" s="5">
        <f t="shared" si="110"/>
        <v>-3.128676312</v>
      </c>
      <c r="M268" s="5">
        <f t="shared" si="110"/>
        <v>3.755967912</v>
      </c>
      <c r="N268" s="5">
        <f t="shared" si="110"/>
        <v>3.675513716</v>
      </c>
      <c r="O268" s="5">
        <f t="shared" si="110"/>
        <v>-3.048782897</v>
      </c>
      <c r="P268" s="5">
        <f t="shared" si="110"/>
        <v>-2.911677522</v>
      </c>
      <c r="Q268" s="5">
        <f t="shared" si="110"/>
        <v>-2.786301573</v>
      </c>
      <c r="R268" s="5">
        <f t="shared" si="110"/>
        <v>-2.670664312</v>
      </c>
      <c r="S268" s="5">
        <f t="shared" si="110"/>
        <v>-2.563204964</v>
      </c>
      <c r="T268" s="5">
        <f t="shared" si="110"/>
        <v>-2.462695523</v>
      </c>
      <c r="U268" s="5">
        <f t="shared" si="110"/>
        <v>-2.36816569</v>
      </c>
      <c r="V268" s="5">
        <f t="shared" si="110"/>
        <v>-2.278844892</v>
      </c>
      <c r="W268" s="5">
        <f t="shared" si="110"/>
        <v>-2.359311896</v>
      </c>
      <c r="X268" s="5">
        <f t="shared" si="110"/>
        <v>-2.12064542</v>
      </c>
      <c r="Y268" s="5">
        <f t="shared" si="110"/>
        <v>-2.135008621</v>
      </c>
      <c r="Z268" s="5">
        <f t="shared" si="110"/>
        <v>-2.038996157</v>
      </c>
      <c r="AA268" s="5">
        <f t="shared" si="110"/>
        <v>-1.951197602</v>
      </c>
      <c r="AB268" s="5">
        <f t="shared" si="110"/>
        <v>-1.870218878</v>
      </c>
      <c r="AC268" s="5">
        <f t="shared" si="110"/>
        <v>-1.794967001</v>
      </c>
      <c r="AD268" s="5">
        <f t="shared" si="110"/>
        <v>-1.724582022</v>
      </c>
      <c r="AE268" s="5">
        <f t="shared" si="110"/>
        <v>-1.658384455</v>
      </c>
      <c r="AF268" s="5">
        <f t="shared" si="110"/>
        <v>-1.595834684</v>
      </c>
      <c r="AG268" s="5">
        <f t="shared" si="110"/>
        <v>-1.6521843</v>
      </c>
      <c r="AH268" s="5">
        <f t="shared" si="110"/>
        <v>-1.485050398</v>
      </c>
      <c r="AI268" s="5">
        <f t="shared" si="110"/>
        <v>-1.495108692</v>
      </c>
      <c r="AJ268" s="5">
        <f t="shared" si="110"/>
        <v>-1.427872866</v>
      </c>
      <c r="AK268" s="5">
        <f t="shared" si="110"/>
        <v>-1.366389094</v>
      </c>
    </row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5" t="s">
        <v>136</v>
      </c>
      <c r="C1" s="15" t="s">
        <v>137</v>
      </c>
    </row>
    <row r="3">
      <c r="A3" s="15" t="s">
        <v>85</v>
      </c>
      <c r="B3" s="15">
        <v>1.0</v>
      </c>
      <c r="C3" s="15">
        <v>2.0</v>
      </c>
      <c r="D3" s="15">
        <v>3.0</v>
      </c>
      <c r="E3" s="15">
        <v>4.0</v>
      </c>
      <c r="F3" s="15">
        <v>5.0</v>
      </c>
      <c r="G3" s="15">
        <v>6.0</v>
      </c>
      <c r="H3" s="15">
        <v>7.0</v>
      </c>
      <c r="I3" s="15">
        <v>8.0</v>
      </c>
      <c r="J3" s="15">
        <v>9.0</v>
      </c>
      <c r="K3" s="15">
        <v>10.0</v>
      </c>
      <c r="L3" s="15">
        <v>11.0</v>
      </c>
      <c r="M3" s="15">
        <v>12.0</v>
      </c>
      <c r="N3" s="15">
        <v>13.0</v>
      </c>
    </row>
    <row r="4">
      <c r="A4" s="15" t="s">
        <v>138</v>
      </c>
      <c r="B4" s="15">
        <v>304500.0</v>
      </c>
      <c r="C4" s="5">
        <f t="shared" ref="C4:N4" si="1">B4-B5</f>
        <v>253750</v>
      </c>
      <c r="D4" s="5">
        <f t="shared" si="1"/>
        <v>211458.3333</v>
      </c>
      <c r="E4" s="5">
        <f t="shared" si="1"/>
        <v>176215.2778</v>
      </c>
      <c r="F4" s="5">
        <f t="shared" si="1"/>
        <v>146846.0648</v>
      </c>
      <c r="G4" s="5">
        <f t="shared" si="1"/>
        <v>122371.7207</v>
      </c>
      <c r="H4" s="5">
        <f t="shared" si="1"/>
        <v>101976.4339</v>
      </c>
      <c r="I4" s="5">
        <f t="shared" si="1"/>
        <v>84980.36158</v>
      </c>
      <c r="J4" s="5">
        <f t="shared" si="1"/>
        <v>70816.96799</v>
      </c>
      <c r="K4" s="5">
        <f t="shared" si="1"/>
        <v>59014.13999</v>
      </c>
      <c r="L4" s="5">
        <f t="shared" si="1"/>
        <v>49178.44999</v>
      </c>
      <c r="M4" s="5">
        <f t="shared" si="1"/>
        <v>40982.04166</v>
      </c>
      <c r="N4" s="5">
        <f t="shared" si="1"/>
        <v>34151.70138</v>
      </c>
    </row>
    <row r="5">
      <c r="A5" s="15" t="s">
        <v>139</v>
      </c>
      <c r="B5" s="5">
        <f t="shared" ref="B5:M5" si="2">B4*2/12</f>
        <v>50750</v>
      </c>
      <c r="C5" s="5">
        <f t="shared" si="2"/>
        <v>42291.66667</v>
      </c>
      <c r="D5" s="5">
        <f t="shared" si="2"/>
        <v>35243.05556</v>
      </c>
      <c r="E5" s="5">
        <f t="shared" si="2"/>
        <v>29369.21296</v>
      </c>
      <c r="F5" s="5">
        <f t="shared" si="2"/>
        <v>24474.34414</v>
      </c>
      <c r="G5" s="5">
        <f t="shared" si="2"/>
        <v>20395.28678</v>
      </c>
      <c r="H5" s="5">
        <f t="shared" si="2"/>
        <v>16996.07232</v>
      </c>
      <c r="I5" s="5">
        <f t="shared" si="2"/>
        <v>14163.3936</v>
      </c>
      <c r="J5" s="5">
        <f t="shared" si="2"/>
        <v>11802.828</v>
      </c>
      <c r="K5" s="5">
        <f t="shared" si="2"/>
        <v>9835.689998</v>
      </c>
      <c r="L5" s="5">
        <f t="shared" si="2"/>
        <v>8196.408332</v>
      </c>
      <c r="M5" s="5">
        <f t="shared" si="2"/>
        <v>6830.340276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4.25"/>
  </cols>
  <sheetData>
    <row r="3">
      <c r="B3" s="15" t="s">
        <v>85</v>
      </c>
      <c r="C3" s="15">
        <v>1.0</v>
      </c>
      <c r="D3" s="15">
        <v>2.0</v>
      </c>
      <c r="E3" s="15">
        <v>3.0</v>
      </c>
      <c r="F3" s="15">
        <v>4.0</v>
      </c>
      <c r="G3" s="15">
        <v>5.0</v>
      </c>
      <c r="H3" s="15">
        <v>6.0</v>
      </c>
      <c r="I3" s="15">
        <v>7.0</v>
      </c>
      <c r="J3" s="15">
        <v>8.0</v>
      </c>
      <c r="K3" s="15">
        <v>9.0</v>
      </c>
      <c r="L3" s="15">
        <v>10.0</v>
      </c>
      <c r="M3" s="15">
        <v>11.0</v>
      </c>
      <c r="N3" s="15">
        <v>12.0</v>
      </c>
      <c r="O3" s="15">
        <v>13.0</v>
      </c>
      <c r="P3" s="15">
        <v>14.0</v>
      </c>
      <c r="Q3" s="15">
        <v>15.0</v>
      </c>
      <c r="R3" s="15">
        <v>16.0</v>
      </c>
      <c r="S3" s="15">
        <v>17.0</v>
      </c>
      <c r="T3" s="15">
        <v>18.0</v>
      </c>
      <c r="U3" s="15">
        <v>19.0</v>
      </c>
      <c r="V3" s="15">
        <v>20.0</v>
      </c>
      <c r="W3" s="15">
        <v>21.0</v>
      </c>
      <c r="X3" s="15">
        <v>22.0</v>
      </c>
      <c r="Y3" s="15">
        <v>23.0</v>
      </c>
      <c r="Z3" s="15">
        <v>24.0</v>
      </c>
      <c r="AA3" s="15">
        <v>25.0</v>
      </c>
      <c r="AB3" s="15">
        <v>26.0</v>
      </c>
      <c r="AC3" s="15">
        <v>27.0</v>
      </c>
      <c r="AD3" s="15">
        <v>28.0</v>
      </c>
      <c r="AE3" s="15">
        <v>29.0</v>
      </c>
      <c r="AF3" s="15">
        <v>30.0</v>
      </c>
      <c r="AG3" s="15">
        <v>31.0</v>
      </c>
      <c r="AH3" s="15">
        <v>32.0</v>
      </c>
      <c r="AI3" s="15">
        <v>33.0</v>
      </c>
      <c r="AJ3" s="15">
        <v>34.0</v>
      </c>
      <c r="AK3" s="15">
        <v>35.0</v>
      </c>
      <c r="AL3" s="15"/>
      <c r="AM3" s="15"/>
      <c r="AN3" s="15"/>
      <c r="AO3" s="15"/>
      <c r="AP3" s="15"/>
    </row>
    <row r="4">
      <c r="B4" s="15" t="s">
        <v>140</v>
      </c>
      <c r="C4" s="5">
        <v>-13.95637032833654</v>
      </c>
      <c r="D4" s="5">
        <v>-12.885111680812217</v>
      </c>
      <c r="E4" s="5">
        <v>-11.871744584962382</v>
      </c>
      <c r="F4" s="5">
        <v>-10.913528924013049</v>
      </c>
      <c r="G4" s="5">
        <v>-10.007845472213582</v>
      </c>
      <c r="H4" s="5">
        <v>-9.152190789108165</v>
      </c>
      <c r="I4" s="5">
        <v>-8.344172323116664</v>
      </c>
      <c r="J4" s="5">
        <v>-7.581503716027916</v>
      </c>
      <c r="K4" s="5">
        <v>-6.862000300339553</v>
      </c>
      <c r="L4" s="5">
        <v>-5.999176108672943</v>
      </c>
      <c r="M4" s="5">
        <v>1.5629827656124569</v>
      </c>
      <c r="N4" s="5">
        <v>1.5082783688160217</v>
      </c>
      <c r="O4" s="5">
        <v>0.7903227866044529</v>
      </c>
      <c r="P4" s="5">
        <v>0.12077645414590091</v>
      </c>
      <c r="Q4" s="5">
        <v>-0.502869780454142</v>
      </c>
      <c r="R4" s="5">
        <v>-1.0830087297885158</v>
      </c>
      <c r="S4" s="5">
        <v>-1.6219219371884224</v>
      </c>
      <c r="T4" s="5">
        <v>-2.1217845343763475</v>
      </c>
      <c r="U4" s="5">
        <v>-2.5846698953880614</v>
      </c>
      <c r="V4" s="5">
        <v>-3.0125540950743446</v>
      </c>
      <c r="W4" s="5">
        <v>-3.4073201801607365</v>
      </c>
      <c r="X4" s="5">
        <v>-3.758694803357877</v>
      </c>
      <c r="Y4" s="5">
        <v>-3.6271404852403477</v>
      </c>
      <c r="Z4" s="5">
        <v>-3.500190568256937</v>
      </c>
      <c r="AA4" s="5">
        <v>-3.377683898367945</v>
      </c>
      <c r="AB4" s="5">
        <v>-3.259464961925067</v>
      </c>
      <c r="AC4" s="5">
        <v>-3.1453836882576907</v>
      </c>
      <c r="AD4" s="5">
        <v>-3.0352952591686715</v>
      </c>
      <c r="AE4" s="5">
        <v>-2.9290599250977656</v>
      </c>
      <c r="AF4" s="5">
        <v>-2.8265428277193436</v>
      </c>
      <c r="AG4" s="5">
        <v>-2.727613828749167</v>
      </c>
      <c r="AH4" s="5">
        <v>-2.6321473447429464</v>
      </c>
      <c r="AI4" s="5">
        <v>-2.5400221876769438</v>
      </c>
      <c r="AJ4" s="5">
        <v>-2.4511214111082507</v>
      </c>
      <c r="AK4" s="5">
        <v>-2.365332161719462</v>
      </c>
    </row>
    <row r="5">
      <c r="B5" s="41" t="s">
        <v>130</v>
      </c>
      <c r="C5" s="5">
        <v>-10.98639480199007</v>
      </c>
      <c r="D5" s="5">
        <v>-9.94625083822788</v>
      </c>
      <c r="E5" s="5">
        <v>-8.979515669010967</v>
      </c>
      <c r="F5" s="5">
        <v>-8.079119847513931</v>
      </c>
      <c r="G5" s="5">
        <v>-7.239129604140098</v>
      </c>
      <c r="H5" s="5">
        <v>-6.45450940007484</v>
      </c>
      <c r="I5" s="5">
        <v>-5.720937697763158</v>
      </c>
      <c r="J5" s="5">
        <v>-4.812221911790364</v>
      </c>
      <c r="K5" s="5">
        <v>-3.887322734714175</v>
      </c>
      <c r="L5" s="5">
        <v>-3.128676312118705</v>
      </c>
      <c r="M5" s="5">
        <v>3.75596791199491</v>
      </c>
      <c r="N5" s="5">
        <v>3.675513716122507</v>
      </c>
      <c r="O5" s="5">
        <v>-3.0487828972206317</v>
      </c>
      <c r="P5" s="5">
        <v>-2.91167752198854</v>
      </c>
      <c r="Q5" s="5">
        <v>-2.786301572922673</v>
      </c>
      <c r="R5" s="5">
        <v>-2.67066431183566</v>
      </c>
      <c r="S5" s="5">
        <v>-2.563204963862607</v>
      </c>
      <c r="T5" s="5">
        <v>-2.462695523198019</v>
      </c>
      <c r="U5" s="5">
        <v>-2.3681656898165953</v>
      </c>
      <c r="V5" s="5">
        <v>-2.2788448923393645</v>
      </c>
      <c r="W5" s="5">
        <v>-2.3593118961216755</v>
      </c>
      <c r="X5" s="5">
        <v>-2.1206454204828646</v>
      </c>
      <c r="Y5" s="5">
        <v>-2.1350086206647836</v>
      </c>
      <c r="Z5" s="5">
        <v>-2.038996156698639</v>
      </c>
      <c r="AA5" s="5">
        <v>-1.9511976019626889</v>
      </c>
      <c r="AB5" s="5">
        <v>-1.8702188777918405</v>
      </c>
      <c r="AC5" s="5">
        <v>-1.7949670012142591</v>
      </c>
      <c r="AD5" s="5">
        <v>-1.7245820215318028</v>
      </c>
      <c r="AE5" s="5">
        <v>-1.6583844548361464</v>
      </c>
      <c r="AF5" s="5">
        <v>-1.5958346836496204</v>
      </c>
      <c r="AG5" s="5">
        <v>-1.6521843000525833</v>
      </c>
      <c r="AH5" s="5">
        <v>-1.485050397728128</v>
      </c>
      <c r="AI5" s="5">
        <v>-1.4951086922156378</v>
      </c>
      <c r="AJ5" s="5">
        <v>-1.427872865602384</v>
      </c>
      <c r="AK5" s="5">
        <v>-1.3663890940245351</v>
      </c>
    </row>
    <row r="6">
      <c r="B6" s="15" t="s">
        <v>141</v>
      </c>
      <c r="C6" s="15">
        <v>7.75371</v>
      </c>
      <c r="D6" s="15">
        <v>7.75371</v>
      </c>
      <c r="E6" s="15">
        <v>7.75371</v>
      </c>
      <c r="F6" s="15">
        <v>7.75371</v>
      </c>
      <c r="G6" s="15">
        <v>7.75371</v>
      </c>
      <c r="H6" s="15">
        <v>7.75371</v>
      </c>
      <c r="I6" s="15">
        <v>7.75371</v>
      </c>
      <c r="J6" s="15">
        <v>7.75371</v>
      </c>
      <c r="K6" s="15">
        <v>7.75371</v>
      </c>
      <c r="L6" s="15">
        <v>7.75371</v>
      </c>
      <c r="M6" s="15">
        <v>7.75371</v>
      </c>
      <c r="N6" s="15">
        <v>7.75371</v>
      </c>
      <c r="O6" s="15">
        <v>7.75371</v>
      </c>
      <c r="P6" s="15">
        <v>7.75371</v>
      </c>
      <c r="Q6" s="15">
        <v>7.75371</v>
      </c>
      <c r="R6" s="15">
        <v>7.75371</v>
      </c>
      <c r="S6" s="15">
        <v>7.75371</v>
      </c>
      <c r="T6" s="15">
        <v>7.75371</v>
      </c>
      <c r="U6" s="15">
        <v>7.75371</v>
      </c>
      <c r="V6" s="15">
        <v>7.75371</v>
      </c>
      <c r="W6" s="15">
        <v>7.75371</v>
      </c>
      <c r="X6" s="15">
        <v>7.75371</v>
      </c>
      <c r="Y6" s="15">
        <v>7.75371</v>
      </c>
      <c r="Z6" s="15">
        <v>7.75371</v>
      </c>
      <c r="AA6" s="15">
        <v>7.75371</v>
      </c>
      <c r="AB6" s="15">
        <v>7.75371</v>
      </c>
      <c r="AC6" s="15">
        <v>7.75371</v>
      </c>
      <c r="AD6" s="15">
        <v>7.75371</v>
      </c>
      <c r="AE6" s="15">
        <v>7.75371</v>
      </c>
      <c r="AF6" s="15">
        <v>7.75371</v>
      </c>
      <c r="AG6" s="15">
        <v>7.75371</v>
      </c>
      <c r="AH6" s="15">
        <v>7.75371</v>
      </c>
      <c r="AI6" s="15">
        <v>7.75371</v>
      </c>
      <c r="AJ6" s="15">
        <v>7.75371</v>
      </c>
      <c r="AK6" s="15">
        <v>7.75371</v>
      </c>
      <c r="AL6" s="15"/>
      <c r="AM6" s="15"/>
      <c r="AN6" s="15"/>
      <c r="AO6" s="15"/>
      <c r="AP6" s="15"/>
    </row>
    <row r="7">
      <c r="B7" s="15" t="s">
        <v>142</v>
      </c>
      <c r="C7" s="15">
        <v>15.50742</v>
      </c>
      <c r="D7" s="15">
        <v>15.50742</v>
      </c>
      <c r="E7" s="15">
        <v>15.50742</v>
      </c>
      <c r="F7" s="15">
        <v>15.50742</v>
      </c>
      <c r="G7" s="15">
        <v>15.50742</v>
      </c>
      <c r="H7" s="15">
        <v>15.50742</v>
      </c>
      <c r="I7" s="15">
        <v>15.50742</v>
      </c>
      <c r="J7" s="15">
        <v>15.50742</v>
      </c>
      <c r="K7" s="15">
        <v>15.50742</v>
      </c>
      <c r="L7" s="15">
        <v>15.50742</v>
      </c>
      <c r="M7" s="15">
        <v>15.50742</v>
      </c>
      <c r="N7" s="15">
        <v>15.50742</v>
      </c>
      <c r="O7" s="15">
        <v>15.50742</v>
      </c>
      <c r="P7" s="15">
        <v>15.50742</v>
      </c>
      <c r="Q7" s="15">
        <v>15.50742</v>
      </c>
      <c r="R7" s="15">
        <v>15.50742</v>
      </c>
      <c r="S7" s="15">
        <v>15.50742</v>
      </c>
      <c r="T7" s="15">
        <v>15.50742</v>
      </c>
      <c r="U7" s="15">
        <v>15.50742</v>
      </c>
      <c r="V7" s="15">
        <v>15.50742</v>
      </c>
      <c r="W7" s="15">
        <v>15.50742</v>
      </c>
      <c r="X7" s="15">
        <v>15.50742</v>
      </c>
      <c r="Y7" s="15">
        <v>15.50742</v>
      </c>
      <c r="Z7" s="15">
        <v>15.50742</v>
      </c>
      <c r="AA7" s="15">
        <v>15.50742</v>
      </c>
      <c r="AB7" s="15">
        <v>15.50742</v>
      </c>
      <c r="AC7" s="15">
        <v>15.50742</v>
      </c>
      <c r="AD7" s="15">
        <v>15.50742</v>
      </c>
      <c r="AE7" s="15">
        <v>15.50742</v>
      </c>
      <c r="AF7" s="15">
        <v>15.50742</v>
      </c>
      <c r="AG7" s="15">
        <v>15.50742</v>
      </c>
      <c r="AH7" s="15">
        <v>15.50742</v>
      </c>
      <c r="AI7" s="15">
        <v>15.50742</v>
      </c>
      <c r="AJ7" s="15">
        <v>15.50742</v>
      </c>
      <c r="AK7" s="15">
        <v>15.50742</v>
      </c>
    </row>
    <row r="8">
      <c r="B8" s="15" t="s">
        <v>143</v>
      </c>
      <c r="C8" s="5">
        <f t="shared" ref="C8:AK8" si="1">C5+C6</f>
        <v>-3.232684802</v>
      </c>
      <c r="D8" s="5">
        <f t="shared" si="1"/>
        <v>-2.192540838</v>
      </c>
      <c r="E8" s="5">
        <f t="shared" si="1"/>
        <v>-1.225805669</v>
      </c>
      <c r="F8" s="5">
        <f t="shared" si="1"/>
        <v>-0.3254098475</v>
      </c>
      <c r="G8" s="5">
        <f t="shared" si="1"/>
        <v>0.5145803959</v>
      </c>
      <c r="H8" s="5">
        <f t="shared" si="1"/>
        <v>1.2992006</v>
      </c>
      <c r="I8" s="5">
        <f t="shared" si="1"/>
        <v>2.032772302</v>
      </c>
      <c r="J8" s="5">
        <f t="shared" si="1"/>
        <v>2.941488088</v>
      </c>
      <c r="K8" s="5">
        <f t="shared" si="1"/>
        <v>3.866387265</v>
      </c>
      <c r="L8" s="5">
        <f t="shared" si="1"/>
        <v>4.625033688</v>
      </c>
      <c r="M8" s="5">
        <f t="shared" si="1"/>
        <v>11.50967791</v>
      </c>
      <c r="N8" s="5">
        <f t="shared" si="1"/>
        <v>11.42922372</v>
      </c>
      <c r="O8" s="5">
        <f t="shared" si="1"/>
        <v>4.704927103</v>
      </c>
      <c r="P8" s="5">
        <f t="shared" si="1"/>
        <v>4.842032478</v>
      </c>
      <c r="Q8" s="5">
        <f t="shared" si="1"/>
        <v>4.967408427</v>
      </c>
      <c r="R8" s="5">
        <f t="shared" si="1"/>
        <v>5.083045688</v>
      </c>
      <c r="S8" s="5">
        <f t="shared" si="1"/>
        <v>5.190505036</v>
      </c>
      <c r="T8" s="5">
        <f t="shared" si="1"/>
        <v>5.291014477</v>
      </c>
      <c r="U8" s="5">
        <f t="shared" si="1"/>
        <v>5.38554431</v>
      </c>
      <c r="V8" s="5">
        <f t="shared" si="1"/>
        <v>5.474865108</v>
      </c>
      <c r="W8" s="5">
        <f t="shared" si="1"/>
        <v>5.394398104</v>
      </c>
      <c r="X8" s="5">
        <f t="shared" si="1"/>
        <v>5.63306458</v>
      </c>
      <c r="Y8" s="5">
        <f t="shared" si="1"/>
        <v>5.618701379</v>
      </c>
      <c r="Z8" s="5">
        <f t="shared" si="1"/>
        <v>5.714713843</v>
      </c>
      <c r="AA8" s="5">
        <f t="shared" si="1"/>
        <v>5.802512398</v>
      </c>
      <c r="AB8" s="5">
        <f t="shared" si="1"/>
        <v>5.883491122</v>
      </c>
      <c r="AC8" s="5">
        <f t="shared" si="1"/>
        <v>5.958742999</v>
      </c>
      <c r="AD8" s="5">
        <f t="shared" si="1"/>
        <v>6.029127978</v>
      </c>
      <c r="AE8" s="5">
        <f t="shared" si="1"/>
        <v>6.095325545</v>
      </c>
      <c r="AF8" s="5">
        <f t="shared" si="1"/>
        <v>6.157875316</v>
      </c>
      <c r="AG8" s="5">
        <f t="shared" si="1"/>
        <v>6.1015257</v>
      </c>
      <c r="AH8" s="5">
        <f t="shared" si="1"/>
        <v>6.268659602</v>
      </c>
      <c r="AI8" s="5">
        <f t="shared" si="1"/>
        <v>6.258601308</v>
      </c>
      <c r="AJ8" s="5">
        <f t="shared" si="1"/>
        <v>6.325837134</v>
      </c>
      <c r="AK8" s="5">
        <f t="shared" si="1"/>
        <v>6.387320906</v>
      </c>
    </row>
    <row r="10">
      <c r="B10" s="15" t="s">
        <v>144</v>
      </c>
      <c r="C10" s="5">
        <f>C8</f>
        <v>-3.232684802</v>
      </c>
      <c r="D10" s="5">
        <f t="shared" ref="D10:AK10" si="2">C10+D8</f>
        <v>-5.42522564</v>
      </c>
      <c r="E10" s="5">
        <f t="shared" si="2"/>
        <v>-6.651031309</v>
      </c>
      <c r="F10" s="5">
        <f t="shared" si="2"/>
        <v>-6.976441157</v>
      </c>
      <c r="G10" s="5">
        <f t="shared" si="2"/>
        <v>-6.461860761</v>
      </c>
      <c r="H10" s="5">
        <f t="shared" si="2"/>
        <v>-5.162660161</v>
      </c>
      <c r="I10" s="5">
        <f t="shared" si="2"/>
        <v>-3.129887859</v>
      </c>
      <c r="J10" s="5">
        <f t="shared" si="2"/>
        <v>-0.1883997705</v>
      </c>
      <c r="K10" s="5">
        <f t="shared" si="2"/>
        <v>3.677987495</v>
      </c>
      <c r="L10" s="5">
        <f t="shared" si="2"/>
        <v>8.303021183</v>
      </c>
      <c r="M10" s="5">
        <f t="shared" si="2"/>
        <v>19.81269909</v>
      </c>
      <c r="N10" s="5">
        <f t="shared" si="2"/>
        <v>31.24192281</v>
      </c>
      <c r="O10" s="5">
        <f t="shared" si="2"/>
        <v>35.94684991</v>
      </c>
      <c r="P10" s="5">
        <f t="shared" si="2"/>
        <v>40.78888239</v>
      </c>
      <c r="Q10" s="5">
        <f t="shared" si="2"/>
        <v>45.75629082</v>
      </c>
      <c r="R10" s="5">
        <f t="shared" si="2"/>
        <v>50.83933651</v>
      </c>
      <c r="S10" s="5">
        <f t="shared" si="2"/>
        <v>56.02984154</v>
      </c>
      <c r="T10" s="5">
        <f t="shared" si="2"/>
        <v>61.32085602</v>
      </c>
      <c r="U10" s="5">
        <f t="shared" si="2"/>
        <v>66.70640033</v>
      </c>
      <c r="V10" s="5">
        <f t="shared" si="2"/>
        <v>72.18126544</v>
      </c>
      <c r="W10" s="5">
        <f t="shared" si="2"/>
        <v>77.57566354</v>
      </c>
      <c r="X10" s="5">
        <f t="shared" si="2"/>
        <v>83.20872812</v>
      </c>
      <c r="Y10" s="5">
        <f t="shared" si="2"/>
        <v>88.8274295</v>
      </c>
      <c r="Z10" s="5">
        <f t="shared" si="2"/>
        <v>94.54214334</v>
      </c>
      <c r="AA10" s="5">
        <f t="shared" si="2"/>
        <v>100.3446557</v>
      </c>
      <c r="AB10" s="5">
        <f t="shared" si="2"/>
        <v>106.2281469</v>
      </c>
      <c r="AC10" s="5">
        <f t="shared" si="2"/>
        <v>112.1868899</v>
      </c>
      <c r="AD10" s="5">
        <f t="shared" si="2"/>
        <v>118.2160178</v>
      </c>
      <c r="AE10" s="5">
        <f t="shared" si="2"/>
        <v>124.3113434</v>
      </c>
      <c r="AF10" s="5">
        <f t="shared" si="2"/>
        <v>130.4692187</v>
      </c>
      <c r="AG10" s="5">
        <f t="shared" si="2"/>
        <v>136.5707444</v>
      </c>
      <c r="AH10" s="5">
        <f t="shared" si="2"/>
        <v>142.839404</v>
      </c>
      <c r="AI10" s="5">
        <f t="shared" si="2"/>
        <v>149.0980053</v>
      </c>
      <c r="AJ10" s="5">
        <f t="shared" si="2"/>
        <v>155.4238424</v>
      </c>
      <c r="AK10" s="5">
        <f t="shared" si="2"/>
        <v>161.8111634</v>
      </c>
    </row>
    <row r="11">
      <c r="B11" s="15" t="s">
        <v>145</v>
      </c>
      <c r="C11" s="15">
        <f t="shared" ref="C11:AK11" si="3">C10*C27</f>
        <v>-3.119540834</v>
      </c>
      <c r="D11" s="15">
        <f t="shared" si="3"/>
        <v>-5.052105747</v>
      </c>
      <c r="E11" s="15">
        <f t="shared" si="3"/>
        <v>-5.976830399</v>
      </c>
      <c r="F11" s="15">
        <f t="shared" si="3"/>
        <v>-6.049830247</v>
      </c>
      <c r="G11" s="15">
        <f t="shared" si="3"/>
        <v>-5.407470544</v>
      </c>
      <c r="H11" s="15">
        <f t="shared" si="3"/>
        <v>-4.169053017</v>
      </c>
      <c r="I11" s="15">
        <f t="shared" si="3"/>
        <v>-2.439045886</v>
      </c>
      <c r="J11" s="15">
        <f t="shared" si="3"/>
        <v>-0.1416768447</v>
      </c>
      <c r="K11" s="15">
        <f t="shared" si="3"/>
        <v>2.669046059</v>
      </c>
      <c r="L11" s="15">
        <f t="shared" si="3"/>
        <v>5.814458556</v>
      </c>
      <c r="M11" s="15">
        <f t="shared" si="3"/>
        <v>13.38887511</v>
      </c>
      <c r="N11" s="15">
        <f t="shared" si="3"/>
        <v>20.37349397</v>
      </c>
      <c r="O11" s="15">
        <f t="shared" si="3"/>
        <v>22.62121419</v>
      </c>
      <c r="P11" s="15">
        <f t="shared" si="3"/>
        <v>24.76989655</v>
      </c>
      <c r="Q11" s="15">
        <f t="shared" si="3"/>
        <v>26.8139325</v>
      </c>
      <c r="R11" s="15">
        <f t="shared" si="3"/>
        <v>28.74993635</v>
      </c>
      <c r="S11" s="15">
        <f t="shared" si="3"/>
        <v>30.57621483</v>
      </c>
      <c r="T11" s="15">
        <f t="shared" si="3"/>
        <v>32.29236473</v>
      </c>
      <c r="U11" s="15">
        <f t="shared" si="3"/>
        <v>33.8989666</v>
      </c>
      <c r="V11" s="15">
        <f t="shared" si="3"/>
        <v>35.39735068</v>
      </c>
      <c r="W11" s="15">
        <f t="shared" si="3"/>
        <v>36.71124213</v>
      </c>
      <c r="X11" s="15">
        <f t="shared" si="3"/>
        <v>37.99879085</v>
      </c>
      <c r="Y11" s="15">
        <f t="shared" si="3"/>
        <v>39.14491024</v>
      </c>
      <c r="Z11" s="15">
        <f t="shared" si="3"/>
        <v>40.2050831</v>
      </c>
      <c r="AA11" s="15">
        <f t="shared" si="3"/>
        <v>41.17912184</v>
      </c>
      <c r="AB11" s="15">
        <f t="shared" si="3"/>
        <v>42.06779533</v>
      </c>
      <c r="AC11" s="15">
        <f t="shared" si="3"/>
        <v>42.87257498</v>
      </c>
      <c r="AD11" s="15">
        <f t="shared" si="3"/>
        <v>43.59544343</v>
      </c>
      <c r="AE11" s="15">
        <f t="shared" si="3"/>
        <v>44.23874996</v>
      </c>
      <c r="AF11" s="15">
        <f t="shared" si="3"/>
        <v>44.80510114</v>
      </c>
      <c r="AG11" s="15">
        <f t="shared" si="3"/>
        <v>45.25894126</v>
      </c>
      <c r="AH11" s="15">
        <f t="shared" si="3"/>
        <v>45.67957519</v>
      </c>
      <c r="AI11" s="15">
        <f t="shared" si="3"/>
        <v>46.01221852</v>
      </c>
      <c r="AJ11" s="15">
        <f t="shared" si="3"/>
        <v>46.28564235</v>
      </c>
      <c r="AK11" s="15">
        <f t="shared" si="3"/>
        <v>46.50123073</v>
      </c>
    </row>
    <row r="12">
      <c r="B12" s="15" t="s">
        <v>146</v>
      </c>
      <c r="C12" s="15">
        <v>5.0</v>
      </c>
    </row>
    <row r="13">
      <c r="B13" s="15" t="s">
        <v>147</v>
      </c>
      <c r="C13" s="15">
        <v>-0.72843</v>
      </c>
      <c r="D13" s="15">
        <v>-0.72843</v>
      </c>
      <c r="E13" s="15">
        <v>-0.72843</v>
      </c>
      <c r="F13" s="15">
        <v>-0.72843</v>
      </c>
      <c r="G13" s="15">
        <v>-0.72843</v>
      </c>
      <c r="H13" s="15">
        <v>-0.72843</v>
      </c>
      <c r="I13" s="15">
        <v>-0.72843</v>
      </c>
      <c r="J13" s="15">
        <v>-0.72843</v>
      </c>
      <c r="K13" s="15">
        <v>-0.72843</v>
      </c>
      <c r="L13" s="15">
        <v>-0.72843</v>
      </c>
    </row>
    <row r="14">
      <c r="B14" s="15" t="s">
        <v>148</v>
      </c>
      <c r="C14" s="5">
        <f t="shared" ref="C14:AK14" si="4">C13+C12+C6+C5</f>
        <v>1.038885198</v>
      </c>
      <c r="D14" s="5">
        <f t="shared" si="4"/>
        <v>-2.920970838</v>
      </c>
      <c r="E14" s="5">
        <f t="shared" si="4"/>
        <v>-1.954235669</v>
      </c>
      <c r="F14" s="5">
        <f t="shared" si="4"/>
        <v>-1.053839848</v>
      </c>
      <c r="G14" s="5">
        <f t="shared" si="4"/>
        <v>-0.2138496041</v>
      </c>
      <c r="H14" s="5">
        <f t="shared" si="4"/>
        <v>0.5707705999</v>
      </c>
      <c r="I14" s="5">
        <f t="shared" si="4"/>
        <v>1.304342302</v>
      </c>
      <c r="J14" s="5">
        <f t="shared" si="4"/>
        <v>2.213058088</v>
      </c>
      <c r="K14" s="5">
        <f t="shared" si="4"/>
        <v>3.137957265</v>
      </c>
      <c r="L14" s="5">
        <f t="shared" si="4"/>
        <v>3.896603688</v>
      </c>
      <c r="M14" s="5">
        <f t="shared" si="4"/>
        <v>11.50967791</v>
      </c>
      <c r="N14" s="5">
        <f t="shared" si="4"/>
        <v>11.42922372</v>
      </c>
      <c r="O14" s="5">
        <f t="shared" si="4"/>
        <v>4.704927103</v>
      </c>
      <c r="P14" s="5">
        <f t="shared" si="4"/>
        <v>4.842032478</v>
      </c>
      <c r="Q14" s="5">
        <f t="shared" si="4"/>
        <v>4.967408427</v>
      </c>
      <c r="R14" s="5">
        <f t="shared" si="4"/>
        <v>5.083045688</v>
      </c>
      <c r="S14" s="5">
        <f t="shared" si="4"/>
        <v>5.190505036</v>
      </c>
      <c r="T14" s="5">
        <f t="shared" si="4"/>
        <v>5.291014477</v>
      </c>
      <c r="U14" s="5">
        <f t="shared" si="4"/>
        <v>5.38554431</v>
      </c>
      <c r="V14" s="5">
        <f t="shared" si="4"/>
        <v>5.474865108</v>
      </c>
      <c r="W14" s="5">
        <f t="shared" si="4"/>
        <v>5.394398104</v>
      </c>
      <c r="X14" s="5">
        <f t="shared" si="4"/>
        <v>5.63306458</v>
      </c>
      <c r="Y14" s="5">
        <f t="shared" si="4"/>
        <v>5.618701379</v>
      </c>
      <c r="Z14" s="5">
        <f t="shared" si="4"/>
        <v>5.714713843</v>
      </c>
      <c r="AA14" s="5">
        <f t="shared" si="4"/>
        <v>5.802512398</v>
      </c>
      <c r="AB14" s="5">
        <f t="shared" si="4"/>
        <v>5.883491122</v>
      </c>
      <c r="AC14" s="5">
        <f t="shared" si="4"/>
        <v>5.958742999</v>
      </c>
      <c r="AD14" s="5">
        <f t="shared" si="4"/>
        <v>6.029127978</v>
      </c>
      <c r="AE14" s="5">
        <f t="shared" si="4"/>
        <v>6.095325545</v>
      </c>
      <c r="AF14" s="5">
        <f t="shared" si="4"/>
        <v>6.157875316</v>
      </c>
      <c r="AG14" s="5">
        <f t="shared" si="4"/>
        <v>6.1015257</v>
      </c>
      <c r="AH14" s="5">
        <f t="shared" si="4"/>
        <v>6.268659602</v>
      </c>
      <c r="AI14" s="5">
        <f t="shared" si="4"/>
        <v>6.258601308</v>
      </c>
      <c r="AJ14" s="5">
        <f t="shared" si="4"/>
        <v>6.325837134</v>
      </c>
      <c r="AK14" s="5">
        <f t="shared" si="4"/>
        <v>6.387320906</v>
      </c>
    </row>
    <row r="15">
      <c r="B15" s="15" t="s">
        <v>149</v>
      </c>
      <c r="C15" s="5">
        <f>C14</f>
        <v>1.038885198</v>
      </c>
      <c r="D15" s="5">
        <f t="shared" ref="D15:AK15" si="5">C15+D14</f>
        <v>-1.88208564</v>
      </c>
      <c r="E15" s="5">
        <f t="shared" si="5"/>
        <v>-3.836321309</v>
      </c>
      <c r="F15" s="5">
        <f t="shared" si="5"/>
        <v>-4.890161157</v>
      </c>
      <c r="G15" s="5">
        <f t="shared" si="5"/>
        <v>-5.104010761</v>
      </c>
      <c r="H15" s="5">
        <f t="shared" si="5"/>
        <v>-4.533240161</v>
      </c>
      <c r="I15" s="5">
        <f t="shared" si="5"/>
        <v>-3.228897859</v>
      </c>
      <c r="J15" s="5">
        <f t="shared" si="5"/>
        <v>-1.015839771</v>
      </c>
      <c r="K15" s="5">
        <f t="shared" si="5"/>
        <v>2.122117495</v>
      </c>
      <c r="L15" s="5">
        <f t="shared" si="5"/>
        <v>6.018721183</v>
      </c>
      <c r="M15" s="5">
        <f t="shared" si="5"/>
        <v>17.52839909</v>
      </c>
      <c r="N15" s="5">
        <f t="shared" si="5"/>
        <v>28.95762281</v>
      </c>
      <c r="O15" s="5">
        <f t="shared" si="5"/>
        <v>33.66254991</v>
      </c>
      <c r="P15" s="5">
        <f t="shared" si="5"/>
        <v>38.50458239</v>
      </c>
      <c r="Q15" s="5">
        <f t="shared" si="5"/>
        <v>43.47199082</v>
      </c>
      <c r="R15" s="5">
        <f t="shared" si="5"/>
        <v>48.55503651</v>
      </c>
      <c r="S15" s="5">
        <f t="shared" si="5"/>
        <v>53.74554154</v>
      </c>
      <c r="T15" s="5">
        <f t="shared" si="5"/>
        <v>59.03655602</v>
      </c>
      <c r="U15" s="5">
        <f t="shared" si="5"/>
        <v>64.42210033</v>
      </c>
      <c r="V15" s="5">
        <f t="shared" si="5"/>
        <v>69.89696544</v>
      </c>
      <c r="W15" s="5">
        <f t="shared" si="5"/>
        <v>75.29136354</v>
      </c>
      <c r="X15" s="5">
        <f t="shared" si="5"/>
        <v>80.92442812</v>
      </c>
      <c r="Y15" s="5">
        <f t="shared" si="5"/>
        <v>86.5431295</v>
      </c>
      <c r="Z15" s="5">
        <f t="shared" si="5"/>
        <v>92.25784334</v>
      </c>
      <c r="AA15" s="5">
        <f t="shared" si="5"/>
        <v>98.06035574</v>
      </c>
      <c r="AB15" s="5">
        <f t="shared" si="5"/>
        <v>103.9438469</v>
      </c>
      <c r="AC15" s="5">
        <f t="shared" si="5"/>
        <v>109.9025899</v>
      </c>
      <c r="AD15" s="5">
        <f t="shared" si="5"/>
        <v>115.9317178</v>
      </c>
      <c r="AE15" s="5">
        <f t="shared" si="5"/>
        <v>122.0270434</v>
      </c>
      <c r="AF15" s="5">
        <f t="shared" si="5"/>
        <v>128.1849187</v>
      </c>
      <c r="AG15" s="5">
        <f t="shared" si="5"/>
        <v>134.2864444</v>
      </c>
      <c r="AH15" s="5">
        <f t="shared" si="5"/>
        <v>140.555104</v>
      </c>
      <c r="AI15" s="5">
        <f t="shared" si="5"/>
        <v>146.8137053</v>
      </c>
      <c r="AJ15" s="5">
        <f t="shared" si="5"/>
        <v>153.1395424</v>
      </c>
      <c r="AK15" s="5">
        <f t="shared" si="5"/>
        <v>159.5268634</v>
      </c>
    </row>
    <row r="16">
      <c r="B16" s="15" t="s">
        <v>150</v>
      </c>
      <c r="C16" s="5">
        <f t="shared" ref="C16:AK16" si="6">C15*C27</f>
        <v>1.002524216</v>
      </c>
      <c r="D16" s="5">
        <f t="shared" si="6"/>
        <v>-1.7526452</v>
      </c>
      <c r="E16" s="5">
        <f t="shared" si="6"/>
        <v>-3.44744157</v>
      </c>
      <c r="F16" s="5">
        <f t="shared" si="6"/>
        <v>-4.240649955</v>
      </c>
      <c r="G16" s="5">
        <f t="shared" si="6"/>
        <v>-4.271182693</v>
      </c>
      <c r="H16" s="5">
        <f t="shared" si="6"/>
        <v>-3.660771382</v>
      </c>
      <c r="I16" s="5">
        <f t="shared" si="6"/>
        <v>-2.516201984</v>
      </c>
      <c r="J16" s="5">
        <f t="shared" si="6"/>
        <v>-0.7639126792</v>
      </c>
      <c r="K16" s="5">
        <f t="shared" si="6"/>
        <v>1.539980586</v>
      </c>
      <c r="L16" s="5">
        <f t="shared" si="6"/>
        <v>4.214803757</v>
      </c>
      <c r="M16" s="5">
        <f t="shared" si="6"/>
        <v>11.84520823</v>
      </c>
      <c r="N16" s="5">
        <f t="shared" si="6"/>
        <v>18.88385543</v>
      </c>
      <c r="O16" s="5">
        <f t="shared" si="6"/>
        <v>21.183713</v>
      </c>
      <c r="P16" s="5">
        <f t="shared" si="6"/>
        <v>23.3827079</v>
      </c>
      <c r="Q16" s="5">
        <f t="shared" si="6"/>
        <v>25.47529545</v>
      </c>
      <c r="R16" s="5">
        <f t="shared" si="6"/>
        <v>27.4581516</v>
      </c>
      <c r="S16" s="5">
        <f t="shared" si="6"/>
        <v>29.32964255</v>
      </c>
      <c r="T16" s="5">
        <f t="shared" si="6"/>
        <v>31.08942248</v>
      </c>
      <c r="U16" s="5">
        <f t="shared" si="6"/>
        <v>32.73812732</v>
      </c>
      <c r="V16" s="5">
        <f t="shared" si="6"/>
        <v>34.27714078</v>
      </c>
      <c r="W16" s="5">
        <f t="shared" si="6"/>
        <v>35.63023958</v>
      </c>
      <c r="X16" s="5">
        <f t="shared" si="6"/>
        <v>36.95562339</v>
      </c>
      <c r="Y16" s="5">
        <f t="shared" si="6"/>
        <v>38.13825363</v>
      </c>
      <c r="Z16" s="5">
        <f t="shared" si="6"/>
        <v>39.23365948</v>
      </c>
      <c r="AA16" s="5">
        <f t="shared" si="6"/>
        <v>40.24169805</v>
      </c>
      <c r="AB16" s="5">
        <f t="shared" si="6"/>
        <v>41.16318136</v>
      </c>
      <c r="AC16" s="5">
        <f t="shared" si="6"/>
        <v>41.99962251</v>
      </c>
      <c r="AD16" s="5">
        <f t="shared" si="6"/>
        <v>42.7530443</v>
      </c>
      <c r="AE16" s="5">
        <f t="shared" si="6"/>
        <v>43.42583479</v>
      </c>
      <c r="AF16" s="5">
        <f t="shared" si="6"/>
        <v>44.020638</v>
      </c>
      <c r="AG16" s="5">
        <f t="shared" si="6"/>
        <v>44.50193433</v>
      </c>
      <c r="AH16" s="5">
        <f t="shared" si="6"/>
        <v>44.94906351</v>
      </c>
      <c r="AI16" s="5">
        <f t="shared" si="6"/>
        <v>45.30727475</v>
      </c>
      <c r="AJ16" s="5">
        <f t="shared" si="6"/>
        <v>45.60537161</v>
      </c>
      <c r="AK16" s="5">
        <f t="shared" si="6"/>
        <v>45.84476946</v>
      </c>
    </row>
    <row r="18">
      <c r="B18" s="15" t="s">
        <v>151</v>
      </c>
      <c r="C18" s="5">
        <f t="shared" ref="C18:AK18" si="7">sum(C7,C5,C12,C13)</f>
        <v>8.792595198</v>
      </c>
      <c r="D18" s="5">
        <f t="shared" si="7"/>
        <v>4.832739162</v>
      </c>
      <c r="E18" s="5">
        <f t="shared" si="7"/>
        <v>5.799474331</v>
      </c>
      <c r="F18" s="5">
        <f t="shared" si="7"/>
        <v>6.699870152</v>
      </c>
      <c r="G18" s="5">
        <f t="shared" si="7"/>
        <v>7.539860396</v>
      </c>
      <c r="H18" s="5">
        <f t="shared" si="7"/>
        <v>8.3244806</v>
      </c>
      <c r="I18" s="5">
        <f t="shared" si="7"/>
        <v>9.058052302</v>
      </c>
      <c r="J18" s="5">
        <f t="shared" si="7"/>
        <v>9.966768088</v>
      </c>
      <c r="K18" s="5">
        <f t="shared" si="7"/>
        <v>10.89166727</v>
      </c>
      <c r="L18" s="5">
        <f t="shared" si="7"/>
        <v>11.65031369</v>
      </c>
      <c r="M18" s="5">
        <f t="shared" si="7"/>
        <v>19.26338791</v>
      </c>
      <c r="N18" s="5">
        <f t="shared" si="7"/>
        <v>19.18293372</v>
      </c>
      <c r="O18" s="5">
        <f t="shared" si="7"/>
        <v>12.4586371</v>
      </c>
      <c r="P18" s="5">
        <f t="shared" si="7"/>
        <v>12.59574248</v>
      </c>
      <c r="Q18" s="5">
        <f t="shared" si="7"/>
        <v>12.72111843</v>
      </c>
      <c r="R18" s="5">
        <f t="shared" si="7"/>
        <v>12.83675569</v>
      </c>
      <c r="S18" s="5">
        <f t="shared" si="7"/>
        <v>12.94421504</v>
      </c>
      <c r="T18" s="5">
        <f t="shared" si="7"/>
        <v>13.04472448</v>
      </c>
      <c r="U18" s="5">
        <f t="shared" si="7"/>
        <v>13.13925431</v>
      </c>
      <c r="V18" s="5">
        <f t="shared" si="7"/>
        <v>13.22857511</v>
      </c>
      <c r="W18" s="5">
        <f t="shared" si="7"/>
        <v>13.1481081</v>
      </c>
      <c r="X18" s="5">
        <f t="shared" si="7"/>
        <v>13.38677458</v>
      </c>
      <c r="Y18" s="5">
        <f t="shared" si="7"/>
        <v>13.37241138</v>
      </c>
      <c r="Z18" s="5">
        <f t="shared" si="7"/>
        <v>13.46842384</v>
      </c>
      <c r="AA18" s="5">
        <f t="shared" si="7"/>
        <v>13.5562224</v>
      </c>
      <c r="AB18" s="5">
        <f t="shared" si="7"/>
        <v>13.63720112</v>
      </c>
      <c r="AC18" s="5">
        <f t="shared" si="7"/>
        <v>13.712453</v>
      </c>
      <c r="AD18" s="5">
        <f t="shared" si="7"/>
        <v>13.78283798</v>
      </c>
      <c r="AE18" s="5">
        <f t="shared" si="7"/>
        <v>13.84903555</v>
      </c>
      <c r="AF18" s="5">
        <f t="shared" si="7"/>
        <v>13.91158532</v>
      </c>
      <c r="AG18" s="5">
        <f t="shared" si="7"/>
        <v>13.8552357</v>
      </c>
      <c r="AH18" s="5">
        <f t="shared" si="7"/>
        <v>14.0223696</v>
      </c>
      <c r="AI18" s="5">
        <f t="shared" si="7"/>
        <v>14.01231131</v>
      </c>
      <c r="AJ18" s="5">
        <f t="shared" si="7"/>
        <v>14.07954713</v>
      </c>
      <c r="AK18" s="5">
        <f t="shared" si="7"/>
        <v>14.14103091</v>
      </c>
    </row>
    <row r="20">
      <c r="B20" s="15" t="s">
        <v>152</v>
      </c>
      <c r="C20" s="5">
        <f>C18</f>
        <v>8.792595198</v>
      </c>
      <c r="D20" s="5">
        <f t="shared" ref="D20:AK20" si="8">C20+D18</f>
        <v>13.62533436</v>
      </c>
      <c r="E20" s="5">
        <f t="shared" si="8"/>
        <v>19.42480869</v>
      </c>
      <c r="F20" s="5">
        <f t="shared" si="8"/>
        <v>26.12467884</v>
      </c>
      <c r="G20" s="5">
        <f t="shared" si="8"/>
        <v>33.66453924</v>
      </c>
      <c r="H20" s="5">
        <f t="shared" si="8"/>
        <v>41.98901984</v>
      </c>
      <c r="I20" s="5">
        <f t="shared" si="8"/>
        <v>51.04707214</v>
      </c>
      <c r="J20" s="5">
        <f t="shared" si="8"/>
        <v>61.01384023</v>
      </c>
      <c r="K20" s="5">
        <f t="shared" si="8"/>
        <v>71.90550749</v>
      </c>
      <c r="L20" s="5">
        <f t="shared" si="8"/>
        <v>83.55582118</v>
      </c>
      <c r="M20" s="5">
        <f t="shared" si="8"/>
        <v>102.8192091</v>
      </c>
      <c r="N20" s="5">
        <f t="shared" si="8"/>
        <v>122.0021428</v>
      </c>
      <c r="O20" s="5">
        <f t="shared" si="8"/>
        <v>134.4607799</v>
      </c>
      <c r="P20" s="5">
        <f t="shared" si="8"/>
        <v>147.0565224</v>
      </c>
      <c r="Q20" s="5">
        <f t="shared" si="8"/>
        <v>159.7776408</v>
      </c>
      <c r="R20" s="5">
        <f t="shared" si="8"/>
        <v>172.6143965</v>
      </c>
      <c r="S20" s="5">
        <f t="shared" si="8"/>
        <v>185.5586115</v>
      </c>
      <c r="T20" s="5">
        <f t="shared" si="8"/>
        <v>198.603336</v>
      </c>
      <c r="U20" s="5">
        <f t="shared" si="8"/>
        <v>211.7425903</v>
      </c>
      <c r="V20" s="5">
        <f t="shared" si="8"/>
        <v>224.9711654</v>
      </c>
      <c r="W20" s="5">
        <f t="shared" si="8"/>
        <v>238.1192735</v>
      </c>
      <c r="X20" s="5">
        <f t="shared" si="8"/>
        <v>251.5060481</v>
      </c>
      <c r="Y20" s="5">
        <f t="shared" si="8"/>
        <v>264.8784595</v>
      </c>
      <c r="Z20" s="5">
        <f t="shared" si="8"/>
        <v>278.3468833</v>
      </c>
      <c r="AA20" s="5">
        <f t="shared" si="8"/>
        <v>291.9031057</v>
      </c>
      <c r="AB20" s="5">
        <f t="shared" si="8"/>
        <v>305.5403069</v>
      </c>
      <c r="AC20" s="5">
        <f t="shared" si="8"/>
        <v>319.2527599</v>
      </c>
      <c r="AD20" s="5">
        <f t="shared" si="8"/>
        <v>333.0355978</v>
      </c>
      <c r="AE20" s="5">
        <f t="shared" si="8"/>
        <v>346.8846334</v>
      </c>
      <c r="AF20" s="5">
        <f t="shared" si="8"/>
        <v>360.7962187</v>
      </c>
      <c r="AG20" s="5">
        <f t="shared" si="8"/>
        <v>374.6514544</v>
      </c>
      <c r="AH20" s="5">
        <f t="shared" si="8"/>
        <v>388.673824</v>
      </c>
      <c r="AI20" s="5">
        <f t="shared" si="8"/>
        <v>402.6861353</v>
      </c>
      <c r="AJ20" s="5">
        <f t="shared" si="8"/>
        <v>416.7656824</v>
      </c>
      <c r="AK20" s="5">
        <f t="shared" si="8"/>
        <v>430.9067134</v>
      </c>
    </row>
    <row r="22">
      <c r="B22" s="15" t="s">
        <v>153</v>
      </c>
      <c r="C22" s="5">
        <f t="shared" ref="C22:N22" si="9">sum(C5+C7)</f>
        <v>4.521025198</v>
      </c>
      <c r="D22" s="5">
        <f t="shared" si="9"/>
        <v>5.561169162</v>
      </c>
      <c r="E22" s="5">
        <f t="shared" si="9"/>
        <v>6.527904331</v>
      </c>
      <c r="F22" s="5">
        <f t="shared" si="9"/>
        <v>7.428300152</v>
      </c>
      <c r="G22" s="5">
        <f t="shared" si="9"/>
        <v>8.268290396</v>
      </c>
      <c r="H22" s="5">
        <f t="shared" si="9"/>
        <v>9.0529106</v>
      </c>
      <c r="I22" s="5">
        <f t="shared" si="9"/>
        <v>9.786482302</v>
      </c>
      <c r="J22" s="5">
        <f t="shared" si="9"/>
        <v>10.69519809</v>
      </c>
      <c r="K22" s="5">
        <f t="shared" si="9"/>
        <v>11.62009727</v>
      </c>
      <c r="L22" s="5">
        <f t="shared" si="9"/>
        <v>12.37874369</v>
      </c>
      <c r="M22" s="5">
        <f t="shared" si="9"/>
        <v>19.26338791</v>
      </c>
      <c r="N22" s="5">
        <f t="shared" si="9"/>
        <v>19.18293372</v>
      </c>
    </row>
    <row r="23">
      <c r="B23" s="15" t="s">
        <v>154</v>
      </c>
      <c r="C23" s="5">
        <f>C22</f>
        <v>4.521025198</v>
      </c>
      <c r="D23" s="5">
        <f t="shared" ref="D23:N23" si="10">C23+D22</f>
        <v>10.08219436</v>
      </c>
      <c r="E23" s="5">
        <f t="shared" si="10"/>
        <v>16.61009869</v>
      </c>
      <c r="F23" s="5">
        <f t="shared" si="10"/>
        <v>24.03839884</v>
      </c>
      <c r="G23" s="5">
        <f t="shared" si="10"/>
        <v>32.30668924</v>
      </c>
      <c r="H23" s="5">
        <f t="shared" si="10"/>
        <v>41.35959984</v>
      </c>
      <c r="I23" s="5">
        <f t="shared" si="10"/>
        <v>51.14608214</v>
      </c>
      <c r="J23" s="5">
        <f t="shared" si="10"/>
        <v>61.84128023</v>
      </c>
      <c r="K23" s="5">
        <f t="shared" si="10"/>
        <v>73.46137749</v>
      </c>
      <c r="L23" s="5">
        <f t="shared" si="10"/>
        <v>85.84012118</v>
      </c>
      <c r="M23" s="5">
        <f t="shared" si="10"/>
        <v>105.1035091</v>
      </c>
      <c r="N23" s="5">
        <f t="shared" si="10"/>
        <v>124.2864428</v>
      </c>
    </row>
    <row r="27" ht="14.25" customHeight="1">
      <c r="B27" s="15" t="s">
        <v>86</v>
      </c>
      <c r="C27" s="15">
        <v>0.965</v>
      </c>
      <c r="D27" s="5">
        <f t="shared" ref="D27:AK27" si="11">C27*0.965</f>
        <v>0.931225</v>
      </c>
      <c r="E27" s="5">
        <f t="shared" si="11"/>
        <v>0.898632125</v>
      </c>
      <c r="F27" s="5">
        <f t="shared" si="11"/>
        <v>0.8671800006</v>
      </c>
      <c r="G27" s="5">
        <f t="shared" si="11"/>
        <v>0.8368287006</v>
      </c>
      <c r="H27" s="5">
        <f t="shared" si="11"/>
        <v>0.8075396961</v>
      </c>
      <c r="I27" s="5">
        <f t="shared" si="11"/>
        <v>0.7792758067</v>
      </c>
      <c r="J27" s="5">
        <f t="shared" si="11"/>
        <v>0.7520011535</v>
      </c>
      <c r="K27" s="5">
        <f t="shared" si="11"/>
        <v>0.7256811131</v>
      </c>
      <c r="L27" s="5">
        <f t="shared" si="11"/>
        <v>0.7002822742</v>
      </c>
      <c r="M27" s="5">
        <f t="shared" si="11"/>
        <v>0.6757723946</v>
      </c>
      <c r="N27" s="5">
        <f t="shared" si="11"/>
        <v>0.6521203607</v>
      </c>
      <c r="O27" s="5">
        <f t="shared" si="11"/>
        <v>0.6292961481</v>
      </c>
      <c r="P27" s="5">
        <f t="shared" si="11"/>
        <v>0.6072707829</v>
      </c>
      <c r="Q27" s="5">
        <f t="shared" si="11"/>
        <v>0.5860163055</v>
      </c>
      <c r="R27" s="5">
        <f t="shared" si="11"/>
        <v>0.5655057348</v>
      </c>
      <c r="S27" s="5">
        <f t="shared" si="11"/>
        <v>0.5457130341</v>
      </c>
      <c r="T27" s="5">
        <f t="shared" si="11"/>
        <v>0.5266130779</v>
      </c>
      <c r="U27" s="5">
        <f t="shared" si="11"/>
        <v>0.5081816202</v>
      </c>
      <c r="V27" s="5">
        <f t="shared" si="11"/>
        <v>0.4903952635</v>
      </c>
      <c r="W27" s="5">
        <f t="shared" si="11"/>
        <v>0.4732314293</v>
      </c>
      <c r="X27" s="5">
        <f t="shared" si="11"/>
        <v>0.4566683292</v>
      </c>
      <c r="Y27" s="5">
        <f t="shared" si="11"/>
        <v>0.4406849377</v>
      </c>
      <c r="Z27" s="5">
        <f t="shared" si="11"/>
        <v>0.4252609649</v>
      </c>
      <c r="AA27" s="5">
        <f t="shared" si="11"/>
        <v>0.4103768311</v>
      </c>
      <c r="AB27" s="5">
        <f t="shared" si="11"/>
        <v>0.396013642</v>
      </c>
      <c r="AC27" s="5">
        <f t="shared" si="11"/>
        <v>0.3821531646</v>
      </c>
      <c r="AD27" s="5">
        <f t="shared" si="11"/>
        <v>0.3687778038</v>
      </c>
      <c r="AE27" s="5">
        <f t="shared" si="11"/>
        <v>0.3558705807</v>
      </c>
      <c r="AF27" s="5">
        <f t="shared" si="11"/>
        <v>0.3434151104</v>
      </c>
      <c r="AG27" s="5">
        <f t="shared" si="11"/>
        <v>0.3313955815</v>
      </c>
      <c r="AH27" s="5">
        <f t="shared" si="11"/>
        <v>0.3197967361</v>
      </c>
      <c r="AI27" s="5">
        <f t="shared" si="11"/>
        <v>0.3086038504</v>
      </c>
      <c r="AJ27" s="5">
        <f t="shared" si="11"/>
        <v>0.2978027156</v>
      </c>
      <c r="AK27" s="5">
        <f t="shared" si="11"/>
        <v>0.2873796206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5"/>
  </cols>
  <sheetData>
    <row r="5">
      <c r="A5" s="15" t="s">
        <v>85</v>
      </c>
      <c r="B5" s="15">
        <v>1.0</v>
      </c>
      <c r="C5" s="15">
        <v>2.0</v>
      </c>
      <c r="D5" s="15">
        <v>3.0</v>
      </c>
      <c r="E5" s="15">
        <v>4.0</v>
      </c>
      <c r="F5" s="15">
        <v>5.0</v>
      </c>
      <c r="G5" s="15">
        <v>6.0</v>
      </c>
      <c r="H5" s="15">
        <v>7.0</v>
      </c>
      <c r="I5" s="15">
        <v>8.0</v>
      </c>
      <c r="J5" s="15">
        <v>9.0</v>
      </c>
      <c r="K5" s="15">
        <v>10.0</v>
      </c>
      <c r="L5" s="15">
        <v>11.0</v>
      </c>
      <c r="M5" s="15">
        <v>12.0</v>
      </c>
      <c r="N5" s="15">
        <v>13.0</v>
      </c>
      <c r="O5" s="15">
        <v>14.0</v>
      </c>
      <c r="P5" s="15">
        <v>15.0</v>
      </c>
      <c r="Q5" s="15">
        <v>16.0</v>
      </c>
      <c r="R5" s="15">
        <v>17.0</v>
      </c>
      <c r="S5" s="15">
        <v>18.0</v>
      </c>
      <c r="T5" s="15">
        <v>19.0</v>
      </c>
      <c r="U5" s="15">
        <v>20.0</v>
      </c>
      <c r="V5" s="15">
        <v>21.0</v>
      </c>
      <c r="W5" s="15">
        <v>22.0</v>
      </c>
      <c r="X5" s="15">
        <v>23.0</v>
      </c>
      <c r="Y5" s="15">
        <v>24.0</v>
      </c>
      <c r="Z5" s="15">
        <v>25.0</v>
      </c>
      <c r="AA5" s="15">
        <v>26.0</v>
      </c>
      <c r="AB5" s="15">
        <v>27.0</v>
      </c>
      <c r="AC5" s="15">
        <v>28.0</v>
      </c>
      <c r="AD5" s="15">
        <v>29.0</v>
      </c>
      <c r="AE5" s="15">
        <v>30.0</v>
      </c>
      <c r="AF5" s="15">
        <v>31.0</v>
      </c>
      <c r="AG5" s="15">
        <v>32.0</v>
      </c>
      <c r="AH5" s="15">
        <v>33.0</v>
      </c>
      <c r="AI5" s="15">
        <v>34.0</v>
      </c>
      <c r="AJ5" s="15">
        <v>35.0</v>
      </c>
      <c r="AK5" s="15"/>
      <c r="AL5" s="15"/>
      <c r="AM5" s="15"/>
      <c r="AN5" s="15"/>
      <c r="AO5" s="15"/>
    </row>
    <row r="6">
      <c r="A6" s="15" t="s">
        <v>130</v>
      </c>
      <c r="B6" s="5">
        <v>-1.098639480199007E7</v>
      </c>
      <c r="C6" s="5">
        <v>-9946250.83822788</v>
      </c>
      <c r="D6" s="5">
        <v>-8979515.669010967</v>
      </c>
      <c r="E6" s="5">
        <v>-8079119.847513932</v>
      </c>
      <c r="F6" s="5">
        <v>-7239129.604140098</v>
      </c>
      <c r="G6" s="5">
        <v>-6454509.40007484</v>
      </c>
      <c r="H6" s="5">
        <v>-5720937.697763158</v>
      </c>
      <c r="I6" s="5">
        <v>-4812221.911790364</v>
      </c>
      <c r="J6" s="5">
        <v>-3887322.734714175</v>
      </c>
      <c r="K6" s="5">
        <v>-3128676.312118705</v>
      </c>
    </row>
    <row r="7">
      <c r="A7" s="41" t="s">
        <v>155</v>
      </c>
      <c r="B7" s="15">
        <v>7753710.0</v>
      </c>
      <c r="C7" s="15">
        <v>7753710.0</v>
      </c>
      <c r="D7" s="15">
        <v>7753710.0</v>
      </c>
      <c r="E7" s="15">
        <v>7753710.0</v>
      </c>
      <c r="F7" s="15">
        <v>7753710.0</v>
      </c>
      <c r="G7" s="15">
        <v>7753710.0</v>
      </c>
      <c r="H7" s="15">
        <v>7753710.0</v>
      </c>
      <c r="I7" s="15">
        <v>7753710.0</v>
      </c>
      <c r="J7" s="15">
        <v>7753710.0</v>
      </c>
      <c r="K7" s="15">
        <v>7753710.0</v>
      </c>
    </row>
    <row r="8">
      <c r="A8" s="15" t="s">
        <v>156</v>
      </c>
      <c r="B8" s="42">
        <f t="shared" ref="B8:K8" si="1">B6+B7</f>
        <v>-3232684.802</v>
      </c>
      <c r="C8" s="42">
        <f t="shared" si="1"/>
        <v>-2192540.838</v>
      </c>
      <c r="D8" s="42">
        <f t="shared" si="1"/>
        <v>-1225805.669</v>
      </c>
      <c r="E8" s="42">
        <f t="shared" si="1"/>
        <v>-325409.8475</v>
      </c>
      <c r="F8" s="42">
        <f t="shared" si="1"/>
        <v>514580.3959</v>
      </c>
      <c r="G8" s="42">
        <f t="shared" si="1"/>
        <v>1299200.6</v>
      </c>
      <c r="H8" s="42">
        <f t="shared" si="1"/>
        <v>2032772.302</v>
      </c>
      <c r="I8" s="42">
        <f t="shared" si="1"/>
        <v>2941488.088</v>
      </c>
      <c r="J8" s="42">
        <f t="shared" si="1"/>
        <v>3866387.265</v>
      </c>
      <c r="K8" s="42">
        <f t="shared" si="1"/>
        <v>4625033.688</v>
      </c>
    </row>
    <row r="9">
      <c r="A9" s="15" t="s">
        <v>157</v>
      </c>
      <c r="B9" s="42">
        <f>B8</f>
        <v>-3232684.802</v>
      </c>
      <c r="C9" s="42">
        <f t="shared" ref="C9:K9" si="2">B9+C8</f>
        <v>-5425225.64</v>
      </c>
      <c r="D9" s="42">
        <f t="shared" si="2"/>
        <v>-6651031.309</v>
      </c>
      <c r="E9" s="42">
        <f t="shared" si="2"/>
        <v>-6976441.157</v>
      </c>
      <c r="F9" s="42">
        <f t="shared" si="2"/>
        <v>-6461860.761</v>
      </c>
      <c r="G9" s="42">
        <f t="shared" si="2"/>
        <v>-5162660.161</v>
      </c>
      <c r="H9" s="42">
        <f t="shared" si="2"/>
        <v>-3129887.859</v>
      </c>
      <c r="I9" s="42">
        <f t="shared" si="2"/>
        <v>-188399.7705</v>
      </c>
      <c r="J9" s="42">
        <f t="shared" si="2"/>
        <v>3677987.495</v>
      </c>
      <c r="K9" s="42">
        <f t="shared" si="2"/>
        <v>8303021.183</v>
      </c>
    </row>
    <row r="11">
      <c r="A11" s="15" t="s">
        <v>146</v>
      </c>
      <c r="B11" s="5">
        <v>5000000.0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</row>
    <row r="12">
      <c r="A12" s="15" t="s">
        <v>147</v>
      </c>
      <c r="B12" s="5">
        <v>-728430.0</v>
      </c>
      <c r="C12" s="5">
        <v>-728430.0</v>
      </c>
      <c r="D12" s="5">
        <v>-728430.0</v>
      </c>
      <c r="E12" s="5">
        <v>-728430.0</v>
      </c>
      <c r="F12" s="5">
        <v>-728430.0</v>
      </c>
      <c r="G12" s="5">
        <v>-728430.0</v>
      </c>
      <c r="H12" s="5">
        <v>-728430.0</v>
      </c>
      <c r="I12" s="5">
        <v>-728430.0</v>
      </c>
      <c r="J12" s="5">
        <v>-728430.0</v>
      </c>
      <c r="K12" s="5">
        <v>-728430.0</v>
      </c>
    </row>
    <row r="13">
      <c r="A13" s="15" t="s">
        <v>158</v>
      </c>
      <c r="B13" s="5">
        <f t="shared" ref="B13:K13" si="3">B6+B7+B11+B12</f>
        <v>1038885.198</v>
      </c>
      <c r="C13" s="5">
        <f t="shared" si="3"/>
        <v>-2920970.838</v>
      </c>
      <c r="D13" s="5">
        <f t="shared" si="3"/>
        <v>-1954235.669</v>
      </c>
      <c r="E13" s="5">
        <f t="shared" si="3"/>
        <v>-1053839.848</v>
      </c>
      <c r="F13" s="5">
        <f t="shared" si="3"/>
        <v>-213849.6041</v>
      </c>
      <c r="G13" s="5">
        <f t="shared" si="3"/>
        <v>570770.5999</v>
      </c>
      <c r="H13" s="5">
        <f t="shared" si="3"/>
        <v>1304342.302</v>
      </c>
      <c r="I13" s="5">
        <f t="shared" si="3"/>
        <v>2213058.088</v>
      </c>
      <c r="J13" s="5">
        <f t="shared" si="3"/>
        <v>3137957.265</v>
      </c>
      <c r="K13" s="5">
        <f t="shared" si="3"/>
        <v>3896603.688</v>
      </c>
    </row>
    <row r="14">
      <c r="A14" s="15" t="s">
        <v>159</v>
      </c>
      <c r="B14" s="5">
        <f>B13</f>
        <v>1038885.198</v>
      </c>
      <c r="C14" s="5">
        <f t="shared" ref="C14:K14" si="4">B14+C13</f>
        <v>-1882085.64</v>
      </c>
      <c r="D14" s="5">
        <f t="shared" si="4"/>
        <v>-3836321.309</v>
      </c>
      <c r="E14" s="5">
        <f t="shared" si="4"/>
        <v>-4890161.157</v>
      </c>
      <c r="F14" s="5">
        <f t="shared" si="4"/>
        <v>-5104010.761</v>
      </c>
      <c r="G14" s="5">
        <f t="shared" si="4"/>
        <v>-4533240.161</v>
      </c>
      <c r="H14" s="5">
        <f t="shared" si="4"/>
        <v>-3228897.859</v>
      </c>
      <c r="I14" s="5">
        <f t="shared" si="4"/>
        <v>-1015839.771</v>
      </c>
      <c r="J14" s="5">
        <f t="shared" si="4"/>
        <v>2122117.495</v>
      </c>
      <c r="K14" s="5">
        <f t="shared" si="4"/>
        <v>6018721.183</v>
      </c>
    </row>
    <row r="16">
      <c r="A16" s="15" t="s">
        <v>160</v>
      </c>
      <c r="B16" s="15">
        <v>1.550742E7</v>
      </c>
      <c r="C16" s="15">
        <v>1.550742E7</v>
      </c>
      <c r="D16" s="15">
        <v>1.550742E7</v>
      </c>
      <c r="E16" s="15">
        <v>1.550742E7</v>
      </c>
      <c r="F16" s="15">
        <v>1.550742E7</v>
      </c>
      <c r="G16" s="15">
        <v>1.550742E7</v>
      </c>
      <c r="H16" s="15">
        <v>1.550742E7</v>
      </c>
      <c r="I16" s="15">
        <v>1.550742E7</v>
      </c>
      <c r="J16" s="15">
        <v>1.550742E7</v>
      </c>
      <c r="K16" s="15">
        <v>1.550742E7</v>
      </c>
    </row>
    <row r="17">
      <c r="A17" s="15" t="s">
        <v>161</v>
      </c>
      <c r="B17" s="5">
        <f t="shared" ref="B17:K17" si="5">B16+B6</f>
        <v>4521025.198</v>
      </c>
      <c r="C17" s="5">
        <f t="shared" si="5"/>
        <v>5561169.162</v>
      </c>
      <c r="D17" s="5">
        <f t="shared" si="5"/>
        <v>6527904.331</v>
      </c>
      <c r="E17" s="5">
        <f t="shared" si="5"/>
        <v>7428300.152</v>
      </c>
      <c r="F17" s="5">
        <f t="shared" si="5"/>
        <v>8268290.396</v>
      </c>
      <c r="G17" s="5">
        <f t="shared" si="5"/>
        <v>9052910.6</v>
      </c>
      <c r="H17" s="5">
        <f t="shared" si="5"/>
        <v>9786482.302</v>
      </c>
      <c r="I17" s="5">
        <f t="shared" si="5"/>
        <v>10695198.09</v>
      </c>
      <c r="J17" s="5">
        <f t="shared" si="5"/>
        <v>11620097.27</v>
      </c>
      <c r="K17" s="5">
        <f t="shared" si="5"/>
        <v>12378743.69</v>
      </c>
    </row>
    <row r="18">
      <c r="A18" s="15" t="s">
        <v>162</v>
      </c>
      <c r="B18" s="5">
        <f>B17</f>
        <v>4521025.198</v>
      </c>
      <c r="C18" s="5">
        <f t="shared" ref="C18:K18" si="6">B18+C17</f>
        <v>10082194.36</v>
      </c>
      <c r="D18" s="5">
        <f t="shared" si="6"/>
        <v>16610098.69</v>
      </c>
      <c r="E18" s="5">
        <f t="shared" si="6"/>
        <v>24038398.84</v>
      </c>
      <c r="F18" s="5">
        <f t="shared" si="6"/>
        <v>32306689.24</v>
      </c>
      <c r="G18" s="5">
        <f t="shared" si="6"/>
        <v>41359599.84</v>
      </c>
      <c r="H18" s="5">
        <f t="shared" si="6"/>
        <v>51146082.14</v>
      </c>
      <c r="I18" s="5">
        <f t="shared" si="6"/>
        <v>61841280.23</v>
      </c>
      <c r="J18" s="5">
        <f t="shared" si="6"/>
        <v>73461377.49</v>
      </c>
      <c r="K18" s="5">
        <f t="shared" si="6"/>
        <v>85840121.18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4.25"/>
  </cols>
  <sheetData>
    <row r="1">
      <c r="B1" s="15" t="s">
        <v>163</v>
      </c>
      <c r="C1" s="15">
        <v>1.550742E8</v>
      </c>
    </row>
    <row r="2">
      <c r="B2" s="15" t="s">
        <v>164</v>
      </c>
      <c r="C2" s="15">
        <f>0.05*C1</f>
        <v>7753710</v>
      </c>
    </row>
    <row r="3">
      <c r="B3" s="15" t="s">
        <v>165</v>
      </c>
      <c r="C3" s="5">
        <f>0.01*C1</f>
        <v>1550742</v>
      </c>
    </row>
    <row r="4">
      <c r="B4" s="15" t="s">
        <v>166</v>
      </c>
      <c r="C4" s="5">
        <f>0.02*C1</f>
        <v>3101484</v>
      </c>
    </row>
    <row r="5">
      <c r="B5" s="15" t="s">
        <v>167</v>
      </c>
      <c r="C5" s="5">
        <f>0.03*C1</f>
        <v>4652226</v>
      </c>
    </row>
    <row r="8">
      <c r="B8" s="15" t="s">
        <v>85</v>
      </c>
      <c r="C8" s="15">
        <v>1.0</v>
      </c>
      <c r="D8" s="15">
        <v>2.0</v>
      </c>
      <c r="E8" s="15">
        <v>3.0</v>
      </c>
      <c r="F8" s="15">
        <v>4.0</v>
      </c>
      <c r="G8" s="15">
        <v>5.0</v>
      </c>
      <c r="H8" s="15">
        <v>6.0</v>
      </c>
      <c r="I8" s="15">
        <v>7.0</v>
      </c>
      <c r="J8" s="15">
        <v>8.0</v>
      </c>
      <c r="K8" s="15">
        <v>9.0</v>
      </c>
      <c r="L8" s="15">
        <v>10.0</v>
      </c>
      <c r="M8" s="15">
        <v>11.0</v>
      </c>
      <c r="N8" s="15">
        <v>12.0</v>
      </c>
      <c r="O8" s="15">
        <v>13.0</v>
      </c>
      <c r="P8" s="15">
        <v>14.0</v>
      </c>
      <c r="Q8" s="15">
        <v>15.0</v>
      </c>
      <c r="R8" s="15">
        <v>16.0</v>
      </c>
      <c r="S8" s="15">
        <v>17.0</v>
      </c>
      <c r="T8" s="15">
        <v>18.0</v>
      </c>
      <c r="U8" s="15">
        <v>19.0</v>
      </c>
      <c r="V8" s="15">
        <v>20.0</v>
      </c>
      <c r="W8" s="15">
        <v>21.0</v>
      </c>
      <c r="X8" s="15">
        <v>22.0</v>
      </c>
      <c r="Y8" s="15">
        <v>23.0</v>
      </c>
      <c r="Z8" s="15">
        <v>24.0</v>
      </c>
      <c r="AA8" s="15">
        <v>25.0</v>
      </c>
      <c r="AB8" s="15">
        <v>26.0</v>
      </c>
      <c r="AC8" s="15">
        <v>27.0</v>
      </c>
      <c r="AD8" s="15">
        <v>28.0</v>
      </c>
      <c r="AE8" s="15">
        <v>29.0</v>
      </c>
      <c r="AF8" s="15">
        <v>30.0</v>
      </c>
      <c r="AG8" s="15">
        <v>31.0</v>
      </c>
      <c r="AH8" s="15">
        <v>32.0</v>
      </c>
      <c r="AI8" s="15">
        <v>33.0</v>
      </c>
      <c r="AJ8" s="15">
        <v>34.0</v>
      </c>
      <c r="AK8" s="15">
        <v>35.0</v>
      </c>
      <c r="AL8" s="15"/>
      <c r="AM8" s="15"/>
      <c r="AN8" s="15"/>
      <c r="AO8" s="15"/>
      <c r="AP8" s="15"/>
    </row>
    <row r="9">
      <c r="B9" s="15" t="s">
        <v>140</v>
      </c>
      <c r="C9" s="5">
        <v>-13.95637032833654</v>
      </c>
      <c r="D9" s="5">
        <v>-12.885111680812217</v>
      </c>
      <c r="E9" s="5">
        <v>-11.871744584962382</v>
      </c>
      <c r="F9" s="5">
        <v>-10.913528924013049</v>
      </c>
      <c r="G9" s="5">
        <v>-10.007845472213582</v>
      </c>
      <c r="H9" s="5">
        <v>-9.152190789108165</v>
      </c>
      <c r="I9" s="5">
        <v>-8.344172323116664</v>
      </c>
      <c r="J9" s="5">
        <v>-7.581503716027916</v>
      </c>
      <c r="K9" s="5">
        <v>-6.862000300339553</v>
      </c>
      <c r="L9" s="5">
        <v>-5.999176108672943</v>
      </c>
      <c r="M9" s="5">
        <v>1.5629827656124569</v>
      </c>
      <c r="N9" s="5">
        <v>1.5082783688160217</v>
      </c>
      <c r="O9" s="5">
        <v>0.7903227866044529</v>
      </c>
      <c r="P9" s="5">
        <v>0.12077645414590091</v>
      </c>
      <c r="Q9" s="5">
        <v>-0.502869780454142</v>
      </c>
      <c r="R9" s="5">
        <v>-1.0830087297885158</v>
      </c>
      <c r="S9" s="5">
        <v>-1.6219219371884224</v>
      </c>
      <c r="T9" s="5">
        <v>-2.1217845343763475</v>
      </c>
      <c r="U9" s="5">
        <v>-2.5846698953880614</v>
      </c>
      <c r="V9" s="5">
        <v>-3.0125540950743446</v>
      </c>
      <c r="W9" s="5">
        <v>-3.4073201801607365</v>
      </c>
      <c r="X9" s="5">
        <v>-3.758694803357877</v>
      </c>
      <c r="Y9" s="5">
        <v>-3.6271404852403477</v>
      </c>
      <c r="Z9" s="5">
        <v>-3.500190568256937</v>
      </c>
      <c r="AA9" s="5">
        <v>-3.377683898367945</v>
      </c>
      <c r="AB9" s="5">
        <v>-3.259464961925067</v>
      </c>
      <c r="AC9" s="5">
        <v>-3.1453836882576907</v>
      </c>
      <c r="AD9" s="5">
        <v>-3.0352952591686715</v>
      </c>
      <c r="AE9" s="5">
        <v>-2.9290599250977656</v>
      </c>
      <c r="AF9" s="5">
        <v>-2.8265428277193436</v>
      </c>
      <c r="AG9" s="5">
        <v>-2.727613828749167</v>
      </c>
      <c r="AH9" s="5">
        <v>-2.6321473447429464</v>
      </c>
      <c r="AI9" s="5">
        <v>-2.5400221876769438</v>
      </c>
      <c r="AJ9" s="5">
        <v>-2.4511214111082507</v>
      </c>
      <c r="AK9" s="5">
        <v>-2.365332161719462</v>
      </c>
    </row>
    <row r="10">
      <c r="B10" s="15" t="s">
        <v>168</v>
      </c>
      <c r="C10" s="5">
        <f>'Cumulative Cash Flow'!C6 + $C$2/1000000</f>
        <v>15.50742</v>
      </c>
      <c r="D10" s="5">
        <f>'Cumulative Cash Flow'!D6 + $C$2/1000000</f>
        <v>15.50742</v>
      </c>
      <c r="E10" s="5">
        <f>'Cumulative Cash Flow'!E6 + $C$2/1000000</f>
        <v>15.50742</v>
      </c>
      <c r="F10" s="5">
        <f>'Cumulative Cash Flow'!F6 + $C$2/1000000</f>
        <v>15.50742</v>
      </c>
      <c r="G10" s="5">
        <f>'Cumulative Cash Flow'!G6 + $C$2/1000000</f>
        <v>15.50742</v>
      </c>
      <c r="H10" s="5">
        <f>'Cumulative Cash Flow'!H6 + $C$2/1000000</f>
        <v>15.50742</v>
      </c>
      <c r="I10" s="5">
        <f>'Cumulative Cash Flow'!I6 + $C$2/1000000</f>
        <v>15.50742</v>
      </c>
      <c r="J10" s="5">
        <f>'Cumulative Cash Flow'!J6 + $C$2/1000000</f>
        <v>15.50742</v>
      </c>
      <c r="K10" s="5">
        <f>'Cumulative Cash Flow'!K6 + $C$2/1000000</f>
        <v>15.50742</v>
      </c>
      <c r="L10" s="5">
        <f>'Cumulative Cash Flow'!L6 + $C$2/1000000</f>
        <v>15.50742</v>
      </c>
      <c r="M10" s="5">
        <f>'Cumulative Cash Flow'!M6 + $C$2/1000000</f>
        <v>15.50742</v>
      </c>
      <c r="N10" s="5">
        <f>'Cumulative Cash Flow'!N6 + $C$2/1000000</f>
        <v>15.50742</v>
      </c>
      <c r="O10" s="5">
        <f>'Cumulative Cash Flow'!O6 + $C$2/1000000</f>
        <v>15.50742</v>
      </c>
      <c r="P10" s="5">
        <f>'Cumulative Cash Flow'!P6 + $C$2/1000000</f>
        <v>15.50742</v>
      </c>
      <c r="Q10" s="5">
        <f>'Cumulative Cash Flow'!Q6 + $C$2/1000000</f>
        <v>15.50742</v>
      </c>
      <c r="R10" s="5">
        <f>'Cumulative Cash Flow'!R6 + $C$2/1000000</f>
        <v>15.50742</v>
      </c>
      <c r="S10" s="5">
        <f>'Cumulative Cash Flow'!S6 + $C$2/1000000</f>
        <v>15.50742</v>
      </c>
      <c r="T10" s="5">
        <f>'Cumulative Cash Flow'!T6 + $C$2/1000000</f>
        <v>15.50742</v>
      </c>
      <c r="U10" s="5">
        <f>'Cumulative Cash Flow'!U6 + $C$2/1000000</f>
        <v>15.50742</v>
      </c>
      <c r="V10" s="5">
        <f>'Cumulative Cash Flow'!V6 + $C$2/1000000</f>
        <v>15.50742</v>
      </c>
      <c r="W10" s="5">
        <f>'Cumulative Cash Flow'!W6 + $C$2/1000000</f>
        <v>15.50742</v>
      </c>
      <c r="X10" s="5">
        <f>'Cumulative Cash Flow'!X6 + $C$2/1000000</f>
        <v>15.50742</v>
      </c>
      <c r="Y10" s="5">
        <f>'Cumulative Cash Flow'!Y6 + $C$2/1000000</f>
        <v>15.50742</v>
      </c>
      <c r="Z10" s="5">
        <f>'Cumulative Cash Flow'!Z6 + $C$2/1000000</f>
        <v>15.50742</v>
      </c>
      <c r="AA10" s="5">
        <f>'Cumulative Cash Flow'!AA6 + $C$2/1000000</f>
        <v>15.50742</v>
      </c>
      <c r="AB10" s="5">
        <f>'Cumulative Cash Flow'!AB6 + $C$2/1000000</f>
        <v>15.50742</v>
      </c>
      <c r="AC10" s="5">
        <f>'Cumulative Cash Flow'!AC6 + $C$2/1000000</f>
        <v>15.50742</v>
      </c>
      <c r="AD10" s="5">
        <f>'Cumulative Cash Flow'!AD6 + $C$2/1000000</f>
        <v>15.50742</v>
      </c>
      <c r="AE10" s="5">
        <f>'Cumulative Cash Flow'!AE6 + $C$2/1000000</f>
        <v>15.50742</v>
      </c>
      <c r="AF10" s="5">
        <f>'Cumulative Cash Flow'!AF6 + $C$2/1000000</f>
        <v>15.50742</v>
      </c>
      <c r="AG10" s="5">
        <f>'Cumulative Cash Flow'!AG6 + $C$2/1000000</f>
        <v>15.50742</v>
      </c>
      <c r="AH10" s="5">
        <f>'Cumulative Cash Flow'!AH6 + $C$2/1000000</f>
        <v>15.50742</v>
      </c>
      <c r="AI10" s="5">
        <f>'Cumulative Cash Flow'!AI6 + $C$2/1000000</f>
        <v>15.50742</v>
      </c>
      <c r="AJ10" s="5">
        <f>'Cumulative Cash Flow'!AJ6 + $C$2/1000000</f>
        <v>15.50742</v>
      </c>
      <c r="AK10" s="5">
        <f>'Cumulative Cash Flow'!AK6 + $C$2/1000000</f>
        <v>15.50742</v>
      </c>
    </row>
    <row r="11">
      <c r="B11" s="15" t="s">
        <v>169</v>
      </c>
      <c r="C11" s="5">
        <f>'Cumulative Cash Flow'!C6+$C$3/1000000</f>
        <v>9.304452</v>
      </c>
      <c r="D11" s="5">
        <f>'Cumulative Cash Flow'!D6+$C$3/1000000</f>
        <v>9.304452</v>
      </c>
      <c r="E11" s="5">
        <f>'Cumulative Cash Flow'!E6+$C$3/1000000</f>
        <v>9.304452</v>
      </c>
      <c r="F11" s="5">
        <f>'Cumulative Cash Flow'!F6+$C$3/1000000</f>
        <v>9.304452</v>
      </c>
      <c r="G11" s="5">
        <f>'Cumulative Cash Flow'!G6+$C$3/1000000</f>
        <v>9.304452</v>
      </c>
      <c r="H11" s="5">
        <f>'Cumulative Cash Flow'!H6+$C$3/1000000</f>
        <v>9.304452</v>
      </c>
      <c r="I11" s="5">
        <f>'Cumulative Cash Flow'!I6+$C$3/1000000</f>
        <v>9.304452</v>
      </c>
      <c r="J11" s="5">
        <f>'Cumulative Cash Flow'!J6+$C$3/1000000</f>
        <v>9.304452</v>
      </c>
      <c r="K11" s="5">
        <f>'Cumulative Cash Flow'!K6+$C$3/1000000</f>
        <v>9.304452</v>
      </c>
      <c r="L11" s="5">
        <f>'Cumulative Cash Flow'!L6+$C$3/1000000</f>
        <v>9.304452</v>
      </c>
      <c r="M11" s="5">
        <f>'Cumulative Cash Flow'!M6+$C$3/1000000</f>
        <v>9.304452</v>
      </c>
      <c r="N11" s="5">
        <f>'Cumulative Cash Flow'!N6+$C$3/1000000</f>
        <v>9.304452</v>
      </c>
      <c r="O11" s="5">
        <f>'Cumulative Cash Flow'!O6+$C$3/1000000</f>
        <v>9.304452</v>
      </c>
      <c r="P11" s="5">
        <f>'Cumulative Cash Flow'!P6+$C$3/1000000</f>
        <v>9.304452</v>
      </c>
      <c r="Q11" s="5">
        <f>'Cumulative Cash Flow'!Q6+$C$3/1000000</f>
        <v>9.304452</v>
      </c>
      <c r="R11" s="5">
        <f>'Cumulative Cash Flow'!R6+$C$3/1000000</f>
        <v>9.304452</v>
      </c>
      <c r="S11" s="5">
        <f>'Cumulative Cash Flow'!S6+$C$3/1000000</f>
        <v>9.304452</v>
      </c>
      <c r="T11" s="5">
        <f>'Cumulative Cash Flow'!T6+$C$3/1000000</f>
        <v>9.304452</v>
      </c>
      <c r="U11" s="5">
        <f>'Cumulative Cash Flow'!U6+$C$3/1000000</f>
        <v>9.304452</v>
      </c>
      <c r="V11" s="5">
        <f>'Cumulative Cash Flow'!V6+$C$3/1000000</f>
        <v>9.304452</v>
      </c>
      <c r="W11" s="5">
        <f>'Cumulative Cash Flow'!W6+$C$3/1000000</f>
        <v>9.304452</v>
      </c>
      <c r="X11" s="5">
        <f>'Cumulative Cash Flow'!X6+$C$3/1000000</f>
        <v>9.304452</v>
      </c>
      <c r="Y11" s="5">
        <f>'Cumulative Cash Flow'!Y6+$C$3/1000000</f>
        <v>9.304452</v>
      </c>
      <c r="Z11" s="5">
        <f>'Cumulative Cash Flow'!Z6+$C$3/1000000</f>
        <v>9.304452</v>
      </c>
      <c r="AA11" s="5">
        <f>'Cumulative Cash Flow'!AA6+$C$3/1000000</f>
        <v>9.304452</v>
      </c>
      <c r="AB11" s="5">
        <f>'Cumulative Cash Flow'!AB6+$C$3/1000000</f>
        <v>9.304452</v>
      </c>
      <c r="AC11" s="5">
        <f>'Cumulative Cash Flow'!AC6+$C$3/1000000</f>
        <v>9.304452</v>
      </c>
      <c r="AD11" s="5">
        <f>'Cumulative Cash Flow'!AD6+$C$3/1000000</f>
        <v>9.304452</v>
      </c>
      <c r="AE11" s="5">
        <f>'Cumulative Cash Flow'!AE6+$C$3/1000000</f>
        <v>9.304452</v>
      </c>
      <c r="AF11" s="5">
        <f>'Cumulative Cash Flow'!AF6+$C$3/1000000</f>
        <v>9.304452</v>
      </c>
      <c r="AG11" s="5">
        <f>'Cumulative Cash Flow'!AG6+$C$3/1000000</f>
        <v>9.304452</v>
      </c>
      <c r="AH11" s="5">
        <f>'Cumulative Cash Flow'!AH6+$C$3/1000000</f>
        <v>9.304452</v>
      </c>
      <c r="AI11" s="5">
        <f>'Cumulative Cash Flow'!AI6+$C$3/1000000</f>
        <v>9.304452</v>
      </c>
      <c r="AJ11" s="5">
        <f>'Cumulative Cash Flow'!AJ6+$C$3/1000000</f>
        <v>9.304452</v>
      </c>
      <c r="AK11" s="5">
        <f>'Cumulative Cash Flow'!AK6+$C$3/1000000</f>
        <v>9.304452</v>
      </c>
    </row>
    <row r="12">
      <c r="B12" s="15" t="s">
        <v>170</v>
      </c>
      <c r="C12" s="5">
        <f>'Cumulative Cash Flow'!C6+$C$4/1000000</f>
        <v>10.855194</v>
      </c>
      <c r="D12" s="5">
        <f>'Cumulative Cash Flow'!D6+$C$4/1000000</f>
        <v>10.855194</v>
      </c>
      <c r="E12" s="5">
        <f>'Cumulative Cash Flow'!E6+$C$4/1000000</f>
        <v>10.855194</v>
      </c>
      <c r="F12" s="5">
        <f>'Cumulative Cash Flow'!F6+$C$4/1000000</f>
        <v>10.855194</v>
      </c>
      <c r="G12" s="5">
        <f>'Cumulative Cash Flow'!G6+$C$4/1000000</f>
        <v>10.855194</v>
      </c>
      <c r="H12" s="5">
        <f>'Cumulative Cash Flow'!H6+$C$4/1000000</f>
        <v>10.855194</v>
      </c>
      <c r="I12" s="5">
        <f>'Cumulative Cash Flow'!I6+$C$4/1000000</f>
        <v>10.855194</v>
      </c>
      <c r="J12" s="5">
        <f>'Cumulative Cash Flow'!J6+$C$4/1000000</f>
        <v>10.855194</v>
      </c>
      <c r="K12" s="5">
        <f>'Cumulative Cash Flow'!K6+$C$4/1000000</f>
        <v>10.855194</v>
      </c>
      <c r="L12" s="5">
        <f>'Cumulative Cash Flow'!L6+$C$4/1000000</f>
        <v>10.855194</v>
      </c>
      <c r="M12" s="5">
        <f>'Cumulative Cash Flow'!M6+$C$4/1000000</f>
        <v>10.855194</v>
      </c>
      <c r="N12" s="5">
        <f>'Cumulative Cash Flow'!N6+$C$4/1000000</f>
        <v>10.855194</v>
      </c>
      <c r="O12" s="5">
        <f>'Cumulative Cash Flow'!O6+$C$4/1000000</f>
        <v>10.855194</v>
      </c>
      <c r="P12" s="5">
        <f>'Cumulative Cash Flow'!P6+$C$4/1000000</f>
        <v>10.855194</v>
      </c>
      <c r="Q12" s="5">
        <f>'Cumulative Cash Flow'!Q6+$C$4/1000000</f>
        <v>10.855194</v>
      </c>
      <c r="R12" s="5">
        <f>'Cumulative Cash Flow'!R6+$C$4/1000000</f>
        <v>10.855194</v>
      </c>
      <c r="S12" s="5">
        <f>'Cumulative Cash Flow'!S6+$C$4/1000000</f>
        <v>10.855194</v>
      </c>
      <c r="T12" s="5">
        <f>'Cumulative Cash Flow'!T6+$C$4/1000000</f>
        <v>10.855194</v>
      </c>
      <c r="U12" s="5">
        <f>'Cumulative Cash Flow'!U6+$C$4/1000000</f>
        <v>10.855194</v>
      </c>
      <c r="V12" s="5">
        <f>'Cumulative Cash Flow'!V6+$C$4/1000000</f>
        <v>10.855194</v>
      </c>
      <c r="W12" s="5">
        <f>'Cumulative Cash Flow'!W6+$C$4/1000000</f>
        <v>10.855194</v>
      </c>
      <c r="X12" s="5">
        <f>'Cumulative Cash Flow'!X6+$C$4/1000000</f>
        <v>10.855194</v>
      </c>
      <c r="Y12" s="5">
        <f>'Cumulative Cash Flow'!Y6+$C$4/1000000</f>
        <v>10.855194</v>
      </c>
      <c r="Z12" s="5">
        <f>'Cumulative Cash Flow'!Z6+$C$4/1000000</f>
        <v>10.855194</v>
      </c>
      <c r="AA12" s="5">
        <f>'Cumulative Cash Flow'!AA6+$C$4/1000000</f>
        <v>10.855194</v>
      </c>
      <c r="AB12" s="5">
        <f>'Cumulative Cash Flow'!AB6+$C$4/1000000</f>
        <v>10.855194</v>
      </c>
      <c r="AC12" s="5">
        <f>'Cumulative Cash Flow'!AC6+$C$4/1000000</f>
        <v>10.855194</v>
      </c>
      <c r="AD12" s="5">
        <f>'Cumulative Cash Flow'!AD6+$C$4/1000000</f>
        <v>10.855194</v>
      </c>
      <c r="AE12" s="5">
        <f>'Cumulative Cash Flow'!AE6+$C$4/1000000</f>
        <v>10.855194</v>
      </c>
      <c r="AF12" s="5">
        <f>'Cumulative Cash Flow'!AF6+$C$4/1000000</f>
        <v>10.855194</v>
      </c>
      <c r="AG12" s="5">
        <f>'Cumulative Cash Flow'!AG6+$C$4/1000000</f>
        <v>10.855194</v>
      </c>
      <c r="AH12" s="5">
        <f>'Cumulative Cash Flow'!AH6+$C$4/1000000</f>
        <v>10.855194</v>
      </c>
      <c r="AI12" s="5">
        <f>'Cumulative Cash Flow'!AI6+$C$4/1000000</f>
        <v>10.855194</v>
      </c>
      <c r="AJ12" s="5">
        <f>'Cumulative Cash Flow'!AJ6+$C$4/1000000</f>
        <v>10.855194</v>
      </c>
      <c r="AK12" s="5">
        <f>'Cumulative Cash Flow'!AK6+$C$4/1000000</f>
        <v>10.855194</v>
      </c>
    </row>
    <row r="13">
      <c r="B13" s="15" t="s">
        <v>171</v>
      </c>
      <c r="C13" s="5">
        <f t="shared" ref="C13:AK13" si="1">C10+C9</f>
        <v>1.551049672</v>
      </c>
      <c r="D13" s="5">
        <f t="shared" si="1"/>
        <v>2.622308319</v>
      </c>
      <c r="E13" s="5">
        <f t="shared" si="1"/>
        <v>3.635675415</v>
      </c>
      <c r="F13" s="5">
        <f t="shared" si="1"/>
        <v>4.593891076</v>
      </c>
      <c r="G13" s="5">
        <f t="shared" si="1"/>
        <v>5.499574528</v>
      </c>
      <c r="H13" s="5">
        <f t="shared" si="1"/>
        <v>6.355229211</v>
      </c>
      <c r="I13" s="5">
        <f t="shared" si="1"/>
        <v>7.163247677</v>
      </c>
      <c r="J13" s="5">
        <f t="shared" si="1"/>
        <v>7.925916284</v>
      </c>
      <c r="K13" s="5">
        <f t="shared" si="1"/>
        <v>8.6454197</v>
      </c>
      <c r="L13" s="5">
        <f t="shared" si="1"/>
        <v>9.508243891</v>
      </c>
      <c r="M13" s="5">
        <f t="shared" si="1"/>
        <v>17.07040277</v>
      </c>
      <c r="N13" s="5">
        <f t="shared" si="1"/>
        <v>17.01569837</v>
      </c>
      <c r="O13" s="5">
        <f t="shared" si="1"/>
        <v>16.29774279</v>
      </c>
      <c r="P13" s="5">
        <f t="shared" si="1"/>
        <v>15.62819645</v>
      </c>
      <c r="Q13" s="5">
        <f t="shared" si="1"/>
        <v>15.00455022</v>
      </c>
      <c r="R13" s="5">
        <f t="shared" si="1"/>
        <v>14.42441127</v>
      </c>
      <c r="S13" s="5">
        <f t="shared" si="1"/>
        <v>13.88549806</v>
      </c>
      <c r="T13" s="5">
        <f t="shared" si="1"/>
        <v>13.38563547</v>
      </c>
      <c r="U13" s="5">
        <f t="shared" si="1"/>
        <v>12.9227501</v>
      </c>
      <c r="V13" s="5">
        <f t="shared" si="1"/>
        <v>12.4948659</v>
      </c>
      <c r="W13" s="5">
        <f t="shared" si="1"/>
        <v>12.10009982</v>
      </c>
      <c r="X13" s="5">
        <f t="shared" si="1"/>
        <v>11.7487252</v>
      </c>
      <c r="Y13" s="5">
        <f t="shared" si="1"/>
        <v>11.88027951</v>
      </c>
      <c r="Z13" s="5">
        <f t="shared" si="1"/>
        <v>12.00722943</v>
      </c>
      <c r="AA13" s="5">
        <f t="shared" si="1"/>
        <v>12.1297361</v>
      </c>
      <c r="AB13" s="5">
        <f t="shared" si="1"/>
        <v>12.24795504</v>
      </c>
      <c r="AC13" s="5">
        <f t="shared" si="1"/>
        <v>12.36203631</v>
      </c>
      <c r="AD13" s="5">
        <f t="shared" si="1"/>
        <v>12.47212474</v>
      </c>
      <c r="AE13" s="5">
        <f t="shared" si="1"/>
        <v>12.57836007</v>
      </c>
      <c r="AF13" s="5">
        <f t="shared" si="1"/>
        <v>12.68087717</v>
      </c>
      <c r="AG13" s="5">
        <f t="shared" si="1"/>
        <v>12.77980617</v>
      </c>
      <c r="AH13" s="5">
        <f t="shared" si="1"/>
        <v>12.87527266</v>
      </c>
      <c r="AI13" s="5">
        <f t="shared" si="1"/>
        <v>12.96739781</v>
      </c>
      <c r="AJ13" s="5">
        <f t="shared" si="1"/>
        <v>13.05629859</v>
      </c>
      <c r="AK13" s="5">
        <f t="shared" si="1"/>
        <v>13.14208784</v>
      </c>
    </row>
    <row r="14">
      <c r="B14" s="15" t="s">
        <v>172</v>
      </c>
      <c r="C14" s="5">
        <f t="shared" ref="C14:AK14" si="2">C11+C9</f>
        <v>-4.651918328</v>
      </c>
      <c r="D14" s="5">
        <f t="shared" si="2"/>
        <v>-3.580659681</v>
      </c>
      <c r="E14" s="5">
        <f t="shared" si="2"/>
        <v>-2.567292585</v>
      </c>
      <c r="F14" s="5">
        <f t="shared" si="2"/>
        <v>-1.609076924</v>
      </c>
      <c r="G14" s="5">
        <f t="shared" si="2"/>
        <v>-0.7033934722</v>
      </c>
      <c r="H14" s="5">
        <f t="shared" si="2"/>
        <v>0.1522612109</v>
      </c>
      <c r="I14" s="5">
        <f t="shared" si="2"/>
        <v>0.9602796769</v>
      </c>
      <c r="J14" s="5">
        <f t="shared" si="2"/>
        <v>1.722948284</v>
      </c>
      <c r="K14" s="5">
        <f t="shared" si="2"/>
        <v>2.4424517</v>
      </c>
      <c r="L14" s="5">
        <f t="shared" si="2"/>
        <v>3.305275891</v>
      </c>
      <c r="M14" s="5">
        <f t="shared" si="2"/>
        <v>10.86743477</v>
      </c>
      <c r="N14" s="5">
        <f t="shared" si="2"/>
        <v>10.81273037</v>
      </c>
      <c r="O14" s="5">
        <f t="shared" si="2"/>
        <v>10.09477479</v>
      </c>
      <c r="P14" s="5">
        <f t="shared" si="2"/>
        <v>9.425228454</v>
      </c>
      <c r="Q14" s="5">
        <f t="shared" si="2"/>
        <v>8.80158222</v>
      </c>
      <c r="R14" s="5">
        <f t="shared" si="2"/>
        <v>8.22144327</v>
      </c>
      <c r="S14" s="5">
        <f t="shared" si="2"/>
        <v>7.682530063</v>
      </c>
      <c r="T14" s="5">
        <f t="shared" si="2"/>
        <v>7.182667466</v>
      </c>
      <c r="U14" s="5">
        <f t="shared" si="2"/>
        <v>6.719782105</v>
      </c>
      <c r="V14" s="5">
        <f t="shared" si="2"/>
        <v>6.291897905</v>
      </c>
      <c r="W14" s="5">
        <f t="shared" si="2"/>
        <v>5.89713182</v>
      </c>
      <c r="X14" s="5">
        <f t="shared" si="2"/>
        <v>5.545757197</v>
      </c>
      <c r="Y14" s="5">
        <f t="shared" si="2"/>
        <v>5.677311515</v>
      </c>
      <c r="Z14" s="5">
        <f t="shared" si="2"/>
        <v>5.804261432</v>
      </c>
      <c r="AA14" s="5">
        <f t="shared" si="2"/>
        <v>5.926768102</v>
      </c>
      <c r="AB14" s="5">
        <f t="shared" si="2"/>
        <v>6.044987038</v>
      </c>
      <c r="AC14" s="5">
        <f t="shared" si="2"/>
        <v>6.159068312</v>
      </c>
      <c r="AD14" s="5">
        <f t="shared" si="2"/>
        <v>6.269156741</v>
      </c>
      <c r="AE14" s="5">
        <f t="shared" si="2"/>
        <v>6.375392075</v>
      </c>
      <c r="AF14" s="5">
        <f t="shared" si="2"/>
        <v>6.477909172</v>
      </c>
      <c r="AG14" s="5">
        <f t="shared" si="2"/>
        <v>6.576838171</v>
      </c>
      <c r="AH14" s="5">
        <f t="shared" si="2"/>
        <v>6.672304655</v>
      </c>
      <c r="AI14" s="5">
        <f t="shared" si="2"/>
        <v>6.764429812</v>
      </c>
      <c r="AJ14" s="5">
        <f t="shared" si="2"/>
        <v>6.853330589</v>
      </c>
      <c r="AK14" s="5">
        <f t="shared" si="2"/>
        <v>6.939119838</v>
      </c>
    </row>
    <row r="15">
      <c r="B15" s="15" t="s">
        <v>173</v>
      </c>
      <c r="C15" s="5">
        <f t="shared" ref="C15:AK15" si="3">SUM($C$14:C14)</f>
        <v>-4.651918328</v>
      </c>
      <c r="D15" s="5">
        <f t="shared" si="3"/>
        <v>-8.232578009</v>
      </c>
      <c r="E15" s="5">
        <f t="shared" si="3"/>
        <v>-10.79987059</v>
      </c>
      <c r="F15" s="5">
        <f t="shared" si="3"/>
        <v>-12.40894752</v>
      </c>
      <c r="G15" s="5">
        <f t="shared" si="3"/>
        <v>-13.11234099</v>
      </c>
      <c r="H15" s="5">
        <f t="shared" si="3"/>
        <v>-12.96007978</v>
      </c>
      <c r="I15" s="5">
        <f t="shared" si="3"/>
        <v>-11.9998001</v>
      </c>
      <c r="J15" s="5">
        <f t="shared" si="3"/>
        <v>-10.27685182</v>
      </c>
      <c r="K15" s="5">
        <f t="shared" si="3"/>
        <v>-7.834400119</v>
      </c>
      <c r="L15" s="5">
        <f t="shared" si="3"/>
        <v>-4.529124228</v>
      </c>
      <c r="M15" s="5">
        <f t="shared" si="3"/>
        <v>6.338310538</v>
      </c>
      <c r="N15" s="5">
        <f t="shared" si="3"/>
        <v>17.15104091</v>
      </c>
      <c r="O15" s="5">
        <f t="shared" si="3"/>
        <v>27.24581569</v>
      </c>
      <c r="P15" s="5">
        <f t="shared" si="3"/>
        <v>36.67104415</v>
      </c>
      <c r="Q15" s="5">
        <f t="shared" si="3"/>
        <v>45.47262637</v>
      </c>
      <c r="R15" s="5">
        <f t="shared" si="3"/>
        <v>53.69406964</v>
      </c>
      <c r="S15" s="5">
        <f t="shared" si="3"/>
        <v>61.3765997</v>
      </c>
      <c r="T15" s="5">
        <f t="shared" si="3"/>
        <v>68.55926717</v>
      </c>
      <c r="U15" s="5">
        <f t="shared" si="3"/>
        <v>75.27904927</v>
      </c>
      <c r="V15" s="5">
        <f t="shared" si="3"/>
        <v>81.57094718</v>
      </c>
      <c r="W15" s="5">
        <f t="shared" si="3"/>
        <v>87.468079</v>
      </c>
      <c r="X15" s="5">
        <f t="shared" si="3"/>
        <v>93.01383619</v>
      </c>
      <c r="Y15" s="5">
        <f t="shared" si="3"/>
        <v>98.69114771</v>
      </c>
      <c r="Z15" s="5">
        <f t="shared" si="3"/>
        <v>104.4954091</v>
      </c>
      <c r="AA15" s="5">
        <f t="shared" si="3"/>
        <v>110.4221772</v>
      </c>
      <c r="AB15" s="5">
        <f t="shared" si="3"/>
        <v>116.4671643</v>
      </c>
      <c r="AC15" s="5">
        <f t="shared" si="3"/>
        <v>122.6262326</v>
      </c>
      <c r="AD15" s="5">
        <f t="shared" si="3"/>
        <v>128.8953893</v>
      </c>
      <c r="AE15" s="5">
        <f t="shared" si="3"/>
        <v>135.2707814</v>
      </c>
      <c r="AF15" s="5">
        <f t="shared" si="3"/>
        <v>141.7486906</v>
      </c>
      <c r="AG15" s="5">
        <f t="shared" si="3"/>
        <v>148.3255287</v>
      </c>
      <c r="AH15" s="5">
        <f t="shared" si="3"/>
        <v>154.9978334</v>
      </c>
      <c r="AI15" s="5">
        <f t="shared" si="3"/>
        <v>161.7622632</v>
      </c>
      <c r="AJ15" s="5">
        <f t="shared" si="3"/>
        <v>168.6155938</v>
      </c>
      <c r="AK15" s="5">
        <f t="shared" si="3"/>
        <v>175.5547136</v>
      </c>
    </row>
    <row r="16">
      <c r="B16" s="15" t="s">
        <v>174</v>
      </c>
    </row>
    <row r="19">
      <c r="A19" s="15" t="s">
        <v>175</v>
      </c>
      <c r="B19" s="15" t="s">
        <v>140</v>
      </c>
      <c r="C19" s="5">
        <f>'Transition Expenditure'!C266</f>
        <v>-17.62692166</v>
      </c>
      <c r="D19" s="5">
        <f>'Transition Expenditure'!D266</f>
        <v>-15.67972903</v>
      </c>
      <c r="E19" s="5">
        <f>'Transition Expenditure'!E266</f>
        <v>-13.94811545</v>
      </c>
      <c r="F19" s="5">
        <f>'Transition Expenditure'!F266</f>
        <v>-12.40036605</v>
      </c>
      <c r="G19" s="5">
        <f>'Transition Expenditure'!G266</f>
        <v>-11.01043995</v>
      </c>
      <c r="H19" s="5">
        <f>'Transition Expenditure'!H266</f>
        <v>-9.756870051</v>
      </c>
      <c r="I19" s="5">
        <f>'Transition Expenditure'!I266</f>
        <v>-8.621882604</v>
      </c>
      <c r="J19" s="5">
        <f>'Transition Expenditure'!J266</f>
        <v>-7.368250197</v>
      </c>
      <c r="K19" s="5">
        <f>'Transition Expenditure'!K266</f>
        <v>-6.145862239</v>
      </c>
      <c r="L19" s="5">
        <f>'Transition Expenditure'!L266</f>
        <v>-5.129739859</v>
      </c>
      <c r="M19" s="5">
        <f>'Transition Expenditure'!M266</f>
        <v>1.97858004</v>
      </c>
      <c r="N19" s="5">
        <f>'Transition Expenditure'!N266</f>
        <v>2.093248632</v>
      </c>
      <c r="O19" s="5">
        <f>'Transition Expenditure'!O266</f>
        <v>-6.149908561</v>
      </c>
      <c r="P19" s="5">
        <f>'Transition Expenditure'!P266</f>
        <v>-5.532117886</v>
      </c>
      <c r="Q19" s="5">
        <f>'Transition Expenditure'!Q266</f>
        <v>-5.008777506</v>
      </c>
      <c r="R19" s="5">
        <f>'Transition Expenditure'!R266</f>
        <v>-4.562725914</v>
      </c>
      <c r="S19" s="5">
        <f>'Transition Expenditure'!S266</f>
        <v>-4.180109799</v>
      </c>
      <c r="T19" s="5">
        <f>'Transition Expenditure'!T266</f>
        <v>-3.849731548</v>
      </c>
      <c r="U19" s="5">
        <f>'Transition Expenditure'!U266</f>
        <v>-3.562526876</v>
      </c>
      <c r="V19" s="5">
        <f>'Transition Expenditure'!V266</f>
        <v>-3.311188094</v>
      </c>
      <c r="W19" s="5">
        <f>'Transition Expenditure'!W266</f>
        <v>-3.254913143</v>
      </c>
      <c r="X19" s="5">
        <f>'Transition Expenditure'!X266</f>
        <v>-2.90032389</v>
      </c>
      <c r="Y19" s="5">
        <f>'Transition Expenditure'!Y266</f>
        <v>-2.816105926</v>
      </c>
      <c r="Z19" s="5">
        <f>'Transition Expenditure'!Z266</f>
        <v>-2.635940895</v>
      </c>
      <c r="AA19" s="5">
        <f>'Transition Expenditure'!AA266</f>
        <v>-3.577827723</v>
      </c>
      <c r="AB19" s="5">
        <f>'Transition Expenditure'!AB266</f>
        <v>-3.219054815</v>
      </c>
      <c r="AC19" s="5">
        <f>'Transition Expenditure'!AC266</f>
        <v>-2.916736587</v>
      </c>
      <c r="AD19" s="5">
        <f>'Transition Expenditure'!AD266</f>
        <v>-2.660409991</v>
      </c>
      <c r="AE19" s="5">
        <f>'Transition Expenditure'!AE266</f>
        <v>-2.441643215</v>
      </c>
      <c r="AF19" s="5">
        <f>'Transition Expenditure'!AF266</f>
        <v>-2.253664485</v>
      </c>
      <c r="AG19" s="5">
        <f>'Transition Expenditure'!AG266</f>
        <v>-2.206646739</v>
      </c>
      <c r="AH19" s="5">
        <f>'Transition Expenditure'!AH266</f>
        <v>-1.954050122</v>
      </c>
      <c r="AI19" s="5">
        <f>'Transition Expenditure'!AI266</f>
        <v>-1.893298432</v>
      </c>
      <c r="AJ19" s="5">
        <f>'Transition Expenditure'!AJ266</f>
        <v>-1.767223613</v>
      </c>
      <c r="AK19" s="5">
        <f>'Transition Expenditure'!AK266</f>
        <v>-1.656698369</v>
      </c>
    </row>
    <row r="20">
      <c r="B20" s="15" t="s">
        <v>176</v>
      </c>
      <c r="C20" s="5">
        <f t="shared" ref="C20:AK20" si="4">C10</f>
        <v>15.50742</v>
      </c>
      <c r="D20" s="5">
        <f t="shared" si="4"/>
        <v>15.50742</v>
      </c>
      <c r="E20" s="5">
        <f t="shared" si="4"/>
        <v>15.50742</v>
      </c>
      <c r="F20" s="5">
        <f t="shared" si="4"/>
        <v>15.50742</v>
      </c>
      <c r="G20" s="5">
        <f t="shared" si="4"/>
        <v>15.50742</v>
      </c>
      <c r="H20" s="5">
        <f t="shared" si="4"/>
        <v>15.50742</v>
      </c>
      <c r="I20" s="5">
        <f t="shared" si="4"/>
        <v>15.50742</v>
      </c>
      <c r="J20" s="5">
        <f t="shared" si="4"/>
        <v>15.50742</v>
      </c>
      <c r="K20" s="5">
        <f t="shared" si="4"/>
        <v>15.50742</v>
      </c>
      <c r="L20" s="5">
        <f t="shared" si="4"/>
        <v>15.50742</v>
      </c>
      <c r="M20" s="5">
        <f t="shared" si="4"/>
        <v>15.50742</v>
      </c>
      <c r="N20" s="5">
        <f t="shared" si="4"/>
        <v>15.50742</v>
      </c>
      <c r="O20" s="5">
        <f t="shared" si="4"/>
        <v>15.50742</v>
      </c>
      <c r="P20" s="5">
        <f t="shared" si="4"/>
        <v>15.50742</v>
      </c>
      <c r="Q20" s="5">
        <f t="shared" si="4"/>
        <v>15.50742</v>
      </c>
      <c r="R20" s="5">
        <f t="shared" si="4"/>
        <v>15.50742</v>
      </c>
      <c r="S20" s="5">
        <f t="shared" si="4"/>
        <v>15.50742</v>
      </c>
      <c r="T20" s="5">
        <f t="shared" si="4"/>
        <v>15.50742</v>
      </c>
      <c r="U20" s="5">
        <f t="shared" si="4"/>
        <v>15.50742</v>
      </c>
      <c r="V20" s="5">
        <f t="shared" si="4"/>
        <v>15.50742</v>
      </c>
      <c r="W20" s="5">
        <f t="shared" si="4"/>
        <v>15.50742</v>
      </c>
      <c r="X20" s="5">
        <f t="shared" si="4"/>
        <v>15.50742</v>
      </c>
      <c r="Y20" s="5">
        <f t="shared" si="4"/>
        <v>15.50742</v>
      </c>
      <c r="Z20" s="5">
        <f t="shared" si="4"/>
        <v>15.50742</v>
      </c>
      <c r="AA20" s="5">
        <f t="shared" si="4"/>
        <v>15.50742</v>
      </c>
      <c r="AB20" s="5">
        <f t="shared" si="4"/>
        <v>15.50742</v>
      </c>
      <c r="AC20" s="5">
        <f t="shared" si="4"/>
        <v>15.50742</v>
      </c>
      <c r="AD20" s="5">
        <f t="shared" si="4"/>
        <v>15.50742</v>
      </c>
      <c r="AE20" s="5">
        <f t="shared" si="4"/>
        <v>15.50742</v>
      </c>
      <c r="AF20" s="5">
        <f t="shared" si="4"/>
        <v>15.50742</v>
      </c>
      <c r="AG20" s="5">
        <f t="shared" si="4"/>
        <v>15.50742</v>
      </c>
      <c r="AH20" s="5">
        <f t="shared" si="4"/>
        <v>15.50742</v>
      </c>
      <c r="AI20" s="5">
        <f t="shared" si="4"/>
        <v>15.50742</v>
      </c>
      <c r="AJ20" s="5">
        <f t="shared" si="4"/>
        <v>15.50742</v>
      </c>
      <c r="AK20" s="5">
        <f t="shared" si="4"/>
        <v>15.50742</v>
      </c>
    </row>
    <row r="21">
      <c r="B21" s="15" t="s">
        <v>177</v>
      </c>
      <c r="C21" s="5">
        <f t="shared" ref="C21:AK21" si="5">C20+C19</f>
        <v>-2.119501663</v>
      </c>
      <c r="D21" s="5">
        <f t="shared" si="5"/>
        <v>-0.1723090343</v>
      </c>
      <c r="E21" s="5">
        <f t="shared" si="5"/>
        <v>1.559304547</v>
      </c>
      <c r="F21" s="5">
        <f t="shared" si="5"/>
        <v>3.107053954</v>
      </c>
      <c r="G21" s="5">
        <f t="shared" si="5"/>
        <v>4.496980051</v>
      </c>
      <c r="H21" s="5">
        <f t="shared" si="5"/>
        <v>5.750549949</v>
      </c>
      <c r="I21" s="5">
        <f t="shared" si="5"/>
        <v>6.885537396</v>
      </c>
      <c r="J21" s="5">
        <f t="shared" si="5"/>
        <v>8.139169803</v>
      </c>
      <c r="K21" s="5">
        <f t="shared" si="5"/>
        <v>9.361557761</v>
      </c>
      <c r="L21" s="5">
        <f t="shared" si="5"/>
        <v>10.37768014</v>
      </c>
      <c r="M21" s="5">
        <f t="shared" si="5"/>
        <v>17.48600004</v>
      </c>
      <c r="N21" s="5">
        <f t="shared" si="5"/>
        <v>17.60066863</v>
      </c>
      <c r="O21" s="5">
        <f t="shared" si="5"/>
        <v>9.357511439</v>
      </c>
      <c r="P21" s="5">
        <f t="shared" si="5"/>
        <v>9.975302114</v>
      </c>
      <c r="Q21" s="5">
        <f t="shared" si="5"/>
        <v>10.49864249</v>
      </c>
      <c r="R21" s="5">
        <f t="shared" si="5"/>
        <v>10.94469409</v>
      </c>
      <c r="S21" s="5">
        <f t="shared" si="5"/>
        <v>11.3273102</v>
      </c>
      <c r="T21" s="5">
        <f t="shared" si="5"/>
        <v>11.65768845</v>
      </c>
      <c r="U21" s="5">
        <f t="shared" si="5"/>
        <v>11.94489312</v>
      </c>
      <c r="V21" s="5">
        <f t="shared" si="5"/>
        <v>12.19623191</v>
      </c>
      <c r="W21" s="5">
        <f t="shared" si="5"/>
        <v>12.25250686</v>
      </c>
      <c r="X21" s="5">
        <f t="shared" si="5"/>
        <v>12.60709611</v>
      </c>
      <c r="Y21" s="5">
        <f t="shared" si="5"/>
        <v>12.69131407</v>
      </c>
      <c r="Z21" s="5">
        <f t="shared" si="5"/>
        <v>12.87147911</v>
      </c>
      <c r="AA21" s="5">
        <f t="shared" si="5"/>
        <v>11.92959228</v>
      </c>
      <c r="AB21" s="5">
        <f t="shared" si="5"/>
        <v>12.28836519</v>
      </c>
      <c r="AC21" s="5">
        <f t="shared" si="5"/>
        <v>12.59068341</v>
      </c>
      <c r="AD21" s="5">
        <f t="shared" si="5"/>
        <v>12.84701001</v>
      </c>
      <c r="AE21" s="5">
        <f t="shared" si="5"/>
        <v>13.06577679</v>
      </c>
      <c r="AF21" s="5">
        <f t="shared" si="5"/>
        <v>13.25375552</v>
      </c>
      <c r="AG21" s="5">
        <f t="shared" si="5"/>
        <v>13.30077326</v>
      </c>
      <c r="AH21" s="5">
        <f t="shared" si="5"/>
        <v>13.55336988</v>
      </c>
      <c r="AI21" s="5">
        <f t="shared" si="5"/>
        <v>13.61412157</v>
      </c>
      <c r="AJ21" s="5">
        <f t="shared" si="5"/>
        <v>13.74019639</v>
      </c>
      <c r="AK21" s="5">
        <f t="shared" si="5"/>
        <v>13.85072163</v>
      </c>
    </row>
    <row r="22">
      <c r="B22" s="15" t="s">
        <v>178</v>
      </c>
      <c r="C22" s="5">
        <f t="shared" ref="C22:AK22" si="6">C11</f>
        <v>9.304452</v>
      </c>
      <c r="D22" s="5">
        <f t="shared" si="6"/>
        <v>9.304452</v>
      </c>
      <c r="E22" s="5">
        <f t="shared" si="6"/>
        <v>9.304452</v>
      </c>
      <c r="F22" s="5">
        <f t="shared" si="6"/>
        <v>9.304452</v>
      </c>
      <c r="G22" s="5">
        <f t="shared" si="6"/>
        <v>9.304452</v>
      </c>
      <c r="H22" s="5">
        <f t="shared" si="6"/>
        <v>9.304452</v>
      </c>
      <c r="I22" s="5">
        <f t="shared" si="6"/>
        <v>9.304452</v>
      </c>
      <c r="J22" s="5">
        <f t="shared" si="6"/>
        <v>9.304452</v>
      </c>
      <c r="K22" s="5">
        <f t="shared" si="6"/>
        <v>9.304452</v>
      </c>
      <c r="L22" s="5">
        <f t="shared" si="6"/>
        <v>9.304452</v>
      </c>
      <c r="M22" s="5">
        <f t="shared" si="6"/>
        <v>9.304452</v>
      </c>
      <c r="N22" s="5">
        <f t="shared" si="6"/>
        <v>9.304452</v>
      </c>
      <c r="O22" s="5">
        <f t="shared" si="6"/>
        <v>9.304452</v>
      </c>
      <c r="P22" s="5">
        <f t="shared" si="6"/>
        <v>9.304452</v>
      </c>
      <c r="Q22" s="5">
        <f t="shared" si="6"/>
        <v>9.304452</v>
      </c>
      <c r="R22" s="5">
        <f t="shared" si="6"/>
        <v>9.304452</v>
      </c>
      <c r="S22" s="5">
        <f t="shared" si="6"/>
        <v>9.304452</v>
      </c>
      <c r="T22" s="5">
        <f t="shared" si="6"/>
        <v>9.304452</v>
      </c>
      <c r="U22" s="5">
        <f t="shared" si="6"/>
        <v>9.304452</v>
      </c>
      <c r="V22" s="5">
        <f t="shared" si="6"/>
        <v>9.304452</v>
      </c>
      <c r="W22" s="5">
        <f t="shared" si="6"/>
        <v>9.304452</v>
      </c>
      <c r="X22" s="5">
        <f t="shared" si="6"/>
        <v>9.304452</v>
      </c>
      <c r="Y22" s="5">
        <f t="shared" si="6"/>
        <v>9.304452</v>
      </c>
      <c r="Z22" s="5">
        <f t="shared" si="6"/>
        <v>9.304452</v>
      </c>
      <c r="AA22" s="5">
        <f t="shared" si="6"/>
        <v>9.304452</v>
      </c>
      <c r="AB22" s="5">
        <f t="shared" si="6"/>
        <v>9.304452</v>
      </c>
      <c r="AC22" s="5">
        <f t="shared" si="6"/>
        <v>9.304452</v>
      </c>
      <c r="AD22" s="5">
        <f t="shared" si="6"/>
        <v>9.304452</v>
      </c>
      <c r="AE22" s="5">
        <f t="shared" si="6"/>
        <v>9.304452</v>
      </c>
      <c r="AF22" s="5">
        <f t="shared" si="6"/>
        <v>9.304452</v>
      </c>
      <c r="AG22" s="5">
        <f t="shared" si="6"/>
        <v>9.304452</v>
      </c>
      <c r="AH22" s="5">
        <f t="shared" si="6"/>
        <v>9.304452</v>
      </c>
      <c r="AI22" s="5">
        <f t="shared" si="6"/>
        <v>9.304452</v>
      </c>
      <c r="AJ22" s="5">
        <f t="shared" si="6"/>
        <v>9.304452</v>
      </c>
      <c r="AK22" s="5">
        <f t="shared" si="6"/>
        <v>9.304452</v>
      </c>
    </row>
    <row r="23">
      <c r="B23" s="15" t="s">
        <v>179</v>
      </c>
      <c r="C23" s="5">
        <f t="shared" ref="C23:AK23" si="7">SUM($C$21:C21)</f>
        <v>-2.119501663</v>
      </c>
      <c r="D23" s="5">
        <f t="shared" si="7"/>
        <v>-2.291810697</v>
      </c>
      <c r="E23" s="5">
        <f t="shared" si="7"/>
        <v>-0.7325061497</v>
      </c>
      <c r="F23" s="5">
        <f t="shared" si="7"/>
        <v>2.374547804</v>
      </c>
      <c r="G23" s="5">
        <f t="shared" si="7"/>
        <v>6.871527855</v>
      </c>
      <c r="H23" s="5">
        <f t="shared" si="7"/>
        <v>12.6220778</v>
      </c>
      <c r="I23" s="5">
        <f t="shared" si="7"/>
        <v>19.5076152</v>
      </c>
      <c r="J23" s="5">
        <f t="shared" si="7"/>
        <v>27.646785</v>
      </c>
      <c r="K23" s="5">
        <f t="shared" si="7"/>
        <v>37.00834276</v>
      </c>
      <c r="L23" s="5">
        <f t="shared" si="7"/>
        <v>47.38602291</v>
      </c>
      <c r="M23" s="5">
        <f t="shared" si="7"/>
        <v>64.87202295</v>
      </c>
      <c r="N23" s="5">
        <f t="shared" si="7"/>
        <v>82.47269158</v>
      </c>
      <c r="O23" s="5">
        <f t="shared" si="7"/>
        <v>91.83020302</v>
      </c>
      <c r="P23" s="5">
        <f t="shared" si="7"/>
        <v>101.8055051</v>
      </c>
      <c r="Q23" s="5">
        <f t="shared" si="7"/>
        <v>112.3041476</v>
      </c>
      <c r="R23" s="5">
        <f t="shared" si="7"/>
        <v>123.2488417</v>
      </c>
      <c r="S23" s="5">
        <f t="shared" si="7"/>
        <v>134.5761519</v>
      </c>
      <c r="T23" s="5">
        <f t="shared" si="7"/>
        <v>146.2338404</v>
      </c>
      <c r="U23" s="5">
        <f t="shared" si="7"/>
        <v>158.1787335</v>
      </c>
      <c r="V23" s="5">
        <f t="shared" si="7"/>
        <v>170.3749654</v>
      </c>
      <c r="W23" s="5">
        <f t="shared" si="7"/>
        <v>182.6274723</v>
      </c>
      <c r="X23" s="5">
        <f t="shared" si="7"/>
        <v>195.2345684</v>
      </c>
      <c r="Y23" s="5">
        <f t="shared" si="7"/>
        <v>207.9258824</v>
      </c>
      <c r="Z23" s="5">
        <f t="shared" si="7"/>
        <v>220.7973615</v>
      </c>
      <c r="AA23" s="5">
        <f t="shared" si="7"/>
        <v>232.7269538</v>
      </c>
      <c r="AB23" s="5">
        <f t="shared" si="7"/>
        <v>245.015319</v>
      </c>
      <c r="AC23" s="5">
        <f t="shared" si="7"/>
        <v>257.6060024</v>
      </c>
      <c r="AD23" s="5">
        <f t="shared" si="7"/>
        <v>270.4530124</v>
      </c>
      <c r="AE23" s="5">
        <f t="shared" si="7"/>
        <v>283.5187892</v>
      </c>
      <c r="AF23" s="5">
        <f t="shared" si="7"/>
        <v>296.7725447</v>
      </c>
      <c r="AG23" s="5">
        <f t="shared" si="7"/>
        <v>310.073318</v>
      </c>
      <c r="AH23" s="5">
        <f t="shared" si="7"/>
        <v>323.6266879</v>
      </c>
      <c r="AI23" s="5">
        <f t="shared" si="7"/>
        <v>337.2408094</v>
      </c>
      <c r="AJ23" s="5">
        <f t="shared" si="7"/>
        <v>350.9810058</v>
      </c>
      <c r="AK23" s="5">
        <f t="shared" si="7"/>
        <v>364.8317275</v>
      </c>
    </row>
    <row r="24">
      <c r="B24" s="15" t="s">
        <v>180</v>
      </c>
      <c r="C24" s="5">
        <f t="shared" ref="C24:AK24" si="8">C22+C19</f>
        <v>-8.322469663</v>
      </c>
      <c r="D24" s="5">
        <f t="shared" si="8"/>
        <v>-6.375277034</v>
      </c>
      <c r="E24" s="5">
        <f t="shared" si="8"/>
        <v>-4.643663453</v>
      </c>
      <c r="F24" s="5">
        <f t="shared" si="8"/>
        <v>-3.095914046</v>
      </c>
      <c r="G24" s="5">
        <f t="shared" si="8"/>
        <v>-1.705987949</v>
      </c>
      <c r="H24" s="5">
        <f t="shared" si="8"/>
        <v>-0.4524180514</v>
      </c>
      <c r="I24" s="5">
        <f t="shared" si="8"/>
        <v>0.6825693961</v>
      </c>
      <c r="J24" s="5">
        <f t="shared" si="8"/>
        <v>1.936201803</v>
      </c>
      <c r="K24" s="5">
        <f t="shared" si="8"/>
        <v>3.158589761</v>
      </c>
      <c r="L24" s="5">
        <f t="shared" si="8"/>
        <v>4.174712141</v>
      </c>
      <c r="M24" s="5">
        <f t="shared" si="8"/>
        <v>11.28303204</v>
      </c>
      <c r="N24" s="5">
        <f t="shared" si="8"/>
        <v>11.39770063</v>
      </c>
      <c r="O24" s="5">
        <f t="shared" si="8"/>
        <v>3.154543439</v>
      </c>
      <c r="P24" s="5">
        <f t="shared" si="8"/>
        <v>3.772334114</v>
      </c>
      <c r="Q24" s="5">
        <f t="shared" si="8"/>
        <v>4.295674494</v>
      </c>
      <c r="R24" s="5">
        <f t="shared" si="8"/>
        <v>4.741726086</v>
      </c>
      <c r="S24" s="5">
        <f t="shared" si="8"/>
        <v>5.124342201</v>
      </c>
      <c r="T24" s="5">
        <f t="shared" si="8"/>
        <v>5.454720452</v>
      </c>
      <c r="U24" s="5">
        <f t="shared" si="8"/>
        <v>5.741925124</v>
      </c>
      <c r="V24" s="5">
        <f t="shared" si="8"/>
        <v>5.993263906</v>
      </c>
      <c r="W24" s="5">
        <f t="shared" si="8"/>
        <v>6.049538857</v>
      </c>
      <c r="X24" s="5">
        <f t="shared" si="8"/>
        <v>6.40412811</v>
      </c>
      <c r="Y24" s="5">
        <f t="shared" si="8"/>
        <v>6.488346074</v>
      </c>
      <c r="Z24" s="5">
        <f t="shared" si="8"/>
        <v>6.668511105</v>
      </c>
      <c r="AA24" s="5">
        <f t="shared" si="8"/>
        <v>5.726624277</v>
      </c>
      <c r="AB24" s="5">
        <f t="shared" si="8"/>
        <v>6.085397185</v>
      </c>
      <c r="AC24" s="5">
        <f t="shared" si="8"/>
        <v>6.387715413</v>
      </c>
      <c r="AD24" s="5">
        <f t="shared" si="8"/>
        <v>6.644042009</v>
      </c>
      <c r="AE24" s="5">
        <f t="shared" si="8"/>
        <v>6.862808785</v>
      </c>
      <c r="AF24" s="5">
        <f t="shared" si="8"/>
        <v>7.050787515</v>
      </c>
      <c r="AG24" s="5">
        <f t="shared" si="8"/>
        <v>7.097805261</v>
      </c>
      <c r="AH24" s="5">
        <f t="shared" si="8"/>
        <v>7.350401878</v>
      </c>
      <c r="AI24" s="5">
        <f t="shared" si="8"/>
        <v>7.411153568</v>
      </c>
      <c r="AJ24" s="5">
        <f t="shared" si="8"/>
        <v>7.537228387</v>
      </c>
      <c r="AK24" s="5">
        <f t="shared" si="8"/>
        <v>7.647753631</v>
      </c>
    </row>
    <row r="25">
      <c r="B25" s="15" t="s">
        <v>173</v>
      </c>
      <c r="C25" s="5">
        <f t="shared" ref="C25:AK25" si="9">SUM($C$24:C24)</f>
        <v>-8.322469663</v>
      </c>
      <c r="D25" s="5">
        <f t="shared" si="9"/>
        <v>-14.6977467</v>
      </c>
      <c r="E25" s="5">
        <f t="shared" si="9"/>
        <v>-19.34141015</v>
      </c>
      <c r="F25" s="5">
        <f t="shared" si="9"/>
        <v>-22.4373242</v>
      </c>
      <c r="G25" s="5">
        <f t="shared" si="9"/>
        <v>-24.14331214</v>
      </c>
      <c r="H25" s="5">
        <f t="shared" si="9"/>
        <v>-24.5957302</v>
      </c>
      <c r="I25" s="5">
        <f t="shared" si="9"/>
        <v>-23.9131608</v>
      </c>
      <c r="J25" s="5">
        <f t="shared" si="9"/>
        <v>-21.976959</v>
      </c>
      <c r="K25" s="5">
        <f t="shared" si="9"/>
        <v>-18.81836924</v>
      </c>
      <c r="L25" s="5">
        <f t="shared" si="9"/>
        <v>-14.64365709</v>
      </c>
      <c r="M25" s="5">
        <f t="shared" si="9"/>
        <v>-3.360625054</v>
      </c>
      <c r="N25" s="5">
        <f t="shared" si="9"/>
        <v>8.037075578</v>
      </c>
      <c r="O25" s="5">
        <f t="shared" si="9"/>
        <v>11.19161902</v>
      </c>
      <c r="P25" s="5">
        <f t="shared" si="9"/>
        <v>14.96395313</v>
      </c>
      <c r="Q25" s="5">
        <f t="shared" si="9"/>
        <v>19.25962763</v>
      </c>
      <c r="R25" s="5">
        <f t="shared" si="9"/>
        <v>24.00135371</v>
      </c>
      <c r="S25" s="5">
        <f t="shared" si="9"/>
        <v>29.12569591</v>
      </c>
      <c r="T25" s="5">
        <f t="shared" si="9"/>
        <v>34.58041636</v>
      </c>
      <c r="U25" s="5">
        <f t="shared" si="9"/>
        <v>40.32234149</v>
      </c>
      <c r="V25" s="5">
        <f t="shared" si="9"/>
        <v>46.31560539</v>
      </c>
      <c r="W25" s="5">
        <f t="shared" si="9"/>
        <v>52.36514425</v>
      </c>
      <c r="X25" s="5">
        <f t="shared" si="9"/>
        <v>58.76927236</v>
      </c>
      <c r="Y25" s="5">
        <f t="shared" si="9"/>
        <v>65.25761844</v>
      </c>
      <c r="Z25" s="5">
        <f t="shared" si="9"/>
        <v>71.92612954</v>
      </c>
      <c r="AA25" s="5">
        <f t="shared" si="9"/>
        <v>77.65275382</v>
      </c>
      <c r="AB25" s="5">
        <f t="shared" si="9"/>
        <v>83.738151</v>
      </c>
      <c r="AC25" s="5">
        <f t="shared" si="9"/>
        <v>90.12586642</v>
      </c>
      <c r="AD25" s="5">
        <f t="shared" si="9"/>
        <v>96.76990842</v>
      </c>
      <c r="AE25" s="5">
        <f t="shared" si="9"/>
        <v>103.6327172</v>
      </c>
      <c r="AF25" s="5">
        <f t="shared" si="9"/>
        <v>110.6835047</v>
      </c>
      <c r="AG25" s="5">
        <f t="shared" si="9"/>
        <v>117.78131</v>
      </c>
      <c r="AH25" s="5">
        <f t="shared" si="9"/>
        <v>125.1317119</v>
      </c>
      <c r="AI25" s="5">
        <f t="shared" si="9"/>
        <v>132.5428654</v>
      </c>
      <c r="AJ25" s="5">
        <f t="shared" si="9"/>
        <v>140.0800938</v>
      </c>
      <c r="AK25" s="5">
        <f t="shared" si="9"/>
        <v>147.7278475</v>
      </c>
    </row>
    <row r="26">
      <c r="B26" s="15" t="s">
        <v>181</v>
      </c>
      <c r="C26" s="5">
        <f>'Cumulative Cash Flow'!C6+$C$4/1000000</f>
        <v>10.855194</v>
      </c>
      <c r="D26" s="5">
        <f>'Cumulative Cash Flow'!D6+$C$4/1000000</f>
        <v>10.855194</v>
      </c>
      <c r="E26" s="5">
        <f>'Cumulative Cash Flow'!E6+$C$4/1000000</f>
        <v>10.855194</v>
      </c>
      <c r="F26" s="5">
        <f>'Cumulative Cash Flow'!F6+$C$4/1000000</f>
        <v>10.855194</v>
      </c>
      <c r="G26" s="5">
        <f>'Cumulative Cash Flow'!G6+$C$4/1000000</f>
        <v>10.855194</v>
      </c>
      <c r="H26" s="5">
        <f>'Cumulative Cash Flow'!H6+$C$4/1000000</f>
        <v>10.855194</v>
      </c>
      <c r="I26" s="5">
        <f>'Cumulative Cash Flow'!I6+$C$4/1000000</f>
        <v>10.855194</v>
      </c>
      <c r="J26" s="5">
        <f>'Cumulative Cash Flow'!J6+$C$4/1000000</f>
        <v>10.855194</v>
      </c>
      <c r="K26" s="5">
        <f>'Cumulative Cash Flow'!K6+$C$4/1000000</f>
        <v>10.855194</v>
      </c>
      <c r="L26" s="5">
        <f>'Cumulative Cash Flow'!L6+$C$4/1000000</f>
        <v>10.855194</v>
      </c>
      <c r="M26" s="5">
        <f>'Cumulative Cash Flow'!M6+$C$4/1000000</f>
        <v>10.855194</v>
      </c>
      <c r="N26" s="5">
        <f>'Cumulative Cash Flow'!N6+$C$4/1000000</f>
        <v>10.855194</v>
      </c>
      <c r="O26" s="5">
        <f>'Cumulative Cash Flow'!O6+$C$4/1000000</f>
        <v>10.855194</v>
      </c>
      <c r="P26" s="5">
        <f>'Cumulative Cash Flow'!P6+$C$4/1000000</f>
        <v>10.855194</v>
      </c>
      <c r="Q26" s="5">
        <f>'Cumulative Cash Flow'!Q6+$C$4/1000000</f>
        <v>10.855194</v>
      </c>
      <c r="R26" s="5">
        <f>'Cumulative Cash Flow'!R6+$C$4/1000000</f>
        <v>10.855194</v>
      </c>
      <c r="S26" s="5">
        <f>'Cumulative Cash Flow'!S6+$C$4/1000000</f>
        <v>10.855194</v>
      </c>
      <c r="T26" s="5">
        <f>'Cumulative Cash Flow'!T6+$C$4/1000000</f>
        <v>10.855194</v>
      </c>
      <c r="U26" s="5">
        <f>'Cumulative Cash Flow'!U6+$C$4/1000000</f>
        <v>10.855194</v>
      </c>
      <c r="V26" s="5">
        <f>'Cumulative Cash Flow'!V6+$C$4/1000000</f>
        <v>10.855194</v>
      </c>
      <c r="W26" s="5">
        <f>'Cumulative Cash Flow'!W6+$C$4/1000000</f>
        <v>10.855194</v>
      </c>
      <c r="X26" s="5">
        <f>'Cumulative Cash Flow'!X6+$C$4/1000000</f>
        <v>10.855194</v>
      </c>
      <c r="Y26" s="5">
        <f>'Cumulative Cash Flow'!Y6+$C$4/1000000</f>
        <v>10.855194</v>
      </c>
      <c r="Z26" s="5">
        <f>'Cumulative Cash Flow'!Z6+$C$4/1000000</f>
        <v>10.855194</v>
      </c>
      <c r="AA26" s="5">
        <f>'Cumulative Cash Flow'!AA6+$C$4/1000000</f>
        <v>10.855194</v>
      </c>
      <c r="AB26" s="5">
        <f>'Cumulative Cash Flow'!AB6+$C$4/1000000</f>
        <v>10.855194</v>
      </c>
      <c r="AC26" s="5">
        <f>'Cumulative Cash Flow'!AC6+$C$4/1000000</f>
        <v>10.855194</v>
      </c>
      <c r="AD26" s="5">
        <f>'Cumulative Cash Flow'!AD6+$C$4/1000000</f>
        <v>10.855194</v>
      </c>
      <c r="AE26" s="5">
        <f>'Cumulative Cash Flow'!AE6+$C$4/1000000</f>
        <v>10.855194</v>
      </c>
      <c r="AF26" s="5">
        <f>'Cumulative Cash Flow'!AF6+$C$4/1000000</f>
        <v>10.855194</v>
      </c>
      <c r="AG26" s="5">
        <f>'Cumulative Cash Flow'!AG6+$C$4/1000000</f>
        <v>10.855194</v>
      </c>
      <c r="AH26" s="5">
        <f>'Cumulative Cash Flow'!AH6+$C$4/1000000</f>
        <v>10.855194</v>
      </c>
      <c r="AI26" s="5">
        <f>'Cumulative Cash Flow'!AI6+$C$4/1000000</f>
        <v>10.855194</v>
      </c>
      <c r="AJ26" s="5">
        <f>'Cumulative Cash Flow'!AJ6+$C$4/1000000</f>
        <v>10.855194</v>
      </c>
      <c r="AK26" s="5">
        <f>'Cumulative Cash Flow'!AK6+$C$4/1000000</f>
        <v>10.855194</v>
      </c>
    </row>
    <row r="27">
      <c r="B27" s="15" t="s">
        <v>182</v>
      </c>
      <c r="C27" s="5">
        <f t="shared" ref="C27:AK27" si="10">C26+C19</f>
        <v>-6.771727663</v>
      </c>
      <c r="D27" s="5">
        <f t="shared" si="10"/>
        <v>-4.824535034</v>
      </c>
      <c r="E27" s="5">
        <f t="shared" si="10"/>
        <v>-3.092921453</v>
      </c>
      <c r="F27" s="5">
        <f t="shared" si="10"/>
        <v>-1.545172046</v>
      </c>
      <c r="G27" s="5">
        <f t="shared" si="10"/>
        <v>-0.1552459485</v>
      </c>
      <c r="H27" s="5">
        <f t="shared" si="10"/>
        <v>1.098323949</v>
      </c>
      <c r="I27" s="5">
        <f t="shared" si="10"/>
        <v>2.233311396</v>
      </c>
      <c r="J27" s="5">
        <f t="shared" si="10"/>
        <v>3.486943803</v>
      </c>
      <c r="K27" s="5">
        <f t="shared" si="10"/>
        <v>4.709331761</v>
      </c>
      <c r="L27" s="5">
        <f t="shared" si="10"/>
        <v>5.725454141</v>
      </c>
      <c r="M27" s="5">
        <f t="shared" si="10"/>
        <v>12.83377404</v>
      </c>
      <c r="N27" s="5">
        <f t="shared" si="10"/>
        <v>12.94844263</v>
      </c>
      <c r="O27" s="5">
        <f t="shared" si="10"/>
        <v>4.705285439</v>
      </c>
      <c r="P27" s="5">
        <f t="shared" si="10"/>
        <v>5.323076114</v>
      </c>
      <c r="Q27" s="5">
        <f t="shared" si="10"/>
        <v>5.846416494</v>
      </c>
      <c r="R27" s="5">
        <f t="shared" si="10"/>
        <v>6.292468086</v>
      </c>
      <c r="S27" s="5">
        <f t="shared" si="10"/>
        <v>6.675084201</v>
      </c>
      <c r="T27" s="5">
        <f t="shared" si="10"/>
        <v>7.005462452</v>
      </c>
      <c r="U27" s="5">
        <f t="shared" si="10"/>
        <v>7.292667124</v>
      </c>
      <c r="V27" s="5">
        <f t="shared" si="10"/>
        <v>7.544005906</v>
      </c>
      <c r="W27" s="5">
        <f t="shared" si="10"/>
        <v>7.600280857</v>
      </c>
      <c r="X27" s="5">
        <f t="shared" si="10"/>
        <v>7.95487011</v>
      </c>
      <c r="Y27" s="5">
        <f t="shared" si="10"/>
        <v>8.039088074</v>
      </c>
      <c r="Z27" s="5">
        <f t="shared" si="10"/>
        <v>8.219253105</v>
      </c>
      <c r="AA27" s="5">
        <f t="shared" si="10"/>
        <v>7.277366277</v>
      </c>
      <c r="AB27" s="5">
        <f t="shared" si="10"/>
        <v>7.636139185</v>
      </c>
      <c r="AC27" s="5">
        <f t="shared" si="10"/>
        <v>7.938457413</v>
      </c>
      <c r="AD27" s="5">
        <f t="shared" si="10"/>
        <v>8.194784009</v>
      </c>
      <c r="AE27" s="5">
        <f t="shared" si="10"/>
        <v>8.413550785</v>
      </c>
      <c r="AF27" s="5">
        <f t="shared" si="10"/>
        <v>8.601529515</v>
      </c>
      <c r="AG27" s="5">
        <f t="shared" si="10"/>
        <v>8.648547261</v>
      </c>
      <c r="AH27" s="5">
        <f t="shared" si="10"/>
        <v>8.901143878</v>
      </c>
      <c r="AI27" s="5">
        <f t="shared" si="10"/>
        <v>8.961895568</v>
      </c>
      <c r="AJ27" s="5">
        <f t="shared" si="10"/>
        <v>9.087970387</v>
      </c>
      <c r="AK27" s="5">
        <f t="shared" si="10"/>
        <v>9.198495631</v>
      </c>
    </row>
    <row r="28">
      <c r="B28" s="15" t="s">
        <v>183</v>
      </c>
      <c r="C28" s="5">
        <f t="shared" ref="C28:AK28" si="11">SUM($C$27:C27)</f>
        <v>-6.771727663</v>
      </c>
      <c r="D28" s="5">
        <f t="shared" si="11"/>
        <v>-11.5962627</v>
      </c>
      <c r="E28" s="5">
        <f t="shared" si="11"/>
        <v>-14.68918415</v>
      </c>
      <c r="F28" s="5">
        <f t="shared" si="11"/>
        <v>-16.2343562</v>
      </c>
      <c r="G28" s="5">
        <f t="shared" si="11"/>
        <v>-16.38960214</v>
      </c>
      <c r="H28" s="5">
        <f t="shared" si="11"/>
        <v>-15.2912782</v>
      </c>
      <c r="I28" s="5">
        <f t="shared" si="11"/>
        <v>-13.0579668</v>
      </c>
      <c r="J28" s="5">
        <f t="shared" si="11"/>
        <v>-9.571022997</v>
      </c>
      <c r="K28" s="5">
        <f t="shared" si="11"/>
        <v>-4.861691236</v>
      </c>
      <c r="L28" s="5">
        <f t="shared" si="11"/>
        <v>0.8637629052</v>
      </c>
      <c r="M28" s="5">
        <f t="shared" si="11"/>
        <v>13.69753695</v>
      </c>
      <c r="N28" s="5">
        <f t="shared" si="11"/>
        <v>26.64597958</v>
      </c>
      <c r="O28" s="5">
        <f t="shared" si="11"/>
        <v>31.35126502</v>
      </c>
      <c r="P28" s="5">
        <f t="shared" si="11"/>
        <v>36.67434113</v>
      </c>
      <c r="Q28" s="5">
        <f t="shared" si="11"/>
        <v>42.52075763</v>
      </c>
      <c r="R28" s="5">
        <f t="shared" si="11"/>
        <v>48.81322571</v>
      </c>
      <c r="S28" s="5">
        <f t="shared" si="11"/>
        <v>55.48830991</v>
      </c>
      <c r="T28" s="5">
        <f t="shared" si="11"/>
        <v>62.49377236</v>
      </c>
      <c r="U28" s="5">
        <f t="shared" si="11"/>
        <v>69.78643949</v>
      </c>
      <c r="V28" s="5">
        <f t="shared" si="11"/>
        <v>77.33044539</v>
      </c>
      <c r="W28" s="5">
        <f t="shared" si="11"/>
        <v>84.93072625</v>
      </c>
      <c r="X28" s="5">
        <f t="shared" si="11"/>
        <v>92.88559636</v>
      </c>
      <c r="Y28" s="5">
        <f t="shared" si="11"/>
        <v>100.9246844</v>
      </c>
      <c r="Z28" s="5">
        <f t="shared" si="11"/>
        <v>109.1439375</v>
      </c>
      <c r="AA28" s="5">
        <f t="shared" si="11"/>
        <v>116.4213038</v>
      </c>
      <c r="AB28" s="5">
        <f t="shared" si="11"/>
        <v>124.057443</v>
      </c>
      <c r="AC28" s="5">
        <f t="shared" si="11"/>
        <v>131.9959004</v>
      </c>
      <c r="AD28" s="5">
        <f t="shared" si="11"/>
        <v>140.1906844</v>
      </c>
      <c r="AE28" s="5">
        <f t="shared" si="11"/>
        <v>148.6042352</v>
      </c>
      <c r="AF28" s="5">
        <f t="shared" si="11"/>
        <v>157.2057647</v>
      </c>
      <c r="AG28" s="5">
        <f t="shared" si="11"/>
        <v>165.854312</v>
      </c>
      <c r="AH28" s="5">
        <f t="shared" si="11"/>
        <v>174.7554559</v>
      </c>
      <c r="AI28" s="5">
        <f t="shared" si="11"/>
        <v>183.7173514</v>
      </c>
      <c r="AJ28" s="5">
        <f t="shared" si="11"/>
        <v>192.8053218</v>
      </c>
      <c r="AK28" s="5">
        <f t="shared" si="11"/>
        <v>202.0038175</v>
      </c>
    </row>
    <row r="29">
      <c r="B29" s="15" t="s">
        <v>184</v>
      </c>
      <c r="C29" s="5">
        <f>'Cumulative Cash Flow'!C6 + $C$5/1000000</f>
        <v>12.405936</v>
      </c>
      <c r="D29" s="5">
        <f>'Cumulative Cash Flow'!D6 + $C$5/1000000</f>
        <v>12.405936</v>
      </c>
      <c r="E29" s="5">
        <f>'Cumulative Cash Flow'!E6 + $C$5/1000000</f>
        <v>12.405936</v>
      </c>
      <c r="F29" s="5">
        <f>'Cumulative Cash Flow'!F6 + $C$5/1000000</f>
        <v>12.405936</v>
      </c>
      <c r="G29" s="5">
        <f>'Cumulative Cash Flow'!G6 + $C$5/1000000</f>
        <v>12.405936</v>
      </c>
      <c r="H29" s="5">
        <f>'Cumulative Cash Flow'!H6 + $C$5/1000000</f>
        <v>12.405936</v>
      </c>
      <c r="I29" s="5">
        <f>'Cumulative Cash Flow'!I6 + $C$5/1000000</f>
        <v>12.405936</v>
      </c>
      <c r="J29" s="5">
        <f>'Cumulative Cash Flow'!J6 + $C$5/1000000</f>
        <v>12.405936</v>
      </c>
      <c r="K29" s="5">
        <f>'Cumulative Cash Flow'!K6 + $C$5/1000000</f>
        <v>12.405936</v>
      </c>
      <c r="L29" s="5">
        <f>'Cumulative Cash Flow'!L6 + $C$5/1000000</f>
        <v>12.405936</v>
      </c>
      <c r="M29" s="5">
        <f>'Cumulative Cash Flow'!M6 + $C$5/1000000</f>
        <v>12.405936</v>
      </c>
      <c r="N29" s="5">
        <f>'Cumulative Cash Flow'!N6 + $C$5/1000000</f>
        <v>12.405936</v>
      </c>
      <c r="O29" s="5">
        <f>'Cumulative Cash Flow'!O6 + $C$5/1000000</f>
        <v>12.405936</v>
      </c>
      <c r="P29" s="5">
        <f>'Cumulative Cash Flow'!P6 + $C$5/1000000</f>
        <v>12.405936</v>
      </c>
      <c r="Q29" s="5">
        <f>'Cumulative Cash Flow'!Q6 + $C$5/1000000</f>
        <v>12.405936</v>
      </c>
      <c r="R29" s="5">
        <f>'Cumulative Cash Flow'!R6 + $C$5/1000000</f>
        <v>12.405936</v>
      </c>
      <c r="S29" s="5">
        <f>'Cumulative Cash Flow'!S6 + $C$5/1000000</f>
        <v>12.405936</v>
      </c>
      <c r="T29" s="5">
        <f>'Cumulative Cash Flow'!T6 + $C$5/1000000</f>
        <v>12.405936</v>
      </c>
      <c r="U29" s="5">
        <f>'Cumulative Cash Flow'!U6 + $C$5/1000000</f>
        <v>12.405936</v>
      </c>
      <c r="V29" s="5">
        <f>'Cumulative Cash Flow'!V6 + $C$5/1000000</f>
        <v>12.405936</v>
      </c>
      <c r="W29" s="5">
        <f>'Cumulative Cash Flow'!W6 + $C$5/1000000</f>
        <v>12.405936</v>
      </c>
      <c r="X29" s="5">
        <f>'Cumulative Cash Flow'!X6 + $C$5/1000000</f>
        <v>12.405936</v>
      </c>
      <c r="Y29" s="5">
        <f>'Cumulative Cash Flow'!Y6 + $C$5/1000000</f>
        <v>12.405936</v>
      </c>
      <c r="Z29" s="5">
        <f>'Cumulative Cash Flow'!Z6 + $C$5/1000000</f>
        <v>12.405936</v>
      </c>
      <c r="AA29" s="5">
        <f>'Cumulative Cash Flow'!AA6 + $C$5/1000000</f>
        <v>12.405936</v>
      </c>
      <c r="AB29" s="5">
        <f>'Cumulative Cash Flow'!AB6 + $C$5/1000000</f>
        <v>12.405936</v>
      </c>
      <c r="AC29" s="5">
        <f>'Cumulative Cash Flow'!AC6 + $C$5/1000000</f>
        <v>12.405936</v>
      </c>
      <c r="AD29" s="5">
        <f>'Cumulative Cash Flow'!AD6 + $C$5/1000000</f>
        <v>12.405936</v>
      </c>
      <c r="AE29" s="5">
        <f>'Cumulative Cash Flow'!AE6 + $C$5/1000000</f>
        <v>12.405936</v>
      </c>
      <c r="AF29" s="5">
        <f>'Cumulative Cash Flow'!AF6 + $C$5/1000000</f>
        <v>12.405936</v>
      </c>
      <c r="AG29" s="5">
        <f>'Cumulative Cash Flow'!AG6 + $C$5/1000000</f>
        <v>12.405936</v>
      </c>
      <c r="AH29" s="5">
        <f>'Cumulative Cash Flow'!AH6 + $C$5/1000000</f>
        <v>12.405936</v>
      </c>
      <c r="AI29" s="5">
        <f>'Cumulative Cash Flow'!AI6 + $C$5/1000000</f>
        <v>12.405936</v>
      </c>
      <c r="AJ29" s="5">
        <f>'Cumulative Cash Flow'!AJ6 + $C$5/1000000</f>
        <v>12.405936</v>
      </c>
      <c r="AK29" s="5">
        <f>'Cumulative Cash Flow'!AK6 + $C$5/1000000</f>
        <v>12.405936</v>
      </c>
    </row>
    <row r="30">
      <c r="B30" s="15" t="s">
        <v>185</v>
      </c>
      <c r="C30" s="5">
        <f t="shared" ref="C30:AK30" si="12">C29+C19</f>
        <v>-5.220985663</v>
      </c>
      <c r="D30" s="5">
        <f t="shared" si="12"/>
        <v>-3.273793034</v>
      </c>
      <c r="E30" s="5">
        <f t="shared" si="12"/>
        <v>-1.542179453</v>
      </c>
      <c r="F30" s="5">
        <f t="shared" si="12"/>
        <v>0.005569953586</v>
      </c>
      <c r="G30" s="5">
        <f t="shared" si="12"/>
        <v>1.395496051</v>
      </c>
      <c r="H30" s="5">
        <f t="shared" si="12"/>
        <v>2.649065949</v>
      </c>
      <c r="I30" s="5">
        <f t="shared" si="12"/>
        <v>3.784053396</v>
      </c>
      <c r="J30" s="5">
        <f t="shared" si="12"/>
        <v>5.037685803</v>
      </c>
      <c r="K30" s="5">
        <f t="shared" si="12"/>
        <v>6.260073761</v>
      </c>
      <c r="L30" s="5">
        <f t="shared" si="12"/>
        <v>7.276196141</v>
      </c>
      <c r="M30" s="5">
        <f t="shared" si="12"/>
        <v>14.38451604</v>
      </c>
      <c r="N30" s="5">
        <f t="shared" si="12"/>
        <v>14.49918463</v>
      </c>
      <c r="O30" s="5">
        <f t="shared" si="12"/>
        <v>6.256027439</v>
      </c>
      <c r="P30" s="5">
        <f t="shared" si="12"/>
        <v>6.873818114</v>
      </c>
      <c r="Q30" s="5">
        <f t="shared" si="12"/>
        <v>7.397158494</v>
      </c>
      <c r="R30" s="5">
        <f t="shared" si="12"/>
        <v>7.843210086</v>
      </c>
      <c r="S30" s="5">
        <f t="shared" si="12"/>
        <v>8.225826201</v>
      </c>
      <c r="T30" s="5">
        <f t="shared" si="12"/>
        <v>8.556204452</v>
      </c>
      <c r="U30" s="5">
        <f t="shared" si="12"/>
        <v>8.843409124</v>
      </c>
      <c r="V30" s="5">
        <f t="shared" si="12"/>
        <v>9.094747906</v>
      </c>
      <c r="W30" s="5">
        <f t="shared" si="12"/>
        <v>9.151022857</v>
      </c>
      <c r="X30" s="5">
        <f t="shared" si="12"/>
        <v>9.50561211</v>
      </c>
      <c r="Y30" s="5">
        <f t="shared" si="12"/>
        <v>9.589830074</v>
      </c>
      <c r="Z30" s="5">
        <f t="shared" si="12"/>
        <v>9.769995105</v>
      </c>
      <c r="AA30" s="5">
        <f t="shared" si="12"/>
        <v>8.828108277</v>
      </c>
      <c r="AB30" s="5">
        <f t="shared" si="12"/>
        <v>9.186881185</v>
      </c>
      <c r="AC30" s="5">
        <f t="shared" si="12"/>
        <v>9.489199413</v>
      </c>
      <c r="AD30" s="5">
        <f t="shared" si="12"/>
        <v>9.745526009</v>
      </c>
      <c r="AE30" s="5">
        <f t="shared" si="12"/>
        <v>9.964292785</v>
      </c>
      <c r="AF30" s="5">
        <f t="shared" si="12"/>
        <v>10.15227152</v>
      </c>
      <c r="AG30" s="5">
        <f t="shared" si="12"/>
        <v>10.19928926</v>
      </c>
      <c r="AH30" s="5">
        <f t="shared" si="12"/>
        <v>10.45188588</v>
      </c>
      <c r="AI30" s="5">
        <f t="shared" si="12"/>
        <v>10.51263757</v>
      </c>
      <c r="AJ30" s="5">
        <f t="shared" si="12"/>
        <v>10.63871239</v>
      </c>
      <c r="AK30" s="5">
        <f t="shared" si="12"/>
        <v>10.74923763</v>
      </c>
    </row>
    <row r="31">
      <c r="B31" s="15" t="s">
        <v>186</v>
      </c>
      <c r="C31" s="5">
        <f t="shared" ref="C31:AK31" si="13"> SUM($C$30:C30)</f>
        <v>-5.220985663</v>
      </c>
      <c r="D31" s="5">
        <f t="shared" si="13"/>
        <v>-8.494778697</v>
      </c>
      <c r="E31" s="5">
        <f t="shared" si="13"/>
        <v>-10.03695815</v>
      </c>
      <c r="F31" s="5">
        <f t="shared" si="13"/>
        <v>-10.0313882</v>
      </c>
      <c r="G31" s="5">
        <f t="shared" si="13"/>
        <v>-8.635892145</v>
      </c>
      <c r="H31" s="5">
        <f t="shared" si="13"/>
        <v>-5.986826196</v>
      </c>
      <c r="I31" s="5">
        <f t="shared" si="13"/>
        <v>-2.2027728</v>
      </c>
      <c r="J31" s="5">
        <f t="shared" si="13"/>
        <v>2.834913003</v>
      </c>
      <c r="K31" s="5">
        <f t="shared" si="13"/>
        <v>9.094986764</v>
      </c>
      <c r="L31" s="5">
        <f t="shared" si="13"/>
        <v>16.37118291</v>
      </c>
      <c r="M31" s="5">
        <f t="shared" si="13"/>
        <v>30.75569895</v>
      </c>
      <c r="N31" s="5">
        <f t="shared" si="13"/>
        <v>45.25488358</v>
      </c>
      <c r="O31" s="5">
        <f t="shared" si="13"/>
        <v>51.51091102</v>
      </c>
      <c r="P31" s="5">
        <f t="shared" si="13"/>
        <v>58.38472913</v>
      </c>
      <c r="Q31" s="5">
        <f t="shared" si="13"/>
        <v>65.78188763</v>
      </c>
      <c r="R31" s="5">
        <f t="shared" si="13"/>
        <v>73.62509771</v>
      </c>
      <c r="S31" s="5">
        <f t="shared" si="13"/>
        <v>81.85092391</v>
      </c>
      <c r="T31" s="5">
        <f t="shared" si="13"/>
        <v>90.40712836</v>
      </c>
      <c r="U31" s="5">
        <f t="shared" si="13"/>
        <v>99.25053749</v>
      </c>
      <c r="V31" s="5">
        <f t="shared" si="13"/>
        <v>108.3452854</v>
      </c>
      <c r="W31" s="5">
        <f t="shared" si="13"/>
        <v>117.4963083</v>
      </c>
      <c r="X31" s="5">
        <f t="shared" si="13"/>
        <v>127.0019204</v>
      </c>
      <c r="Y31" s="5">
        <f t="shared" si="13"/>
        <v>136.5917504</v>
      </c>
      <c r="Z31" s="5">
        <f t="shared" si="13"/>
        <v>146.3617455</v>
      </c>
      <c r="AA31" s="5">
        <f t="shared" si="13"/>
        <v>155.1898538</v>
      </c>
      <c r="AB31" s="5">
        <f t="shared" si="13"/>
        <v>164.376735</v>
      </c>
      <c r="AC31" s="5">
        <f t="shared" si="13"/>
        <v>173.8659344</v>
      </c>
      <c r="AD31" s="5">
        <f t="shared" si="13"/>
        <v>183.6114604</v>
      </c>
      <c r="AE31" s="5">
        <f t="shared" si="13"/>
        <v>193.5757532</v>
      </c>
      <c r="AF31" s="5">
        <f t="shared" si="13"/>
        <v>203.7280247</v>
      </c>
      <c r="AG31" s="5">
        <f t="shared" si="13"/>
        <v>213.927314</v>
      </c>
      <c r="AH31" s="5">
        <f t="shared" si="13"/>
        <v>224.3791999</v>
      </c>
      <c r="AI31" s="5">
        <f t="shared" si="13"/>
        <v>234.8918374</v>
      </c>
      <c r="AJ31" s="5">
        <f t="shared" si="13"/>
        <v>245.5305498</v>
      </c>
      <c r="AK31" s="5">
        <f t="shared" si="13"/>
        <v>256.2797875</v>
      </c>
    </row>
    <row r="33">
      <c r="B33" s="15" t="s">
        <v>146</v>
      </c>
      <c r="C33" s="15">
        <v>5.0</v>
      </c>
    </row>
    <row r="34">
      <c r="B34" s="15" t="s">
        <v>187</v>
      </c>
      <c r="C34" s="15">
        <v>-0.72843</v>
      </c>
      <c r="D34" s="15">
        <v>-0.72843</v>
      </c>
      <c r="E34" s="15">
        <v>-0.72843</v>
      </c>
      <c r="F34" s="15">
        <v>-0.72843</v>
      </c>
      <c r="G34" s="15">
        <v>-0.72843</v>
      </c>
      <c r="H34" s="15">
        <v>-0.72843</v>
      </c>
      <c r="I34" s="15">
        <v>-0.72843</v>
      </c>
      <c r="J34" s="15">
        <v>-0.72843</v>
      </c>
      <c r="K34" s="15">
        <v>-0.72843</v>
      </c>
      <c r="L34" s="15">
        <v>-0.72843</v>
      </c>
    </row>
    <row r="35">
      <c r="B35" s="15" t="s">
        <v>188</v>
      </c>
      <c r="C35" s="5">
        <f t="shared" ref="C35:AK35" si="14">C21+C33+C34</f>
        <v>2.152068337</v>
      </c>
      <c r="D35" s="5">
        <f t="shared" si="14"/>
        <v>-0.9007390343</v>
      </c>
      <c r="E35" s="5">
        <f t="shared" si="14"/>
        <v>0.8308745472</v>
      </c>
      <c r="F35" s="5">
        <f t="shared" si="14"/>
        <v>2.378623954</v>
      </c>
      <c r="G35" s="5">
        <f t="shared" si="14"/>
        <v>3.768550051</v>
      </c>
      <c r="H35" s="5">
        <f t="shared" si="14"/>
        <v>5.022119949</v>
      </c>
      <c r="I35" s="5">
        <f t="shared" si="14"/>
        <v>6.157107396</v>
      </c>
      <c r="J35" s="5">
        <f t="shared" si="14"/>
        <v>7.410739803</v>
      </c>
      <c r="K35" s="5">
        <f t="shared" si="14"/>
        <v>8.633127761</v>
      </c>
      <c r="L35" s="5">
        <f t="shared" si="14"/>
        <v>9.649250141</v>
      </c>
      <c r="M35" s="5">
        <f t="shared" si="14"/>
        <v>17.48600004</v>
      </c>
      <c r="N35" s="5">
        <f t="shared" si="14"/>
        <v>17.60066863</v>
      </c>
      <c r="O35" s="5">
        <f t="shared" si="14"/>
        <v>9.357511439</v>
      </c>
      <c r="P35" s="5">
        <f t="shared" si="14"/>
        <v>9.975302114</v>
      </c>
      <c r="Q35" s="5">
        <f t="shared" si="14"/>
        <v>10.49864249</v>
      </c>
      <c r="R35" s="5">
        <f t="shared" si="14"/>
        <v>10.94469409</v>
      </c>
      <c r="S35" s="5">
        <f t="shared" si="14"/>
        <v>11.3273102</v>
      </c>
      <c r="T35" s="5">
        <f t="shared" si="14"/>
        <v>11.65768845</v>
      </c>
      <c r="U35" s="5">
        <f t="shared" si="14"/>
        <v>11.94489312</v>
      </c>
      <c r="V35" s="5">
        <f t="shared" si="14"/>
        <v>12.19623191</v>
      </c>
      <c r="W35" s="5">
        <f t="shared" si="14"/>
        <v>12.25250686</v>
      </c>
      <c r="X35" s="5">
        <f t="shared" si="14"/>
        <v>12.60709611</v>
      </c>
      <c r="Y35" s="5">
        <f t="shared" si="14"/>
        <v>12.69131407</v>
      </c>
      <c r="Z35" s="5">
        <f t="shared" si="14"/>
        <v>12.87147911</v>
      </c>
      <c r="AA35" s="5">
        <f t="shared" si="14"/>
        <v>11.92959228</v>
      </c>
      <c r="AB35" s="5">
        <f t="shared" si="14"/>
        <v>12.28836519</v>
      </c>
      <c r="AC35" s="5">
        <f t="shared" si="14"/>
        <v>12.59068341</v>
      </c>
      <c r="AD35" s="5">
        <f t="shared" si="14"/>
        <v>12.84701001</v>
      </c>
      <c r="AE35" s="5">
        <f t="shared" si="14"/>
        <v>13.06577679</v>
      </c>
      <c r="AF35" s="5">
        <f t="shared" si="14"/>
        <v>13.25375552</v>
      </c>
      <c r="AG35" s="5">
        <f t="shared" si="14"/>
        <v>13.30077326</v>
      </c>
      <c r="AH35" s="5">
        <f t="shared" si="14"/>
        <v>13.55336988</v>
      </c>
      <c r="AI35" s="5">
        <f t="shared" si="14"/>
        <v>13.61412157</v>
      </c>
      <c r="AJ35" s="5">
        <f t="shared" si="14"/>
        <v>13.74019639</v>
      </c>
      <c r="AK35" s="5">
        <f t="shared" si="14"/>
        <v>13.85072163</v>
      </c>
    </row>
    <row r="36">
      <c r="B36" s="15" t="s">
        <v>189</v>
      </c>
      <c r="C36" s="5">
        <f t="shared" ref="C36:AK36" si="15">SUM($C$35:C35)</f>
        <v>2.152068337</v>
      </c>
      <c r="D36" s="5">
        <f t="shared" si="15"/>
        <v>1.251329303</v>
      </c>
      <c r="E36" s="5">
        <f t="shared" si="15"/>
        <v>2.08220385</v>
      </c>
      <c r="F36" s="5">
        <f t="shared" si="15"/>
        <v>4.460827804</v>
      </c>
      <c r="G36" s="5">
        <f t="shared" si="15"/>
        <v>8.229377855</v>
      </c>
      <c r="H36" s="5">
        <f t="shared" si="15"/>
        <v>13.2514978</v>
      </c>
      <c r="I36" s="5">
        <f t="shared" si="15"/>
        <v>19.4086052</v>
      </c>
      <c r="J36" s="5">
        <f t="shared" si="15"/>
        <v>26.819345</v>
      </c>
      <c r="K36" s="5">
        <f t="shared" si="15"/>
        <v>35.45247276</v>
      </c>
      <c r="L36" s="5">
        <f t="shared" si="15"/>
        <v>45.10172291</v>
      </c>
      <c r="M36" s="5">
        <f t="shared" si="15"/>
        <v>62.58772295</v>
      </c>
      <c r="N36" s="5">
        <f t="shared" si="15"/>
        <v>80.18839158</v>
      </c>
      <c r="O36" s="5">
        <f t="shared" si="15"/>
        <v>89.54590302</v>
      </c>
      <c r="P36" s="5">
        <f t="shared" si="15"/>
        <v>99.52120513</v>
      </c>
      <c r="Q36" s="5">
        <f t="shared" si="15"/>
        <v>110.0198476</v>
      </c>
      <c r="R36" s="5">
        <f t="shared" si="15"/>
        <v>120.9645417</v>
      </c>
      <c r="S36" s="5">
        <f t="shared" si="15"/>
        <v>132.2918519</v>
      </c>
      <c r="T36" s="5">
        <f t="shared" si="15"/>
        <v>143.9495404</v>
      </c>
      <c r="U36" s="5">
        <f t="shared" si="15"/>
        <v>155.8944335</v>
      </c>
      <c r="V36" s="5">
        <f t="shared" si="15"/>
        <v>168.0906654</v>
      </c>
      <c r="W36" s="5">
        <f t="shared" si="15"/>
        <v>180.3431723</v>
      </c>
      <c r="X36" s="5">
        <f t="shared" si="15"/>
        <v>192.9502684</v>
      </c>
      <c r="Y36" s="5">
        <f t="shared" si="15"/>
        <v>205.6415824</v>
      </c>
      <c r="Z36" s="5">
        <f t="shared" si="15"/>
        <v>218.5130615</v>
      </c>
      <c r="AA36" s="5">
        <f t="shared" si="15"/>
        <v>230.4426538</v>
      </c>
      <c r="AB36" s="5">
        <f t="shared" si="15"/>
        <v>242.731019</v>
      </c>
      <c r="AC36" s="5">
        <f t="shared" si="15"/>
        <v>255.3217024</v>
      </c>
      <c r="AD36" s="5">
        <f t="shared" si="15"/>
        <v>268.1687124</v>
      </c>
      <c r="AE36" s="5">
        <f t="shared" si="15"/>
        <v>281.2344892</v>
      </c>
      <c r="AF36" s="5">
        <f t="shared" si="15"/>
        <v>294.4882447</v>
      </c>
      <c r="AG36" s="5">
        <f t="shared" si="15"/>
        <v>307.789018</v>
      </c>
      <c r="AH36" s="5">
        <f t="shared" si="15"/>
        <v>321.3423879</v>
      </c>
      <c r="AI36" s="5">
        <f t="shared" si="15"/>
        <v>334.9565094</v>
      </c>
      <c r="AJ36" s="5">
        <f t="shared" si="15"/>
        <v>348.6967058</v>
      </c>
      <c r="AK36" s="5">
        <f t="shared" si="15"/>
        <v>362.5474275</v>
      </c>
    </row>
    <row r="37">
      <c r="B37" s="15" t="s">
        <v>190</v>
      </c>
      <c r="C37" s="5">
        <f t="shared" ref="C37:AK37" si="16">C24+C33+C34</f>
        <v>-4.050899663</v>
      </c>
      <c r="D37" s="5">
        <f t="shared" si="16"/>
        <v>-7.103707034</v>
      </c>
      <c r="E37" s="5">
        <f t="shared" si="16"/>
        <v>-5.372093453</v>
      </c>
      <c r="F37" s="5">
        <f t="shared" si="16"/>
        <v>-3.824344046</v>
      </c>
      <c r="G37" s="5">
        <f t="shared" si="16"/>
        <v>-2.434417949</v>
      </c>
      <c r="H37" s="5">
        <f t="shared" si="16"/>
        <v>-1.180848051</v>
      </c>
      <c r="I37" s="5">
        <f t="shared" si="16"/>
        <v>-0.04586060389</v>
      </c>
      <c r="J37" s="5">
        <f t="shared" si="16"/>
        <v>1.207771803</v>
      </c>
      <c r="K37" s="5">
        <f t="shared" si="16"/>
        <v>2.430159761</v>
      </c>
      <c r="L37" s="5">
        <f t="shared" si="16"/>
        <v>3.446282141</v>
      </c>
      <c r="M37" s="5">
        <f t="shared" si="16"/>
        <v>11.28303204</v>
      </c>
      <c r="N37" s="5">
        <f t="shared" si="16"/>
        <v>11.39770063</v>
      </c>
      <c r="O37" s="5">
        <f t="shared" si="16"/>
        <v>3.154543439</v>
      </c>
      <c r="P37" s="5">
        <f t="shared" si="16"/>
        <v>3.772334114</v>
      </c>
      <c r="Q37" s="5">
        <f t="shared" si="16"/>
        <v>4.295674494</v>
      </c>
      <c r="R37" s="5">
        <f t="shared" si="16"/>
        <v>4.741726086</v>
      </c>
      <c r="S37" s="5">
        <f t="shared" si="16"/>
        <v>5.124342201</v>
      </c>
      <c r="T37" s="5">
        <f t="shared" si="16"/>
        <v>5.454720452</v>
      </c>
      <c r="U37" s="5">
        <f t="shared" si="16"/>
        <v>5.741925124</v>
      </c>
      <c r="V37" s="5">
        <f t="shared" si="16"/>
        <v>5.993263906</v>
      </c>
      <c r="W37" s="5">
        <f t="shared" si="16"/>
        <v>6.049538857</v>
      </c>
      <c r="X37" s="5">
        <f t="shared" si="16"/>
        <v>6.40412811</v>
      </c>
      <c r="Y37" s="5">
        <f t="shared" si="16"/>
        <v>6.488346074</v>
      </c>
      <c r="Z37" s="5">
        <f t="shared" si="16"/>
        <v>6.668511105</v>
      </c>
      <c r="AA37" s="5">
        <f t="shared" si="16"/>
        <v>5.726624277</v>
      </c>
      <c r="AB37" s="5">
        <f t="shared" si="16"/>
        <v>6.085397185</v>
      </c>
      <c r="AC37" s="5">
        <f t="shared" si="16"/>
        <v>6.387715413</v>
      </c>
      <c r="AD37" s="5">
        <f t="shared" si="16"/>
        <v>6.644042009</v>
      </c>
      <c r="AE37" s="5">
        <f t="shared" si="16"/>
        <v>6.862808785</v>
      </c>
      <c r="AF37" s="5">
        <f t="shared" si="16"/>
        <v>7.050787515</v>
      </c>
      <c r="AG37" s="5">
        <f t="shared" si="16"/>
        <v>7.097805261</v>
      </c>
      <c r="AH37" s="5">
        <f t="shared" si="16"/>
        <v>7.350401878</v>
      </c>
      <c r="AI37" s="5">
        <f t="shared" si="16"/>
        <v>7.411153568</v>
      </c>
      <c r="AJ37" s="5">
        <f t="shared" si="16"/>
        <v>7.537228387</v>
      </c>
      <c r="AK37" s="5">
        <f t="shared" si="16"/>
        <v>7.647753631</v>
      </c>
    </row>
    <row r="38">
      <c r="B38" s="15" t="s">
        <v>191</v>
      </c>
      <c r="C38" s="5">
        <f t="shared" ref="C38:AK38" si="17">SUM($C$37:C37)</f>
        <v>-4.050899663</v>
      </c>
      <c r="D38" s="5">
        <f t="shared" si="17"/>
        <v>-11.1546067</v>
      </c>
      <c r="E38" s="5">
        <f t="shared" si="17"/>
        <v>-16.52670015</v>
      </c>
      <c r="F38" s="5">
        <f t="shared" si="17"/>
        <v>-20.3510442</v>
      </c>
      <c r="G38" s="5">
        <f t="shared" si="17"/>
        <v>-22.78546214</v>
      </c>
      <c r="H38" s="5">
        <f t="shared" si="17"/>
        <v>-23.9663102</v>
      </c>
      <c r="I38" s="5">
        <f t="shared" si="17"/>
        <v>-24.0121708</v>
      </c>
      <c r="J38" s="5">
        <f t="shared" si="17"/>
        <v>-22.804399</v>
      </c>
      <c r="K38" s="5">
        <f t="shared" si="17"/>
        <v>-20.37423924</v>
      </c>
      <c r="L38" s="5">
        <f t="shared" si="17"/>
        <v>-16.92795709</v>
      </c>
      <c r="M38" s="5">
        <f t="shared" si="17"/>
        <v>-5.644925054</v>
      </c>
      <c r="N38" s="5">
        <f t="shared" si="17"/>
        <v>5.752775578</v>
      </c>
      <c r="O38" s="5">
        <f t="shared" si="17"/>
        <v>8.907319017</v>
      </c>
      <c r="P38" s="5">
        <f t="shared" si="17"/>
        <v>12.67965313</v>
      </c>
      <c r="Q38" s="5">
        <f t="shared" si="17"/>
        <v>16.97532763</v>
      </c>
      <c r="R38" s="5">
        <f t="shared" si="17"/>
        <v>21.71705371</v>
      </c>
      <c r="S38" s="5">
        <f t="shared" si="17"/>
        <v>26.84139591</v>
      </c>
      <c r="T38" s="5">
        <f t="shared" si="17"/>
        <v>32.29611636</v>
      </c>
      <c r="U38" s="5">
        <f t="shared" si="17"/>
        <v>38.03804149</v>
      </c>
      <c r="V38" s="5">
        <f t="shared" si="17"/>
        <v>44.03130539</v>
      </c>
      <c r="W38" s="5">
        <f t="shared" si="17"/>
        <v>50.08084425</v>
      </c>
      <c r="X38" s="5">
        <f t="shared" si="17"/>
        <v>56.48497236</v>
      </c>
      <c r="Y38" s="5">
        <f t="shared" si="17"/>
        <v>62.97331844</v>
      </c>
      <c r="Z38" s="5">
        <f t="shared" si="17"/>
        <v>69.64182954</v>
      </c>
      <c r="AA38" s="5">
        <f t="shared" si="17"/>
        <v>75.36845382</v>
      </c>
      <c r="AB38" s="5">
        <f t="shared" si="17"/>
        <v>81.453851</v>
      </c>
      <c r="AC38" s="5">
        <f t="shared" si="17"/>
        <v>87.84156642</v>
      </c>
      <c r="AD38" s="5">
        <f t="shared" si="17"/>
        <v>94.48560842</v>
      </c>
      <c r="AE38" s="5">
        <f t="shared" si="17"/>
        <v>101.3484172</v>
      </c>
      <c r="AF38" s="5">
        <f t="shared" si="17"/>
        <v>108.3992047</v>
      </c>
      <c r="AG38" s="5">
        <f t="shared" si="17"/>
        <v>115.49701</v>
      </c>
      <c r="AH38" s="5">
        <f t="shared" si="17"/>
        <v>122.8474119</v>
      </c>
      <c r="AI38" s="5">
        <f t="shared" si="17"/>
        <v>130.2585654</v>
      </c>
      <c r="AJ38" s="5">
        <f t="shared" si="17"/>
        <v>137.7957938</v>
      </c>
      <c r="AK38" s="5">
        <f t="shared" si="17"/>
        <v>145.4435475</v>
      </c>
    </row>
    <row r="39">
      <c r="B39" s="15" t="s">
        <v>192</v>
      </c>
      <c r="C39" s="5">
        <f t="shared" ref="C39:AK39" si="18">C30+C33+C34</f>
        <v>-0.9494156627</v>
      </c>
      <c r="D39" s="5">
        <f t="shared" si="18"/>
        <v>-4.002223034</v>
      </c>
      <c r="E39" s="5">
        <f t="shared" si="18"/>
        <v>-2.270609453</v>
      </c>
      <c r="F39" s="5">
        <f t="shared" si="18"/>
        <v>-0.7228600464</v>
      </c>
      <c r="G39" s="5">
        <f t="shared" si="18"/>
        <v>0.6670660515</v>
      </c>
      <c r="H39" s="5">
        <f t="shared" si="18"/>
        <v>1.920635949</v>
      </c>
      <c r="I39" s="5">
        <f t="shared" si="18"/>
        <v>3.055623396</v>
      </c>
      <c r="J39" s="5">
        <f t="shared" si="18"/>
        <v>4.309255803</v>
      </c>
      <c r="K39" s="5">
        <f t="shared" si="18"/>
        <v>5.531643761</v>
      </c>
      <c r="L39" s="5">
        <f t="shared" si="18"/>
        <v>6.547766141</v>
      </c>
      <c r="M39" s="5">
        <f t="shared" si="18"/>
        <v>14.38451604</v>
      </c>
      <c r="N39" s="5">
        <f t="shared" si="18"/>
        <v>14.49918463</v>
      </c>
      <c r="O39" s="5">
        <f t="shared" si="18"/>
        <v>6.256027439</v>
      </c>
      <c r="P39" s="5">
        <f t="shared" si="18"/>
        <v>6.873818114</v>
      </c>
      <c r="Q39" s="5">
        <f t="shared" si="18"/>
        <v>7.397158494</v>
      </c>
      <c r="R39" s="5">
        <f t="shared" si="18"/>
        <v>7.843210086</v>
      </c>
      <c r="S39" s="5">
        <f t="shared" si="18"/>
        <v>8.225826201</v>
      </c>
      <c r="T39" s="5">
        <f t="shared" si="18"/>
        <v>8.556204452</v>
      </c>
      <c r="U39" s="5">
        <f t="shared" si="18"/>
        <v>8.843409124</v>
      </c>
      <c r="V39" s="5">
        <f t="shared" si="18"/>
        <v>9.094747906</v>
      </c>
      <c r="W39" s="5">
        <f t="shared" si="18"/>
        <v>9.151022857</v>
      </c>
      <c r="X39" s="5">
        <f t="shared" si="18"/>
        <v>9.50561211</v>
      </c>
      <c r="Y39" s="5">
        <f t="shared" si="18"/>
        <v>9.589830074</v>
      </c>
      <c r="Z39" s="5">
        <f t="shared" si="18"/>
        <v>9.769995105</v>
      </c>
      <c r="AA39" s="5">
        <f t="shared" si="18"/>
        <v>8.828108277</v>
      </c>
      <c r="AB39" s="5">
        <f t="shared" si="18"/>
        <v>9.186881185</v>
      </c>
      <c r="AC39" s="5">
        <f t="shared" si="18"/>
        <v>9.489199413</v>
      </c>
      <c r="AD39" s="5">
        <f t="shared" si="18"/>
        <v>9.745526009</v>
      </c>
      <c r="AE39" s="5">
        <f t="shared" si="18"/>
        <v>9.964292785</v>
      </c>
      <c r="AF39" s="5">
        <f t="shared" si="18"/>
        <v>10.15227152</v>
      </c>
      <c r="AG39" s="5">
        <f t="shared" si="18"/>
        <v>10.19928926</v>
      </c>
      <c r="AH39" s="5">
        <f t="shared" si="18"/>
        <v>10.45188588</v>
      </c>
      <c r="AI39" s="5">
        <f t="shared" si="18"/>
        <v>10.51263757</v>
      </c>
      <c r="AJ39" s="5">
        <f t="shared" si="18"/>
        <v>10.63871239</v>
      </c>
      <c r="AK39" s="5">
        <f t="shared" si="18"/>
        <v>10.74923763</v>
      </c>
    </row>
    <row r="40">
      <c r="B40" s="15" t="s">
        <v>193</v>
      </c>
      <c r="C40" s="5">
        <f t="shared" ref="C40:AK40" si="19">SUM($C$39:C39)</f>
        <v>-0.9494156627</v>
      </c>
      <c r="D40" s="5">
        <f t="shared" si="19"/>
        <v>-4.951638697</v>
      </c>
      <c r="E40" s="5">
        <f t="shared" si="19"/>
        <v>-7.22224815</v>
      </c>
      <c r="F40" s="5">
        <f t="shared" si="19"/>
        <v>-7.945108196</v>
      </c>
      <c r="G40" s="5">
        <f t="shared" si="19"/>
        <v>-7.278042145</v>
      </c>
      <c r="H40" s="5">
        <f t="shared" si="19"/>
        <v>-5.357406196</v>
      </c>
      <c r="I40" s="5">
        <f t="shared" si="19"/>
        <v>-2.3017828</v>
      </c>
      <c r="J40" s="5">
        <f t="shared" si="19"/>
        <v>2.007473003</v>
      </c>
      <c r="K40" s="5">
        <f t="shared" si="19"/>
        <v>7.539116764</v>
      </c>
      <c r="L40" s="5">
        <f t="shared" si="19"/>
        <v>14.08688291</v>
      </c>
      <c r="M40" s="5">
        <f t="shared" si="19"/>
        <v>28.47139895</v>
      </c>
      <c r="N40" s="5">
        <f t="shared" si="19"/>
        <v>42.97058358</v>
      </c>
      <c r="O40" s="5">
        <f t="shared" si="19"/>
        <v>49.22661102</v>
      </c>
      <c r="P40" s="5">
        <f t="shared" si="19"/>
        <v>56.10042913</v>
      </c>
      <c r="Q40" s="5">
        <f t="shared" si="19"/>
        <v>63.49758763</v>
      </c>
      <c r="R40" s="5">
        <f t="shared" si="19"/>
        <v>71.34079771</v>
      </c>
      <c r="S40" s="5">
        <f t="shared" si="19"/>
        <v>79.56662391</v>
      </c>
      <c r="T40" s="5">
        <f t="shared" si="19"/>
        <v>88.12282836</v>
      </c>
      <c r="U40" s="5">
        <f t="shared" si="19"/>
        <v>96.96623749</v>
      </c>
      <c r="V40" s="5">
        <f t="shared" si="19"/>
        <v>106.0609854</v>
      </c>
      <c r="W40" s="5">
        <f t="shared" si="19"/>
        <v>115.2120083</v>
      </c>
      <c r="X40" s="5">
        <f t="shared" si="19"/>
        <v>124.7176204</v>
      </c>
      <c r="Y40" s="5">
        <f t="shared" si="19"/>
        <v>134.3074504</v>
      </c>
      <c r="Z40" s="5">
        <f t="shared" si="19"/>
        <v>144.0774455</v>
      </c>
      <c r="AA40" s="5">
        <f t="shared" si="19"/>
        <v>152.9055538</v>
      </c>
      <c r="AB40" s="5">
        <f t="shared" si="19"/>
        <v>162.092435</v>
      </c>
      <c r="AC40" s="5">
        <f t="shared" si="19"/>
        <v>171.5816344</v>
      </c>
      <c r="AD40" s="5">
        <f t="shared" si="19"/>
        <v>181.3271604</v>
      </c>
      <c r="AE40" s="5">
        <f t="shared" si="19"/>
        <v>191.2914532</v>
      </c>
      <c r="AF40" s="5">
        <f t="shared" si="19"/>
        <v>201.4437247</v>
      </c>
      <c r="AG40" s="5">
        <f t="shared" si="19"/>
        <v>211.643014</v>
      </c>
      <c r="AH40" s="5">
        <f t="shared" si="19"/>
        <v>222.0948999</v>
      </c>
      <c r="AI40" s="5">
        <f t="shared" si="19"/>
        <v>232.6075374</v>
      </c>
      <c r="AJ40" s="5">
        <f t="shared" si="19"/>
        <v>243.2462498</v>
      </c>
      <c r="AK40" s="5">
        <f t="shared" si="19"/>
        <v>253.9954875</v>
      </c>
    </row>
    <row r="41">
      <c r="B41" s="15" t="s">
        <v>194</v>
      </c>
      <c r="C41" s="5">
        <f t="shared" ref="C41:AK41" si="20">C27+C33+C34</f>
        <v>-2.500157663</v>
      </c>
      <c r="D41" s="5">
        <f t="shared" si="20"/>
        <v>-5.552965034</v>
      </c>
      <c r="E41" s="5">
        <f t="shared" si="20"/>
        <v>-3.821351453</v>
      </c>
      <c r="F41" s="5">
        <f t="shared" si="20"/>
        <v>-2.273602046</v>
      </c>
      <c r="G41" s="5">
        <f t="shared" si="20"/>
        <v>-0.8836759485</v>
      </c>
      <c r="H41" s="5">
        <f t="shared" si="20"/>
        <v>0.3698939486</v>
      </c>
      <c r="I41" s="5">
        <f t="shared" si="20"/>
        <v>1.504881396</v>
      </c>
      <c r="J41" s="5">
        <f t="shared" si="20"/>
        <v>2.758513803</v>
      </c>
      <c r="K41" s="5">
        <f t="shared" si="20"/>
        <v>3.980901761</v>
      </c>
      <c r="L41" s="5">
        <f t="shared" si="20"/>
        <v>4.997024141</v>
      </c>
      <c r="M41" s="5">
        <f t="shared" si="20"/>
        <v>12.83377404</v>
      </c>
      <c r="N41" s="5">
        <f t="shared" si="20"/>
        <v>12.94844263</v>
      </c>
      <c r="O41" s="5">
        <f t="shared" si="20"/>
        <v>4.705285439</v>
      </c>
      <c r="P41" s="5">
        <f t="shared" si="20"/>
        <v>5.323076114</v>
      </c>
      <c r="Q41" s="5">
        <f t="shared" si="20"/>
        <v>5.846416494</v>
      </c>
      <c r="R41" s="5">
        <f t="shared" si="20"/>
        <v>6.292468086</v>
      </c>
      <c r="S41" s="5">
        <f t="shared" si="20"/>
        <v>6.675084201</v>
      </c>
      <c r="T41" s="5">
        <f t="shared" si="20"/>
        <v>7.005462452</v>
      </c>
      <c r="U41" s="5">
        <f t="shared" si="20"/>
        <v>7.292667124</v>
      </c>
      <c r="V41" s="5">
        <f t="shared" si="20"/>
        <v>7.544005906</v>
      </c>
      <c r="W41" s="5">
        <f t="shared" si="20"/>
        <v>7.600280857</v>
      </c>
      <c r="X41" s="5">
        <f t="shared" si="20"/>
        <v>7.95487011</v>
      </c>
      <c r="Y41" s="5">
        <f t="shared" si="20"/>
        <v>8.039088074</v>
      </c>
      <c r="Z41" s="5">
        <f t="shared" si="20"/>
        <v>8.219253105</v>
      </c>
      <c r="AA41" s="5">
        <f t="shared" si="20"/>
        <v>7.277366277</v>
      </c>
      <c r="AB41" s="5">
        <f t="shared" si="20"/>
        <v>7.636139185</v>
      </c>
      <c r="AC41" s="5">
        <f t="shared" si="20"/>
        <v>7.938457413</v>
      </c>
      <c r="AD41" s="5">
        <f t="shared" si="20"/>
        <v>8.194784009</v>
      </c>
      <c r="AE41" s="5">
        <f t="shared" si="20"/>
        <v>8.413550785</v>
      </c>
      <c r="AF41" s="5">
        <f t="shared" si="20"/>
        <v>8.601529515</v>
      </c>
      <c r="AG41" s="5">
        <f t="shared" si="20"/>
        <v>8.648547261</v>
      </c>
      <c r="AH41" s="5">
        <f t="shared" si="20"/>
        <v>8.901143878</v>
      </c>
      <c r="AI41" s="5">
        <f t="shared" si="20"/>
        <v>8.961895568</v>
      </c>
      <c r="AJ41" s="5">
        <f t="shared" si="20"/>
        <v>9.087970387</v>
      </c>
      <c r="AK41" s="5">
        <f t="shared" si="20"/>
        <v>9.198495631</v>
      </c>
    </row>
    <row r="42">
      <c r="B42" s="15" t="s">
        <v>195</v>
      </c>
      <c r="C42" s="5">
        <f t="shared" ref="C42:AK42" si="21">SUM($C$41:C41)</f>
        <v>-2.500157663</v>
      </c>
      <c r="D42" s="5">
        <f t="shared" si="21"/>
        <v>-8.053122697</v>
      </c>
      <c r="E42" s="5">
        <f t="shared" si="21"/>
        <v>-11.87447415</v>
      </c>
      <c r="F42" s="5">
        <f t="shared" si="21"/>
        <v>-14.1480762</v>
      </c>
      <c r="G42" s="5">
        <f t="shared" si="21"/>
        <v>-15.03175214</v>
      </c>
      <c r="H42" s="5">
        <f t="shared" si="21"/>
        <v>-14.6618582</v>
      </c>
      <c r="I42" s="5">
        <f t="shared" si="21"/>
        <v>-13.1569768</v>
      </c>
      <c r="J42" s="5">
        <f t="shared" si="21"/>
        <v>-10.398463</v>
      </c>
      <c r="K42" s="5">
        <f t="shared" si="21"/>
        <v>-6.417561236</v>
      </c>
      <c r="L42" s="5">
        <f t="shared" si="21"/>
        <v>-1.420537095</v>
      </c>
      <c r="M42" s="5">
        <f t="shared" si="21"/>
        <v>11.41323695</v>
      </c>
      <c r="N42" s="5">
        <f t="shared" si="21"/>
        <v>24.36167958</v>
      </c>
      <c r="O42" s="5">
        <f t="shared" si="21"/>
        <v>29.06696502</v>
      </c>
      <c r="P42" s="5">
        <f t="shared" si="21"/>
        <v>34.39004113</v>
      </c>
      <c r="Q42" s="5">
        <f t="shared" si="21"/>
        <v>40.23645763</v>
      </c>
      <c r="R42" s="5">
        <f t="shared" si="21"/>
        <v>46.52892571</v>
      </c>
      <c r="S42" s="5">
        <f t="shared" si="21"/>
        <v>53.20400991</v>
      </c>
      <c r="T42" s="5">
        <f t="shared" si="21"/>
        <v>60.20947236</v>
      </c>
      <c r="U42" s="5">
        <f t="shared" si="21"/>
        <v>67.50213949</v>
      </c>
      <c r="V42" s="5">
        <f t="shared" si="21"/>
        <v>75.04614539</v>
      </c>
      <c r="W42" s="5">
        <f t="shared" si="21"/>
        <v>82.64642625</v>
      </c>
      <c r="X42" s="5">
        <f t="shared" si="21"/>
        <v>90.60129636</v>
      </c>
      <c r="Y42" s="5">
        <f t="shared" si="21"/>
        <v>98.64038444</v>
      </c>
      <c r="Z42" s="5">
        <f t="shared" si="21"/>
        <v>106.8596375</v>
      </c>
      <c r="AA42" s="5">
        <f t="shared" si="21"/>
        <v>114.1370038</v>
      </c>
      <c r="AB42" s="5">
        <f t="shared" si="21"/>
        <v>121.773143</v>
      </c>
      <c r="AC42" s="5">
        <f t="shared" si="21"/>
        <v>129.7116004</v>
      </c>
      <c r="AD42" s="5">
        <f t="shared" si="21"/>
        <v>137.9063844</v>
      </c>
      <c r="AE42" s="5">
        <f t="shared" si="21"/>
        <v>146.3199352</v>
      </c>
      <c r="AF42" s="5">
        <f t="shared" si="21"/>
        <v>154.9214647</v>
      </c>
      <c r="AG42" s="5">
        <f t="shared" si="21"/>
        <v>163.570012</v>
      </c>
      <c r="AH42" s="5">
        <f t="shared" si="21"/>
        <v>172.4711559</v>
      </c>
      <c r="AI42" s="5">
        <f t="shared" si="21"/>
        <v>181.4330514</v>
      </c>
      <c r="AJ42" s="5">
        <f t="shared" si="21"/>
        <v>190.5210218</v>
      </c>
      <c r="AK42" s="5">
        <f t="shared" si="21"/>
        <v>199.7195175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2021-03-06T22:21:06Z</dcterms:created>
  <dc:creator>Sasha</dc:creator>
</cp:coreProperties>
</file>