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filterPrivacy="1" defaultThemeVersion="124226"/>
  <xr:revisionPtr revIDLastSave="0" documentId="13_ncr:1_{4C30838F-1A18-4C45-B027-EA2132D2C695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BOQ (MAIN)" sheetId="2" r:id="rId1"/>
    <sheet name="Ref" sheetId="1" r:id="rId2"/>
    <sheet name="Calc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2" i="3" l="1"/>
  <c r="K22" i="3"/>
  <c r="G22" i="3"/>
  <c r="C22" i="3"/>
  <c r="O19" i="3"/>
  <c r="K19" i="3"/>
  <c r="G19" i="3"/>
  <c r="C19" i="3"/>
  <c r="O18" i="3"/>
  <c r="K18" i="3"/>
  <c r="G18" i="3"/>
  <c r="C18" i="3"/>
  <c r="C17" i="3"/>
  <c r="C24" i="4"/>
  <c r="G24" i="4" s="1"/>
  <c r="B26" i="4"/>
  <c r="G26" i="4" s="1"/>
  <c r="G25" i="4"/>
  <c r="D24" i="4"/>
  <c r="G23" i="4"/>
  <c r="B22" i="4"/>
  <c r="G22" i="4" s="1"/>
  <c r="B21" i="4"/>
  <c r="G21" i="4" s="1"/>
  <c r="B20" i="4"/>
  <c r="G20" i="4" s="1"/>
  <c r="B18" i="4"/>
  <c r="G18" i="4" s="1"/>
  <c r="B19" i="4"/>
  <c r="G19" i="4" s="1"/>
  <c r="B17" i="4"/>
  <c r="G17" i="4" s="1"/>
  <c r="H27" i="4" s="1"/>
  <c r="G9" i="4"/>
  <c r="G10" i="4"/>
  <c r="G11" i="4"/>
  <c r="B11" i="4"/>
  <c r="B9" i="4"/>
  <c r="G8" i="4"/>
  <c r="D7" i="4"/>
  <c r="G7" i="4" s="1"/>
  <c r="D6" i="4"/>
  <c r="G6" i="4" s="1"/>
  <c r="G5" i="4"/>
  <c r="D5" i="4"/>
  <c r="D4" i="4"/>
  <c r="G4" i="4" s="1"/>
  <c r="C4" i="4"/>
  <c r="AC3" i="3"/>
  <c r="D15" i="3"/>
  <c r="P14" i="3"/>
  <c r="W3" i="3"/>
  <c r="X3" i="3" s="1"/>
  <c r="W4" i="3"/>
  <c r="X4" i="3" s="1"/>
  <c r="O14" i="3"/>
  <c r="N14" i="3"/>
  <c r="L14" i="3"/>
  <c r="K14" i="3"/>
  <c r="G14" i="3"/>
  <c r="J14" i="3"/>
  <c r="H14" i="3"/>
  <c r="D14" i="3"/>
  <c r="C14" i="3"/>
  <c r="C12" i="3"/>
  <c r="F12" i="3"/>
  <c r="N12" i="3"/>
  <c r="J12" i="3"/>
  <c r="M9" i="3"/>
  <c r="M8" i="3"/>
  <c r="N7" i="3"/>
  <c r="Q9" i="3" s="1"/>
  <c r="J7" i="3"/>
  <c r="M7" i="3" s="1"/>
  <c r="F7" i="3"/>
  <c r="I9" i="3" s="1"/>
  <c r="C7" i="3"/>
  <c r="B7" i="3"/>
  <c r="E9" i="3" s="1"/>
  <c r="I7" i="3" l="1"/>
  <c r="I8" i="3"/>
  <c r="H12" i="4"/>
  <c r="E16" i="3" s="1"/>
  <c r="E8" i="3"/>
  <c r="E7" i="3"/>
  <c r="Q7" i="3"/>
  <c r="Q8" i="3"/>
  <c r="AA3" i="1"/>
  <c r="P15" i="3" l="1"/>
  <c r="L15" i="3"/>
  <c r="H15" i="3"/>
  <c r="F14" i="3"/>
  <c r="AB11" i="3" l="1"/>
  <c r="AA11" i="3"/>
  <c r="X6" i="3" s="1"/>
  <c r="AA7" i="3"/>
  <c r="AA9" i="3" s="1"/>
  <c r="X5" i="3" s="1"/>
  <c r="T25" i="3"/>
  <c r="W29" i="3" s="1"/>
  <c r="X29" i="3" s="1"/>
  <c r="T16" i="3"/>
  <c r="W19" i="3" s="1"/>
  <c r="X19" i="3" s="1"/>
  <c r="W31" i="3"/>
  <c r="X31" i="3" s="1"/>
  <c r="W30" i="3"/>
  <c r="X30" i="3" s="1"/>
  <c r="W22" i="3"/>
  <c r="X22" i="3" s="1"/>
  <c r="W21" i="3"/>
  <c r="X21" i="3" s="1"/>
  <c r="W13" i="3"/>
  <c r="X13" i="3" s="1"/>
  <c r="W12" i="3"/>
  <c r="X12" i="3" s="1"/>
  <c r="T7" i="3"/>
  <c r="W10" i="3" s="1"/>
  <c r="X10" i="3" s="1"/>
  <c r="AA18" i="1"/>
  <c r="W9" i="3" l="1"/>
  <c r="X9" i="3" s="1"/>
  <c r="X24" i="3"/>
  <c r="W11" i="3"/>
  <c r="X11" i="3" s="1"/>
  <c r="X16" i="3" s="1"/>
  <c r="I16" i="3" s="1"/>
  <c r="X15" i="3"/>
  <c r="X7" i="3"/>
  <c r="W18" i="3"/>
  <c r="X18" i="3" s="1"/>
  <c r="X33" i="3"/>
  <c r="W27" i="3"/>
  <c r="X27" i="3" s="1"/>
  <c r="W20" i="3"/>
  <c r="X20" i="3" s="1"/>
  <c r="W28" i="3"/>
  <c r="X28" i="3" s="1"/>
  <c r="AD5" i="2"/>
  <c r="Y5" i="2"/>
  <c r="T5" i="2"/>
  <c r="O5" i="2"/>
  <c r="J7" i="2"/>
  <c r="J6" i="2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H3" i="1"/>
  <c r="I3" i="1"/>
  <c r="J3" i="1"/>
  <c r="L3" i="1"/>
  <c r="M3" i="1"/>
  <c r="N3" i="1"/>
  <c r="O3" i="1"/>
  <c r="Q3" i="1"/>
  <c r="R3" i="1"/>
  <c r="S3" i="1"/>
  <c r="T3" i="1"/>
  <c r="V3" i="1"/>
  <c r="W3" i="1"/>
  <c r="X3" i="1"/>
  <c r="Y3" i="1"/>
  <c r="AB3" i="1"/>
  <c r="G3" i="1"/>
  <c r="G4" i="1" s="1"/>
  <c r="G2" i="1"/>
  <c r="AD4" i="2"/>
  <c r="Z3" i="1" s="1"/>
  <c r="Y4" i="2"/>
  <c r="U3" i="1" s="1"/>
  <c r="T4" i="2"/>
  <c r="P3" i="1" s="1"/>
  <c r="O4" i="2"/>
  <c r="K3" i="1" s="1"/>
  <c r="M12" i="2"/>
  <c r="I12" i="2"/>
  <c r="B3" i="1"/>
  <c r="A3" i="1"/>
  <c r="N34" i="2" s="1"/>
  <c r="N16" i="2"/>
  <c r="F14" i="2" l="1"/>
  <c r="F24" i="2"/>
  <c r="F16" i="2"/>
  <c r="X34" i="3"/>
  <c r="Q16" i="3" s="1"/>
  <c r="X25" i="3"/>
  <c r="M16" i="3" s="1"/>
  <c r="X15" i="1" s="1"/>
  <c r="F23" i="2"/>
  <c r="N15" i="2"/>
  <c r="F17" i="2"/>
  <c r="N30" i="2"/>
  <c r="F33" i="2"/>
  <c r="F15" i="2"/>
  <c r="J15" i="2"/>
  <c r="F32" i="2"/>
  <c r="J24" i="2"/>
  <c r="F31" i="2"/>
  <c r="N24" i="2"/>
  <c r="F25" i="2"/>
  <c r="N23" i="2"/>
  <c r="J5" i="2"/>
  <c r="S28" i="1"/>
  <c r="S5" i="1"/>
  <c r="S9" i="1"/>
  <c r="S4" i="1"/>
  <c r="S20" i="1"/>
  <c r="S19" i="1"/>
  <c r="S15" i="1"/>
  <c r="S24" i="1"/>
  <c r="M15" i="1"/>
  <c r="M4" i="1"/>
  <c r="M9" i="1"/>
  <c r="M19" i="1"/>
  <c r="M20" i="1"/>
  <c r="M24" i="1"/>
  <c r="M28" i="1"/>
  <c r="M5" i="1"/>
  <c r="R24" i="1"/>
  <c r="R5" i="1"/>
  <c r="R9" i="1"/>
  <c r="R20" i="1"/>
  <c r="R19" i="1"/>
  <c r="R15" i="1"/>
  <c r="R4" i="1"/>
  <c r="R28" i="1"/>
  <c r="V20" i="1"/>
  <c r="V24" i="1"/>
  <c r="V28" i="1"/>
  <c r="V4" i="1"/>
  <c r="V5" i="1"/>
  <c r="V9" i="1"/>
  <c r="V19" i="1"/>
  <c r="V15" i="1"/>
  <c r="L4" i="1"/>
  <c r="L5" i="1"/>
  <c r="L9" i="1"/>
  <c r="L15" i="1"/>
  <c r="L20" i="1"/>
  <c r="L24" i="1"/>
  <c r="L28" i="1"/>
  <c r="L19" i="1"/>
  <c r="Q5" i="1"/>
  <c r="Q9" i="1"/>
  <c r="Q19" i="1"/>
  <c r="Q20" i="1"/>
  <c r="Q15" i="1"/>
  <c r="Q28" i="1"/>
  <c r="Q24" i="1"/>
  <c r="Q4" i="1"/>
  <c r="Y15" i="1"/>
  <c r="Y19" i="1"/>
  <c r="Y20" i="1"/>
  <c r="Y24" i="1"/>
  <c r="Y28" i="1"/>
  <c r="Y5" i="1"/>
  <c r="Y4" i="1"/>
  <c r="Y9" i="1"/>
  <c r="O5" i="1"/>
  <c r="O9" i="1"/>
  <c r="O19" i="1"/>
  <c r="O28" i="1"/>
  <c r="O15" i="1"/>
  <c r="O24" i="1"/>
  <c r="O20" i="1"/>
  <c r="O4" i="1"/>
  <c r="W20" i="1"/>
  <c r="W24" i="1"/>
  <c r="W28" i="1"/>
  <c r="W4" i="1"/>
  <c r="W5" i="1"/>
  <c r="W9" i="1"/>
  <c r="W19" i="1"/>
  <c r="W15" i="1"/>
  <c r="T20" i="1"/>
  <c r="T24" i="1"/>
  <c r="T28" i="1"/>
  <c r="T15" i="1"/>
  <c r="T4" i="1"/>
  <c r="T5" i="1"/>
  <c r="T7" i="1"/>
  <c r="T9" i="1"/>
  <c r="T19" i="1"/>
  <c r="X20" i="1"/>
  <c r="X24" i="1"/>
  <c r="X28" i="1"/>
  <c r="X19" i="1"/>
  <c r="X5" i="1"/>
  <c r="X9" i="1"/>
  <c r="X4" i="1"/>
  <c r="N19" i="1"/>
  <c r="N24" i="1"/>
  <c r="N9" i="1"/>
  <c r="N15" i="1"/>
  <c r="N20" i="1"/>
  <c r="N28" i="1"/>
  <c r="N4" i="1"/>
  <c r="N5" i="1"/>
  <c r="J32" i="2"/>
  <c r="AB9" i="1"/>
  <c r="J31" i="2"/>
  <c r="AB24" i="1"/>
  <c r="J25" i="2"/>
  <c r="J23" i="2"/>
  <c r="AB28" i="1"/>
  <c r="AB20" i="1"/>
  <c r="AB4" i="1"/>
  <c r="AB5" i="1"/>
  <c r="J16" i="2"/>
  <c r="AB19" i="1"/>
  <c r="J17" i="2"/>
  <c r="J33" i="2"/>
  <c r="N25" i="2"/>
  <c r="N17" i="2"/>
  <c r="N31" i="2"/>
  <c r="F22" i="2"/>
  <c r="J14" i="2"/>
  <c r="J22" i="2"/>
  <c r="J38" i="2"/>
  <c r="J30" i="2"/>
  <c r="N22" i="2"/>
  <c r="N37" i="2"/>
  <c r="F21" i="2"/>
  <c r="J29" i="2"/>
  <c r="J21" i="2"/>
  <c r="J37" i="2"/>
  <c r="N14" i="2"/>
  <c r="N21" i="2"/>
  <c r="N36" i="2"/>
  <c r="F37" i="2"/>
  <c r="F36" i="2"/>
  <c r="F20" i="2"/>
  <c r="J28" i="2"/>
  <c r="J20" i="2"/>
  <c r="J36" i="2"/>
  <c r="N28" i="2"/>
  <c r="N20" i="2"/>
  <c r="N35" i="2"/>
  <c r="N38" i="2"/>
  <c r="F30" i="2"/>
  <c r="F35" i="2"/>
  <c r="F19" i="2"/>
  <c r="J27" i="2"/>
  <c r="J19" i="2"/>
  <c r="J35" i="2"/>
  <c r="N27" i="2"/>
  <c r="N19" i="2"/>
  <c r="N33" i="2"/>
  <c r="F38" i="2"/>
  <c r="F29" i="2"/>
  <c r="F28" i="2"/>
  <c r="F27" i="2"/>
  <c r="F34" i="2"/>
  <c r="F26" i="2"/>
  <c r="F18" i="2"/>
  <c r="J26" i="2"/>
  <c r="J18" i="2"/>
  <c r="J34" i="2"/>
  <c r="N26" i="2"/>
  <c r="N18" i="2"/>
  <c r="N32" i="2"/>
  <c r="G24" i="1"/>
  <c r="G9" i="1"/>
  <c r="G19" i="1"/>
  <c r="G28" i="1"/>
  <c r="G15" i="1"/>
  <c r="G5" i="1"/>
  <c r="G20" i="1"/>
  <c r="N29" i="2"/>
  <c r="J5" i="1"/>
  <c r="J9" i="1"/>
  <c r="J15" i="1"/>
  <c r="J19" i="1"/>
  <c r="J20" i="1"/>
  <c r="J24" i="1"/>
  <c r="J28" i="1"/>
  <c r="J4" i="1"/>
  <c r="I5" i="1"/>
  <c r="I9" i="1"/>
  <c r="I15" i="1"/>
  <c r="I19" i="1"/>
  <c r="I20" i="1"/>
  <c r="I24" i="1"/>
  <c r="I28" i="1"/>
  <c r="I4" i="1"/>
  <c r="H5" i="1"/>
  <c r="H9" i="1"/>
  <c r="H15" i="1"/>
  <c r="H19" i="1"/>
  <c r="H20" i="1"/>
  <c r="H24" i="1"/>
  <c r="H28" i="1"/>
  <c r="H4" i="1"/>
  <c r="B24" i="3"/>
  <c r="D24" i="3"/>
  <c r="F24" i="3"/>
  <c r="H24" i="3"/>
  <c r="J24" i="3"/>
  <c r="L24" i="3"/>
  <c r="N24" i="3"/>
  <c r="P24" i="3"/>
  <c r="Y12" i="1"/>
  <c r="N12" i="1"/>
  <c r="W12" i="1"/>
  <c r="L12" i="1"/>
  <c r="P26" i="3"/>
  <c r="Q26" i="3" s="1"/>
  <c r="Y25" i="1" s="1"/>
  <c r="L26" i="3"/>
  <c r="M26" i="3" s="1"/>
  <c r="X25" i="1" s="1"/>
  <c r="H26" i="3"/>
  <c r="I26" i="3" s="1"/>
  <c r="W25" i="1" s="1"/>
  <c r="D26" i="3"/>
  <c r="E26" i="3" s="1"/>
  <c r="L25" i="1" s="1"/>
  <c r="O28" i="3"/>
  <c r="Q28" i="3" s="1"/>
  <c r="O27" i="1" s="1"/>
  <c r="K28" i="3"/>
  <c r="M28" i="3" s="1"/>
  <c r="AB27" i="1" s="1"/>
  <c r="G28" i="3"/>
  <c r="I28" i="3" s="1"/>
  <c r="H27" i="1" s="1"/>
  <c r="C28" i="3"/>
  <c r="E28" i="3" s="1"/>
  <c r="Q27" i="1" s="1"/>
  <c r="Q27" i="3"/>
  <c r="T26" i="1" s="1"/>
  <c r="M27" i="3"/>
  <c r="AB26" i="1" s="1"/>
  <c r="I27" i="3"/>
  <c r="R26" i="1" s="1"/>
  <c r="E27" i="3"/>
  <c r="V26" i="1" s="1"/>
  <c r="Q19" i="3"/>
  <c r="J18" i="1" s="1"/>
  <c r="M19" i="3"/>
  <c r="I18" i="1" s="1"/>
  <c r="I19" i="3"/>
  <c r="H18" i="1" s="1"/>
  <c r="E19" i="3"/>
  <c r="L18" i="1" s="1"/>
  <c r="O23" i="3"/>
  <c r="Q23" i="3" s="1"/>
  <c r="Q24" i="3" s="1"/>
  <c r="Y23" i="1" s="1"/>
  <c r="K23" i="3"/>
  <c r="M23" i="3" s="1"/>
  <c r="M24" i="3" s="1"/>
  <c r="G23" i="3"/>
  <c r="I23" i="3" s="1"/>
  <c r="I24" i="3" s="1"/>
  <c r="W23" i="1" s="1"/>
  <c r="C23" i="3"/>
  <c r="E23" i="3" s="1"/>
  <c r="V22" i="1" s="1"/>
  <c r="Q18" i="3"/>
  <c r="J17" i="1" s="1"/>
  <c r="M18" i="3"/>
  <c r="X17" i="1" s="1"/>
  <c r="I18" i="3"/>
  <c r="W17" i="1" s="1"/>
  <c r="E18" i="3"/>
  <c r="G17" i="1" s="1"/>
  <c r="Q17" i="3"/>
  <c r="J16" i="1" s="1"/>
  <c r="M17" i="3"/>
  <c r="AB16" i="1" s="1"/>
  <c r="I17" i="3"/>
  <c r="W16" i="1" s="1"/>
  <c r="E17" i="3"/>
  <c r="O15" i="3"/>
  <c r="K15" i="3"/>
  <c r="G15" i="3"/>
  <c r="C15" i="3"/>
  <c r="B14" i="3"/>
  <c r="N11" i="3"/>
  <c r="Q11" i="3" s="1"/>
  <c r="T10" i="1" s="1"/>
  <c r="J11" i="3"/>
  <c r="M11" i="3" s="1"/>
  <c r="AB10" i="1" s="1"/>
  <c r="I12" i="3"/>
  <c r="M11" i="1" s="1"/>
  <c r="B12" i="3"/>
  <c r="B11" i="3" s="1"/>
  <c r="J7" i="1"/>
  <c r="R6" i="1"/>
  <c r="Q7" i="1"/>
  <c r="I25" i="1" l="1"/>
  <c r="I26" i="1"/>
  <c r="AB15" i="1"/>
  <c r="Y10" i="1"/>
  <c r="L17" i="1"/>
  <c r="H17" i="1"/>
  <c r="J25" i="1"/>
  <c r="N16" i="1"/>
  <c r="N27" i="1"/>
  <c r="I16" i="1"/>
  <c r="J23" i="1"/>
  <c r="L27" i="1"/>
  <c r="H25" i="1"/>
  <c r="J22" i="1"/>
  <c r="T25" i="1"/>
  <c r="O25" i="1"/>
  <c r="Y26" i="1"/>
  <c r="V18" i="1"/>
  <c r="T22" i="1"/>
  <c r="M17" i="1"/>
  <c r="O10" i="1"/>
  <c r="M6" i="1"/>
  <c r="G7" i="1"/>
  <c r="S23" i="1"/>
  <c r="X23" i="1"/>
  <c r="AB23" i="1"/>
  <c r="N23" i="1"/>
  <c r="I23" i="1"/>
  <c r="I7" i="1"/>
  <c r="S7" i="1"/>
  <c r="AB7" i="1"/>
  <c r="N7" i="1"/>
  <c r="X7" i="1"/>
  <c r="J12" i="1"/>
  <c r="AB22" i="1"/>
  <c r="N25" i="1"/>
  <c r="X26" i="1"/>
  <c r="X12" i="1"/>
  <c r="T23" i="1"/>
  <c r="W26" i="1"/>
  <c r="O23" i="1"/>
  <c r="Q26" i="1"/>
  <c r="L26" i="1"/>
  <c r="V17" i="1"/>
  <c r="R18" i="1"/>
  <c r="R17" i="1"/>
  <c r="M18" i="1"/>
  <c r="M25" i="1"/>
  <c r="S22" i="1"/>
  <c r="S17" i="1"/>
  <c r="S18" i="1"/>
  <c r="G22" i="1"/>
  <c r="O7" i="1"/>
  <c r="E24" i="3"/>
  <c r="H16" i="1"/>
  <c r="H23" i="1"/>
  <c r="I22" i="1"/>
  <c r="I12" i="1"/>
  <c r="G12" i="1"/>
  <c r="G25" i="1"/>
  <c r="N22" i="1"/>
  <c r="X10" i="1"/>
  <c r="T18" i="1"/>
  <c r="W6" i="1"/>
  <c r="Y22" i="1"/>
  <c r="Q18" i="1"/>
  <c r="Q22" i="1"/>
  <c r="Q17" i="1"/>
  <c r="R12" i="1"/>
  <c r="R22" i="1"/>
  <c r="M27" i="1"/>
  <c r="P27" i="1" s="1"/>
  <c r="M16" i="1"/>
  <c r="S12" i="1"/>
  <c r="S10" i="1"/>
  <c r="H6" i="1"/>
  <c r="H22" i="1"/>
  <c r="H12" i="1"/>
  <c r="J10" i="1"/>
  <c r="G18" i="1"/>
  <c r="K18" i="1" s="1"/>
  <c r="G27" i="1"/>
  <c r="AB18" i="1"/>
  <c r="AB12" i="1"/>
  <c r="AB25" i="1"/>
  <c r="N26" i="1"/>
  <c r="X22" i="1"/>
  <c r="T16" i="1"/>
  <c r="W11" i="1"/>
  <c r="W22" i="1"/>
  <c r="O26" i="1"/>
  <c r="L22" i="1"/>
  <c r="V12" i="1"/>
  <c r="R16" i="1"/>
  <c r="R11" i="1"/>
  <c r="M23" i="1"/>
  <c r="S26" i="1"/>
  <c r="H11" i="1"/>
  <c r="I10" i="1"/>
  <c r="J27" i="1"/>
  <c r="G26" i="1"/>
  <c r="AB17" i="1"/>
  <c r="N10" i="1"/>
  <c r="N18" i="1"/>
  <c r="X27" i="1"/>
  <c r="T17" i="1"/>
  <c r="O18" i="1"/>
  <c r="O17" i="1"/>
  <c r="Y18" i="1"/>
  <c r="Q12" i="1"/>
  <c r="V27" i="1"/>
  <c r="R27" i="1"/>
  <c r="S27" i="1"/>
  <c r="S16" i="1"/>
  <c r="I27" i="1"/>
  <c r="J26" i="1"/>
  <c r="N17" i="1"/>
  <c r="X18" i="1"/>
  <c r="T12" i="1"/>
  <c r="W27" i="1"/>
  <c r="W18" i="1"/>
  <c r="O22" i="1"/>
  <c r="O16" i="1"/>
  <c r="Y17" i="1"/>
  <c r="Y16" i="1"/>
  <c r="Y7" i="1"/>
  <c r="L7" i="1"/>
  <c r="V25" i="1"/>
  <c r="Z25" i="1" s="1"/>
  <c r="R25" i="1"/>
  <c r="M26" i="1"/>
  <c r="M12" i="1"/>
  <c r="S25" i="1"/>
  <c r="X16" i="1"/>
  <c r="O12" i="1"/>
  <c r="Y27" i="1"/>
  <c r="Q25" i="1"/>
  <c r="V7" i="1"/>
  <c r="R23" i="1"/>
  <c r="H26" i="1"/>
  <c r="I17" i="1"/>
  <c r="T27" i="1"/>
  <c r="M22" i="1"/>
  <c r="V16" i="1"/>
  <c r="Q16" i="1"/>
  <c r="L16" i="1"/>
  <c r="G16" i="1"/>
  <c r="K28" i="1"/>
  <c r="K19" i="1"/>
  <c r="U28" i="1"/>
  <c r="U24" i="1"/>
  <c r="U20" i="1"/>
  <c r="Z19" i="1"/>
  <c r="P19" i="1"/>
  <c r="Z15" i="1"/>
  <c r="P15" i="1"/>
  <c r="Z9" i="1"/>
  <c r="P9" i="1"/>
  <c r="K20" i="1"/>
  <c r="Z28" i="1"/>
  <c r="P28" i="1"/>
  <c r="Z24" i="1"/>
  <c r="P24" i="1"/>
  <c r="Z20" i="1"/>
  <c r="P20" i="1"/>
  <c r="U19" i="1"/>
  <c r="U15" i="1"/>
  <c r="U9" i="1"/>
  <c r="U5" i="1"/>
  <c r="K9" i="1"/>
  <c r="P4" i="1"/>
  <c r="Z4" i="1"/>
  <c r="K24" i="1"/>
  <c r="K15" i="1"/>
  <c r="Z5" i="1"/>
  <c r="P5" i="1"/>
  <c r="K4" i="1"/>
  <c r="K5" i="1"/>
  <c r="U4" i="1"/>
  <c r="O24" i="3"/>
  <c r="G24" i="3"/>
  <c r="K24" i="3"/>
  <c r="C24" i="3"/>
  <c r="Q14" i="3"/>
  <c r="I14" i="3"/>
  <c r="I15" i="3"/>
  <c r="M22" i="3"/>
  <c r="E15" i="3"/>
  <c r="E14" i="3"/>
  <c r="E12" i="3"/>
  <c r="M14" i="3"/>
  <c r="Q15" i="3"/>
  <c r="E11" i="3"/>
  <c r="F11" i="3"/>
  <c r="I11" i="3" s="1"/>
  <c r="M15" i="3"/>
  <c r="Q22" i="3"/>
  <c r="Q12" i="3"/>
  <c r="E22" i="3"/>
  <c r="M12" i="3"/>
  <c r="I22" i="3"/>
  <c r="K17" i="1" l="1"/>
  <c r="P22" i="1"/>
  <c r="K25" i="1"/>
  <c r="I35" i="2" s="1"/>
  <c r="K35" i="2" s="1"/>
  <c r="K22" i="1"/>
  <c r="I32" i="2" s="1"/>
  <c r="K32" i="2" s="1"/>
  <c r="Z17" i="1"/>
  <c r="P25" i="1"/>
  <c r="U25" i="1"/>
  <c r="P26" i="1"/>
  <c r="Z26" i="1"/>
  <c r="U12" i="1"/>
  <c r="Z16" i="1"/>
  <c r="U27" i="1"/>
  <c r="U22" i="1"/>
  <c r="U17" i="1"/>
  <c r="M27" i="2" s="1"/>
  <c r="Z12" i="1"/>
  <c r="K12" i="1"/>
  <c r="Z18" i="1"/>
  <c r="Z22" i="1"/>
  <c r="P17" i="1"/>
  <c r="I27" i="2" s="1"/>
  <c r="K27" i="2" s="1"/>
  <c r="U16" i="1"/>
  <c r="M26" i="2" s="1"/>
  <c r="P16" i="1"/>
  <c r="P18" i="1"/>
  <c r="I28" i="2" s="1"/>
  <c r="K28" i="2" s="1"/>
  <c r="K26" i="1"/>
  <c r="K27" i="1"/>
  <c r="U26" i="1"/>
  <c r="U18" i="1"/>
  <c r="Z27" i="1"/>
  <c r="K16" i="1"/>
  <c r="P12" i="1"/>
  <c r="R7" i="1"/>
  <c r="U7" i="1" s="1"/>
  <c r="W7" i="1"/>
  <c r="Z7" i="1" s="1"/>
  <c r="M7" i="1"/>
  <c r="P7" i="1" s="1"/>
  <c r="H7" i="1"/>
  <c r="K7" i="1" s="1"/>
  <c r="Q23" i="1"/>
  <c r="U23" i="1" s="1"/>
  <c r="V23" i="1"/>
  <c r="Z23" i="1" s="1"/>
  <c r="L23" i="1"/>
  <c r="P23" i="1" s="1"/>
  <c r="G23" i="1"/>
  <c r="K23" i="1" s="1"/>
  <c r="L6" i="1"/>
  <c r="Q6" i="1"/>
  <c r="G6" i="1"/>
  <c r="V6" i="1"/>
  <c r="X11" i="1"/>
  <c r="N11" i="1"/>
  <c r="AB11" i="1"/>
  <c r="S11" i="1"/>
  <c r="I11" i="1"/>
  <c r="M30" i="2"/>
  <c r="R21" i="1"/>
  <c r="H21" i="1"/>
  <c r="M21" i="1"/>
  <c r="W21" i="1"/>
  <c r="V21" i="1"/>
  <c r="G21" i="1"/>
  <c r="Q21" i="1"/>
  <c r="L21" i="1"/>
  <c r="G11" i="1"/>
  <c r="Q11" i="1"/>
  <c r="V11" i="1"/>
  <c r="L11" i="1"/>
  <c r="L10" i="1"/>
  <c r="Q10" i="1"/>
  <c r="G10" i="1"/>
  <c r="V10" i="1"/>
  <c r="L13" i="1"/>
  <c r="G13" i="1"/>
  <c r="Q13" i="1"/>
  <c r="V13" i="1"/>
  <c r="Y21" i="1"/>
  <c r="O21" i="1"/>
  <c r="T21" i="1"/>
  <c r="J21" i="1"/>
  <c r="G14" i="1"/>
  <c r="L14" i="1"/>
  <c r="Q14" i="1"/>
  <c r="V14" i="1"/>
  <c r="J6" i="1"/>
  <c r="T6" i="1"/>
  <c r="O6" i="1"/>
  <c r="Y6" i="1"/>
  <c r="M10" i="1"/>
  <c r="H10" i="1"/>
  <c r="R10" i="1"/>
  <c r="W10" i="1"/>
  <c r="Y11" i="1"/>
  <c r="O11" i="1"/>
  <c r="T11" i="1"/>
  <c r="J11" i="1"/>
  <c r="S21" i="1"/>
  <c r="AB21" i="1"/>
  <c r="N21" i="1"/>
  <c r="I21" i="1"/>
  <c r="X21" i="1"/>
  <c r="N6" i="1"/>
  <c r="X6" i="1"/>
  <c r="AB6" i="1"/>
  <c r="S6" i="1"/>
  <c r="I6" i="1"/>
  <c r="M25" i="2"/>
  <c r="O14" i="1"/>
  <c r="T14" i="1"/>
  <c r="Y14" i="1"/>
  <c r="J14" i="1"/>
  <c r="Y13" i="1"/>
  <c r="T13" i="1"/>
  <c r="O13" i="1"/>
  <c r="J13" i="1"/>
  <c r="X14" i="1"/>
  <c r="S14" i="1"/>
  <c r="N14" i="1"/>
  <c r="I14" i="1"/>
  <c r="AB14" i="1"/>
  <c r="W14" i="1"/>
  <c r="R14" i="1"/>
  <c r="M14" i="1"/>
  <c r="H14" i="1"/>
  <c r="S13" i="1"/>
  <c r="N13" i="1"/>
  <c r="X13" i="1"/>
  <c r="AB13" i="1"/>
  <c r="I13" i="1"/>
  <c r="R13" i="1"/>
  <c r="W13" i="1"/>
  <c r="M13" i="1"/>
  <c r="H13" i="1"/>
  <c r="M14" i="2"/>
  <c r="O14" i="2" s="1"/>
  <c r="M15" i="2"/>
  <c r="O15" i="2" s="1"/>
  <c r="I15" i="2"/>
  <c r="K15" i="2" s="1"/>
  <c r="E15" i="2"/>
  <c r="G15" i="2" s="1"/>
  <c r="M36" i="2"/>
  <c r="I36" i="2"/>
  <c r="K36" i="2" s="1"/>
  <c r="E38" i="2"/>
  <c r="G38" i="2" s="1"/>
  <c r="I38" i="2"/>
  <c r="K38" i="2" s="1"/>
  <c r="I34" i="2"/>
  <c r="K34" i="2" s="1"/>
  <c r="E34" i="2"/>
  <c r="G34" i="2" s="1"/>
  <c r="I14" i="2"/>
  <c r="K14" i="2" s="1"/>
  <c r="E14" i="2"/>
  <c r="G14" i="2" s="1"/>
  <c r="M29" i="2"/>
  <c r="M38" i="2"/>
  <c r="I19" i="2"/>
  <c r="K19" i="2" s="1"/>
  <c r="E19" i="2"/>
  <c r="G19" i="2" s="1"/>
  <c r="I25" i="2"/>
  <c r="K25" i="2" s="1"/>
  <c r="E25" i="2"/>
  <c r="G25" i="2" s="1"/>
  <c r="M19" i="2"/>
  <c r="M35" i="2"/>
  <c r="E30" i="2"/>
  <c r="G30" i="2" s="1"/>
  <c r="I30" i="2"/>
  <c r="K30" i="2" s="1"/>
  <c r="E35" i="2"/>
  <c r="G35" i="2" s="1"/>
  <c r="M34" i="2"/>
  <c r="E29" i="2"/>
  <c r="G29" i="2" s="1"/>
  <c r="I29" i="2"/>
  <c r="K29" i="2" s="1"/>
  <c r="E32" i="2" l="1"/>
  <c r="G32" i="2" s="1"/>
  <c r="M28" i="2"/>
  <c r="M37" i="2"/>
  <c r="M32" i="2"/>
  <c r="P32" i="2" s="1"/>
  <c r="E27" i="2"/>
  <c r="G27" i="2" s="1"/>
  <c r="E37" i="2"/>
  <c r="G37" i="2" s="1"/>
  <c r="E36" i="2"/>
  <c r="G36" i="2" s="1"/>
  <c r="M22" i="2"/>
  <c r="O22" i="2" s="1"/>
  <c r="E22" i="2"/>
  <c r="G22" i="2" s="1"/>
  <c r="M17" i="2"/>
  <c r="O17" i="2" s="1"/>
  <c r="I37" i="2"/>
  <c r="K37" i="2" s="1"/>
  <c r="I26" i="2"/>
  <c r="K26" i="2" s="1"/>
  <c r="E28" i="2"/>
  <c r="G28" i="2" s="1"/>
  <c r="I33" i="2"/>
  <c r="K33" i="2" s="1"/>
  <c r="I22" i="2"/>
  <c r="K22" i="2" s="1"/>
  <c r="U10" i="1"/>
  <c r="E26" i="2"/>
  <c r="G26" i="2" s="1"/>
  <c r="Z6" i="1"/>
  <c r="Z10" i="1"/>
  <c r="Z11" i="1"/>
  <c r="U11" i="1"/>
  <c r="E33" i="2"/>
  <c r="G33" i="2" s="1"/>
  <c r="I17" i="2"/>
  <c r="K17" i="2" s="1"/>
  <c r="E17" i="2"/>
  <c r="G17" i="2" s="1"/>
  <c r="K11" i="1"/>
  <c r="K6" i="1"/>
  <c r="M33" i="2"/>
  <c r="P21" i="1"/>
  <c r="U6" i="1"/>
  <c r="AB8" i="1"/>
  <c r="I8" i="1"/>
  <c r="S8" i="1"/>
  <c r="N8" i="1"/>
  <c r="X8" i="1"/>
  <c r="K10" i="1"/>
  <c r="U21" i="1"/>
  <c r="P6" i="1"/>
  <c r="K21" i="1"/>
  <c r="L8" i="1"/>
  <c r="Q8" i="1"/>
  <c r="V8" i="1"/>
  <c r="G8" i="1"/>
  <c r="J8" i="1"/>
  <c r="O8" i="1"/>
  <c r="T8" i="1"/>
  <c r="Y8" i="1"/>
  <c r="P10" i="1"/>
  <c r="Z21" i="1"/>
  <c r="M8" i="1"/>
  <c r="H8" i="1"/>
  <c r="R8" i="1"/>
  <c r="W8" i="1"/>
  <c r="P11" i="1"/>
  <c r="U13" i="1"/>
  <c r="U14" i="1"/>
  <c r="P13" i="1"/>
  <c r="Z13" i="1"/>
  <c r="P14" i="1"/>
  <c r="Z14" i="1"/>
  <c r="K14" i="1"/>
  <c r="K13" i="1"/>
  <c r="P15" i="2"/>
  <c r="P38" i="2"/>
  <c r="P35" i="2"/>
  <c r="P19" i="2"/>
  <c r="P14" i="2"/>
  <c r="P36" i="2"/>
  <c r="P34" i="2"/>
  <c r="P30" i="2"/>
  <c r="P29" i="2"/>
  <c r="P25" i="2"/>
  <c r="O19" i="2"/>
  <c r="M20" i="2" l="1"/>
  <c r="O20" i="2" s="1"/>
  <c r="P37" i="2"/>
  <c r="P27" i="2"/>
  <c r="P28" i="2"/>
  <c r="P26" i="2"/>
  <c r="M16" i="2"/>
  <c r="O16" i="2" s="1"/>
  <c r="P33" i="2"/>
  <c r="P22" i="2"/>
  <c r="M21" i="2"/>
  <c r="O21" i="2" s="1"/>
  <c r="P17" i="2"/>
  <c r="M31" i="2"/>
  <c r="E31" i="2"/>
  <c r="G31" i="2" s="1"/>
  <c r="I31" i="2"/>
  <c r="I20" i="2"/>
  <c r="E20" i="2"/>
  <c r="G20" i="2" s="1"/>
  <c r="K8" i="1"/>
  <c r="I16" i="2"/>
  <c r="K16" i="2" s="1"/>
  <c r="E16" i="2"/>
  <c r="G16" i="2" s="1"/>
  <c r="M24" i="2"/>
  <c r="O24" i="2" s="1"/>
  <c r="Z8" i="1"/>
  <c r="E21" i="2"/>
  <c r="G21" i="2" s="1"/>
  <c r="I21" i="2"/>
  <c r="M23" i="2"/>
  <c r="O23" i="2" s="1"/>
  <c r="U8" i="1"/>
  <c r="P8" i="1"/>
  <c r="I24" i="2"/>
  <c r="E24" i="2"/>
  <c r="G24" i="2" s="1"/>
  <c r="I23" i="2"/>
  <c r="E23" i="2"/>
  <c r="G23" i="2" s="1"/>
  <c r="O26" i="2"/>
  <c r="O25" i="2"/>
  <c r="M18" i="2" l="1"/>
  <c r="O18" i="2" s="1"/>
  <c r="I18" i="2"/>
  <c r="K18" i="2" s="1"/>
  <c r="E18" i="2"/>
  <c r="G18" i="2" s="1"/>
  <c r="G39" i="2" s="1"/>
  <c r="G40" i="2" s="1"/>
  <c r="K21" i="2"/>
  <c r="P21" i="2"/>
  <c r="K20" i="2"/>
  <c r="P20" i="2"/>
  <c r="K31" i="2"/>
  <c r="P31" i="2"/>
  <c r="P16" i="2"/>
  <c r="K24" i="2"/>
  <c r="P24" i="2"/>
  <c r="K23" i="2"/>
  <c r="P23" i="2"/>
  <c r="O27" i="2"/>
  <c r="O28" i="2"/>
  <c r="P18" i="2" l="1"/>
  <c r="K39" i="2"/>
  <c r="K40" i="2" s="1"/>
  <c r="O30" i="2"/>
  <c r="O29" i="2"/>
  <c r="O31" i="2" l="1"/>
  <c r="O32" i="2"/>
  <c r="O34" i="2" l="1"/>
  <c r="O33" i="2"/>
  <c r="O35" i="2" l="1"/>
  <c r="O36" i="2"/>
  <c r="O38" i="2" l="1"/>
  <c r="O37" i="2"/>
  <c r="O39" i="2" l="1"/>
  <c r="P39" i="2" s="1"/>
  <c r="O40" i="2" l="1"/>
  <c r="P40" i="2" l="1"/>
</calcChain>
</file>

<file path=xl/sharedStrings.xml><?xml version="1.0" encoding="utf-8"?>
<sst xmlns="http://schemas.openxmlformats.org/spreadsheetml/2006/main" count="273" uniqueCount="139">
  <si>
    <t>Beam</t>
  </si>
  <si>
    <t>Footing</t>
  </si>
  <si>
    <t>Column</t>
  </si>
  <si>
    <t>. . . CLEARING VEGETATION</t>
  </si>
  <si>
    <t>. . . GROUND SURF DRESSING</t>
  </si>
  <si>
    <t>BLD . EXCAV EW SOFT UPTO1.5M</t>
  </si>
  <si>
    <t>BLD . EXCAV EW SOFT 1.5M TO 3M</t>
  </si>
  <si>
    <t>EXCV&lt;3 RCK BCK IN SOFT ROCK</t>
  </si>
  <si>
    <t>. . . EXCV HRD RCK NOBLAST</t>
  </si>
  <si>
    <t>. . . S/F COARSE SAND</t>
  </si>
  <si>
    <t>. . . PCC PLIN 1:3:6 CS</t>
  </si>
  <si>
    <t>. . . PCC PLIN 1:1.5:3 CS</t>
  </si>
  <si>
    <t>. . . RCC PLIN 1:1.5:3 CS</t>
  </si>
  <si>
    <t>. . . RCC AB PL 1:1.5:3 CS</t>
  </si>
  <si>
    <t>. . . STEEL REINFORCEMENT</t>
  </si>
  <si>
    <t>Prov n Lay . Bldg Masonry FlyAsh FN1:4</t>
  </si>
  <si>
    <t>Prov n Lay . Bldg Masonry FlyAsh SS1:4</t>
  </si>
  <si>
    <t>SL DPC COARSE SAND</t>
  </si>
  <si>
    <t>RCC MISC . BTM.FILLER</t>
  </si>
  <si>
    <t>CVL GROOVES IN PLASTER</t>
  </si>
  <si>
    <t>. . . PLASTER 12MM MS 1:5</t>
  </si>
  <si>
    <t>BLD PNT COLOR WASH</t>
  </si>
  <si>
    <t>BLD PNT ADD CT COLOR</t>
  </si>
  <si>
    <t>. . . SFE STR STL MANUAL</t>
  </si>
  <si>
    <t>. . . SFE STR STEEL GI</t>
  </si>
  <si>
    <t>. . . SF CONCERTINA 600MM</t>
  </si>
  <si>
    <t>. . . S/F FENCE BARB WIRE</t>
  </si>
  <si>
    <t>. . . FIRE SCREEN 3-8 M</t>
  </si>
  <si>
    <t>Per M</t>
  </si>
  <si>
    <t>Qty</t>
  </si>
  <si>
    <t>Amount</t>
  </si>
  <si>
    <t>Side A</t>
  </si>
  <si>
    <t>Side B</t>
  </si>
  <si>
    <t>Side C</t>
  </si>
  <si>
    <t>Side D</t>
  </si>
  <si>
    <t>HT</t>
  </si>
  <si>
    <t>NT</t>
  </si>
  <si>
    <t>T1</t>
  </si>
  <si>
    <t>T2</t>
  </si>
  <si>
    <t>T3</t>
  </si>
  <si>
    <t>M</t>
  </si>
  <si>
    <t>Excavation</t>
  </si>
  <si>
    <t>M3</t>
  </si>
  <si>
    <t>KG</t>
  </si>
  <si>
    <t>TOTAL</t>
  </si>
  <si>
    <t>Rate1</t>
  </si>
  <si>
    <t>Rate2</t>
  </si>
  <si>
    <t>NN</t>
  </si>
  <si>
    <t>Parking</t>
  </si>
  <si>
    <t>Temp</t>
  </si>
  <si>
    <t>M2</t>
  </si>
  <si>
    <t>RM</t>
  </si>
  <si>
    <t>Check</t>
  </si>
  <si>
    <t>T0</t>
  </si>
  <si>
    <t>Outer Bndry</t>
  </si>
  <si>
    <t>Reifrocement</t>
  </si>
  <si>
    <t>L</t>
  </si>
  <si>
    <t>M RW with footing</t>
  </si>
  <si>
    <t>Size</t>
  </si>
  <si>
    <t>C/c</t>
  </si>
  <si>
    <t>/M</t>
  </si>
  <si>
    <t>/m</t>
  </si>
  <si>
    <t>Kg/ M Ht Column Reinf.</t>
  </si>
  <si>
    <t>Set A</t>
  </si>
  <si>
    <t>Set B</t>
  </si>
  <si>
    <t>Beam AP</t>
  </si>
  <si>
    <t>Column AP</t>
  </si>
  <si>
    <t>Beam BP</t>
  </si>
  <si>
    <t xml:space="preserve">M </t>
  </si>
  <si>
    <t>Column B</t>
  </si>
  <si>
    <t>Green Shells shall not be changed</t>
  </si>
  <si>
    <t>Pls edit only yellow shells as per requirement</t>
  </si>
  <si>
    <t>Note</t>
  </si>
  <si>
    <t>From Sheemoy sheet</t>
  </si>
  <si>
    <t xml:space="preserve">T2 </t>
  </si>
  <si>
    <t>SN</t>
  </si>
  <si>
    <t>Item Text</t>
  </si>
  <si>
    <t>30.0 M length taken for Unit Meter quantity</t>
  </si>
  <si>
    <t>No of pc bothway</t>
  </si>
  <si>
    <t>Length</t>
  </si>
  <si>
    <t xml:space="preserve">wt </t>
  </si>
  <si>
    <t xml:space="preserve">No </t>
  </si>
  <si>
    <t>ring</t>
  </si>
  <si>
    <t>Ring</t>
  </si>
  <si>
    <t>Bottom</t>
  </si>
  <si>
    <t>Binder</t>
  </si>
  <si>
    <t>Top</t>
  </si>
  <si>
    <t>Retaining wall</t>
  </si>
  <si>
    <t>Sub Type 1</t>
  </si>
  <si>
    <t>Sub Type 2</t>
  </si>
  <si>
    <t>Sub Type 3</t>
  </si>
  <si>
    <t>Sub Type 4</t>
  </si>
  <si>
    <t>Unit of Measurement</t>
  </si>
  <si>
    <t>Total Excl Tax</t>
  </si>
  <si>
    <t>Total Incl Tax</t>
  </si>
  <si>
    <t>BOQ Item 1</t>
  </si>
  <si>
    <t>BOQ Item 2</t>
  </si>
  <si>
    <t>BOQ Item 3</t>
  </si>
  <si>
    <t>BOQ Item 4</t>
  </si>
  <si>
    <t>BOQ Item 5</t>
  </si>
  <si>
    <t>BOQ Item 6</t>
  </si>
  <si>
    <t>BOQ Item 7</t>
  </si>
  <si>
    <t>BOQ Item 8</t>
  </si>
  <si>
    <t>BOQ Item 9</t>
  </si>
  <si>
    <t>BOQ Item 10</t>
  </si>
  <si>
    <t>BOQ Item 11</t>
  </si>
  <si>
    <t>BOQ Item 12</t>
  </si>
  <si>
    <t>BOQ Item 13</t>
  </si>
  <si>
    <t>BOQ Item 14</t>
  </si>
  <si>
    <t>BOQ Item 15</t>
  </si>
  <si>
    <t>BOQ Item 16</t>
  </si>
  <si>
    <t>BOQ Item 17</t>
  </si>
  <si>
    <t>BOQ Item 18</t>
  </si>
  <si>
    <t>BOQ Item 19</t>
  </si>
  <si>
    <t>BOQ Item 20</t>
  </si>
  <si>
    <t>BOQ Item 21</t>
  </si>
  <si>
    <t>BOQ Item 22</t>
  </si>
  <si>
    <t>BOQ Item 23</t>
  </si>
  <si>
    <t>BOQ Item 24</t>
  </si>
  <si>
    <t>BOQ Item 25</t>
  </si>
  <si>
    <t>NONE</t>
  </si>
  <si>
    <t>Contractor 2</t>
  </si>
  <si>
    <t>Contractor 1</t>
  </si>
  <si>
    <t>Job Rate 1</t>
  </si>
  <si>
    <t>Job Rate 2</t>
  </si>
  <si>
    <t>Part A</t>
  </si>
  <si>
    <t>Part B</t>
  </si>
  <si>
    <t>Part 3</t>
  </si>
  <si>
    <t>Part D</t>
  </si>
  <si>
    <t>Part E</t>
  </si>
  <si>
    <t>Part F</t>
  </si>
  <si>
    <t>Part C</t>
  </si>
  <si>
    <t>Item Code</t>
  </si>
  <si>
    <t>PARRT A</t>
  </si>
  <si>
    <t>PART B</t>
  </si>
  <si>
    <t>PART C</t>
  </si>
  <si>
    <t>PART D</t>
  </si>
  <si>
    <t>PART F</t>
  </si>
  <si>
    <t>PART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</si>
</sst>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0.0000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2" borderId="2" xfId="0" applyFill="1" applyBorder="1" applyAlignment="1">
      <alignment horizontal="right"/>
    </xf>
    <xf numFmtId="0" fontId="0" fillId="3" borderId="1" xfId="0" applyFill="1" applyBorder="1"/>
    <xf numFmtId="0" fontId="0" fillId="3" borderId="0" xfId="0" applyFill="1"/>
    <xf numFmtId="0" fontId="0" fillId="3" borderId="1" xfId="0" applyFill="1" applyBorder="1" applyAlignment="1">
      <alignment horizontal="right"/>
    </xf>
    <xf numFmtId="164" fontId="0" fillId="0" borderId="1" xfId="1" applyFont="1" applyFill="1" applyBorder="1" applyAlignment="1">
      <alignment vertical="top" wrapText="1"/>
    </xf>
    <xf numFmtId="0" fontId="0" fillId="2" borderId="0" xfId="0" applyFill="1"/>
    <xf numFmtId="0" fontId="4" fillId="0" borderId="0" xfId="0" applyFont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3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/>
    </xf>
    <xf numFmtId="165" fontId="0" fillId="3" borderId="1" xfId="0" applyNumberFormat="1" applyFill="1" applyBorder="1"/>
    <xf numFmtId="166" fontId="0" fillId="3" borderId="1" xfId="0" applyNumberFormat="1" applyFill="1" applyBorder="1"/>
    <xf numFmtId="2" fontId="0" fillId="3" borderId="1" xfId="0" applyNumberFormat="1" applyFill="1" applyBorder="1"/>
    <xf numFmtId="165" fontId="0" fillId="0" borderId="1" xfId="0" applyNumberFormat="1" applyBorder="1"/>
    <xf numFmtId="166" fontId="0" fillId="0" borderId="1" xfId="0" applyNumberFormat="1" applyBorder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0"/>
  <sheetViews>
    <sheetView tabSelected="1" topLeftCell="A6" zoomScaleNormal="100" workbookViewId="0">
      <selection activeCell="C38" sqref="C38"/>
    </sheetView>
  </sheetViews>
  <sheetFormatPr baseColWidth="10" defaultColWidth="8.83203125" defaultRowHeight="15" x14ac:dyDescent="0.2"/>
  <cols>
    <col min="1" max="1" width="5" bestFit="1" customWidth="1"/>
    <col min="2" max="2" width="8" bestFit="1" customWidth="1"/>
    <col min="3" max="3" width="39.33203125" bestFit="1" customWidth="1"/>
    <col min="4" max="4" width="7.5" customWidth="1"/>
    <col min="9" max="9" width="11.83203125" customWidth="1"/>
    <col min="10" max="10" width="9.5" customWidth="1"/>
  </cols>
  <sheetData>
    <row r="1" spans="1:32" ht="19" x14ac:dyDescent="0.25">
      <c r="B1" s="14" t="s">
        <v>72</v>
      </c>
      <c r="C1" s="10" t="s">
        <v>70</v>
      </c>
    </row>
    <row r="2" spans="1:32" x14ac:dyDescent="0.2">
      <c r="C2" s="13" t="s">
        <v>71</v>
      </c>
      <c r="K2" s="26" t="s">
        <v>125</v>
      </c>
      <c r="L2" s="26"/>
      <c r="M2" s="26"/>
      <c r="N2" s="26"/>
      <c r="O2" s="26"/>
      <c r="P2" s="26" t="s">
        <v>126</v>
      </c>
      <c r="Q2" s="26"/>
      <c r="R2" s="26"/>
      <c r="S2" s="26"/>
      <c r="T2" s="26"/>
      <c r="U2" s="26" t="s">
        <v>127</v>
      </c>
      <c r="V2" s="26"/>
      <c r="W2" s="26"/>
      <c r="X2" s="26"/>
      <c r="Y2" s="26"/>
      <c r="Z2" s="26" t="s">
        <v>128</v>
      </c>
      <c r="AA2" s="26"/>
      <c r="AB2" s="26"/>
      <c r="AC2" s="26"/>
      <c r="AD2" s="26"/>
      <c r="AE2" s="5"/>
      <c r="AF2" s="5"/>
    </row>
    <row r="3" spans="1:32" x14ac:dyDescent="0.2">
      <c r="B3" s="9" t="s">
        <v>47</v>
      </c>
      <c r="C3" s="5" t="s">
        <v>120</v>
      </c>
      <c r="E3" s="9" t="s">
        <v>133</v>
      </c>
      <c r="F3" s="9" t="s">
        <v>134</v>
      </c>
      <c r="G3" s="9" t="s">
        <v>135</v>
      </c>
      <c r="H3" s="9" t="s">
        <v>136</v>
      </c>
      <c r="I3" s="9" t="s">
        <v>138</v>
      </c>
      <c r="J3" s="9" t="s">
        <v>137</v>
      </c>
      <c r="K3" s="9" t="s">
        <v>53</v>
      </c>
      <c r="L3" s="9" t="s">
        <v>37</v>
      </c>
      <c r="M3" s="9" t="s">
        <v>38</v>
      </c>
      <c r="N3" s="9" t="s">
        <v>39</v>
      </c>
      <c r="O3" s="9" t="s">
        <v>31</v>
      </c>
      <c r="P3" s="9" t="s">
        <v>53</v>
      </c>
      <c r="Q3" s="9" t="s">
        <v>37</v>
      </c>
      <c r="R3" s="9" t="s">
        <v>38</v>
      </c>
      <c r="S3" s="9" t="s">
        <v>39</v>
      </c>
      <c r="T3" s="9" t="s">
        <v>32</v>
      </c>
      <c r="U3" s="9" t="s">
        <v>53</v>
      </c>
      <c r="V3" s="9" t="s">
        <v>37</v>
      </c>
      <c r="W3" s="9" t="s">
        <v>38</v>
      </c>
      <c r="X3" s="9" t="s">
        <v>39</v>
      </c>
      <c r="Y3" s="9" t="s">
        <v>33</v>
      </c>
      <c r="Z3" s="9" t="s">
        <v>53</v>
      </c>
      <c r="AA3" s="9" t="s">
        <v>37</v>
      </c>
      <c r="AB3" s="9" t="s">
        <v>38</v>
      </c>
      <c r="AC3" s="9" t="s">
        <v>39</v>
      </c>
      <c r="AD3" s="9" t="s">
        <v>34</v>
      </c>
      <c r="AE3" s="9" t="s">
        <v>129</v>
      </c>
      <c r="AF3" s="9" t="s">
        <v>130</v>
      </c>
    </row>
    <row r="4" spans="1:32" x14ac:dyDescent="0.2">
      <c r="B4" s="9" t="s">
        <v>35</v>
      </c>
      <c r="C4" s="5" t="s">
        <v>122</v>
      </c>
      <c r="E4" s="7" t="s">
        <v>35</v>
      </c>
      <c r="F4" s="7" t="s">
        <v>35</v>
      </c>
      <c r="G4" s="7" t="s">
        <v>36</v>
      </c>
      <c r="H4" s="7" t="s">
        <v>36</v>
      </c>
      <c r="I4" s="7" t="s">
        <v>36</v>
      </c>
      <c r="J4" s="7" t="s">
        <v>35</v>
      </c>
      <c r="K4" s="8">
        <v>340</v>
      </c>
      <c r="L4" s="6">
        <v>60</v>
      </c>
      <c r="M4" s="6">
        <v>120</v>
      </c>
      <c r="N4" s="6">
        <v>20</v>
      </c>
      <c r="O4" s="7">
        <f>SUM(K4:N4)</f>
        <v>540</v>
      </c>
      <c r="P4" s="6">
        <v>0</v>
      </c>
      <c r="Q4" s="6">
        <v>0</v>
      </c>
      <c r="R4" s="6">
        <v>350</v>
      </c>
      <c r="S4" s="6">
        <v>90</v>
      </c>
      <c r="T4" s="7">
        <f>SUM(P4:S4)</f>
        <v>440</v>
      </c>
      <c r="U4" s="6">
        <v>400</v>
      </c>
      <c r="V4" s="6">
        <v>0</v>
      </c>
      <c r="W4" s="6">
        <v>270</v>
      </c>
      <c r="X4" s="6">
        <v>0</v>
      </c>
      <c r="Y4" s="7">
        <f>SUM(U4:X4)</f>
        <v>670</v>
      </c>
      <c r="Z4" s="6">
        <v>450</v>
      </c>
      <c r="AA4" s="6">
        <v>0</v>
      </c>
      <c r="AB4" s="6">
        <v>0</v>
      </c>
      <c r="AC4" s="6">
        <v>0</v>
      </c>
      <c r="AD4" s="6">
        <f>SUM(Z4:AC4)</f>
        <v>450</v>
      </c>
      <c r="AE4" s="7">
        <v>240</v>
      </c>
      <c r="AF4" s="6">
        <v>450</v>
      </c>
    </row>
    <row r="5" spans="1:32" x14ac:dyDescent="0.2">
      <c r="B5" s="9" t="s">
        <v>36</v>
      </c>
      <c r="C5" s="5" t="s">
        <v>121</v>
      </c>
      <c r="G5" s="16"/>
      <c r="I5" s="9" t="s">
        <v>54</v>
      </c>
      <c r="J5" s="9">
        <f>O4+T4+Y4+AD4+AE4</f>
        <v>2340</v>
      </c>
      <c r="K5" s="11">
        <v>340</v>
      </c>
      <c r="L5" s="11">
        <v>60</v>
      </c>
      <c r="M5" s="11">
        <v>120</v>
      </c>
      <c r="N5" s="11">
        <v>20</v>
      </c>
      <c r="O5" s="9">
        <f>SUM(K5:N5)</f>
        <v>540</v>
      </c>
      <c r="P5" s="11">
        <v>0</v>
      </c>
      <c r="Q5" s="11">
        <v>0</v>
      </c>
      <c r="R5" s="11">
        <v>350</v>
      </c>
      <c r="S5" s="11">
        <v>90</v>
      </c>
      <c r="T5" s="9">
        <f>SUM(P5:S5)</f>
        <v>440</v>
      </c>
      <c r="U5" s="11">
        <v>400</v>
      </c>
      <c r="V5" s="11">
        <v>0</v>
      </c>
      <c r="W5" s="11">
        <v>270</v>
      </c>
      <c r="X5" s="11">
        <v>0</v>
      </c>
      <c r="Y5" s="9">
        <f>SUM(U5:X5)</f>
        <v>670</v>
      </c>
      <c r="Z5" s="11">
        <v>450</v>
      </c>
      <c r="AA5" s="11">
        <v>0</v>
      </c>
      <c r="AB5" s="11">
        <v>0</v>
      </c>
      <c r="AC5" s="11">
        <v>0</v>
      </c>
      <c r="AD5" s="11">
        <f>SUM(Z5:AC5)</f>
        <v>450</v>
      </c>
      <c r="AE5" s="9">
        <v>240</v>
      </c>
      <c r="AF5" s="11">
        <v>390</v>
      </c>
    </row>
    <row r="6" spans="1:32" x14ac:dyDescent="0.2">
      <c r="B6" s="9" t="s">
        <v>45</v>
      </c>
      <c r="C6" s="5" t="s">
        <v>123</v>
      </c>
      <c r="I6" s="9" t="s">
        <v>48</v>
      </c>
      <c r="J6" s="9">
        <f>AF4</f>
        <v>450</v>
      </c>
    </row>
    <row r="7" spans="1:32" x14ac:dyDescent="0.2">
      <c r="B7" s="9" t="s">
        <v>46</v>
      </c>
      <c r="C7" s="5" t="s">
        <v>124</v>
      </c>
      <c r="I7" s="9" t="s">
        <v>49</v>
      </c>
      <c r="J7" s="9">
        <f>AE4</f>
        <v>240</v>
      </c>
    </row>
    <row r="8" spans="1:32" x14ac:dyDescent="0.2">
      <c r="B8" s="9" t="s">
        <v>53</v>
      </c>
      <c r="C8" s="5" t="s">
        <v>88</v>
      </c>
    </row>
    <row r="9" spans="1:32" x14ac:dyDescent="0.2">
      <c r="B9" s="9" t="s">
        <v>37</v>
      </c>
      <c r="C9" s="5" t="s">
        <v>89</v>
      </c>
    </row>
    <row r="10" spans="1:32" x14ac:dyDescent="0.2">
      <c r="B10" s="9" t="s">
        <v>74</v>
      </c>
      <c r="C10" s="5" t="s">
        <v>90</v>
      </c>
    </row>
    <row r="11" spans="1:32" x14ac:dyDescent="0.2">
      <c r="B11" s="9" t="s">
        <v>39</v>
      </c>
      <c r="C11" s="5" t="s">
        <v>91</v>
      </c>
    </row>
    <row r="12" spans="1:32" x14ac:dyDescent="0.2">
      <c r="A12" s="5"/>
      <c r="B12" s="5"/>
      <c r="C12" s="5"/>
      <c r="D12" s="5"/>
      <c r="E12" s="27" t="s">
        <v>44</v>
      </c>
      <c r="F12" s="27"/>
      <c r="G12" s="27"/>
      <c r="H12" s="9"/>
      <c r="I12" s="27" t="str">
        <f>B4</f>
        <v>HT</v>
      </c>
      <c r="J12" s="27"/>
      <c r="K12" s="27"/>
      <c r="L12" s="9"/>
      <c r="M12" s="27" t="str">
        <f>B5</f>
        <v>NT</v>
      </c>
      <c r="N12" s="27"/>
      <c r="O12" s="27"/>
      <c r="P12" s="9" t="s">
        <v>52</v>
      </c>
    </row>
    <row r="13" spans="1:32" x14ac:dyDescent="0.2">
      <c r="A13" s="5" t="s">
        <v>75</v>
      </c>
      <c r="B13" s="5" t="s">
        <v>132</v>
      </c>
      <c r="C13" s="5" t="s">
        <v>76</v>
      </c>
      <c r="D13" s="5" t="s">
        <v>92</v>
      </c>
      <c r="E13" s="5" t="s">
        <v>29</v>
      </c>
      <c r="F13" s="7" t="s">
        <v>46</v>
      </c>
      <c r="G13" s="5" t="s">
        <v>30</v>
      </c>
      <c r="H13" s="5"/>
      <c r="I13" s="5" t="s">
        <v>29</v>
      </c>
      <c r="J13" s="7" t="s">
        <v>45</v>
      </c>
      <c r="K13" s="5" t="s">
        <v>30</v>
      </c>
      <c r="L13" s="5"/>
      <c r="M13" s="5" t="s">
        <v>29</v>
      </c>
      <c r="N13" s="7" t="s">
        <v>46</v>
      </c>
      <c r="O13" s="5" t="s">
        <v>30</v>
      </c>
      <c r="P13" s="9"/>
    </row>
    <row r="14" spans="1:32" ht="16" x14ac:dyDescent="0.2">
      <c r="A14" s="1">
        <v>10</v>
      </c>
      <c r="B14" s="1">
        <v>9018764</v>
      </c>
      <c r="C14" s="9" t="s">
        <v>95</v>
      </c>
      <c r="D14" s="4" t="s">
        <v>50</v>
      </c>
      <c r="E14" s="5">
        <f>Ref!K4+Ref!P4+Ref!U4+Ref!Z4+Ref!AA4+Ref!AB4</f>
        <v>7890</v>
      </c>
      <c r="F14" s="5">
        <f>INDEX(Ref!$A$4:$B$28,MATCH('BOQ (MAIN)'!C14,Ref!$F$4:$F$28,0),MATCH('BOQ (MAIN)'!$F$13,Ref!$A$3:$B$3,0))</f>
        <v>12</v>
      </c>
      <c r="G14" s="5">
        <f>E14*F14</f>
        <v>94680</v>
      </c>
      <c r="H14" s="5"/>
      <c r="I14" s="25">
        <f>IF($E$4=$I$12,Ref!K4,0) + IF($F$4=$I$12,Ref!P4,0) + IF($I$12=$G$4,Ref!U4,0)+ IF($I$12=$H$4,Ref!Z4,0)+IF($J$4=$I$12,Ref!AA4,0)+IF($I$12=$I$4,Ref!AB4,0)</f>
        <v>3180</v>
      </c>
      <c r="J14" s="5">
        <f>INDEX(Ref!$A$4:$B$28,MATCH('BOQ (MAIN)'!C14,Ref!$F$4:$F$28,0),MATCH($J$13,Ref!$A$3:$B$3,0))</f>
        <v>8.4700000000000006</v>
      </c>
      <c r="K14" s="5">
        <f>(I14)*J14</f>
        <v>26934.600000000002</v>
      </c>
      <c r="L14" s="5"/>
      <c r="M14" s="5">
        <f>IF($E$4=$M$12,Ref!K4,0) + IF($F$4=$M$12,Ref!P4,0) + IF($M$12=$G$4,Ref!U4,0)+ IF($M$12=$H$4,Ref!Z4,0)+IF($J$4=$M$12,Ref!AA4,0)+IF($M$12=$I$4,Ref!AB4,0)</f>
        <v>4710</v>
      </c>
      <c r="N14" s="5">
        <f>INDEX(Ref!$A$4:$B$28,MATCH('BOQ (MAIN)'!C14,Ref!$F$4:$F$28,0),MATCH($N$13,Ref!$A$3:$B$3,0))</f>
        <v>12</v>
      </c>
      <c r="O14" s="5">
        <f>M14*N14</f>
        <v>56520</v>
      </c>
      <c r="P14" s="9" t="str">
        <f>IF(M14+I14=E14, "OK", "CHECK")</f>
        <v>OK</v>
      </c>
    </row>
    <row r="15" spans="1:32" ht="16" x14ac:dyDescent="0.2">
      <c r="A15" s="1">
        <v>20</v>
      </c>
      <c r="B15" s="1">
        <v>9018763</v>
      </c>
      <c r="C15" s="9" t="s">
        <v>96</v>
      </c>
      <c r="D15" s="4" t="s">
        <v>50</v>
      </c>
      <c r="E15" s="5">
        <f>Ref!K5+Ref!P5+Ref!U5+Ref!Z5+Ref!AA5+Ref!AB5</f>
        <v>7890</v>
      </c>
      <c r="F15" s="5">
        <f>INDEX(Ref!$A$4:$B$28,MATCH('BOQ (MAIN)'!C15,Ref!$F$4:$F$28,0),MATCH('BOQ (MAIN)'!$F$13,Ref!$A$3:$B$3,0))</f>
        <v>33</v>
      </c>
      <c r="G15" s="5">
        <f t="shared" ref="G15:G38" si="0">E15*F15</f>
        <v>260370</v>
      </c>
      <c r="H15" s="5"/>
      <c r="I15" s="25">
        <f>IF($E$4=$I$12,Ref!K5,0) + IF($F$4=$I$12,Ref!P5,0) + IF($I$12=$G$4,Ref!U5,0)+ IF($I$12=$H$4,Ref!Z5,0)+IF($J$4=$I$12,Ref!AA5,0)+IF($I$12=$I$4,Ref!AB5,0)</f>
        <v>3180</v>
      </c>
      <c r="J15" s="5">
        <f>INDEX(Ref!$A$4:$B$28,MATCH('BOQ (MAIN)'!C15,Ref!$F$4:$F$28,0),MATCH($J$13,Ref!$A$3:$B$3,0))</f>
        <v>23.71</v>
      </c>
      <c r="K15" s="5">
        <f t="shared" ref="K15:K38" si="1">(I15)*J15</f>
        <v>75397.8</v>
      </c>
      <c r="L15" s="5"/>
      <c r="M15" s="5">
        <f>IF($E$4=$M$12,Ref!K5,0) + IF($F$4=$M$12,Ref!P5,0) + IF($M$12=$G$4,Ref!U5,0)+ IF($M$12=$H$4,Ref!Z5,0)+IF($J$4=$M$12,Ref!AA5,0)+IF($M$12=$I$4,Ref!AB5,0)</f>
        <v>4710</v>
      </c>
      <c r="N15" s="5">
        <f>INDEX(Ref!$A$4:$B$28,MATCH('BOQ (MAIN)'!C15,Ref!$F$4:$F$28,0),MATCH($N$13,Ref!$A$3:$B$3,0))</f>
        <v>33</v>
      </c>
      <c r="O15" s="5">
        <f t="shared" ref="O15:O38" si="2">M15*N15</f>
        <v>155430</v>
      </c>
      <c r="P15" s="9" t="str">
        <f t="shared" ref="P15:P38" si="3">IF(M15+I15=E15, "OK", "CHECK")</f>
        <v>OK</v>
      </c>
    </row>
    <row r="16" spans="1:32" ht="16" x14ac:dyDescent="0.2">
      <c r="A16" s="1">
        <v>30</v>
      </c>
      <c r="B16" s="1">
        <v>9002659</v>
      </c>
      <c r="C16" s="9" t="s">
        <v>97</v>
      </c>
      <c r="D16" s="4" t="s">
        <v>42</v>
      </c>
      <c r="E16" s="5">
        <f>Ref!K6+Ref!P6+Ref!U6+Ref!Z6+Ref!AA6+Ref!AB6</f>
        <v>6717.3888000000006</v>
      </c>
      <c r="F16" s="5">
        <f>INDEX(Ref!$A$4:$B$28,MATCH('BOQ (MAIN)'!C16,Ref!$F$4:$F$28,0),MATCH('BOQ (MAIN)'!$F$13,Ref!$A$3:$B$3,0))</f>
        <v>299</v>
      </c>
      <c r="G16" s="5">
        <f t="shared" si="0"/>
        <v>2008499.2512000003</v>
      </c>
      <c r="H16" s="5"/>
      <c r="I16" s="25">
        <f>IF($E$4=$I$12,Ref!K6,0) + IF($F$4=$I$12,Ref!P6,0) + IF($I$12=$G$4,Ref!U6,0)+ IF($I$12=$H$4,Ref!Z6,0)+IF($J$4=$I$12,Ref!AA6,0)+IF($I$12=$I$4,Ref!AB6,0)</f>
        <v>2859.4288000000001</v>
      </c>
      <c r="J16" s="5">
        <f>INDEX(Ref!$A$4:$B$28,MATCH('BOQ (MAIN)'!C16,Ref!$F$4:$F$28,0),MATCH($J$13,Ref!$A$3:$B$3,0))</f>
        <v>192.56</v>
      </c>
      <c r="K16" s="5">
        <f t="shared" si="1"/>
        <v>550611.60972800001</v>
      </c>
      <c r="L16" s="5"/>
      <c r="M16" s="5">
        <f>IF($E$4=$M$12,Ref!K6,0) + IF($F$4=$M$12,Ref!P6,0) + IF($M$12=$G$4,Ref!U6,0)+ IF($M$12=$H$4,Ref!Z6,0)+IF($J$4=$M$12,Ref!AA6,0)+IF($M$12=$I$4,Ref!AB6,0)</f>
        <v>3857.96</v>
      </c>
      <c r="N16" s="5">
        <f>INDEX(Ref!$A$4:$B$28,MATCH('BOQ (MAIN)'!C16,Ref!$F$4:$F$28,0),MATCH($N$13,Ref!$A$3:$B$3,0))</f>
        <v>299</v>
      </c>
      <c r="O16" s="5">
        <f t="shared" si="2"/>
        <v>1153530.04</v>
      </c>
      <c r="P16" s="9" t="str">
        <f t="shared" si="3"/>
        <v>OK</v>
      </c>
    </row>
    <row r="17" spans="1:16" ht="16" x14ac:dyDescent="0.2">
      <c r="A17" s="1">
        <v>40</v>
      </c>
      <c r="B17" s="1">
        <v>9002660</v>
      </c>
      <c r="C17" s="9" t="s">
        <v>98</v>
      </c>
      <c r="D17" s="4" t="s">
        <v>42</v>
      </c>
      <c r="E17" s="5">
        <f>Ref!K7+Ref!P7+Ref!U7+Ref!Z7+Ref!AA7+Ref!AB7</f>
        <v>3499.9675999999995</v>
      </c>
      <c r="F17" s="5">
        <f>INDEX(Ref!$A$4:$B$28,MATCH('BOQ (MAIN)'!C17,Ref!$F$4:$F$28,0),MATCH('BOQ (MAIN)'!$F$13,Ref!$A$3:$B$3,0))</f>
        <v>370</v>
      </c>
      <c r="G17" s="5">
        <f t="shared" si="0"/>
        <v>1294988.0119999999</v>
      </c>
      <c r="H17" s="5"/>
      <c r="I17" s="25">
        <f>IF($E$4=$I$12,Ref!K7,0) + IF($F$4=$I$12,Ref!P7,0) + IF($I$12=$G$4,Ref!U7,0)+ IF($I$12=$H$4,Ref!Z7,0)+IF($J$4=$I$12,Ref!AA7,0)+IF($I$12=$I$4,Ref!AB7,0)</f>
        <v>1688.4775999999997</v>
      </c>
      <c r="J17" s="5">
        <f>INDEX(Ref!$A$4:$B$28,MATCH('BOQ (MAIN)'!C17,Ref!$F$4:$F$28,0),MATCH($J$13,Ref!$A$3:$B$3,0))</f>
        <v>227.79</v>
      </c>
      <c r="K17" s="5">
        <f t="shared" si="1"/>
        <v>384618.31250399991</v>
      </c>
      <c r="L17" s="5"/>
      <c r="M17" s="5">
        <f>IF($E$4=$M$12,Ref!K7,0) + IF($F$4=$M$12,Ref!P7,0) + IF($M$12=$G$4,Ref!U7,0)+ IF($M$12=$H$4,Ref!Z7,0)+IF($J$4=$M$12,Ref!AA7,0)+IF($M$12=$I$4,Ref!AB7,0)</f>
        <v>1811.4899999999998</v>
      </c>
      <c r="N17" s="5">
        <f>INDEX(Ref!$A$4:$B$28,MATCH('BOQ (MAIN)'!C17,Ref!$F$4:$F$28,0),MATCH($N$13,Ref!$A$3:$B$3,0))</f>
        <v>370</v>
      </c>
      <c r="O17" s="5">
        <f t="shared" si="2"/>
        <v>670251.29999999993</v>
      </c>
      <c r="P17" s="9" t="str">
        <f t="shared" si="3"/>
        <v>OK</v>
      </c>
    </row>
    <row r="18" spans="1:16" ht="16" x14ac:dyDescent="0.2">
      <c r="A18" s="1">
        <v>50</v>
      </c>
      <c r="B18" s="1">
        <v>9018747</v>
      </c>
      <c r="C18" s="9" t="s">
        <v>99</v>
      </c>
      <c r="D18" s="4" t="s">
        <v>42</v>
      </c>
      <c r="E18" s="5">
        <f>Ref!K8+Ref!P8+Ref!U8+Ref!Z8+Ref!AA8+Ref!AB8</f>
        <v>3485.7995999999998</v>
      </c>
      <c r="F18" s="5">
        <f>INDEX(Ref!$A$4:$B$28,MATCH('BOQ (MAIN)'!C18,Ref!$F$4:$F$28,0),MATCH('BOQ (MAIN)'!$F$13,Ref!$A$3:$B$3,0))</f>
        <v>543</v>
      </c>
      <c r="G18" s="5">
        <f t="shared" si="0"/>
        <v>1892789.1827999998</v>
      </c>
      <c r="H18" s="5"/>
      <c r="I18" s="25">
        <f>IF($E$4=$I$12,Ref!K8,0) + IF($F$4=$I$12,Ref!P8,0) + IF($I$12=$G$4,Ref!U8,0)+ IF($I$12=$H$4,Ref!Z8,0)+IF($J$4=$I$12,Ref!AA8,0)+IF($I$12=$I$4,Ref!AB8,0)</f>
        <v>1674.3095999999998</v>
      </c>
      <c r="J18" s="5">
        <f>INDEX(Ref!$A$4:$B$28,MATCH('BOQ (MAIN)'!C18,Ref!$F$4:$F$28,0),MATCH($J$13,Ref!$A$3:$B$3,0))</f>
        <v>334.3</v>
      </c>
      <c r="K18" s="5">
        <f t="shared" si="1"/>
        <v>559721.69927999994</v>
      </c>
      <c r="L18" s="5"/>
      <c r="M18" s="5">
        <f>IF($E$4=$M$12,Ref!K8,0) + IF($F$4=$M$12,Ref!P8,0) + IF($M$12=$G$4,Ref!U8,0)+ IF($M$12=$H$4,Ref!Z8,0)+IF($J$4=$M$12,Ref!AA8,0)+IF($M$12=$I$4,Ref!AB8,0)</f>
        <v>1811.4899999999998</v>
      </c>
      <c r="N18" s="5">
        <f>INDEX(Ref!$A$4:$B$28,MATCH('BOQ (MAIN)'!C18,Ref!$F$4:$F$28,0),MATCH($N$13,Ref!$A$3:$B$3,0))</f>
        <v>543</v>
      </c>
      <c r="O18" s="5">
        <f t="shared" si="2"/>
        <v>983639.06999999983</v>
      </c>
      <c r="P18" s="9" t="str">
        <f t="shared" si="3"/>
        <v>OK</v>
      </c>
    </row>
    <row r="19" spans="1:16" ht="16" x14ac:dyDescent="0.2">
      <c r="A19" s="1">
        <v>60</v>
      </c>
      <c r="B19" s="1">
        <v>9018753</v>
      </c>
      <c r="C19" s="9" t="s">
        <v>100</v>
      </c>
      <c r="D19" s="4" t="s">
        <v>42</v>
      </c>
      <c r="E19" s="5">
        <f>Ref!K9+Ref!P9+Ref!U9+Ref!Z9+Ref!AA9+Ref!AB9</f>
        <v>0</v>
      </c>
      <c r="F19" s="5">
        <f>INDEX(Ref!$A$4:$B$28,MATCH('BOQ (MAIN)'!C19,Ref!$F$4:$F$28,0),MATCH('BOQ (MAIN)'!$F$13,Ref!$A$3:$B$3,0))</f>
        <v>1195</v>
      </c>
      <c r="G19" s="5">
        <f t="shared" si="0"/>
        <v>0</v>
      </c>
      <c r="H19" s="5"/>
      <c r="I19" s="25">
        <f>IF($E$4=$I$12,Ref!K9,0) + IF($F$4=$I$12,Ref!P9,0) + IF($I$12=$G$4,Ref!U9,0)+ IF($I$12=$H$4,Ref!Z9,0)+IF($J$4=$I$12,Ref!AA9,0)+IF($I$12=$I$4,Ref!AB9,0)</f>
        <v>0</v>
      </c>
      <c r="J19" s="5">
        <f>INDEX(Ref!$A$4:$B$28,MATCH('BOQ (MAIN)'!C19,Ref!$F$4:$F$28,0),MATCH($J$13,Ref!$A$3:$B$3,0))</f>
        <v>862.89</v>
      </c>
      <c r="K19" s="5">
        <f t="shared" si="1"/>
        <v>0</v>
      </c>
      <c r="L19" s="5"/>
      <c r="M19" s="5">
        <f>IF($E$4=$M$12,Ref!K9,0) + IF($F$4=$M$12,Ref!P9,0) + IF($M$12=$G$4,Ref!U9,0)+ IF($M$12=$H$4,Ref!Z9,0)+IF($J$4=$M$12,Ref!AA9,0)+IF($M$12=$I$4,Ref!AB9,0)</f>
        <v>0</v>
      </c>
      <c r="N19" s="5">
        <f>INDEX(Ref!$A$4:$B$28,MATCH('BOQ (MAIN)'!C19,Ref!$F$4:$F$28,0),MATCH($N$13,Ref!$A$3:$B$3,0))</f>
        <v>1195</v>
      </c>
      <c r="O19" s="5">
        <f t="shared" si="2"/>
        <v>0</v>
      </c>
      <c r="P19" s="9" t="str">
        <f t="shared" si="3"/>
        <v>OK</v>
      </c>
    </row>
    <row r="20" spans="1:16" ht="16" x14ac:dyDescent="0.2">
      <c r="A20" s="1">
        <v>70</v>
      </c>
      <c r="B20" s="1">
        <v>9018759</v>
      </c>
      <c r="C20" s="9" t="s">
        <v>101</v>
      </c>
      <c r="D20" s="4" t="s">
        <v>42</v>
      </c>
      <c r="E20" s="5">
        <f>Ref!K10+Ref!P10+Ref!U10+Ref!Z10+Ref!AA10+Ref!AB10</f>
        <v>341.84266666666667</v>
      </c>
      <c r="F20" s="5">
        <f>INDEX(Ref!$A$4:$B$28,MATCH('BOQ (MAIN)'!C20,Ref!$F$4:$F$28,0),MATCH('BOQ (MAIN)'!$F$13,Ref!$A$3:$B$3,0))</f>
        <v>1902</v>
      </c>
      <c r="G20" s="5">
        <f t="shared" si="0"/>
        <v>650184.75199999998</v>
      </c>
      <c r="H20" s="5"/>
      <c r="I20" s="25">
        <f>IF($E$4=$I$12,Ref!K10,0) + IF($F$4=$I$12,Ref!P10,0) + IF($I$12=$G$4,Ref!U10,0)+ IF($I$12=$H$4,Ref!Z10,0)+IF($J$4=$I$12,Ref!AA10,0)+IF($I$12=$I$4,Ref!AB10,0)</f>
        <v>153.46933333333334</v>
      </c>
      <c r="J20" s="5">
        <f>INDEX(Ref!$A$4:$B$28,MATCH('BOQ (MAIN)'!C20,Ref!$F$4:$F$28,0),MATCH($J$13,Ref!$A$3:$B$3,0))</f>
        <v>1373.51</v>
      </c>
      <c r="K20" s="5">
        <f t="shared" si="1"/>
        <v>210791.66402666667</v>
      </c>
      <c r="L20" s="5"/>
      <c r="M20" s="5">
        <f>IF($E$4=$M$12,Ref!K10,0) + IF($F$4=$M$12,Ref!P10,0) + IF($M$12=$G$4,Ref!U10,0)+ IF($M$12=$H$4,Ref!Z10,0)+IF($J$4=$M$12,Ref!AA10,0)+IF($M$12=$I$4,Ref!AB10,0)</f>
        <v>188.37333333333336</v>
      </c>
      <c r="N20" s="5">
        <f>INDEX(Ref!$A$4:$B$28,MATCH('BOQ (MAIN)'!C20,Ref!$F$4:$F$28,0),MATCH($N$13,Ref!$A$3:$B$3,0))</f>
        <v>1902</v>
      </c>
      <c r="O20" s="5">
        <f t="shared" si="2"/>
        <v>358286.08000000007</v>
      </c>
      <c r="P20" s="9" t="str">
        <f t="shared" si="3"/>
        <v>OK</v>
      </c>
    </row>
    <row r="21" spans="1:16" ht="16" x14ac:dyDescent="0.2">
      <c r="A21" s="1">
        <v>80</v>
      </c>
      <c r="B21" s="1">
        <v>9018778</v>
      </c>
      <c r="C21" s="9" t="s">
        <v>102</v>
      </c>
      <c r="D21" s="4" t="s">
        <v>42</v>
      </c>
      <c r="E21" s="5">
        <f>Ref!K11+Ref!P11+Ref!U11+Ref!Z11+Ref!AA11+Ref!AB11</f>
        <v>444.36220833333334</v>
      </c>
      <c r="F21" s="5">
        <f>INDEX(Ref!$A$4:$B$28,MATCH('BOQ (MAIN)'!C21,Ref!$F$4:$F$28,0),MATCH('BOQ (MAIN)'!$F$13,Ref!$A$3:$B$3,0))</f>
        <v>5976</v>
      </c>
      <c r="G21" s="5">
        <f t="shared" si="0"/>
        <v>2655508.557</v>
      </c>
      <c r="H21" s="5"/>
      <c r="I21" s="25">
        <f>IF($E$4=$I$12,Ref!K11,0) + IF($F$4=$I$12,Ref!P11,0) + IF($I$12=$G$4,Ref!U11,0)+ IF($I$12=$H$4,Ref!Z11,0)+IF($J$4=$I$12,Ref!AA11,0)+IF($I$12=$I$4,Ref!AB11,0)</f>
        <v>193.47491666666667</v>
      </c>
      <c r="J21" s="5">
        <f>INDEX(Ref!$A$4:$B$28,MATCH('BOQ (MAIN)'!C21,Ref!$F$4:$F$28,0),MATCH($J$13,Ref!$A$3:$B$3,0))</f>
        <v>4316.1400000000003</v>
      </c>
      <c r="K21" s="5">
        <f t="shared" si="1"/>
        <v>835064.82682166679</v>
      </c>
      <c r="L21" s="5"/>
      <c r="M21" s="5">
        <f>IF($E$4=$M$12,Ref!K11,0) + IF($F$4=$M$12,Ref!P11,0) + IF($M$12=$G$4,Ref!U11,0)+ IF($M$12=$H$4,Ref!Z11,0)+IF($J$4=$M$12,Ref!AA11,0)+IF($M$12=$I$4,Ref!AB11,0)</f>
        <v>250.88729166666667</v>
      </c>
      <c r="N21" s="5">
        <f>INDEX(Ref!$A$4:$B$28,MATCH('BOQ (MAIN)'!C21,Ref!$F$4:$F$28,0),MATCH($N$13,Ref!$A$3:$B$3,0))</f>
        <v>5976</v>
      </c>
      <c r="O21" s="5">
        <f t="shared" si="2"/>
        <v>1499302.4550000001</v>
      </c>
      <c r="P21" s="9" t="str">
        <f t="shared" si="3"/>
        <v>OK</v>
      </c>
    </row>
    <row r="22" spans="1:16" ht="16" x14ac:dyDescent="0.2">
      <c r="A22" s="1">
        <v>90</v>
      </c>
      <c r="B22" s="1">
        <v>9018776</v>
      </c>
      <c r="C22" s="9" t="s">
        <v>103</v>
      </c>
      <c r="D22" s="4" t="s">
        <v>42</v>
      </c>
      <c r="E22" s="5">
        <f>Ref!K12+Ref!P12+Ref!U12+Ref!Z12+Ref!AA12+Ref!AB12</f>
        <v>5</v>
      </c>
      <c r="F22" s="5">
        <f>INDEX(Ref!$A$4:$B$28,MATCH('BOQ (MAIN)'!C22,Ref!$F$4:$F$28,0),MATCH('BOQ (MAIN)'!$F$13,Ref!$A$3:$B$3,0))</f>
        <v>7389</v>
      </c>
      <c r="G22" s="5">
        <f t="shared" si="0"/>
        <v>36945</v>
      </c>
      <c r="H22" s="5"/>
      <c r="I22" s="25">
        <f>IF($E$4=$I$12,Ref!K12,0) + IF($F$4=$I$12,Ref!P12,0) + IF($I$12=$G$4,Ref!U12,0)+ IF($I$12=$H$4,Ref!Z12,0)+IF($J$4=$I$12,Ref!AA12,0)+IF($I$12=$I$4,Ref!AB12,0)</f>
        <v>5</v>
      </c>
      <c r="J22" s="5">
        <f>INDEX(Ref!$A$4:$B$28,MATCH('BOQ (MAIN)'!C22,Ref!$F$4:$F$28,0),MATCH($J$13,Ref!$A$3:$B$3,0))</f>
        <v>5336.53</v>
      </c>
      <c r="K22" s="5">
        <f t="shared" si="1"/>
        <v>26682.649999999998</v>
      </c>
      <c r="L22" s="5"/>
      <c r="M22" s="5">
        <f>IF($E$4=$M$12,Ref!K12,0) + IF($F$4=$M$12,Ref!P12,0) + IF($M$12=$G$4,Ref!U12,0)+ IF($M$12=$H$4,Ref!Z12,0)+IF($J$4=$M$12,Ref!AA12,0)+IF($M$12=$I$4,Ref!AB12,0)</f>
        <v>0</v>
      </c>
      <c r="N22" s="5">
        <f>INDEX(Ref!$A$4:$B$28,MATCH('BOQ (MAIN)'!C22,Ref!$F$4:$F$28,0),MATCH($N$13,Ref!$A$3:$B$3,0))</f>
        <v>7389</v>
      </c>
      <c r="O22" s="5">
        <f t="shared" si="2"/>
        <v>0</v>
      </c>
      <c r="P22" s="9" t="str">
        <f t="shared" si="3"/>
        <v>OK</v>
      </c>
    </row>
    <row r="23" spans="1:16" ht="16" x14ac:dyDescent="0.2">
      <c r="A23" s="1">
        <v>100</v>
      </c>
      <c r="B23" s="1">
        <v>9018793</v>
      </c>
      <c r="C23" s="9" t="s">
        <v>104</v>
      </c>
      <c r="D23" s="4" t="s">
        <v>42</v>
      </c>
      <c r="E23" s="5">
        <f>Ref!K13+Ref!P13+Ref!U13+Ref!Z13+Ref!AA13+Ref!AB13</f>
        <v>2604.5623333333333</v>
      </c>
      <c r="F23" s="5">
        <f>INDEX(Ref!$A$4:$B$28,MATCH('BOQ (MAIN)'!C23,Ref!$F$4:$F$28,0),MATCH('BOQ (MAIN)'!$F$13,Ref!$A$3:$B$3,0))</f>
        <v>8530</v>
      </c>
      <c r="G23" s="5">
        <f t="shared" si="0"/>
        <v>22216916.703333333</v>
      </c>
      <c r="H23" s="5"/>
      <c r="I23" s="25">
        <f>IF($E$4=$I$12,Ref!K13,0) + IF($F$4=$I$12,Ref!P13,0) + IF($I$12=$G$4,Ref!U13,0)+ IF($I$12=$H$4,Ref!Z13,0)+IF($J$4=$I$12,Ref!AA13,0)+IF($I$12=$I$4,Ref!AB13,0)</f>
        <v>1187.3471666666667</v>
      </c>
      <c r="J23" s="5">
        <f>INDEX(Ref!$A$4:$B$28,MATCH('BOQ (MAIN)'!C23,Ref!$F$4:$F$28,0),MATCH($J$13,Ref!$A$3:$B$3,0))</f>
        <v>6160.47</v>
      </c>
      <c r="K23" s="5">
        <f t="shared" si="1"/>
        <v>7314616.599835</v>
      </c>
      <c r="L23" s="5"/>
      <c r="M23" s="5">
        <f>IF($E$4=$M$12,Ref!K13,0) + IF($F$4=$M$12,Ref!P13,0) + IF($M$12=$G$4,Ref!U13,0)+ IF($M$12=$H$4,Ref!Z13,0)+IF($J$4=$M$12,Ref!AA13,0)+IF($M$12=$I$4,Ref!AB13,0)</f>
        <v>1417.2151666666666</v>
      </c>
      <c r="N23" s="5">
        <f>INDEX(Ref!$A$4:$B$28,MATCH('BOQ (MAIN)'!C23,Ref!$F$4:$F$28,0),MATCH($N$13,Ref!$A$3:$B$3,0))</f>
        <v>8530</v>
      </c>
      <c r="O23" s="5">
        <f t="shared" si="2"/>
        <v>12088845.371666666</v>
      </c>
      <c r="P23" s="9" t="str">
        <f t="shared" si="3"/>
        <v>OK</v>
      </c>
    </row>
    <row r="24" spans="1:16" ht="16" x14ac:dyDescent="0.2">
      <c r="A24" s="1">
        <v>110</v>
      </c>
      <c r="B24" s="1">
        <v>9018794</v>
      </c>
      <c r="C24" s="9" t="s">
        <v>105</v>
      </c>
      <c r="D24" s="4" t="s">
        <v>42</v>
      </c>
      <c r="E24" s="5">
        <f>Ref!K14+Ref!P14+Ref!U14+Ref!Z14+Ref!AA14+Ref!AB14</f>
        <v>502.98749999999995</v>
      </c>
      <c r="F24" s="5">
        <f>INDEX(Ref!$A$4:$B$28,MATCH('BOQ (MAIN)'!C24,Ref!$F$4:$F$28,0),MATCH('BOQ (MAIN)'!$F$13,Ref!$A$3:$B$3,0))</f>
        <v>9290</v>
      </c>
      <c r="G24" s="5">
        <f t="shared" si="0"/>
        <v>4672753.875</v>
      </c>
      <c r="H24" s="5"/>
      <c r="I24" s="25">
        <f>IF($E$4=$I$12,Ref!K14,0) + IF($F$4=$I$12,Ref!P14,0) + IF($I$12=$G$4,Ref!U14,0)+ IF($I$12=$H$4,Ref!Z14,0)+IF($J$4=$I$12,Ref!AA14,0)+IF($I$12=$I$4,Ref!AB14,0)</f>
        <v>193.30499999999998</v>
      </c>
      <c r="J24" s="5">
        <f>INDEX(Ref!$A$4:$B$28,MATCH('BOQ (MAIN)'!C24,Ref!$F$4:$F$28,0),MATCH($J$13,Ref!$A$3:$B$3,0))</f>
        <v>6710.04</v>
      </c>
      <c r="K24" s="5">
        <f t="shared" si="1"/>
        <v>1297084.2821999998</v>
      </c>
      <c r="L24" s="5"/>
      <c r="M24" s="5">
        <f>IF($E$4=$M$12,Ref!K14,0) + IF($F$4=$M$12,Ref!P14,0) + IF($M$12=$G$4,Ref!U14,0)+ IF($M$12=$H$4,Ref!Z14,0)+IF($J$4=$M$12,Ref!AA14,0)+IF($M$12=$I$4,Ref!AB14,0)</f>
        <v>309.68249999999995</v>
      </c>
      <c r="N24" s="5">
        <f>INDEX(Ref!$A$4:$B$28,MATCH('BOQ (MAIN)'!C24,Ref!$F$4:$F$28,0),MATCH($N$13,Ref!$A$3:$B$3,0))</f>
        <v>9290</v>
      </c>
      <c r="O24" s="5">
        <f t="shared" si="2"/>
        <v>2876950.4249999993</v>
      </c>
      <c r="P24" s="9" t="str">
        <f t="shared" si="3"/>
        <v>OK</v>
      </c>
    </row>
    <row r="25" spans="1:16" ht="16" x14ac:dyDescent="0.2">
      <c r="A25" s="1">
        <v>120</v>
      </c>
      <c r="B25" s="2">
        <v>9018813</v>
      </c>
      <c r="C25" s="9" t="s">
        <v>106</v>
      </c>
      <c r="D25" s="4" t="s">
        <v>43</v>
      </c>
      <c r="E25" s="5">
        <f>Ref!K15+Ref!P15+Ref!U15+Ref!Z15+Ref!AA15+Ref!AB15</f>
        <v>283513.74247783137</v>
      </c>
      <c r="F25" s="5">
        <f>INDEX(Ref!$A$4:$B$28,MATCH('BOQ (MAIN)'!C25,Ref!$F$4:$F$28,0),MATCH('BOQ (MAIN)'!$F$13,Ref!$A$3:$B$3,0))</f>
        <v>76</v>
      </c>
      <c r="G25" s="5">
        <f t="shared" si="0"/>
        <v>21547044.428315185</v>
      </c>
      <c r="H25" s="5"/>
      <c r="I25" s="25">
        <f>IF($E$4=$I$12,Ref!K15,0) + IF($F$4=$I$12,Ref!P15,0) + IF($I$12=$G$4,Ref!U15,0)+ IF($I$12=$H$4,Ref!Z15,0)+IF($J$4=$I$12,Ref!AA15,0)+IF($I$12=$I$4,Ref!AB15,0)</f>
        <v>126711.89728687939</v>
      </c>
      <c r="J25" s="5">
        <f>INDEX(Ref!$A$4:$B$28,MATCH('BOQ (MAIN)'!C25,Ref!$F$4:$F$28,0),MATCH($J$13,Ref!$A$3:$B$3,0))</f>
        <v>55.04</v>
      </c>
      <c r="K25" s="5">
        <f t="shared" si="1"/>
        <v>6974222.826669842</v>
      </c>
      <c r="L25" s="5"/>
      <c r="M25" s="5">
        <f>IF($E$4=$M$12,Ref!K15,0) + IF($F$4=$M$12,Ref!P15,0) + IF($M$12=$G$4,Ref!U15,0)+ IF($M$12=$H$4,Ref!Z15,0)+IF($J$4=$M$12,Ref!AA15,0)+IF($M$12=$I$4,Ref!AB15,0)</f>
        <v>156801.84519095201</v>
      </c>
      <c r="N25" s="5">
        <f>INDEX(Ref!$A$4:$B$28,MATCH('BOQ (MAIN)'!C25,Ref!$F$4:$F$28,0),MATCH($N$13,Ref!$A$3:$B$3,0))</f>
        <v>76</v>
      </c>
      <c r="O25" s="5">
        <f t="shared" si="2"/>
        <v>11916940.234512353</v>
      </c>
      <c r="P25" s="9" t="str">
        <f t="shared" si="3"/>
        <v>OK</v>
      </c>
    </row>
    <row r="26" spans="1:16" ht="16" x14ac:dyDescent="0.2">
      <c r="A26" s="1">
        <v>130</v>
      </c>
      <c r="B26" s="1">
        <v>9001168</v>
      </c>
      <c r="C26" s="9" t="s">
        <v>107</v>
      </c>
      <c r="D26" s="4" t="s">
        <v>42</v>
      </c>
      <c r="E26" s="5">
        <f>Ref!K16+Ref!P16+Ref!U16+Ref!Z16+Ref!AA16+Ref!AB16</f>
        <v>294.3266666666666</v>
      </c>
      <c r="F26" s="5">
        <f>INDEX(Ref!$A$4:$B$28,MATCH('BOQ (MAIN)'!C26,Ref!$F$4:$F$28,0),MATCH('BOQ (MAIN)'!$F$13,Ref!$A$3:$B$3,0))</f>
        <v>6792</v>
      </c>
      <c r="G26" s="5">
        <f t="shared" si="0"/>
        <v>1999066.7199999995</v>
      </c>
      <c r="H26" s="5"/>
      <c r="I26" s="25">
        <f>IF($E$4=$I$12,Ref!K16,0) + IF($F$4=$I$12,Ref!P16,0) + IF($I$12=$G$4,Ref!U16,0)+ IF($I$12=$H$4,Ref!Z16,0)+IF($J$4=$I$12,Ref!AA16,0)+IF($I$12=$I$4,Ref!AB16,0)</f>
        <v>84.09333333333332</v>
      </c>
      <c r="J26" s="5">
        <f>INDEX(Ref!$A$4:$B$28,MATCH('BOQ (MAIN)'!C26,Ref!$F$4:$F$28,0),MATCH($J$13,Ref!$A$3:$B$3,0))</f>
        <v>4458.24</v>
      </c>
      <c r="K26" s="5">
        <f t="shared" si="1"/>
        <v>374908.26239999995</v>
      </c>
      <c r="L26" s="5"/>
      <c r="M26" s="5">
        <f>IF($E$4=$M$12,Ref!K16,0) + IF($F$4=$M$12,Ref!P16,0) + IF($M$12=$G$4,Ref!U16,0)+ IF($M$12=$H$4,Ref!Z16,0)+IF($J$4=$M$12,Ref!AA16,0)+IF($M$12=$I$4,Ref!AB16,0)</f>
        <v>210.23333333333329</v>
      </c>
      <c r="N26" s="5">
        <f>INDEX(Ref!$A$4:$B$28,MATCH('BOQ (MAIN)'!C26,Ref!$F$4:$F$28,0),MATCH($N$13,Ref!$A$3:$B$3,0))</f>
        <v>6792</v>
      </c>
      <c r="O26" s="5">
        <f t="shared" si="2"/>
        <v>1427904.7999999998</v>
      </c>
      <c r="P26" s="9" t="str">
        <f t="shared" si="3"/>
        <v>OK</v>
      </c>
    </row>
    <row r="27" spans="1:16" ht="16" x14ac:dyDescent="0.2">
      <c r="A27" s="1">
        <v>140</v>
      </c>
      <c r="B27" s="1">
        <v>9001172</v>
      </c>
      <c r="C27" s="9" t="s">
        <v>108</v>
      </c>
      <c r="D27" s="4" t="s">
        <v>42</v>
      </c>
      <c r="E27" s="5">
        <f>Ref!K17+Ref!P17+Ref!U17+Ref!Z17+Ref!AA17+Ref!AB17</f>
        <v>1666.75</v>
      </c>
      <c r="F27" s="5">
        <f>INDEX(Ref!$A$4:$B$28,MATCH('BOQ (MAIN)'!C27,Ref!$F$4:$F$28,0),MATCH('BOQ (MAIN)'!$F$13,Ref!$A$3:$B$3,0))</f>
        <v>7227</v>
      </c>
      <c r="G27" s="5">
        <f t="shared" si="0"/>
        <v>12045602.25</v>
      </c>
      <c r="H27" s="5"/>
      <c r="I27" s="25">
        <f>IF($E$4=$I$12,Ref!K17,0) + IF($F$4=$I$12,Ref!P17,0) + IF($I$12=$G$4,Ref!U17,0)+ IF($I$12=$H$4,Ref!Z17,0)+IF($J$4=$I$12,Ref!AA17,0)+IF($I$12=$I$4,Ref!AB17,0)</f>
        <v>695.9666666666667</v>
      </c>
      <c r="J27" s="5">
        <f>INDEX(Ref!$A$4:$B$28,MATCH('BOQ (MAIN)'!C27,Ref!$F$4:$F$28,0),MATCH($J$13,Ref!$A$3:$B$3,0))</f>
        <v>4743.7700000000004</v>
      </c>
      <c r="K27" s="5">
        <f t="shared" si="1"/>
        <v>3301505.7943333336</v>
      </c>
      <c r="L27" s="5"/>
      <c r="M27" s="5">
        <f>IF($E$4=$M$12,Ref!K17,0) + IF($F$4=$M$12,Ref!P17,0) + IF($M$12=$G$4,Ref!U17,0)+ IF($M$12=$H$4,Ref!Z17,0)+IF($J$4=$M$12,Ref!AA17,0)+IF($M$12=$I$4,Ref!AB17,0)</f>
        <v>970.7833333333333</v>
      </c>
      <c r="N27" s="5">
        <f>INDEX(Ref!$A$4:$B$28,MATCH('BOQ (MAIN)'!C27,Ref!$F$4:$F$28,0),MATCH($N$13,Ref!$A$3:$B$3,0))</f>
        <v>7227</v>
      </c>
      <c r="O27" s="5">
        <f t="shared" si="2"/>
        <v>7015851.1499999994</v>
      </c>
      <c r="P27" s="9" t="str">
        <f t="shared" si="3"/>
        <v>OK</v>
      </c>
    </row>
    <row r="28" spans="1:16" ht="16" x14ac:dyDescent="0.2">
      <c r="A28" s="1">
        <v>150</v>
      </c>
      <c r="B28" s="1">
        <v>9018790</v>
      </c>
      <c r="C28" s="9" t="s">
        <v>109</v>
      </c>
      <c r="D28" s="4" t="s">
        <v>50</v>
      </c>
      <c r="E28" s="5">
        <f>Ref!K18+Ref!P18+Ref!U18+Ref!Z18+Ref!AA18+Ref!AB18</f>
        <v>623.125</v>
      </c>
      <c r="F28" s="5">
        <f>INDEX(Ref!$A$4:$B$28,MATCH('BOQ (MAIN)'!C28,Ref!$F$4:$F$28,0),MATCH('BOQ (MAIN)'!$F$13,Ref!$A$3:$B$3,0))</f>
        <v>517</v>
      </c>
      <c r="G28" s="5">
        <f t="shared" si="0"/>
        <v>322155.625</v>
      </c>
      <c r="H28" s="5"/>
      <c r="I28" s="25">
        <f>IF($E$4=$I$12,Ref!K18,0) + IF($F$4=$I$12,Ref!P18,0) + IF($I$12=$G$4,Ref!U18,0)+ IF($I$12=$H$4,Ref!Z18,0)+IF($J$4=$I$12,Ref!AA18,0)+IF($I$12=$I$4,Ref!AB18,0)</f>
        <v>276.41666666666663</v>
      </c>
      <c r="J28" s="5">
        <f>INDEX(Ref!$A$4:$B$28,MATCH('BOQ (MAIN)'!C28,Ref!$F$4:$F$28,0),MATCH($J$13,Ref!$A$3:$B$3,0))</f>
        <v>339.36</v>
      </c>
      <c r="K28" s="5">
        <f t="shared" si="1"/>
        <v>93804.76</v>
      </c>
      <c r="L28" s="5"/>
      <c r="M28" s="5">
        <f>IF($E$4=$M$12,Ref!K18,0) + IF($F$4=$M$12,Ref!P18,0) + IF($M$12=$G$4,Ref!U18,0)+ IF($M$12=$H$4,Ref!Z18,0)+IF($J$4=$M$12,Ref!AA18,0)+IF($M$12=$I$4,Ref!AB18,0)</f>
        <v>346.70833333333331</v>
      </c>
      <c r="N28" s="5">
        <f>INDEX(Ref!$A$4:$B$28,MATCH('BOQ (MAIN)'!C28,Ref!$F$4:$F$28,0),MATCH($N$13,Ref!$A$3:$B$3,0))</f>
        <v>517</v>
      </c>
      <c r="O28" s="5">
        <f t="shared" si="2"/>
        <v>179248.20833333331</v>
      </c>
      <c r="P28" s="9" t="str">
        <f t="shared" si="3"/>
        <v>OK</v>
      </c>
    </row>
    <row r="29" spans="1:16" ht="16" x14ac:dyDescent="0.2">
      <c r="A29" s="1">
        <v>160</v>
      </c>
      <c r="B29" s="1">
        <v>9018790</v>
      </c>
      <c r="C29" s="9" t="s">
        <v>110</v>
      </c>
      <c r="D29" s="4" t="s">
        <v>40</v>
      </c>
      <c r="E29" s="5">
        <f>Ref!K19+Ref!P19+Ref!U19+Ref!Z19+Ref!AA19+Ref!AB19</f>
        <v>0</v>
      </c>
      <c r="F29" s="5">
        <f>INDEX(Ref!$A$4:$B$28,MATCH('BOQ (MAIN)'!C29,Ref!$F$4:$F$28,0),MATCH('BOQ (MAIN)'!$F$13,Ref!$A$3:$B$3,0))</f>
        <v>195</v>
      </c>
      <c r="G29" s="5">
        <f t="shared" si="0"/>
        <v>0</v>
      </c>
      <c r="H29" s="5"/>
      <c r="I29" s="25">
        <f>IF($E$4=$I$12,Ref!K19,0) + IF($F$4=$I$12,Ref!P19,0) + IF($I$12=$G$4,Ref!U19,0)+ IF($I$12=$H$4,Ref!Z19,0)+IF($J$4=$I$12,Ref!AA19,0)+IF($I$12=$I$4,Ref!AB19,0)</f>
        <v>0</v>
      </c>
      <c r="J29" s="5">
        <f>INDEX(Ref!$A$4:$B$28,MATCH('BOQ (MAIN)'!C29,Ref!$F$4:$F$28,0),MATCH($J$13,Ref!$A$3:$B$3,0))</f>
        <v>141.41999999999999</v>
      </c>
      <c r="K29" s="5">
        <f t="shared" si="1"/>
        <v>0</v>
      </c>
      <c r="L29" s="5"/>
      <c r="M29" s="5">
        <f>IF($E$4=$M$12,Ref!K19,0) + IF($F$4=$M$12,Ref!P19,0) + IF($M$12=$G$4,Ref!U19,0)+ IF($M$12=$H$4,Ref!Z19,0)+IF($J$4=$M$12,Ref!AA19,0)+IF($M$12=$I$4,Ref!AB19,0)</f>
        <v>0</v>
      </c>
      <c r="N29" s="5">
        <f>INDEX(Ref!$A$4:$B$28,MATCH('BOQ (MAIN)'!C29,Ref!$F$4:$F$28,0),MATCH($N$13,Ref!$A$3:$B$3,0))</f>
        <v>195</v>
      </c>
      <c r="O29" s="5">
        <f t="shared" si="2"/>
        <v>0</v>
      </c>
      <c r="P29" s="9" t="str">
        <f t="shared" si="3"/>
        <v>OK</v>
      </c>
    </row>
    <row r="30" spans="1:16" ht="16" x14ac:dyDescent="0.2">
      <c r="A30" s="1">
        <v>170</v>
      </c>
      <c r="B30" s="1">
        <v>9008917</v>
      </c>
      <c r="C30" s="9" t="s">
        <v>111</v>
      </c>
      <c r="D30" s="4" t="s">
        <v>51</v>
      </c>
      <c r="E30" s="5">
        <f>Ref!K20+Ref!P20+Ref!U20+Ref!Z20+Ref!AA20+Ref!AB20</f>
        <v>480</v>
      </c>
      <c r="F30" s="5">
        <f>INDEX(Ref!$A$4:$B$28,MATCH('BOQ (MAIN)'!C30,Ref!$F$4:$F$28,0),MATCH('BOQ (MAIN)'!$F$13,Ref!$A$3:$B$3,0))</f>
        <v>27</v>
      </c>
      <c r="G30" s="5">
        <f t="shared" si="0"/>
        <v>12960</v>
      </c>
      <c r="H30" s="5"/>
      <c r="I30" s="25">
        <f>IF($E$4=$I$12,Ref!K20,0) + IF($F$4=$I$12,Ref!P20,0) + IF($I$12=$G$4,Ref!U20,0)+ IF($I$12=$H$4,Ref!Z20,0)+IF($J$4=$I$12,Ref!AA20,0)+IF($I$12=$I$4,Ref!AB20,0)</f>
        <v>480</v>
      </c>
      <c r="J30" s="5">
        <f>INDEX(Ref!$A$4:$B$28,MATCH('BOQ (MAIN)'!C30,Ref!$F$4:$F$28,0),MATCH($J$13,Ref!$A$3:$B$3,0))</f>
        <v>19.48</v>
      </c>
      <c r="K30" s="5">
        <f t="shared" si="1"/>
        <v>9350.4</v>
      </c>
      <c r="L30" s="5"/>
      <c r="M30" s="5">
        <f>IF($E$4=$M$12,Ref!K20,0) + IF($F$4=$M$12,Ref!P20,0) + IF($M$12=$G$4,Ref!U20,0)+ IF($M$12=$H$4,Ref!Z20,0)+IF($J$4=$M$12,Ref!AA20,0)+IF($M$12=$I$4,Ref!AB20,0)</f>
        <v>0</v>
      </c>
      <c r="N30" s="5">
        <f>INDEX(Ref!$A$4:$B$28,MATCH('BOQ (MAIN)'!C30,Ref!$F$4:$F$28,0),MATCH($N$13,Ref!$A$3:$B$3,0))</f>
        <v>27</v>
      </c>
      <c r="O30" s="5">
        <f t="shared" si="2"/>
        <v>0</v>
      </c>
      <c r="P30" s="9" t="str">
        <f t="shared" si="3"/>
        <v>OK</v>
      </c>
    </row>
    <row r="31" spans="1:16" ht="16" x14ac:dyDescent="0.2">
      <c r="A31" s="1">
        <v>180</v>
      </c>
      <c r="B31" s="2">
        <v>9018855</v>
      </c>
      <c r="C31" s="9" t="s">
        <v>112</v>
      </c>
      <c r="D31" s="4" t="s">
        <v>50</v>
      </c>
      <c r="E31" s="5">
        <f>Ref!K21+Ref!P21+Ref!U21+Ref!Z21+Ref!AA21+Ref!AB21</f>
        <v>17195</v>
      </c>
      <c r="F31" s="5">
        <f>INDEX(Ref!$A$4:$B$28,MATCH('BOQ (MAIN)'!C31,Ref!$F$4:$F$28,0),MATCH('BOQ (MAIN)'!$F$13,Ref!$A$3:$B$3,0))</f>
        <v>179</v>
      </c>
      <c r="G31" s="5">
        <f t="shared" si="0"/>
        <v>3077905</v>
      </c>
      <c r="H31" s="5"/>
      <c r="I31" s="25">
        <f>IF($E$4=$I$12,Ref!K21,0) + IF($F$4=$I$12,Ref!P21,0) + IF($I$12=$G$4,Ref!U21,0)+ IF($I$12=$H$4,Ref!Z21,0)+IF($J$4=$I$12,Ref!AA21,0)+IF($I$12=$I$4,Ref!AB21,0)</f>
        <v>7147</v>
      </c>
      <c r="J31" s="5">
        <f>INDEX(Ref!$A$4:$B$28,MATCH('BOQ (MAIN)'!C31,Ref!$F$4:$F$28,0),MATCH($J$13,Ref!$A$3:$B$3,0))</f>
        <v>129.56</v>
      </c>
      <c r="K31" s="5">
        <f t="shared" si="1"/>
        <v>925965.32000000007</v>
      </c>
      <c r="L31" s="5"/>
      <c r="M31" s="5">
        <f>IF($E$4=$M$12,Ref!K21,0) + IF($F$4=$M$12,Ref!P21,0) + IF($M$12=$G$4,Ref!U21,0)+ IF($M$12=$H$4,Ref!Z21,0)+IF($J$4=$M$12,Ref!AA21,0)+IF($M$12=$I$4,Ref!AB21,0)</f>
        <v>10048</v>
      </c>
      <c r="N31" s="5">
        <f>INDEX(Ref!$A$4:$B$28,MATCH('BOQ (MAIN)'!C31,Ref!$F$4:$F$28,0),MATCH($N$13,Ref!$A$3:$B$3,0))</f>
        <v>179</v>
      </c>
      <c r="O31" s="5">
        <f t="shared" si="2"/>
        <v>1798592</v>
      </c>
      <c r="P31" s="9" t="str">
        <f t="shared" si="3"/>
        <v>OK</v>
      </c>
    </row>
    <row r="32" spans="1:16" ht="16" x14ac:dyDescent="0.2">
      <c r="A32" s="1">
        <v>190</v>
      </c>
      <c r="B32" s="1">
        <v>9018947</v>
      </c>
      <c r="C32" s="9" t="s">
        <v>113</v>
      </c>
      <c r="D32" s="4" t="s">
        <v>50</v>
      </c>
      <c r="E32" s="5">
        <f>Ref!K22+Ref!P22+Ref!U22+Ref!Z22+Ref!AA22+Ref!AB22</f>
        <v>17195</v>
      </c>
      <c r="F32" s="5">
        <f>INDEX(Ref!$A$4:$B$28,MATCH('BOQ (MAIN)'!C32,Ref!$F$4:$F$28,0),MATCH('BOQ (MAIN)'!$F$13,Ref!$A$3:$B$3,0))</f>
        <v>29</v>
      </c>
      <c r="G32" s="5">
        <f t="shared" si="0"/>
        <v>498655</v>
      </c>
      <c r="H32" s="5"/>
      <c r="I32" s="25">
        <f>IF($E$4=$I$12,Ref!K22,0) + IF($F$4=$I$12,Ref!P22,0) + IF($I$12=$G$4,Ref!U22,0)+ IF($I$12=$H$4,Ref!Z22,0)+IF($J$4=$I$12,Ref!AA22,0)+IF($I$12=$I$4,Ref!AB22,0)</f>
        <v>7147</v>
      </c>
      <c r="J32" s="5">
        <f>INDEX(Ref!$A$4:$B$28,MATCH('BOQ (MAIN)'!C32,Ref!$F$4:$F$28,0),MATCH($J$13,Ref!$A$3:$B$3,0))</f>
        <v>39.799999999999997</v>
      </c>
      <c r="K32" s="5">
        <f t="shared" si="1"/>
        <v>284450.59999999998</v>
      </c>
      <c r="L32" s="5"/>
      <c r="M32" s="5">
        <f>IF($E$4=$M$12,Ref!K22,0) + IF($F$4=$M$12,Ref!P22,0) + IF($M$12=$G$4,Ref!U22,0)+ IF($M$12=$H$4,Ref!Z22,0)+IF($J$4=$M$12,Ref!AA22,0)+IF($M$12=$I$4,Ref!AB22,0)</f>
        <v>10048</v>
      </c>
      <c r="N32" s="5">
        <f>INDEX(Ref!$A$4:$B$28,MATCH('BOQ (MAIN)'!C32,Ref!$F$4:$F$28,0),MATCH($N$13,Ref!$A$3:$B$3,0))</f>
        <v>29</v>
      </c>
      <c r="O32" s="5">
        <f t="shared" si="2"/>
        <v>291392</v>
      </c>
      <c r="P32" s="9" t="str">
        <f t="shared" si="3"/>
        <v>OK</v>
      </c>
    </row>
    <row r="33" spans="1:16" ht="16" x14ac:dyDescent="0.2">
      <c r="A33" s="1">
        <v>200</v>
      </c>
      <c r="B33" s="1">
        <v>9018948</v>
      </c>
      <c r="C33" s="9" t="s">
        <v>114</v>
      </c>
      <c r="D33" s="4" t="s">
        <v>50</v>
      </c>
      <c r="E33" s="5">
        <f>Ref!K23+Ref!P23+Ref!U23+Ref!Z23+Ref!AA23+Ref!AB23</f>
        <v>17195</v>
      </c>
      <c r="F33" s="5">
        <f>INDEX(Ref!$A$4:$B$28,MATCH('BOQ (MAIN)'!C33,Ref!$F$4:$F$28,0),MATCH('BOQ (MAIN)'!$F$13,Ref!$A$3:$B$3,0))</f>
        <v>9</v>
      </c>
      <c r="G33" s="5">
        <f t="shared" si="0"/>
        <v>154755</v>
      </c>
      <c r="H33" s="5"/>
      <c r="I33" s="25">
        <f>IF($E$4=$I$12,Ref!K23,0) + IF($F$4=$I$12,Ref!P23,0) + IF($I$12=$G$4,Ref!U23,0)+ IF($I$12=$H$4,Ref!Z23,0)+IF($J$4=$I$12,Ref!AA23,0)+IF($I$12=$I$4,Ref!AB23,0)</f>
        <v>7147</v>
      </c>
      <c r="J33" s="5">
        <f>INDEX(Ref!$A$4:$B$28,MATCH('BOQ (MAIN)'!C33,Ref!$F$4:$F$28,0),MATCH($J$13,Ref!$A$3:$B$3,0))</f>
        <v>117.71</v>
      </c>
      <c r="K33" s="5">
        <f t="shared" si="1"/>
        <v>841273.37</v>
      </c>
      <c r="L33" s="5"/>
      <c r="M33" s="5">
        <f>IF($E$4=$M$12,Ref!K23,0) + IF($F$4=$M$12,Ref!P23,0) + IF($M$12=$G$4,Ref!U23,0)+ IF($M$12=$H$4,Ref!Z23,0)+IF($J$4=$M$12,Ref!AA23,0)+IF($M$12=$I$4,Ref!AB23,0)</f>
        <v>10048</v>
      </c>
      <c r="N33" s="5">
        <f>INDEX(Ref!$A$4:$B$28,MATCH('BOQ (MAIN)'!C33,Ref!$F$4:$F$28,0),MATCH($N$13,Ref!$A$3:$B$3,0))</f>
        <v>9</v>
      </c>
      <c r="O33" s="5">
        <f t="shared" si="2"/>
        <v>90432</v>
      </c>
      <c r="P33" s="9" t="str">
        <f t="shared" si="3"/>
        <v>OK</v>
      </c>
    </row>
    <row r="34" spans="1:16" ht="16" x14ac:dyDescent="0.2">
      <c r="A34" s="1">
        <v>210</v>
      </c>
      <c r="B34" s="2">
        <v>9018691</v>
      </c>
      <c r="C34" s="9" t="s">
        <v>115</v>
      </c>
      <c r="D34" s="4" t="s">
        <v>43</v>
      </c>
      <c r="E34" s="5">
        <f>Ref!K24+Ref!P24+Ref!U24+Ref!Z24+Ref!AA24+Ref!AB24</f>
        <v>300</v>
      </c>
      <c r="F34" s="5">
        <f>INDEX(Ref!$A$4:$B$28,MATCH('BOQ (MAIN)'!C34,Ref!$F$4:$F$28,0),MATCH('BOQ (MAIN)'!$F$13,Ref!$A$3:$B$3,0))</f>
        <v>93</v>
      </c>
      <c r="G34" s="5">
        <f t="shared" si="0"/>
        <v>27900</v>
      </c>
      <c r="H34" s="5"/>
      <c r="I34" s="25">
        <f>IF($E$4=$I$12,Ref!K24,0) + IF($F$4=$I$12,Ref!P24,0) + IF($I$12=$G$4,Ref!U24,0)+ IF($I$12=$H$4,Ref!Z24,0)+IF($J$4=$I$12,Ref!AA24,0)+IF($I$12=$I$4,Ref!AB24,0)</f>
        <v>300</v>
      </c>
      <c r="J34" s="5">
        <f>INDEX(Ref!$A$4:$B$28,MATCH('BOQ (MAIN)'!C34,Ref!$F$4:$F$28,0),MATCH($J$13,Ref!$A$3:$B$3,0))</f>
        <v>66.900000000000006</v>
      </c>
      <c r="K34" s="5">
        <f t="shared" si="1"/>
        <v>20070</v>
      </c>
      <c r="L34" s="5"/>
      <c r="M34" s="5">
        <f>IF($E$4=$M$12,Ref!K24,0) + IF($F$4=$M$12,Ref!P24,0) + IF($M$12=$G$4,Ref!U24,0)+ IF($M$12=$H$4,Ref!Z24,0)+IF($J$4=$M$12,Ref!AA24,0)+IF($M$12=$I$4,Ref!AB24,0)</f>
        <v>0</v>
      </c>
      <c r="N34" s="5">
        <f>INDEX(Ref!$A$4:$B$28,MATCH('BOQ (MAIN)'!C34,Ref!$F$4:$F$28,0),MATCH($N$13,Ref!$A$3:$B$3,0))</f>
        <v>93</v>
      </c>
      <c r="O34" s="5">
        <f t="shared" si="2"/>
        <v>0</v>
      </c>
      <c r="P34" s="9" t="str">
        <f t="shared" si="3"/>
        <v>OK</v>
      </c>
    </row>
    <row r="35" spans="1:16" ht="16" x14ac:dyDescent="0.2">
      <c r="A35" s="1">
        <v>220</v>
      </c>
      <c r="B35" s="1">
        <v>9023688</v>
      </c>
      <c r="C35" s="9" t="s">
        <v>116</v>
      </c>
      <c r="D35" s="4" t="s">
        <v>43</v>
      </c>
      <c r="E35" s="5">
        <f>Ref!K25+Ref!P25+Ref!U25+Ref!Z25+Ref!AA25+Ref!AB25</f>
        <v>9256.5</v>
      </c>
      <c r="F35" s="5">
        <f>INDEX(Ref!$A$4:$B$28,MATCH('BOQ (MAIN)'!C35,Ref!$F$4:$F$28,0),MATCH('BOQ (MAIN)'!$F$13,Ref!$A$3:$B$3,0))</f>
        <v>125</v>
      </c>
      <c r="G35" s="5">
        <f t="shared" si="0"/>
        <v>1157062.5</v>
      </c>
      <c r="H35" s="5"/>
      <c r="I35" s="25">
        <f>IF($E$4=$I$12,Ref!K25,0) + IF($F$4=$I$12,Ref!P25,0) + IF($I$12=$G$4,Ref!U25,0)+ IF($I$12=$H$4,Ref!Z25,0)+IF($J$4=$I$12,Ref!AA25,0)+IF($I$12=$I$4,Ref!AB25,0)</f>
        <v>3557.4</v>
      </c>
      <c r="J35" s="5">
        <f>INDEX(Ref!$A$4:$B$28,MATCH('BOQ (MAIN)'!C35,Ref!$F$4:$F$28,0),MATCH($J$13,Ref!$A$3:$B$3,0))</f>
        <v>101.62</v>
      </c>
      <c r="K35" s="5">
        <f t="shared" si="1"/>
        <v>361502.98800000001</v>
      </c>
      <c r="L35" s="5"/>
      <c r="M35" s="5">
        <f>IF($E$4=$M$12,Ref!K25,0) + IF($F$4=$M$12,Ref!P25,0) + IF($M$12=$G$4,Ref!U25,0)+ IF($M$12=$H$4,Ref!Z25,0)+IF($J$4=$M$12,Ref!AA25,0)+IF($M$12=$I$4,Ref!AB25,0)</f>
        <v>5699.1</v>
      </c>
      <c r="N35" s="5">
        <f>INDEX(Ref!$A$4:$B$28,MATCH('BOQ (MAIN)'!C35,Ref!$F$4:$F$28,0),MATCH($N$13,Ref!$A$3:$B$3,0))</f>
        <v>125</v>
      </c>
      <c r="O35" s="5">
        <f t="shared" si="2"/>
        <v>712387.5</v>
      </c>
      <c r="P35" s="9" t="str">
        <f t="shared" si="3"/>
        <v>OK</v>
      </c>
    </row>
    <row r="36" spans="1:16" ht="16" x14ac:dyDescent="0.2">
      <c r="A36" s="1">
        <v>230</v>
      </c>
      <c r="B36" s="1">
        <v>9018924</v>
      </c>
      <c r="C36" s="9" t="s">
        <v>117</v>
      </c>
      <c r="D36" s="4" t="s">
        <v>51</v>
      </c>
      <c r="E36" s="5">
        <f>Ref!K26+Ref!P26+Ref!U26+Ref!Z26+Ref!AA26+Ref!AB26</f>
        <v>2550</v>
      </c>
      <c r="F36" s="5">
        <f>INDEX(Ref!$A$4:$B$28,MATCH('BOQ (MAIN)'!C36,Ref!$F$4:$F$28,0),MATCH('BOQ (MAIN)'!$F$13,Ref!$A$3:$B$3,0))</f>
        <v>407</v>
      </c>
      <c r="G36" s="5">
        <f t="shared" si="0"/>
        <v>1037850</v>
      </c>
      <c r="H36" s="5"/>
      <c r="I36" s="25">
        <f>IF($E$4=$I$12,Ref!K26,0) + IF($F$4=$I$12,Ref!P26,0) + IF($I$12=$G$4,Ref!U26,0)+ IF($I$12=$H$4,Ref!Z26,0)+IF($J$4=$I$12,Ref!AA26,0)+IF($I$12=$I$4,Ref!AB26,0)</f>
        <v>980</v>
      </c>
      <c r="J36" s="5">
        <f>INDEX(Ref!$A$4:$B$28,MATCH('BOQ (MAIN)'!C36,Ref!$F$4:$F$28,0),MATCH($J$13,Ref!$A$3:$B$3,0))</f>
        <v>293.83999999999997</v>
      </c>
      <c r="K36" s="5">
        <f t="shared" si="1"/>
        <v>287963.19999999995</v>
      </c>
      <c r="L36" s="5"/>
      <c r="M36" s="5">
        <f>IF($E$4=$M$12,Ref!K26,0) + IF($F$4=$M$12,Ref!P26,0) + IF($M$12=$G$4,Ref!U26,0)+ IF($M$12=$H$4,Ref!Z26,0)+IF($J$4=$M$12,Ref!AA26,0)+IF($M$12=$I$4,Ref!AB26,0)</f>
        <v>1570</v>
      </c>
      <c r="N36" s="5">
        <f>INDEX(Ref!$A$4:$B$28,MATCH('BOQ (MAIN)'!C36,Ref!$F$4:$F$28,0),MATCH($N$13,Ref!$A$3:$B$3,0))</f>
        <v>407</v>
      </c>
      <c r="O36" s="5">
        <f t="shared" si="2"/>
        <v>638990</v>
      </c>
      <c r="P36" s="9" t="str">
        <f t="shared" si="3"/>
        <v>OK</v>
      </c>
    </row>
    <row r="37" spans="1:16" ht="16" x14ac:dyDescent="0.2">
      <c r="A37" s="1">
        <v>240</v>
      </c>
      <c r="B37" s="1">
        <v>9018920</v>
      </c>
      <c r="C37" s="9" t="s">
        <v>118</v>
      </c>
      <c r="D37" s="4" t="s">
        <v>40</v>
      </c>
      <c r="E37" s="5">
        <f>Ref!K27+Ref!P27+Ref!U27+Ref!Z27+Ref!AA27+Ref!AB27</f>
        <v>12750</v>
      </c>
      <c r="F37" s="5">
        <f>INDEX(Ref!$A$4:$B$28,MATCH('BOQ (MAIN)'!C37,Ref!$F$4:$F$28,0),MATCH('BOQ (MAIN)'!$F$13,Ref!$A$3:$B$3,0))</f>
        <v>17</v>
      </c>
      <c r="G37" s="5">
        <f t="shared" si="0"/>
        <v>216750</v>
      </c>
      <c r="H37" s="5"/>
      <c r="I37" s="25">
        <f>IF($E$4=$I$12,Ref!K27,0) + IF($F$4=$I$12,Ref!P27,0) + IF($I$12=$G$4,Ref!U27,0)+ IF($I$12=$H$4,Ref!Z27,0)+IF($J$4=$I$12,Ref!AA27,0)+IF($I$12=$I$4,Ref!AB27,0)</f>
        <v>4900</v>
      </c>
      <c r="J37" s="5">
        <f>INDEX(Ref!$A$4:$B$28,MATCH('BOQ (MAIN)'!C37,Ref!$F$4:$F$28,0),MATCH($J$13,Ref!$A$3:$B$3,0))</f>
        <v>11.86</v>
      </c>
      <c r="K37" s="5">
        <f t="shared" si="1"/>
        <v>58114</v>
      </c>
      <c r="L37" s="5"/>
      <c r="M37" s="5">
        <f>IF($E$4=$M$12,Ref!K27,0) + IF($F$4=$M$12,Ref!P27,0) + IF($M$12=$G$4,Ref!U27,0)+ IF($M$12=$H$4,Ref!Z27,0)+IF($J$4=$M$12,Ref!AA27,0)+IF($M$12=$I$4,Ref!AB27,0)</f>
        <v>7850</v>
      </c>
      <c r="N37" s="5">
        <f>INDEX(Ref!$A$4:$B$28,MATCH('BOQ (MAIN)'!C37,Ref!$F$4:$F$28,0),MATCH($N$13,Ref!$A$3:$B$3,0))</f>
        <v>17</v>
      </c>
      <c r="O37" s="5">
        <f t="shared" si="2"/>
        <v>133450</v>
      </c>
      <c r="P37" s="9" t="str">
        <f t="shared" si="3"/>
        <v>OK</v>
      </c>
    </row>
    <row r="38" spans="1:16" ht="16" x14ac:dyDescent="0.2">
      <c r="A38" s="1">
        <v>250</v>
      </c>
      <c r="B38" s="1">
        <v>9020306</v>
      </c>
      <c r="C38" s="9" t="s">
        <v>119</v>
      </c>
      <c r="D38" s="4" t="s">
        <v>50</v>
      </c>
      <c r="E38" s="5">
        <f>Ref!K28+Ref!P28+Ref!U28+Ref!Z28+Ref!AA28+Ref!AB28</f>
        <v>0</v>
      </c>
      <c r="F38" s="5">
        <f>INDEX(Ref!$A$4:$B$28,MATCH('BOQ (MAIN)'!C38,Ref!$F$4:$F$28,0),MATCH('BOQ (MAIN)'!$F$13,Ref!$A$3:$B$3,0))</f>
        <v>1656</v>
      </c>
      <c r="G38" s="5">
        <f t="shared" si="0"/>
        <v>0</v>
      </c>
      <c r="H38" s="5"/>
      <c r="I38" s="5">
        <f>IF($E$4=$I$12,Ref!K28,0) + IF($F$4=$I$12,Ref!P28,0) + IF($I$12=$G$4,Ref!U28,0)+ IF($I$12=$H$4,Ref!Z28,0)+IF($J$4=$I$12,Ref!AA28,0)+IF($I$12=$I$4,Ref!AB28,0)</f>
        <v>0</v>
      </c>
      <c r="J38" s="5">
        <f>INDEX(Ref!$A$4:$B$28,MATCH('BOQ (MAIN)'!C38,Ref!$F$4:$F$28,0),MATCH($J$13,Ref!$A$3:$B$3,0))</f>
        <v>1195.68</v>
      </c>
      <c r="K38" s="5">
        <f t="shared" si="1"/>
        <v>0</v>
      </c>
      <c r="L38" s="5"/>
      <c r="M38" s="5">
        <f>IF($E$4=$M$12,Ref!K28,0) + IF($F$4=$M$12,Ref!P28,0) + IF($M$12=$G$4,Ref!U28,0)+ IF($M$12=$H$4,Ref!Z28,0)+IF($J$4=$M$12,Ref!AA28,0)+IF($M$12=$I$4,Ref!AB28,0)</f>
        <v>0</v>
      </c>
      <c r="N38" s="5">
        <f>INDEX(Ref!$A$4:$B$28,MATCH('BOQ (MAIN)'!C38,Ref!$F$4:$F$28,0),MATCH($N$13,Ref!$A$3:$B$3,0))</f>
        <v>1656</v>
      </c>
      <c r="O38" s="5">
        <f t="shared" si="2"/>
        <v>0</v>
      </c>
      <c r="P38" s="9" t="str">
        <f t="shared" si="3"/>
        <v>OK</v>
      </c>
    </row>
    <row r="39" spans="1:16" x14ac:dyDescent="0.2">
      <c r="E39" s="26" t="s">
        <v>93</v>
      </c>
      <c r="F39" s="26"/>
      <c r="G39" s="5">
        <f>SUM(G14:G38)</f>
        <v>77881341.856648505</v>
      </c>
      <c r="H39" s="5"/>
      <c r="I39" s="5"/>
      <c r="J39" s="5"/>
      <c r="K39" s="5">
        <f>SUM(K14:K38)</f>
        <v>24814655.565798517</v>
      </c>
      <c r="L39" s="5"/>
      <c r="M39" s="5"/>
      <c r="N39" s="5"/>
      <c r="O39" s="5">
        <f t="shared" ref="O39" si="4">SUM(O14:O38)</f>
        <v>44047942.634512357</v>
      </c>
      <c r="P39" s="9" t="str">
        <f>IF(K39+O39=G39,"CHECK", "OK")</f>
        <v>OK</v>
      </c>
    </row>
    <row r="40" spans="1:16" x14ac:dyDescent="0.2">
      <c r="E40" s="26" t="s">
        <v>94</v>
      </c>
      <c r="F40" s="26"/>
      <c r="G40" s="5">
        <f>118%*G39</f>
        <v>91899983.390845224</v>
      </c>
      <c r="H40" s="5"/>
      <c r="I40" s="5"/>
      <c r="J40" s="5"/>
      <c r="K40" s="5">
        <f>118%*K39</f>
        <v>29281293.567642249</v>
      </c>
      <c r="L40" s="5"/>
      <c r="M40" s="5"/>
      <c r="N40" s="5"/>
      <c r="O40" s="5">
        <f t="shared" ref="O40" si="5">118%*O39</f>
        <v>51976572.308724582</v>
      </c>
      <c r="P40" s="9" t="str">
        <f>IF(K40+O40=G40,"CHECK", "OK")</f>
        <v>OK</v>
      </c>
    </row>
  </sheetData>
  <dataConsolidate/>
  <mergeCells count="9">
    <mergeCell ref="E39:F39"/>
    <mergeCell ref="E40:F40"/>
    <mergeCell ref="U2:Y2"/>
    <mergeCell ref="Z2:AD2"/>
    <mergeCell ref="E12:G12"/>
    <mergeCell ref="I12:K12"/>
    <mergeCell ref="M12:O12"/>
    <mergeCell ref="K2:O2"/>
    <mergeCell ref="P2:T2"/>
  </mergeCells>
  <phoneticPr fontId="5" type="noConversion"/>
  <dataValidations count="2">
    <dataValidation type="list" allowBlank="1" showInputMessage="1" showErrorMessage="1" sqref="F13 N13 J13" xr:uid="{00000000-0002-0000-0000-000000000000}">
      <formula1>$B$6:$B$7</formula1>
    </dataValidation>
    <dataValidation type="list" allowBlank="1" showInputMessage="1" showErrorMessage="1" sqref="E4:J4" xr:uid="{00000000-0002-0000-0000-000001000000}">
      <formula1>$B$3:$B$5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D4" sqref="D4"/>
    </sheetView>
  </sheetViews>
  <sheetFormatPr baseColWidth="10" defaultColWidth="8.83203125" defaultRowHeight="15" x14ac:dyDescent="0.2"/>
  <cols>
    <col min="4" max="4" width="5" bestFit="1" customWidth="1"/>
    <col min="5" max="5" width="8" bestFit="1" customWidth="1"/>
    <col min="6" max="6" width="39.33203125" bestFit="1" customWidth="1"/>
    <col min="33" max="33" width="27.1640625" customWidth="1"/>
    <col min="34" max="34" width="6.6640625" customWidth="1"/>
  </cols>
  <sheetData>
    <row r="1" spans="1:37" x14ac:dyDescent="0.2">
      <c r="G1" s="28" t="s">
        <v>125</v>
      </c>
      <c r="H1" s="29"/>
      <c r="I1" s="29"/>
      <c r="J1" s="29"/>
      <c r="K1" s="30"/>
      <c r="L1" s="28" t="s">
        <v>126</v>
      </c>
      <c r="M1" s="29"/>
      <c r="N1" s="29"/>
      <c r="O1" s="29"/>
      <c r="P1" s="30"/>
      <c r="Q1" s="28" t="s">
        <v>131</v>
      </c>
      <c r="R1" s="29"/>
      <c r="S1" s="29"/>
      <c r="T1" s="29"/>
      <c r="U1" s="30"/>
      <c r="V1" s="28" t="s">
        <v>128</v>
      </c>
      <c r="W1" s="29"/>
      <c r="X1" s="29"/>
      <c r="Y1" s="29"/>
      <c r="Z1" s="30"/>
      <c r="AA1" s="9" t="s">
        <v>129</v>
      </c>
      <c r="AB1" s="9" t="s">
        <v>130</v>
      </c>
    </row>
    <row r="2" spans="1:37" x14ac:dyDescent="0.2">
      <c r="G2" s="9" t="str">
        <f>'BOQ (MAIN)'!K3</f>
        <v>T0</v>
      </c>
      <c r="H2" s="9" t="str">
        <f>'BOQ (MAIN)'!L3</f>
        <v>T1</v>
      </c>
      <c r="I2" s="9" t="str">
        <f>'BOQ (MAIN)'!M3</f>
        <v>T2</v>
      </c>
      <c r="J2" s="9" t="str">
        <f>'BOQ (MAIN)'!N3</f>
        <v>T3</v>
      </c>
      <c r="K2" s="9" t="str">
        <f>'BOQ (MAIN)'!O3</f>
        <v>Side A</v>
      </c>
      <c r="L2" s="9" t="str">
        <f>'BOQ (MAIN)'!P3</f>
        <v>T0</v>
      </c>
      <c r="M2" s="9" t="str">
        <f>'BOQ (MAIN)'!Q3</f>
        <v>T1</v>
      </c>
      <c r="N2" s="9" t="str">
        <f>'BOQ (MAIN)'!R3</f>
        <v>T2</v>
      </c>
      <c r="O2" s="9" t="str">
        <f>'BOQ (MAIN)'!S3</f>
        <v>T3</v>
      </c>
      <c r="P2" s="9" t="str">
        <f>'BOQ (MAIN)'!T3</f>
        <v>Side B</v>
      </c>
      <c r="Q2" s="9" t="str">
        <f>'BOQ (MAIN)'!U3</f>
        <v>T0</v>
      </c>
      <c r="R2" s="9" t="str">
        <f>'BOQ (MAIN)'!V3</f>
        <v>T1</v>
      </c>
      <c r="S2" s="9" t="str">
        <f>'BOQ (MAIN)'!W3</f>
        <v>T2</v>
      </c>
      <c r="T2" s="9" t="str">
        <f>'BOQ (MAIN)'!X3</f>
        <v>T3</v>
      </c>
      <c r="U2" s="9" t="str">
        <f>'BOQ (MAIN)'!Y3</f>
        <v>Side C</v>
      </c>
      <c r="V2" s="9" t="str">
        <f>'BOQ (MAIN)'!Z3</f>
        <v>T0</v>
      </c>
      <c r="W2" s="9" t="str">
        <f>'BOQ (MAIN)'!AA3</f>
        <v>T1</v>
      </c>
      <c r="X2" s="9" t="str">
        <f>'BOQ (MAIN)'!AB3</f>
        <v>T2</v>
      </c>
      <c r="Y2" s="9" t="str">
        <f>'BOQ (MAIN)'!AC3</f>
        <v>T3</v>
      </c>
      <c r="Z2" s="9" t="str">
        <f>'BOQ (MAIN)'!AD3</f>
        <v>Side D</v>
      </c>
      <c r="AA2" s="9" t="str">
        <f>'BOQ (MAIN)'!AE3</f>
        <v>Part E</v>
      </c>
      <c r="AB2" s="9" t="str">
        <f>'BOQ (MAIN)'!AF3</f>
        <v>Part F</v>
      </c>
    </row>
    <row r="3" spans="1:37" x14ac:dyDescent="0.2">
      <c r="A3" s="9" t="str">
        <f>'BOQ (MAIN)'!B7</f>
        <v>Rate2</v>
      </c>
      <c r="B3" s="9" t="str">
        <f>'BOQ (MAIN)'!B6</f>
        <v>Rate1</v>
      </c>
      <c r="C3" s="5"/>
      <c r="D3" s="5" t="s">
        <v>75</v>
      </c>
      <c r="E3" s="5" t="s">
        <v>132</v>
      </c>
      <c r="F3" s="15"/>
      <c r="G3" s="9">
        <f>'BOQ (MAIN)'!K4</f>
        <v>340</v>
      </c>
      <c r="H3" s="9">
        <f>'BOQ (MAIN)'!L4</f>
        <v>60</v>
      </c>
      <c r="I3" s="9">
        <f>'BOQ (MAIN)'!M4</f>
        <v>120</v>
      </c>
      <c r="J3" s="9">
        <f>'BOQ (MAIN)'!N4</f>
        <v>20</v>
      </c>
      <c r="K3" s="9">
        <f>'BOQ (MAIN)'!O4</f>
        <v>540</v>
      </c>
      <c r="L3" s="9">
        <f>'BOQ (MAIN)'!P4</f>
        <v>0</v>
      </c>
      <c r="M3" s="9">
        <f>'BOQ (MAIN)'!Q4</f>
        <v>0</v>
      </c>
      <c r="N3" s="9">
        <f>'BOQ (MAIN)'!R4</f>
        <v>350</v>
      </c>
      <c r="O3" s="9">
        <f>'BOQ (MAIN)'!S4</f>
        <v>90</v>
      </c>
      <c r="P3" s="9">
        <f>'BOQ (MAIN)'!T4</f>
        <v>440</v>
      </c>
      <c r="Q3" s="9">
        <f>'BOQ (MAIN)'!U4</f>
        <v>400</v>
      </c>
      <c r="R3" s="9">
        <f>'BOQ (MAIN)'!V4</f>
        <v>0</v>
      </c>
      <c r="S3" s="9">
        <f>'BOQ (MAIN)'!W4</f>
        <v>270</v>
      </c>
      <c r="T3" s="9">
        <f>'BOQ (MAIN)'!X4</f>
        <v>0</v>
      </c>
      <c r="U3" s="9">
        <f>'BOQ (MAIN)'!Y4</f>
        <v>670</v>
      </c>
      <c r="V3" s="9">
        <f>'BOQ (MAIN)'!Z4</f>
        <v>450</v>
      </c>
      <c r="W3" s="9">
        <f>'BOQ (MAIN)'!AA4</f>
        <v>0</v>
      </c>
      <c r="X3" s="9">
        <f>'BOQ (MAIN)'!AB4</f>
        <v>0</v>
      </c>
      <c r="Y3" s="9">
        <f>'BOQ (MAIN)'!AC4</f>
        <v>0</v>
      </c>
      <c r="Z3" s="9">
        <f>'BOQ (MAIN)'!AD4</f>
        <v>450</v>
      </c>
      <c r="AA3" s="9">
        <f>'BOQ (MAIN)'!AE4</f>
        <v>240</v>
      </c>
      <c r="AB3" s="9">
        <f>'BOQ (MAIN)'!AF4</f>
        <v>450</v>
      </c>
      <c r="AK3">
        <v>299</v>
      </c>
    </row>
    <row r="4" spans="1:37" x14ac:dyDescent="0.2">
      <c r="A4" s="12">
        <v>12</v>
      </c>
      <c r="B4" s="5">
        <v>8.4700000000000006</v>
      </c>
      <c r="C4" s="5"/>
      <c r="D4" s="1">
        <v>10</v>
      </c>
      <c r="E4" s="1">
        <v>9018764</v>
      </c>
      <c r="F4" s="9" t="s">
        <v>95</v>
      </c>
      <c r="G4">
        <f>$G$3*Calc!E5</f>
        <v>1020</v>
      </c>
      <c r="H4">
        <f>$H$3*Calc!I5</f>
        <v>180</v>
      </c>
      <c r="I4">
        <f>$I$3*Calc!M5</f>
        <v>360</v>
      </c>
      <c r="J4">
        <f>$J$3*Calc!Q5</f>
        <v>60</v>
      </c>
      <c r="K4">
        <f>SUM(G4:J4)</f>
        <v>1620</v>
      </c>
      <c r="L4">
        <f>$L$3*Calc!E5</f>
        <v>0</v>
      </c>
      <c r="M4">
        <f>$M$3*Calc!I5</f>
        <v>0</v>
      </c>
      <c r="N4">
        <f>$N$3*Calc!M5</f>
        <v>1050</v>
      </c>
      <c r="O4">
        <f>$O$3*Calc!Q5</f>
        <v>270</v>
      </c>
      <c r="P4">
        <f>SUM(L4:O4)</f>
        <v>1320</v>
      </c>
      <c r="Q4">
        <f>$Q$3*Calc!E5</f>
        <v>1200</v>
      </c>
      <c r="R4">
        <f>$R$3*Calc!I5</f>
        <v>0</v>
      </c>
      <c r="S4">
        <f>$S$3*Calc!M5</f>
        <v>810</v>
      </c>
      <c r="T4">
        <f>$T$3*Calc!Q5</f>
        <v>0</v>
      </c>
      <c r="U4">
        <f>SUM(Q4:T4)</f>
        <v>2010</v>
      </c>
      <c r="V4">
        <f>$V$3*Calc!E5</f>
        <v>1350</v>
      </c>
      <c r="W4">
        <f>$W$3*Calc!I5</f>
        <v>0</v>
      </c>
      <c r="X4">
        <f>$X$3*Calc!M5</f>
        <v>0</v>
      </c>
      <c r="Y4">
        <f>$Y$3*Calc!Q5</f>
        <v>0</v>
      </c>
      <c r="Z4" s="3">
        <f t="shared" ref="Z4:Z28" si="0">SUM(V4:Y4)</f>
        <v>1350</v>
      </c>
      <c r="AA4">
        <v>240</v>
      </c>
      <c r="AB4">
        <f>$AB$3*Calc!M5</f>
        <v>1350</v>
      </c>
      <c r="AK4">
        <v>245</v>
      </c>
    </row>
    <row r="5" spans="1:37" x14ac:dyDescent="0.2">
      <c r="A5" s="12">
        <v>33</v>
      </c>
      <c r="B5" s="5">
        <v>23.71</v>
      </c>
      <c r="C5" s="5"/>
      <c r="D5" s="1">
        <v>20</v>
      </c>
      <c r="E5" s="1">
        <v>9018763</v>
      </c>
      <c r="F5" s="9" t="s">
        <v>96</v>
      </c>
      <c r="G5">
        <f>$G$3*Calc!E6</f>
        <v>1020</v>
      </c>
      <c r="H5">
        <f>$H$3*Calc!I6</f>
        <v>180</v>
      </c>
      <c r="I5">
        <f>$I$3*Calc!M6</f>
        <v>360</v>
      </c>
      <c r="J5">
        <f>$J$3*Calc!Q6</f>
        <v>60</v>
      </c>
      <c r="K5">
        <f t="shared" ref="K5:K28" si="1">SUM(G5:J5)</f>
        <v>1620</v>
      </c>
      <c r="L5">
        <f>$L$3*Calc!E6</f>
        <v>0</v>
      </c>
      <c r="M5">
        <f>$M$3*Calc!I6</f>
        <v>0</v>
      </c>
      <c r="N5">
        <f>$N$3*Calc!M6</f>
        <v>1050</v>
      </c>
      <c r="O5">
        <f>$O$3*Calc!Q6</f>
        <v>270</v>
      </c>
      <c r="P5">
        <f t="shared" ref="P5:P28" si="2">SUM(L5:O5)</f>
        <v>1320</v>
      </c>
      <c r="Q5">
        <f>$Q$3*Calc!E6</f>
        <v>1200</v>
      </c>
      <c r="R5">
        <f>$R$3*Calc!I6</f>
        <v>0</v>
      </c>
      <c r="S5">
        <f>$S$3*Calc!M6</f>
        <v>810</v>
      </c>
      <c r="T5">
        <f>$T$3*Calc!Q6</f>
        <v>0</v>
      </c>
      <c r="U5">
        <f t="shared" ref="U5:U28" si="3">SUM(Q5:T5)</f>
        <v>2010</v>
      </c>
      <c r="V5">
        <f>$V$3*Calc!E6</f>
        <v>1350</v>
      </c>
      <c r="W5">
        <f>$W$3*Calc!I6</f>
        <v>0</v>
      </c>
      <c r="X5">
        <f>$X$3*Calc!M6</f>
        <v>0</v>
      </c>
      <c r="Y5">
        <f>$Y$3*Calc!Q6</f>
        <v>0</v>
      </c>
      <c r="Z5" s="3">
        <f t="shared" si="0"/>
        <v>1350</v>
      </c>
      <c r="AA5">
        <v>240</v>
      </c>
      <c r="AB5">
        <f>$AB$3*Calc!M6</f>
        <v>1350</v>
      </c>
      <c r="AK5">
        <v>33</v>
      </c>
    </row>
    <row r="6" spans="1:37" x14ac:dyDescent="0.2">
      <c r="A6" s="12">
        <v>299</v>
      </c>
      <c r="B6" s="5">
        <v>192.56</v>
      </c>
      <c r="C6" s="5"/>
      <c r="D6" s="1">
        <v>30</v>
      </c>
      <c r="E6" s="1">
        <v>9002659</v>
      </c>
      <c r="F6" s="9" t="s">
        <v>97</v>
      </c>
      <c r="G6">
        <f>$G$3*Calc!E7</f>
        <v>585.18079999999998</v>
      </c>
      <c r="H6">
        <f>$H$3*Calc!I7</f>
        <v>163.29600000000002</v>
      </c>
      <c r="I6">
        <f>$I$3*Calc!M7</f>
        <v>399.16800000000001</v>
      </c>
      <c r="J6">
        <f>$J$3*Calc!Q7</f>
        <v>85.007999999999996</v>
      </c>
      <c r="K6">
        <f t="shared" si="1"/>
        <v>1232.6528000000001</v>
      </c>
      <c r="L6">
        <f>$L$3*Calc!E7</f>
        <v>0</v>
      </c>
      <c r="M6">
        <f>$M$3*Calc!I7</f>
        <v>0</v>
      </c>
      <c r="N6">
        <f>$N$3*Calc!M7</f>
        <v>1164.24</v>
      </c>
      <c r="O6">
        <f>$O$3*Calc!Q7</f>
        <v>382.536</v>
      </c>
      <c r="P6">
        <f t="shared" si="2"/>
        <v>1546.7760000000001</v>
      </c>
      <c r="Q6">
        <f>$Q$3*Calc!E7</f>
        <v>688.44799999999998</v>
      </c>
      <c r="R6">
        <f>$R$3*Calc!I7</f>
        <v>0</v>
      </c>
      <c r="S6">
        <f>$S$3*Calc!M7</f>
        <v>898.12800000000004</v>
      </c>
      <c r="T6">
        <f>$T$3*Calc!Q7</f>
        <v>0</v>
      </c>
      <c r="U6">
        <f t="shared" si="3"/>
        <v>1586.576</v>
      </c>
      <c r="V6">
        <f>$V$3*Calc!E7</f>
        <v>774.50400000000002</v>
      </c>
      <c r="W6">
        <f>$W$3*Calc!I7</f>
        <v>0</v>
      </c>
      <c r="X6">
        <f>$X$3*Calc!M7</f>
        <v>0</v>
      </c>
      <c r="Y6">
        <f>$Y$3*Calc!Q7</f>
        <v>0</v>
      </c>
      <c r="Z6" s="3">
        <f t="shared" si="0"/>
        <v>774.50400000000002</v>
      </c>
      <c r="AA6">
        <v>80</v>
      </c>
      <c r="AB6">
        <f>$AB$3*Calc!M7</f>
        <v>1496.88</v>
      </c>
      <c r="AK6">
        <v>5976</v>
      </c>
    </row>
    <row r="7" spans="1:37" x14ac:dyDescent="0.2">
      <c r="A7" s="12">
        <v>370</v>
      </c>
      <c r="B7" s="5">
        <v>227.79</v>
      </c>
      <c r="C7" s="5"/>
      <c r="D7" s="1">
        <v>40</v>
      </c>
      <c r="E7" s="1">
        <v>9002660</v>
      </c>
      <c r="F7" s="9" t="s">
        <v>98</v>
      </c>
      <c r="G7">
        <f>$G$3*Calc!E8</f>
        <v>63.117600000000003</v>
      </c>
      <c r="H7">
        <f>$H$3*Calc!I8</f>
        <v>64.152000000000001</v>
      </c>
      <c r="I7">
        <f>$I$3*Calc!M8</f>
        <v>275.61599999999999</v>
      </c>
      <c r="J7">
        <f>$J$3*Calc!Q8</f>
        <v>87.584000000000003</v>
      </c>
      <c r="K7">
        <f t="shared" si="1"/>
        <v>490.46959999999996</v>
      </c>
      <c r="L7">
        <f>$L$3*Calc!E8</f>
        <v>0</v>
      </c>
      <c r="M7">
        <f>$M$3*Calc!I8</f>
        <v>0</v>
      </c>
      <c r="N7">
        <f>$N$3*Calc!M8</f>
        <v>803.87999999999988</v>
      </c>
      <c r="O7">
        <f>$O$3*Calc!Q8</f>
        <v>394.12799999999999</v>
      </c>
      <c r="P7">
        <f t="shared" si="2"/>
        <v>1198.0079999999998</v>
      </c>
      <c r="Q7">
        <f>$Q$3*Calc!E8</f>
        <v>74.256</v>
      </c>
      <c r="R7">
        <f>$R$3*Calc!I8</f>
        <v>0</v>
      </c>
      <c r="S7">
        <f>$S$3*Calc!M8</f>
        <v>620.13599999999997</v>
      </c>
      <c r="T7">
        <f>$T$3*Calc!Q8</f>
        <v>0</v>
      </c>
      <c r="U7">
        <f t="shared" si="3"/>
        <v>694.39199999999994</v>
      </c>
      <c r="V7">
        <f>$V$3*Calc!E8</f>
        <v>83.537999999999997</v>
      </c>
      <c r="W7">
        <f>$W$3*Calc!I8</f>
        <v>0</v>
      </c>
      <c r="X7">
        <f>$X$3*Calc!M8</f>
        <v>0</v>
      </c>
      <c r="Y7">
        <f>$Y$3*Calc!Q8</f>
        <v>0</v>
      </c>
      <c r="Z7" s="3">
        <f t="shared" si="0"/>
        <v>83.537999999999997</v>
      </c>
      <c r="AB7">
        <f>$AB$3*Calc!M8</f>
        <v>1033.56</v>
      </c>
      <c r="AK7">
        <v>6683</v>
      </c>
    </row>
    <row r="8" spans="1:37" x14ac:dyDescent="0.2">
      <c r="A8" s="12">
        <v>543</v>
      </c>
      <c r="B8" s="5">
        <v>334.3</v>
      </c>
      <c r="C8" s="5"/>
      <c r="D8" s="1">
        <v>50</v>
      </c>
      <c r="E8" s="1">
        <v>9018747</v>
      </c>
      <c r="F8" s="9" t="s">
        <v>99</v>
      </c>
      <c r="G8">
        <f>$G$3*Calc!E9</f>
        <v>63.117600000000003</v>
      </c>
      <c r="H8">
        <f>$H$3*Calc!I9</f>
        <v>64.152000000000001</v>
      </c>
      <c r="I8">
        <f>$I$3*Calc!M9</f>
        <v>275.61599999999999</v>
      </c>
      <c r="J8">
        <f>$J$3*Calc!Q9</f>
        <v>85.007999999999996</v>
      </c>
      <c r="K8">
        <f t="shared" si="1"/>
        <v>487.89359999999994</v>
      </c>
      <c r="L8">
        <f>$L$3*Calc!E9</f>
        <v>0</v>
      </c>
      <c r="M8">
        <f>$M$3*Calc!I9</f>
        <v>0</v>
      </c>
      <c r="N8">
        <f>$N$3*Calc!M9</f>
        <v>803.87999999999988</v>
      </c>
      <c r="O8">
        <f>$O$3*Calc!Q9</f>
        <v>382.536</v>
      </c>
      <c r="P8">
        <f t="shared" si="2"/>
        <v>1186.4159999999999</v>
      </c>
      <c r="Q8">
        <f>$Q$3*Calc!E9</f>
        <v>74.256</v>
      </c>
      <c r="R8">
        <f>$R$3*Calc!I9</f>
        <v>0</v>
      </c>
      <c r="S8">
        <f>$S$3*Calc!M9</f>
        <v>620.13599999999997</v>
      </c>
      <c r="T8">
        <f>$T$3*Calc!Q9</f>
        <v>0</v>
      </c>
      <c r="U8">
        <f t="shared" si="3"/>
        <v>694.39199999999994</v>
      </c>
      <c r="V8">
        <f>$V$3*Calc!E9</f>
        <v>83.537999999999997</v>
      </c>
      <c r="W8">
        <f>$W$3*Calc!I9</f>
        <v>0</v>
      </c>
      <c r="X8">
        <f>$X$3*Calc!M9</f>
        <v>0</v>
      </c>
      <c r="Y8">
        <f>$Y$3*Calc!Q9</f>
        <v>0</v>
      </c>
      <c r="Z8" s="3">
        <f t="shared" si="0"/>
        <v>83.537999999999997</v>
      </c>
      <c r="AB8">
        <f>$AB$3*Calc!M9</f>
        <v>1033.56</v>
      </c>
      <c r="AK8">
        <v>8530</v>
      </c>
    </row>
    <row r="9" spans="1:37" x14ac:dyDescent="0.2">
      <c r="A9" s="12">
        <v>1195</v>
      </c>
      <c r="B9" s="5">
        <v>862.89</v>
      </c>
      <c r="C9" s="5"/>
      <c r="D9" s="1">
        <v>60</v>
      </c>
      <c r="E9" s="1">
        <v>9018753</v>
      </c>
      <c r="F9" s="9" t="s">
        <v>100</v>
      </c>
      <c r="G9">
        <f>$G$3*Calc!E10</f>
        <v>0</v>
      </c>
      <c r="H9">
        <f>$H$3*Calc!I10</f>
        <v>0</v>
      </c>
      <c r="I9">
        <f>$I$3*Calc!M10</f>
        <v>0</v>
      </c>
      <c r="J9">
        <f>$J$3*Calc!Q10</f>
        <v>0</v>
      </c>
      <c r="K9">
        <f t="shared" si="1"/>
        <v>0</v>
      </c>
      <c r="L9">
        <f>$L$3*Calc!E10</f>
        <v>0</v>
      </c>
      <c r="M9">
        <f>$M$3*Calc!I10</f>
        <v>0</v>
      </c>
      <c r="N9">
        <f>$N$3*Calc!M10</f>
        <v>0</v>
      </c>
      <c r="O9">
        <f>$O$3*Calc!Q10</f>
        <v>0</v>
      </c>
      <c r="P9">
        <f t="shared" si="2"/>
        <v>0</v>
      </c>
      <c r="Q9">
        <f>$Q$3*Calc!E10</f>
        <v>0</v>
      </c>
      <c r="R9">
        <f>$R$3*Calc!I10</f>
        <v>0</v>
      </c>
      <c r="S9">
        <f>$S$3*Calc!M10</f>
        <v>0</v>
      </c>
      <c r="T9">
        <f>$T$3*Calc!Q10</f>
        <v>0</v>
      </c>
      <c r="U9">
        <f t="shared" si="3"/>
        <v>0</v>
      </c>
      <c r="V9">
        <f>$V$3*Calc!E10</f>
        <v>0</v>
      </c>
      <c r="W9">
        <f>$W$3*Calc!I10</f>
        <v>0</v>
      </c>
      <c r="X9">
        <f>$X$3*Calc!M10</f>
        <v>0</v>
      </c>
      <c r="Y9">
        <f>$Y$3*Calc!Q10</f>
        <v>0</v>
      </c>
      <c r="Z9" s="3">
        <f t="shared" si="0"/>
        <v>0</v>
      </c>
      <c r="AB9">
        <f>$AB$3*Calc!M10</f>
        <v>0</v>
      </c>
      <c r="AK9">
        <v>7118</v>
      </c>
    </row>
    <row r="10" spans="1:37" x14ac:dyDescent="0.2">
      <c r="A10" s="12">
        <v>1902</v>
      </c>
      <c r="B10" s="5">
        <v>1373.51</v>
      </c>
      <c r="C10" s="5"/>
      <c r="D10" s="1">
        <v>70</v>
      </c>
      <c r="E10" s="1">
        <v>9018759</v>
      </c>
      <c r="F10" s="9" t="s">
        <v>101</v>
      </c>
      <c r="G10">
        <f>$G$3*Calc!E11</f>
        <v>14.869333333333335</v>
      </c>
      <c r="H10">
        <f>$H$3*Calc!I11</f>
        <v>10.199999999999999</v>
      </c>
      <c r="I10">
        <f>$I$3*Calc!M11</f>
        <v>25.200000000000003</v>
      </c>
      <c r="J10">
        <f>$J$3*Calc!Q11</f>
        <v>5.4000000000000012</v>
      </c>
      <c r="K10">
        <f t="shared" si="1"/>
        <v>55.669333333333334</v>
      </c>
      <c r="L10">
        <f>$L$3*Calc!E11</f>
        <v>0</v>
      </c>
      <c r="M10">
        <f>$M$3*Calc!I11</f>
        <v>0</v>
      </c>
      <c r="N10">
        <f>$N$3*Calc!M11</f>
        <v>73.5</v>
      </c>
      <c r="O10">
        <f>$O$3*Calc!Q11</f>
        <v>24.300000000000008</v>
      </c>
      <c r="P10">
        <f t="shared" si="2"/>
        <v>97.800000000000011</v>
      </c>
      <c r="Q10">
        <f>$Q$3*Calc!E11</f>
        <v>17.493333333333336</v>
      </c>
      <c r="R10">
        <f>$R$3*Calc!I11</f>
        <v>0</v>
      </c>
      <c r="S10">
        <f>$S$3*Calc!M11</f>
        <v>56.7</v>
      </c>
      <c r="T10">
        <f>$T$3*Calc!Q11</f>
        <v>0</v>
      </c>
      <c r="U10">
        <f t="shared" si="3"/>
        <v>74.193333333333342</v>
      </c>
      <c r="V10">
        <f>$V$3*Calc!E11</f>
        <v>19.680000000000003</v>
      </c>
      <c r="W10">
        <f>$W$3*Calc!I11</f>
        <v>0</v>
      </c>
      <c r="X10">
        <f>$X$3*Calc!M11</f>
        <v>0</v>
      </c>
      <c r="Y10">
        <f>$Y$3*Calc!Q11</f>
        <v>0</v>
      </c>
      <c r="Z10" s="3">
        <f t="shared" si="0"/>
        <v>19.680000000000003</v>
      </c>
      <c r="AB10">
        <f>$AB$3*Calc!M11</f>
        <v>94.500000000000014</v>
      </c>
      <c r="AK10">
        <v>9000</v>
      </c>
    </row>
    <row r="11" spans="1:37" x14ac:dyDescent="0.2">
      <c r="A11" s="12">
        <v>5976</v>
      </c>
      <c r="B11" s="5">
        <v>4316.1400000000003</v>
      </c>
      <c r="C11" s="5"/>
      <c r="D11" s="1">
        <v>80</v>
      </c>
      <c r="E11" s="1">
        <v>9018778</v>
      </c>
      <c r="F11" s="9" t="s">
        <v>102</v>
      </c>
      <c r="G11">
        <f>$G$3*Calc!E12</f>
        <v>39.874916666666671</v>
      </c>
      <c r="H11">
        <f>$H$3*Calc!I12</f>
        <v>10.199999999999999</v>
      </c>
      <c r="I11">
        <f>$I$3*Calc!M12</f>
        <v>25.200000000000003</v>
      </c>
      <c r="J11">
        <f>$J$3*Calc!Q12</f>
        <v>5.4000000000000012</v>
      </c>
      <c r="K11">
        <f t="shared" si="1"/>
        <v>80.674916666666675</v>
      </c>
      <c r="L11">
        <f>$L$3*Calc!E12</f>
        <v>0</v>
      </c>
      <c r="M11">
        <f>$M$3*Calc!I12</f>
        <v>0</v>
      </c>
      <c r="N11">
        <f>$N$3*Calc!M12</f>
        <v>73.5</v>
      </c>
      <c r="O11">
        <f>$O$3*Calc!Q12</f>
        <v>24.300000000000008</v>
      </c>
      <c r="P11">
        <f t="shared" si="2"/>
        <v>97.800000000000011</v>
      </c>
      <c r="Q11">
        <f>$Q$3*Calc!E12</f>
        <v>46.911666666666676</v>
      </c>
      <c r="R11">
        <f>$R$3*Calc!I12</f>
        <v>0</v>
      </c>
      <c r="S11">
        <f>$S$3*Calc!M12</f>
        <v>56.7</v>
      </c>
      <c r="T11">
        <f>$T$3*Calc!Q12</f>
        <v>0</v>
      </c>
      <c r="U11">
        <f t="shared" si="3"/>
        <v>103.61166666666668</v>
      </c>
      <c r="V11">
        <f>$V$3*Calc!E12</f>
        <v>52.775625000000005</v>
      </c>
      <c r="W11">
        <f>$W$3*Calc!I12</f>
        <v>0</v>
      </c>
      <c r="X11">
        <f>$X$3*Calc!M12</f>
        <v>0</v>
      </c>
      <c r="Y11">
        <f>$Y$3*Calc!Q12</f>
        <v>0</v>
      </c>
      <c r="Z11" s="3">
        <f t="shared" si="0"/>
        <v>52.775625000000005</v>
      </c>
      <c r="AA11">
        <v>15</v>
      </c>
      <c r="AB11">
        <f>$AB$3*Calc!M12</f>
        <v>94.500000000000014</v>
      </c>
      <c r="AK11">
        <v>76</v>
      </c>
    </row>
    <row r="12" spans="1:37" x14ac:dyDescent="0.2">
      <c r="A12" s="12">
        <v>7389</v>
      </c>
      <c r="B12" s="5">
        <v>5336.53</v>
      </c>
      <c r="C12" s="5"/>
      <c r="D12" s="1">
        <v>90</v>
      </c>
      <c r="E12" s="1">
        <v>9018776</v>
      </c>
      <c r="F12" s="9" t="s">
        <v>103</v>
      </c>
      <c r="G12">
        <f>$G$3*Calc!E13</f>
        <v>0</v>
      </c>
      <c r="H12">
        <f>$H$3*Calc!I13</f>
        <v>0</v>
      </c>
      <c r="I12">
        <f>$I$3*Calc!M13</f>
        <v>0</v>
      </c>
      <c r="J12">
        <f>$J$3*Calc!Q13</f>
        <v>0</v>
      </c>
      <c r="K12">
        <f t="shared" si="1"/>
        <v>0</v>
      </c>
      <c r="L12">
        <f>$L$3*Calc!E13</f>
        <v>0</v>
      </c>
      <c r="M12">
        <f>$M$3*Calc!I13</f>
        <v>0</v>
      </c>
      <c r="N12">
        <f>$N$3*Calc!M13</f>
        <v>0</v>
      </c>
      <c r="O12">
        <f>$O$3*Calc!Q13</f>
        <v>0</v>
      </c>
      <c r="P12">
        <f t="shared" si="2"/>
        <v>0</v>
      </c>
      <c r="Q12">
        <f>$Q$3*Calc!E13</f>
        <v>0</v>
      </c>
      <c r="R12">
        <f>$R$3*Calc!I13</f>
        <v>0</v>
      </c>
      <c r="S12">
        <f>$S$3*Calc!M13</f>
        <v>0</v>
      </c>
      <c r="T12">
        <f>$T$3*Calc!Q13</f>
        <v>0</v>
      </c>
      <c r="U12">
        <f t="shared" si="3"/>
        <v>0</v>
      </c>
      <c r="V12">
        <f>$V$3*Calc!E13</f>
        <v>0</v>
      </c>
      <c r="W12">
        <f>$W$3*Calc!I13</f>
        <v>0</v>
      </c>
      <c r="X12">
        <f>$X$3*Calc!M13</f>
        <v>0</v>
      </c>
      <c r="Y12">
        <f>$Y$3*Calc!Q13</f>
        <v>0</v>
      </c>
      <c r="Z12" s="3">
        <f t="shared" si="0"/>
        <v>0</v>
      </c>
      <c r="AA12">
        <v>5</v>
      </c>
      <c r="AB12">
        <f>$AB$3*Calc!M13</f>
        <v>0</v>
      </c>
      <c r="AK12">
        <v>191</v>
      </c>
    </row>
    <row r="13" spans="1:37" x14ac:dyDescent="0.2">
      <c r="A13" s="12">
        <v>8530</v>
      </c>
      <c r="B13" s="5">
        <v>6160.47</v>
      </c>
      <c r="C13" s="5"/>
      <c r="D13" s="1">
        <v>100</v>
      </c>
      <c r="E13" s="1">
        <v>9018793</v>
      </c>
      <c r="F13" s="9" t="s">
        <v>104</v>
      </c>
      <c r="G13">
        <f>$G$3*Calc!E14</f>
        <v>112.23966666666666</v>
      </c>
      <c r="H13">
        <f>$H$3*Calc!I14</f>
        <v>68.038499999999999</v>
      </c>
      <c r="I13">
        <f>$I$3*Calc!M14</f>
        <v>189.43600000000001</v>
      </c>
      <c r="J13">
        <f>$J$3*Calc!Q14</f>
        <v>40.929333333333339</v>
      </c>
      <c r="K13">
        <f t="shared" si="1"/>
        <v>410.64349999999996</v>
      </c>
      <c r="L13">
        <f>$L$3*Calc!E14</f>
        <v>0</v>
      </c>
      <c r="M13">
        <f>$M$3*Calc!I14</f>
        <v>0</v>
      </c>
      <c r="N13">
        <f>$N$3*Calc!M14</f>
        <v>552.52166666666665</v>
      </c>
      <c r="O13">
        <f>$O$3*Calc!Q14</f>
        <v>184.18200000000002</v>
      </c>
      <c r="P13">
        <f t="shared" si="2"/>
        <v>736.70366666666666</v>
      </c>
      <c r="Q13">
        <f>$Q$3*Calc!E14</f>
        <v>132.04666666666668</v>
      </c>
      <c r="R13">
        <f>$R$3*Calc!I14</f>
        <v>0</v>
      </c>
      <c r="S13">
        <f>$S$3*Calc!M14</f>
        <v>426.23099999999999</v>
      </c>
      <c r="T13">
        <f>$T$3*Calc!Q14</f>
        <v>0</v>
      </c>
      <c r="U13">
        <f t="shared" si="3"/>
        <v>558.27766666666662</v>
      </c>
      <c r="V13">
        <f>$V$3*Calc!E14</f>
        <v>148.55250000000001</v>
      </c>
      <c r="W13">
        <f>$W$3*Calc!I14</f>
        <v>0</v>
      </c>
      <c r="X13">
        <f>$X$3*Calc!M14</f>
        <v>0</v>
      </c>
      <c r="Y13">
        <f>$Y$3*Calc!Q14</f>
        <v>0</v>
      </c>
      <c r="Z13" s="3">
        <f t="shared" si="0"/>
        <v>148.55250000000001</v>
      </c>
      <c r="AA13">
        <v>40</v>
      </c>
      <c r="AB13">
        <f>$AB$3*Calc!M14</f>
        <v>710.38499999999999</v>
      </c>
      <c r="AK13">
        <v>29</v>
      </c>
    </row>
    <row r="14" spans="1:37" x14ac:dyDescent="0.2">
      <c r="A14" s="12">
        <v>9290</v>
      </c>
      <c r="B14" s="5">
        <v>6710.04</v>
      </c>
      <c r="C14" s="5"/>
      <c r="D14" s="1">
        <v>110</v>
      </c>
      <c r="E14" s="1">
        <v>9018794</v>
      </c>
      <c r="F14" s="9" t="s">
        <v>105</v>
      </c>
      <c r="G14">
        <f>$G$3*Calc!E15</f>
        <v>67.064999999999998</v>
      </c>
      <c r="H14">
        <f>$H$3*Calc!I15</f>
        <v>11.834999999999999</v>
      </c>
      <c r="I14">
        <f>$I$3*Calc!M15</f>
        <v>23.669999999999998</v>
      </c>
      <c r="J14">
        <f>$J$3*Calc!Q15</f>
        <v>3.9449999999999994</v>
      </c>
      <c r="K14">
        <f t="shared" si="1"/>
        <v>106.51499999999999</v>
      </c>
      <c r="L14">
        <f>$L$3*Calc!E15</f>
        <v>0</v>
      </c>
      <c r="M14">
        <f>$M$3*Calc!I15</f>
        <v>0</v>
      </c>
      <c r="N14">
        <f>$N$3*Calc!M15</f>
        <v>69.037499999999994</v>
      </c>
      <c r="O14">
        <f>$O$3*Calc!Q15</f>
        <v>17.752499999999998</v>
      </c>
      <c r="P14">
        <f t="shared" si="2"/>
        <v>86.789999999999992</v>
      </c>
      <c r="Q14">
        <f>$Q$3*Calc!E15</f>
        <v>78.899999999999991</v>
      </c>
      <c r="R14">
        <f>$R$3*Calc!I15</f>
        <v>0</v>
      </c>
      <c r="S14">
        <f>$S$3*Calc!M15</f>
        <v>53.257499999999993</v>
      </c>
      <c r="T14">
        <f>$T$3*Calc!Q15</f>
        <v>0</v>
      </c>
      <c r="U14">
        <f t="shared" si="3"/>
        <v>132.15749999999997</v>
      </c>
      <c r="V14">
        <f>$V$3*Calc!E15</f>
        <v>88.762499999999989</v>
      </c>
      <c r="W14">
        <f>$W$3*Calc!I15</f>
        <v>0</v>
      </c>
      <c r="X14">
        <f>$X$3*Calc!M15</f>
        <v>0</v>
      </c>
      <c r="Y14">
        <f>$Y$3*Calc!Q15</f>
        <v>0</v>
      </c>
      <c r="Z14" s="3">
        <f t="shared" si="0"/>
        <v>88.762499999999989</v>
      </c>
      <c r="AB14">
        <f>$AB$3*Calc!M15</f>
        <v>88.762499999999989</v>
      </c>
      <c r="AK14">
        <v>9</v>
      </c>
    </row>
    <row r="15" spans="1:37" x14ac:dyDescent="0.2">
      <c r="A15" s="12">
        <v>76</v>
      </c>
      <c r="B15" s="5">
        <v>55.04</v>
      </c>
      <c r="C15" s="5"/>
      <c r="D15" s="1">
        <v>120</v>
      </c>
      <c r="E15" s="2">
        <v>9018813</v>
      </c>
      <c r="F15" s="9" t="s">
        <v>106</v>
      </c>
      <c r="G15">
        <f>$G$3*Calc!E16</f>
        <v>14140.780612121211</v>
      </c>
      <c r="H15">
        <f>$H$3*Calc!I16</f>
        <v>6817.553607134565</v>
      </c>
      <c r="I15">
        <f>$I$3*Calc!M16</f>
        <v>20241.648943441494</v>
      </c>
      <c r="J15">
        <f>$J$3*Calc!Q16</f>
        <v>4267.9584313595924</v>
      </c>
      <c r="K15">
        <f t="shared" si="1"/>
        <v>45467.941594056865</v>
      </c>
      <c r="L15">
        <f>$L$3*Calc!E16</f>
        <v>0</v>
      </c>
      <c r="M15">
        <f>$M$3*Calc!I16</f>
        <v>0</v>
      </c>
      <c r="N15">
        <f>$N$3*Calc!M16</f>
        <v>59038.142751704363</v>
      </c>
      <c r="O15">
        <f>$O$3*Calc!Q16</f>
        <v>19205.812941118169</v>
      </c>
      <c r="P15">
        <f t="shared" si="2"/>
        <v>78243.955692822536</v>
      </c>
      <c r="Q15">
        <f>$Q$3*Calc!E16</f>
        <v>16636.212484848482</v>
      </c>
      <c r="R15">
        <f>$R$3*Calc!I16</f>
        <v>0</v>
      </c>
      <c r="S15">
        <f>$S$3*Calc!M16</f>
        <v>45543.710122743367</v>
      </c>
      <c r="T15">
        <f>$T$3*Calc!Q16</f>
        <v>0</v>
      </c>
      <c r="U15">
        <f t="shared" si="3"/>
        <v>62179.922607591849</v>
      </c>
      <c r="V15">
        <f>$V$3*Calc!E16</f>
        <v>18715.739045454542</v>
      </c>
      <c r="W15">
        <f>$W$3*Calc!I16</f>
        <v>0</v>
      </c>
      <c r="X15">
        <f>$X$3*Calc!M16</f>
        <v>0</v>
      </c>
      <c r="Y15">
        <f>$Y$3*Calc!Q16</f>
        <v>0</v>
      </c>
      <c r="Z15" s="3">
        <f t="shared" si="0"/>
        <v>18715.739045454542</v>
      </c>
      <c r="AA15">
        <v>3000</v>
      </c>
      <c r="AB15">
        <f>$AB$3*Calc!M16</f>
        <v>75906.183537905599</v>
      </c>
      <c r="AK15">
        <v>93</v>
      </c>
    </row>
    <row r="16" spans="1:37" x14ac:dyDescent="0.2">
      <c r="A16" s="12">
        <v>6792</v>
      </c>
      <c r="B16" s="5">
        <v>4458.24</v>
      </c>
      <c r="C16" s="5"/>
      <c r="D16" s="1">
        <v>130</v>
      </c>
      <c r="E16" s="1">
        <v>9001168</v>
      </c>
      <c r="F16" s="9" t="s">
        <v>107</v>
      </c>
      <c r="G16">
        <f>$G$3*Calc!E17</f>
        <v>84.09333333333332</v>
      </c>
      <c r="H16">
        <f>$H$3*Calc!I17</f>
        <v>0</v>
      </c>
      <c r="I16">
        <f>$I$3*Calc!M17</f>
        <v>0</v>
      </c>
      <c r="J16">
        <f>$J$3*Calc!Q17</f>
        <v>0</v>
      </c>
      <c r="K16">
        <f t="shared" si="1"/>
        <v>84.09333333333332</v>
      </c>
      <c r="L16">
        <f>$L$3*Calc!E17</f>
        <v>0</v>
      </c>
      <c r="M16">
        <f>$M$3*Calc!I17</f>
        <v>0</v>
      </c>
      <c r="N16">
        <f>$N$3*Calc!M17</f>
        <v>0</v>
      </c>
      <c r="O16">
        <f>$O$3*Calc!Q17</f>
        <v>0</v>
      </c>
      <c r="P16">
        <f t="shared" si="2"/>
        <v>0</v>
      </c>
      <c r="Q16">
        <f>$Q$3*Calc!E17</f>
        <v>98.933333333333323</v>
      </c>
      <c r="R16">
        <f>$R$3*Calc!I17</f>
        <v>0</v>
      </c>
      <c r="S16">
        <f>$S$3*Calc!M17</f>
        <v>0</v>
      </c>
      <c r="T16">
        <f>$T$3*Calc!Q17</f>
        <v>0</v>
      </c>
      <c r="U16">
        <f t="shared" si="3"/>
        <v>98.933333333333323</v>
      </c>
      <c r="V16">
        <f>$V$3*Calc!E17</f>
        <v>111.29999999999998</v>
      </c>
      <c r="W16">
        <f>$W$3*Calc!I17</f>
        <v>0</v>
      </c>
      <c r="X16">
        <f>$X$3*Calc!M17</f>
        <v>0</v>
      </c>
      <c r="Y16">
        <f>$Y$3*Calc!Q17</f>
        <v>0</v>
      </c>
      <c r="Z16" s="3">
        <f t="shared" si="0"/>
        <v>111.29999999999998</v>
      </c>
      <c r="AB16">
        <f>$AB$3*Calc!M17</f>
        <v>0</v>
      </c>
      <c r="AK16">
        <v>119</v>
      </c>
    </row>
    <row r="17" spans="1:37" x14ac:dyDescent="0.2">
      <c r="A17" s="12">
        <v>7227</v>
      </c>
      <c r="B17" s="5">
        <v>4743.7700000000004</v>
      </c>
      <c r="C17" s="5"/>
      <c r="D17" s="1">
        <v>140</v>
      </c>
      <c r="E17" s="1">
        <v>9001172</v>
      </c>
      <c r="F17" s="9" t="s">
        <v>108</v>
      </c>
      <c r="G17">
        <f>$G$3*Calc!E18</f>
        <v>210.23333333333332</v>
      </c>
      <c r="H17">
        <f>$H$3*Calc!I18</f>
        <v>37.1</v>
      </c>
      <c r="I17">
        <f>$I$3*Calc!M18</f>
        <v>74.2</v>
      </c>
      <c r="J17">
        <f>$J$3*Calc!Q18</f>
        <v>12.366666666666667</v>
      </c>
      <c r="K17">
        <f t="shared" si="1"/>
        <v>333.9</v>
      </c>
      <c r="L17">
        <f>$L$3*Calc!E18</f>
        <v>0</v>
      </c>
      <c r="M17">
        <f>$M$3*Calc!I18</f>
        <v>0</v>
      </c>
      <c r="N17">
        <f>$N$3*Calc!M18</f>
        <v>216.41666666666669</v>
      </c>
      <c r="O17">
        <f>$O$3*Calc!Q18</f>
        <v>55.650000000000006</v>
      </c>
      <c r="P17">
        <f t="shared" si="2"/>
        <v>272.06666666666672</v>
      </c>
      <c r="Q17">
        <f>$Q$3*Calc!E18</f>
        <v>247.33333333333331</v>
      </c>
      <c r="R17">
        <f>$R$3*Calc!I18</f>
        <v>0</v>
      </c>
      <c r="S17">
        <f>$S$3*Calc!M18</f>
        <v>166.95000000000002</v>
      </c>
      <c r="T17">
        <f>$T$3*Calc!Q18</f>
        <v>0</v>
      </c>
      <c r="U17">
        <f t="shared" si="3"/>
        <v>414.2833333333333</v>
      </c>
      <c r="V17">
        <f>$V$3*Calc!E18</f>
        <v>278.25</v>
      </c>
      <c r="W17">
        <f>$W$3*Calc!I18</f>
        <v>0</v>
      </c>
      <c r="X17">
        <f>$X$3*Calc!M18</f>
        <v>0</v>
      </c>
      <c r="Y17">
        <f>$Y$3*Calc!Q18</f>
        <v>0</v>
      </c>
      <c r="Z17" s="3">
        <f t="shared" si="0"/>
        <v>278.25</v>
      </c>
      <c r="AA17">
        <v>90</v>
      </c>
      <c r="AB17">
        <f>$AB$3*Calc!M18</f>
        <v>278.25000000000006</v>
      </c>
      <c r="AK17">
        <v>109</v>
      </c>
    </row>
    <row r="18" spans="1:37" x14ac:dyDescent="0.2">
      <c r="A18" s="12">
        <v>517</v>
      </c>
      <c r="B18" s="5">
        <v>339.36</v>
      </c>
      <c r="C18" s="5"/>
      <c r="D18" s="1">
        <v>150</v>
      </c>
      <c r="E18" s="1">
        <v>9018790</v>
      </c>
      <c r="F18" s="9" t="s">
        <v>109</v>
      </c>
      <c r="G18">
        <f>$G$3*Calc!E19</f>
        <v>75.083333333333329</v>
      </c>
      <c r="H18">
        <f>$H$3*Calc!I19</f>
        <v>13.25</v>
      </c>
      <c r="I18">
        <f>$I$3*Calc!M19</f>
        <v>26.5</v>
      </c>
      <c r="J18">
        <f>$J$3*Calc!Q19</f>
        <v>4.4166666666666661</v>
      </c>
      <c r="K18">
        <f t="shared" si="1"/>
        <v>119.25</v>
      </c>
      <c r="L18">
        <f>$L$3*Calc!E19</f>
        <v>0</v>
      </c>
      <c r="M18">
        <f>$M$3*Calc!I19</f>
        <v>0</v>
      </c>
      <c r="N18">
        <f>$N$3*Calc!M19</f>
        <v>77.291666666666657</v>
      </c>
      <c r="O18">
        <f>$O$3*Calc!Q19</f>
        <v>19.875</v>
      </c>
      <c r="P18">
        <f t="shared" si="2"/>
        <v>97.166666666666657</v>
      </c>
      <c r="Q18">
        <f>$Q$3*Calc!E19</f>
        <v>88.333333333333329</v>
      </c>
      <c r="R18">
        <f>$R$3*Calc!I19</f>
        <v>0</v>
      </c>
      <c r="S18">
        <f>$S$3*Calc!M19</f>
        <v>59.625</v>
      </c>
      <c r="T18">
        <f>$T$3*Calc!Q19</f>
        <v>0</v>
      </c>
      <c r="U18">
        <f t="shared" si="3"/>
        <v>147.95833333333331</v>
      </c>
      <c r="V18">
        <f>$V$3*Calc!E19</f>
        <v>99.375</v>
      </c>
      <c r="W18">
        <f>$W$3*Calc!I19</f>
        <v>0</v>
      </c>
      <c r="X18">
        <f>$X$3*Calc!M19</f>
        <v>0</v>
      </c>
      <c r="Y18">
        <f>$Y$3*Calc!Q19</f>
        <v>0</v>
      </c>
      <c r="Z18" s="3">
        <f t="shared" si="0"/>
        <v>99.375</v>
      </c>
      <c r="AA18">
        <f>240*0.25</f>
        <v>60</v>
      </c>
      <c r="AB18">
        <f>$AB$3*Calc!M19</f>
        <v>99.375</v>
      </c>
    </row>
    <row r="19" spans="1:37" x14ac:dyDescent="0.2">
      <c r="A19" s="12">
        <v>195</v>
      </c>
      <c r="B19" s="5">
        <v>141.41999999999999</v>
      </c>
      <c r="C19" s="5"/>
      <c r="D19" s="1">
        <v>160</v>
      </c>
      <c r="E19" s="1">
        <v>9018790</v>
      </c>
      <c r="F19" s="9" t="s">
        <v>110</v>
      </c>
      <c r="G19">
        <f>$G$3*Calc!E20</f>
        <v>0</v>
      </c>
      <c r="H19">
        <f>$H$3*Calc!I20</f>
        <v>0</v>
      </c>
      <c r="I19">
        <f>$I$3*Calc!M20</f>
        <v>0</v>
      </c>
      <c r="J19">
        <f>$J$3*Calc!Q20</f>
        <v>0</v>
      </c>
      <c r="K19">
        <f t="shared" si="1"/>
        <v>0</v>
      </c>
      <c r="L19">
        <f>$L$3*Calc!E20</f>
        <v>0</v>
      </c>
      <c r="M19">
        <f>$M$3*Calc!I20</f>
        <v>0</v>
      </c>
      <c r="N19">
        <f>$N$3*Calc!M20</f>
        <v>0</v>
      </c>
      <c r="O19">
        <f>$O$3*Calc!Q20</f>
        <v>0</v>
      </c>
      <c r="P19">
        <f t="shared" si="2"/>
        <v>0</v>
      </c>
      <c r="Q19">
        <f>$Q$3*Calc!E20</f>
        <v>0</v>
      </c>
      <c r="R19">
        <f>$R$3*Calc!I20</f>
        <v>0</v>
      </c>
      <c r="S19">
        <f>$S$3*Calc!M20</f>
        <v>0</v>
      </c>
      <c r="T19">
        <f>$T$3*Calc!Q20</f>
        <v>0</v>
      </c>
      <c r="U19">
        <f t="shared" si="3"/>
        <v>0</v>
      </c>
      <c r="V19">
        <f>$V$3*Calc!E20</f>
        <v>0</v>
      </c>
      <c r="W19">
        <f>$W$3*Calc!I20</f>
        <v>0</v>
      </c>
      <c r="X19">
        <f>$X$3*Calc!M20</f>
        <v>0</v>
      </c>
      <c r="Y19">
        <f>$Y$3*Calc!Q20</f>
        <v>0</v>
      </c>
      <c r="Z19" s="3">
        <f t="shared" si="0"/>
        <v>0</v>
      </c>
      <c r="AB19">
        <f>$AB$3*Calc!M20</f>
        <v>0</v>
      </c>
    </row>
    <row r="20" spans="1:37" x14ac:dyDescent="0.2">
      <c r="A20" s="12">
        <v>27</v>
      </c>
      <c r="B20" s="5">
        <v>19.48</v>
      </c>
      <c r="C20" s="5"/>
      <c r="D20" s="1">
        <v>170</v>
      </c>
      <c r="E20" s="1">
        <v>9008917</v>
      </c>
      <c r="F20" s="9" t="s">
        <v>111</v>
      </c>
      <c r="G20">
        <f>$G$3*Calc!E21</f>
        <v>0</v>
      </c>
      <c r="H20">
        <f>$H$3*Calc!I21</f>
        <v>0</v>
      </c>
      <c r="I20">
        <f>$I$3*Calc!M21</f>
        <v>0</v>
      </c>
      <c r="J20">
        <f>$J$3*Calc!Q21</f>
        <v>0</v>
      </c>
      <c r="K20">
        <f t="shared" si="1"/>
        <v>0</v>
      </c>
      <c r="L20">
        <f>$L$3*Calc!E21</f>
        <v>0</v>
      </c>
      <c r="M20">
        <f>$M$3*Calc!I21</f>
        <v>0</v>
      </c>
      <c r="N20">
        <f>$N$3*Calc!M21</f>
        <v>0</v>
      </c>
      <c r="O20">
        <f>$O$3*Calc!Q21</f>
        <v>0</v>
      </c>
      <c r="P20">
        <f t="shared" si="2"/>
        <v>0</v>
      </c>
      <c r="Q20">
        <f>$Q$3*Calc!E21</f>
        <v>0</v>
      </c>
      <c r="R20">
        <f>$R$3*Calc!I21</f>
        <v>0</v>
      </c>
      <c r="S20">
        <f>$S$3*Calc!M21</f>
        <v>0</v>
      </c>
      <c r="T20">
        <f>$T$3*Calc!Q21</f>
        <v>0</v>
      </c>
      <c r="U20">
        <f t="shared" si="3"/>
        <v>0</v>
      </c>
      <c r="V20">
        <f>$V$3*Calc!E21</f>
        <v>0</v>
      </c>
      <c r="W20">
        <f>$W$3*Calc!I21</f>
        <v>0</v>
      </c>
      <c r="X20">
        <f>$X$3*Calc!M21</f>
        <v>0</v>
      </c>
      <c r="Y20">
        <f>$Y$3*Calc!Q21</f>
        <v>0</v>
      </c>
      <c r="Z20" s="3">
        <f t="shared" si="0"/>
        <v>0</v>
      </c>
      <c r="AA20">
        <v>480</v>
      </c>
      <c r="AB20">
        <f>$AB$3*Calc!M21</f>
        <v>0</v>
      </c>
    </row>
    <row r="21" spans="1:37" x14ac:dyDescent="0.2">
      <c r="A21" s="12">
        <v>179</v>
      </c>
      <c r="B21" s="5">
        <v>129.56</v>
      </c>
      <c r="C21" s="5"/>
      <c r="D21" s="1">
        <v>180</v>
      </c>
      <c r="E21" s="2">
        <v>9018855</v>
      </c>
      <c r="F21" s="9" t="s">
        <v>112</v>
      </c>
      <c r="G21">
        <f>$G$3*Calc!E22</f>
        <v>2176</v>
      </c>
      <c r="H21">
        <f>$H$3*Calc!I22</f>
        <v>384</v>
      </c>
      <c r="I21">
        <f>$I$3*Calc!M22</f>
        <v>768</v>
      </c>
      <c r="J21">
        <f>$J$3*Calc!Q22</f>
        <v>128</v>
      </c>
      <c r="K21">
        <f t="shared" si="1"/>
        <v>3456</v>
      </c>
      <c r="L21">
        <f>$L$3*Calc!E22</f>
        <v>0</v>
      </c>
      <c r="M21">
        <f>$M$3*Calc!I22</f>
        <v>0</v>
      </c>
      <c r="N21">
        <f>$N$3*Calc!M22</f>
        <v>2240</v>
      </c>
      <c r="O21">
        <f>$O$3*Calc!Q22</f>
        <v>576</v>
      </c>
      <c r="P21">
        <f t="shared" si="2"/>
        <v>2816</v>
      </c>
      <c r="Q21">
        <f>$Q$3*Calc!E22</f>
        <v>2560</v>
      </c>
      <c r="R21">
        <f>$R$3*Calc!I22</f>
        <v>0</v>
      </c>
      <c r="S21">
        <f>$S$3*Calc!M22</f>
        <v>1728</v>
      </c>
      <c r="T21">
        <f>$T$3*Calc!Q22</f>
        <v>0</v>
      </c>
      <c r="U21">
        <f t="shared" si="3"/>
        <v>4288</v>
      </c>
      <c r="V21">
        <f>$V$3*Calc!E22</f>
        <v>2880</v>
      </c>
      <c r="W21">
        <f>$W$3*Calc!I22</f>
        <v>0</v>
      </c>
      <c r="X21">
        <f>$X$3*Calc!M22</f>
        <v>0</v>
      </c>
      <c r="Y21">
        <f>$Y$3*Calc!Q22</f>
        <v>0</v>
      </c>
      <c r="Z21" s="3">
        <f t="shared" si="0"/>
        <v>2880</v>
      </c>
      <c r="AA21">
        <v>875</v>
      </c>
      <c r="AB21">
        <f>$AB$3*Calc!M22</f>
        <v>2880</v>
      </c>
    </row>
    <row r="22" spans="1:37" x14ac:dyDescent="0.2">
      <c r="A22" s="12">
        <v>29</v>
      </c>
      <c r="B22" s="5">
        <v>39.799999999999997</v>
      </c>
      <c r="C22" s="5"/>
      <c r="D22" s="1">
        <v>190</v>
      </c>
      <c r="E22" s="1">
        <v>9018947</v>
      </c>
      <c r="F22" s="9" t="s">
        <v>113</v>
      </c>
      <c r="G22">
        <f>$G$3*Calc!E23</f>
        <v>2176</v>
      </c>
      <c r="H22">
        <f>$H$3*Calc!I23</f>
        <v>384</v>
      </c>
      <c r="I22">
        <f>$I$3*Calc!M23</f>
        <v>768</v>
      </c>
      <c r="J22">
        <f>$J$3*Calc!Q23</f>
        <v>128</v>
      </c>
      <c r="K22">
        <f t="shared" si="1"/>
        <v>3456</v>
      </c>
      <c r="L22">
        <f>$L$3*Calc!E23</f>
        <v>0</v>
      </c>
      <c r="M22">
        <f>$M$3*Calc!I23</f>
        <v>0</v>
      </c>
      <c r="N22">
        <f>$N$3*Calc!M23</f>
        <v>2240</v>
      </c>
      <c r="O22">
        <f>$O$3*Calc!Q23</f>
        <v>576</v>
      </c>
      <c r="P22">
        <f t="shared" si="2"/>
        <v>2816</v>
      </c>
      <c r="Q22">
        <f>$Q$3*Calc!E23</f>
        <v>2560</v>
      </c>
      <c r="R22">
        <f>$R$3*Calc!I23</f>
        <v>0</v>
      </c>
      <c r="S22">
        <f>$S$3*Calc!M23</f>
        <v>1728</v>
      </c>
      <c r="T22">
        <f>$T$3*Calc!Q23</f>
        <v>0</v>
      </c>
      <c r="U22">
        <f t="shared" si="3"/>
        <v>4288</v>
      </c>
      <c r="V22">
        <f>$V$3*Calc!E23</f>
        <v>2880</v>
      </c>
      <c r="W22">
        <f>$W$3*Calc!I23</f>
        <v>0</v>
      </c>
      <c r="X22">
        <f>$X$3*Calc!M23</f>
        <v>0</v>
      </c>
      <c r="Y22">
        <f>$Y$3*Calc!Q23</f>
        <v>0</v>
      </c>
      <c r="Z22" s="3">
        <f t="shared" si="0"/>
        <v>2880</v>
      </c>
      <c r="AA22">
        <v>875</v>
      </c>
      <c r="AB22">
        <f>$AB$3*Calc!M23</f>
        <v>2880</v>
      </c>
    </row>
    <row r="23" spans="1:37" x14ac:dyDescent="0.2">
      <c r="A23" s="12">
        <v>9</v>
      </c>
      <c r="B23" s="5">
        <v>117.71</v>
      </c>
      <c r="C23" s="5"/>
      <c r="D23" s="1">
        <v>200</v>
      </c>
      <c r="E23" s="1">
        <v>9018948</v>
      </c>
      <c r="F23" s="9" t="s">
        <v>114</v>
      </c>
      <c r="G23">
        <f>$G$3*Calc!E24</f>
        <v>2176</v>
      </c>
      <c r="H23">
        <f>$H$3*Calc!I24</f>
        <v>384</v>
      </c>
      <c r="I23">
        <f>$I$3*Calc!M24</f>
        <v>768</v>
      </c>
      <c r="J23">
        <f>$J$3*Calc!Q24</f>
        <v>128</v>
      </c>
      <c r="K23">
        <f t="shared" si="1"/>
        <v>3456</v>
      </c>
      <c r="L23">
        <f>$L$3*Calc!E24</f>
        <v>0</v>
      </c>
      <c r="M23">
        <f>$M$3*Calc!I24</f>
        <v>0</v>
      </c>
      <c r="N23">
        <f>$N$3*Calc!M24</f>
        <v>2240</v>
      </c>
      <c r="O23">
        <f>$O$3*Calc!Q24</f>
        <v>576</v>
      </c>
      <c r="P23">
        <f t="shared" si="2"/>
        <v>2816</v>
      </c>
      <c r="Q23">
        <f>$Q$3*Calc!E24</f>
        <v>2560</v>
      </c>
      <c r="R23">
        <f>$R$3*Calc!I24</f>
        <v>0</v>
      </c>
      <c r="S23">
        <f>$S$3*Calc!M24</f>
        <v>1728</v>
      </c>
      <c r="T23">
        <f>$T$3*Calc!Q24</f>
        <v>0</v>
      </c>
      <c r="U23">
        <f t="shared" si="3"/>
        <v>4288</v>
      </c>
      <c r="V23">
        <f>$V$3*Calc!E24</f>
        <v>2880</v>
      </c>
      <c r="W23">
        <f>$W$3*Calc!I24</f>
        <v>0</v>
      </c>
      <c r="X23">
        <f>$X$3*Calc!M24</f>
        <v>0</v>
      </c>
      <c r="Y23">
        <f>$Y$3*Calc!Q24</f>
        <v>0</v>
      </c>
      <c r="Z23" s="3">
        <f t="shared" si="0"/>
        <v>2880</v>
      </c>
      <c r="AA23">
        <v>875</v>
      </c>
      <c r="AB23">
        <f>$AB$3*Calc!M24</f>
        <v>2880</v>
      </c>
    </row>
    <row r="24" spans="1:37" x14ac:dyDescent="0.2">
      <c r="A24" s="12">
        <v>93</v>
      </c>
      <c r="B24" s="5">
        <v>66.900000000000006</v>
      </c>
      <c r="C24" s="5"/>
      <c r="D24" s="1">
        <v>210</v>
      </c>
      <c r="E24" s="2">
        <v>9018691</v>
      </c>
      <c r="F24" s="9" t="s">
        <v>115</v>
      </c>
      <c r="G24">
        <f>$G$3*Calc!E25</f>
        <v>0</v>
      </c>
      <c r="H24">
        <f>$H$3*Calc!I25</f>
        <v>0</v>
      </c>
      <c r="I24">
        <f>$I$3*Calc!M25</f>
        <v>0</v>
      </c>
      <c r="J24">
        <f>$J$3*Calc!Q25</f>
        <v>0</v>
      </c>
      <c r="K24">
        <f t="shared" si="1"/>
        <v>0</v>
      </c>
      <c r="L24">
        <f>$L$3*Calc!E25</f>
        <v>0</v>
      </c>
      <c r="M24">
        <f>$M$3*Calc!I25</f>
        <v>0</v>
      </c>
      <c r="N24">
        <f>$N$3*Calc!M25</f>
        <v>0</v>
      </c>
      <c r="O24">
        <f>$O$3*Calc!Q25</f>
        <v>0</v>
      </c>
      <c r="P24">
        <f t="shared" si="2"/>
        <v>0</v>
      </c>
      <c r="Q24">
        <f>$Q$3*Calc!E25</f>
        <v>0</v>
      </c>
      <c r="R24">
        <f>$R$3*Calc!I25</f>
        <v>0</v>
      </c>
      <c r="S24">
        <f>$S$3*Calc!M25</f>
        <v>0</v>
      </c>
      <c r="T24">
        <f>$T$3*Calc!Q25</f>
        <v>0</v>
      </c>
      <c r="U24">
        <f t="shared" si="3"/>
        <v>0</v>
      </c>
      <c r="V24">
        <f>$V$3*Calc!E25</f>
        <v>0</v>
      </c>
      <c r="W24">
        <f>$W$3*Calc!I25</f>
        <v>0</v>
      </c>
      <c r="X24">
        <f>$X$3*Calc!M25</f>
        <v>0</v>
      </c>
      <c r="Y24">
        <f>$Y$3*Calc!Q25</f>
        <v>0</v>
      </c>
      <c r="Z24" s="3">
        <f t="shared" si="0"/>
        <v>0</v>
      </c>
      <c r="AA24">
        <v>300</v>
      </c>
      <c r="AB24">
        <f>$AB$3*Calc!M25</f>
        <v>0</v>
      </c>
    </row>
    <row r="25" spans="1:37" x14ac:dyDescent="0.2">
      <c r="A25" s="12">
        <v>125</v>
      </c>
      <c r="B25" s="5">
        <v>101.62</v>
      </c>
      <c r="C25" s="5"/>
      <c r="D25" s="1">
        <v>220</v>
      </c>
      <c r="E25" s="1">
        <v>9023688</v>
      </c>
      <c r="F25" s="9" t="s">
        <v>116</v>
      </c>
      <c r="G25">
        <f>$G$3*Calc!E26</f>
        <v>1234.2</v>
      </c>
      <c r="H25">
        <f>$H$3*Calc!I26</f>
        <v>217.8</v>
      </c>
      <c r="I25">
        <f>$I$3*Calc!M26</f>
        <v>435.6</v>
      </c>
      <c r="J25">
        <f>$J$3*Calc!Q26</f>
        <v>72.600000000000009</v>
      </c>
      <c r="K25">
        <f t="shared" si="1"/>
        <v>1960.1999999999998</v>
      </c>
      <c r="L25">
        <f>$L$3*Calc!E26</f>
        <v>0</v>
      </c>
      <c r="M25">
        <f>$M$3*Calc!I26</f>
        <v>0</v>
      </c>
      <c r="N25">
        <f>$N$3*Calc!M26</f>
        <v>1270.5000000000002</v>
      </c>
      <c r="O25">
        <f>$O$3*Calc!Q26</f>
        <v>326.70000000000005</v>
      </c>
      <c r="P25">
        <f t="shared" si="2"/>
        <v>1597.2000000000003</v>
      </c>
      <c r="Q25">
        <f>$Q$3*Calc!E26</f>
        <v>1452.0000000000002</v>
      </c>
      <c r="R25">
        <f>$R$3*Calc!I26</f>
        <v>0</v>
      </c>
      <c r="S25">
        <f>$S$3*Calc!M26</f>
        <v>980.10000000000014</v>
      </c>
      <c r="T25">
        <f>$T$3*Calc!Q26</f>
        <v>0</v>
      </c>
      <c r="U25">
        <f t="shared" si="3"/>
        <v>2432.1000000000004</v>
      </c>
      <c r="V25">
        <f>$V$3*Calc!E26</f>
        <v>1633.5000000000002</v>
      </c>
      <c r="W25">
        <f>$W$3*Calc!I26</f>
        <v>0</v>
      </c>
      <c r="X25">
        <f>$X$3*Calc!M26</f>
        <v>0</v>
      </c>
      <c r="Y25">
        <f>$Y$3*Calc!Q26</f>
        <v>0</v>
      </c>
      <c r="Z25" s="3">
        <f t="shared" si="0"/>
        <v>1633.5000000000002</v>
      </c>
      <c r="AB25">
        <f>$AB$3*Calc!M26</f>
        <v>1633.5000000000002</v>
      </c>
    </row>
    <row r="26" spans="1:37" x14ac:dyDescent="0.2">
      <c r="A26" s="12">
        <v>407</v>
      </c>
      <c r="B26" s="5">
        <v>293.83999999999997</v>
      </c>
      <c r="C26" s="5"/>
      <c r="D26" s="1">
        <v>230</v>
      </c>
      <c r="E26" s="1">
        <v>9018924</v>
      </c>
      <c r="F26" s="9" t="s">
        <v>117</v>
      </c>
      <c r="G26">
        <f>$G$3*Calc!E27</f>
        <v>340</v>
      </c>
      <c r="H26">
        <f>$H$3*Calc!I27</f>
        <v>60</v>
      </c>
      <c r="I26">
        <f>$I$3*Calc!M27</f>
        <v>120</v>
      </c>
      <c r="J26">
        <f>$J$3*Calc!Q27</f>
        <v>20</v>
      </c>
      <c r="K26">
        <f t="shared" si="1"/>
        <v>540</v>
      </c>
      <c r="L26">
        <f>$L$3*Calc!E27</f>
        <v>0</v>
      </c>
      <c r="M26">
        <f>$M$3*Calc!I27</f>
        <v>0</v>
      </c>
      <c r="N26">
        <f>$N$3*Calc!M27</f>
        <v>350</v>
      </c>
      <c r="O26">
        <f>$O$3*Calc!Q27</f>
        <v>90</v>
      </c>
      <c r="P26">
        <f>SUM(L26:O26)</f>
        <v>440</v>
      </c>
      <c r="Q26">
        <f>$Q$3*Calc!E27</f>
        <v>400</v>
      </c>
      <c r="R26">
        <f>$R$3*Calc!I27</f>
        <v>0</v>
      </c>
      <c r="S26">
        <f>$S$3*Calc!M27</f>
        <v>270</v>
      </c>
      <c r="T26">
        <f>$T$3*Calc!Q27</f>
        <v>0</v>
      </c>
      <c r="U26">
        <f t="shared" si="3"/>
        <v>670</v>
      </c>
      <c r="V26">
        <f>$V$3*Calc!E27</f>
        <v>450</v>
      </c>
      <c r="W26">
        <f>$W$3*Calc!I27</f>
        <v>0</v>
      </c>
      <c r="X26">
        <f>$X$3*Calc!M27</f>
        <v>0</v>
      </c>
      <c r="Y26">
        <f>$Y$3*Calc!Q27</f>
        <v>0</v>
      </c>
      <c r="Z26" s="3">
        <f t="shared" si="0"/>
        <v>450</v>
      </c>
      <c r="AB26">
        <f>$AB$3*Calc!M27</f>
        <v>450</v>
      </c>
    </row>
    <row r="27" spans="1:37" x14ac:dyDescent="0.2">
      <c r="A27" s="12">
        <v>17</v>
      </c>
      <c r="B27" s="5">
        <v>11.86</v>
      </c>
      <c r="C27" s="5"/>
      <c r="D27" s="1">
        <v>240</v>
      </c>
      <c r="E27" s="1">
        <v>9018920</v>
      </c>
      <c r="F27" s="9" t="s">
        <v>118</v>
      </c>
      <c r="G27">
        <f>$G$3*Calc!E28</f>
        <v>1700</v>
      </c>
      <c r="H27">
        <f>$H$3*Calc!I28</f>
        <v>300</v>
      </c>
      <c r="I27">
        <f>$I$3*Calc!M28</f>
        <v>600</v>
      </c>
      <c r="J27">
        <f>$J$3*Calc!Q28</f>
        <v>100</v>
      </c>
      <c r="K27">
        <f t="shared" si="1"/>
        <v>2700</v>
      </c>
      <c r="L27">
        <f>$L$3*Calc!E28</f>
        <v>0</v>
      </c>
      <c r="M27">
        <f>$M$3*Calc!I28</f>
        <v>0</v>
      </c>
      <c r="N27">
        <f>$N$3*Calc!M28</f>
        <v>1750</v>
      </c>
      <c r="O27">
        <f>$O$3*Calc!Q28</f>
        <v>450</v>
      </c>
      <c r="P27">
        <f t="shared" si="2"/>
        <v>2200</v>
      </c>
      <c r="Q27">
        <f>$Q$3*Calc!E28</f>
        <v>2000</v>
      </c>
      <c r="R27">
        <f>$R$3*Calc!I28</f>
        <v>0</v>
      </c>
      <c r="S27">
        <f>$S$3*Calc!M28</f>
        <v>1350</v>
      </c>
      <c r="T27">
        <f>$T$3*Calc!Q28</f>
        <v>0</v>
      </c>
      <c r="U27">
        <f t="shared" si="3"/>
        <v>3350</v>
      </c>
      <c r="V27">
        <f>$V$3*Calc!E28</f>
        <v>2250</v>
      </c>
      <c r="W27">
        <f>$W$3*Calc!I28</f>
        <v>0</v>
      </c>
      <c r="X27">
        <f>$X$3*Calc!M28</f>
        <v>0</v>
      </c>
      <c r="Y27">
        <f>$Y$3*Calc!Q28</f>
        <v>0</v>
      </c>
      <c r="Z27" s="3">
        <f t="shared" si="0"/>
        <v>2250</v>
      </c>
      <c r="AB27">
        <f>$AB$3*Calc!M28</f>
        <v>2250</v>
      </c>
    </row>
    <row r="28" spans="1:37" x14ac:dyDescent="0.2">
      <c r="A28" s="12">
        <v>1656</v>
      </c>
      <c r="B28" s="5">
        <v>1195.68</v>
      </c>
      <c r="C28" s="5"/>
      <c r="D28" s="1">
        <v>250</v>
      </c>
      <c r="E28" s="1">
        <v>9020306</v>
      </c>
      <c r="F28" s="9" t="s">
        <v>119</v>
      </c>
      <c r="G28">
        <f>$G$3*Calc!E29</f>
        <v>0</v>
      </c>
      <c r="H28">
        <f>$H$3*Calc!I29</f>
        <v>0</v>
      </c>
      <c r="I28">
        <f>$I$3*Calc!M29</f>
        <v>0</v>
      </c>
      <c r="J28">
        <f>$J$3*Calc!Q29</f>
        <v>0</v>
      </c>
      <c r="K28">
        <f t="shared" si="1"/>
        <v>0</v>
      </c>
      <c r="L28">
        <f>$L$3*Calc!E29</f>
        <v>0</v>
      </c>
      <c r="M28">
        <f>$M$3*Calc!I29</f>
        <v>0</v>
      </c>
      <c r="N28">
        <f>$N$3*Calc!M29</f>
        <v>0</v>
      </c>
      <c r="O28">
        <f>$O$3*Calc!Q29</f>
        <v>0</v>
      </c>
      <c r="P28">
        <f t="shared" si="2"/>
        <v>0</v>
      </c>
      <c r="Q28">
        <f>$Q$3*Calc!E29</f>
        <v>0</v>
      </c>
      <c r="R28">
        <f>$R$3*Calc!I29</f>
        <v>0</v>
      </c>
      <c r="S28">
        <f>$S$3*Calc!M29</f>
        <v>0</v>
      </c>
      <c r="T28">
        <f>$T$3*Calc!Q29</f>
        <v>0</v>
      </c>
      <c r="U28">
        <f t="shared" si="3"/>
        <v>0</v>
      </c>
      <c r="V28">
        <f>$V$3*Calc!E29</f>
        <v>0</v>
      </c>
      <c r="W28">
        <f>$W$3*Calc!I29</f>
        <v>0</v>
      </c>
      <c r="X28">
        <f>$X$3*Calc!M29</f>
        <v>0</v>
      </c>
      <c r="Y28">
        <f>$Y$3*Calc!Q29</f>
        <v>0</v>
      </c>
      <c r="Z28" s="3">
        <f t="shared" si="0"/>
        <v>0</v>
      </c>
      <c r="AB28">
        <f>$AB$3*Calc!M29</f>
        <v>0</v>
      </c>
    </row>
  </sheetData>
  <mergeCells count="4">
    <mergeCell ref="G1:K1"/>
    <mergeCell ref="L1:P1"/>
    <mergeCell ref="Q1:U1"/>
    <mergeCell ref="V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4"/>
  <sheetViews>
    <sheetView workbookViewId="0">
      <selection activeCell="U1" sqref="U1"/>
    </sheetView>
  </sheetViews>
  <sheetFormatPr baseColWidth="10" defaultColWidth="8.83203125" defaultRowHeight="15" x14ac:dyDescent="0.2"/>
  <cols>
    <col min="1" max="1" width="34.83203125" customWidth="1"/>
    <col min="5" max="5" width="9.1640625" style="10"/>
    <col min="9" max="9" width="9.1640625" style="10"/>
    <col min="13" max="13" width="9.1640625" style="10"/>
    <col min="17" max="17" width="9.1640625" style="10"/>
    <col min="26" max="26" width="10.83203125" customWidth="1"/>
  </cols>
  <sheetData>
    <row r="1" spans="1:29" x14ac:dyDescent="0.2">
      <c r="B1" s="31" t="s">
        <v>77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U1" t="s">
        <v>55</v>
      </c>
      <c r="Z1">
        <v>11.724424053104254</v>
      </c>
      <c r="AA1" t="s">
        <v>62</v>
      </c>
    </row>
    <row r="2" spans="1:29" x14ac:dyDescent="0.2">
      <c r="S2" t="s">
        <v>53</v>
      </c>
      <c r="T2">
        <v>2</v>
      </c>
      <c r="U2" t="s">
        <v>68</v>
      </c>
      <c r="V2" t="s">
        <v>41</v>
      </c>
    </row>
    <row r="3" spans="1:29" x14ac:dyDescent="0.2">
      <c r="B3" s="5"/>
      <c r="C3" s="5"/>
      <c r="D3" s="5"/>
      <c r="E3" s="9" t="s">
        <v>53</v>
      </c>
      <c r="F3" s="5"/>
      <c r="G3" s="5"/>
      <c r="H3" s="5"/>
      <c r="I3" s="9" t="s">
        <v>37</v>
      </c>
      <c r="J3" s="5"/>
      <c r="K3" s="5"/>
      <c r="L3" s="5"/>
      <c r="M3" s="9" t="s">
        <v>38</v>
      </c>
      <c r="N3" s="5"/>
      <c r="O3" s="5"/>
      <c r="P3" s="5"/>
      <c r="Q3" s="9" t="s">
        <v>39</v>
      </c>
      <c r="T3">
        <v>12</v>
      </c>
      <c r="U3">
        <v>200</v>
      </c>
      <c r="V3">
        <v>9</v>
      </c>
      <c r="W3">
        <f>2*V3*1.875*1000/U3</f>
        <v>168.75</v>
      </c>
      <c r="X3">
        <f>W3*PI()*0.25*T3*T3*7850/(30*1000000)</f>
        <v>4.9939542219626754</v>
      </c>
      <c r="AC3">
        <f>1.5/0.2</f>
        <v>7.5</v>
      </c>
    </row>
    <row r="4" spans="1:29" x14ac:dyDescent="0.2">
      <c r="A4" s="10"/>
      <c r="B4" s="5" t="s">
        <v>1</v>
      </c>
      <c r="C4" s="5" t="s">
        <v>0</v>
      </c>
      <c r="D4" s="5" t="s">
        <v>2</v>
      </c>
      <c r="E4" s="9" t="s">
        <v>28</v>
      </c>
      <c r="F4" s="5" t="s">
        <v>1</v>
      </c>
      <c r="G4" s="5" t="s">
        <v>0</v>
      </c>
      <c r="H4" s="5" t="s">
        <v>2</v>
      </c>
      <c r="I4" s="9" t="s">
        <v>28</v>
      </c>
      <c r="J4" s="5" t="s">
        <v>1</v>
      </c>
      <c r="K4" s="5" t="s">
        <v>0</v>
      </c>
      <c r="L4" s="5" t="s">
        <v>2</v>
      </c>
      <c r="M4" s="9" t="s">
        <v>28</v>
      </c>
      <c r="N4" s="5" t="s">
        <v>1</v>
      </c>
      <c r="O4" s="5" t="s">
        <v>0</v>
      </c>
      <c r="P4" s="5" t="s">
        <v>2</v>
      </c>
      <c r="Q4" s="9" t="s">
        <v>28</v>
      </c>
      <c r="T4">
        <v>12</v>
      </c>
      <c r="U4">
        <v>200</v>
      </c>
      <c r="V4">
        <v>1</v>
      </c>
      <c r="W4">
        <f>2*V4*1.5*1000/U4</f>
        <v>15</v>
      </c>
      <c r="X4">
        <f>W4*PI()*0.25*T4*T4*7850/(30*1000000)</f>
        <v>0.44390704195223768</v>
      </c>
      <c r="Z4" t="s">
        <v>1</v>
      </c>
    </row>
    <row r="5" spans="1:29" x14ac:dyDescent="0.2">
      <c r="A5" s="17" t="s">
        <v>3</v>
      </c>
      <c r="B5" s="5"/>
      <c r="C5" s="5"/>
      <c r="D5" s="5"/>
      <c r="E5" s="9">
        <v>3</v>
      </c>
      <c r="F5" s="5"/>
      <c r="G5" s="5"/>
      <c r="H5" s="5"/>
      <c r="I5" s="9">
        <v>3</v>
      </c>
      <c r="J5" s="5"/>
      <c r="K5" s="5"/>
      <c r="L5" s="5"/>
      <c r="M5" s="9">
        <v>3</v>
      </c>
      <c r="N5" s="5"/>
      <c r="O5" s="5"/>
      <c r="P5" s="5"/>
      <c r="Q5" s="9">
        <v>3</v>
      </c>
      <c r="W5" t="s">
        <v>63</v>
      </c>
      <c r="X5">
        <f>AA9</f>
        <v>27.19061417083298</v>
      </c>
      <c r="Z5" t="s">
        <v>63</v>
      </c>
    </row>
    <row r="6" spans="1:29" x14ac:dyDescent="0.2">
      <c r="A6" s="17" t="s">
        <v>4</v>
      </c>
      <c r="B6" s="5"/>
      <c r="C6" s="5"/>
      <c r="D6" s="5"/>
      <c r="E6" s="9">
        <v>3</v>
      </c>
      <c r="F6" s="5"/>
      <c r="G6" s="5"/>
      <c r="H6" s="5"/>
      <c r="I6" s="9">
        <v>3</v>
      </c>
      <c r="J6" s="5"/>
      <c r="K6" s="5"/>
      <c r="L6" s="5"/>
      <c r="M6" s="9">
        <v>3</v>
      </c>
      <c r="N6" s="5"/>
      <c r="O6" s="5"/>
      <c r="P6" s="5"/>
      <c r="Q6" s="9">
        <v>3</v>
      </c>
      <c r="W6" t="s">
        <v>64</v>
      </c>
      <c r="X6">
        <f>AA11*T2*11/30</f>
        <v>8.5979109722764537</v>
      </c>
      <c r="Z6" t="s">
        <v>65</v>
      </c>
      <c r="AA6">
        <v>5.5229143790849671</v>
      </c>
      <c r="AB6" t="s">
        <v>60</v>
      </c>
      <c r="AC6" t="s">
        <v>73</v>
      </c>
    </row>
    <row r="7" spans="1:29" x14ac:dyDescent="0.2">
      <c r="A7" s="17" t="s">
        <v>5</v>
      </c>
      <c r="B7" s="5">
        <f>1.8*1.8*(1.45+0.25)*9+1*1.8*2*(1.45+0.25)</f>
        <v>55.692</v>
      </c>
      <c r="C7" s="5">
        <f>0.6*(0.75+0.25)*1.2*8+0.6*(0.75+0.25)*(3-0.9-1)*2</f>
        <v>7.08</v>
      </c>
      <c r="D7" s="5"/>
      <c r="E7" s="22">
        <f>(SUM(($B$7*80%)+$C$7+$D$8))/30</f>
        <v>1.72112</v>
      </c>
      <c r="F7" s="5">
        <f>1.8*2.7*30</f>
        <v>145.80000000000001</v>
      </c>
      <c r="G7" s="5">
        <v>0</v>
      </c>
      <c r="H7" s="5"/>
      <c r="I7" s="22">
        <f>F7*56%/30</f>
        <v>2.7216000000000005</v>
      </c>
      <c r="J7" s="5">
        <f>2.2*3.6*30</f>
        <v>237.60000000000002</v>
      </c>
      <c r="K7" s="5">
        <v>0</v>
      </c>
      <c r="L7" s="5"/>
      <c r="M7" s="22">
        <f>J7*42%/30</f>
        <v>3.3264</v>
      </c>
      <c r="N7" s="5">
        <f>2.8*4.6*30</f>
        <v>386.4</v>
      </c>
      <c r="O7" s="5">
        <v>0</v>
      </c>
      <c r="P7" s="5"/>
      <c r="Q7" s="22">
        <f>N7*33%/30</f>
        <v>4.2504</v>
      </c>
      <c r="T7">
        <f>1.2+2</f>
        <v>3.2</v>
      </c>
      <c r="U7" t="s">
        <v>57</v>
      </c>
      <c r="X7">
        <f>SUM(X3:X6)</f>
        <v>41.226386407024343</v>
      </c>
      <c r="Z7" t="s">
        <v>66</v>
      </c>
      <c r="AA7">
        <f>Z1*11*3/30</f>
        <v>12.89686645841468</v>
      </c>
      <c r="AB7" t="s">
        <v>61</v>
      </c>
    </row>
    <row r="8" spans="1:29" x14ac:dyDescent="0.2">
      <c r="A8" s="17" t="s">
        <v>6</v>
      </c>
      <c r="B8" s="5"/>
      <c r="C8" s="5"/>
      <c r="D8" s="5"/>
      <c r="E8" s="22">
        <f>B7*10%/30</f>
        <v>0.18564</v>
      </c>
      <c r="F8" s="5"/>
      <c r="G8" s="5"/>
      <c r="H8" s="5"/>
      <c r="I8" s="22">
        <f>F7*22%/30</f>
        <v>1.0691999999999999</v>
      </c>
      <c r="J8" s="5"/>
      <c r="K8" s="5"/>
      <c r="L8" s="5"/>
      <c r="M8" s="22">
        <f>J7*29%/30</f>
        <v>2.2967999999999997</v>
      </c>
      <c r="N8" s="5"/>
      <c r="O8" s="5"/>
      <c r="P8" s="5"/>
      <c r="Q8" s="22">
        <f>N7*34%/30</f>
        <v>4.3792</v>
      </c>
      <c r="S8" t="s">
        <v>37</v>
      </c>
      <c r="T8" t="s">
        <v>58</v>
      </c>
      <c r="U8" t="s">
        <v>59</v>
      </c>
      <c r="V8" s="3" t="s">
        <v>56</v>
      </c>
      <c r="Z8" t="s">
        <v>67</v>
      </c>
      <c r="AA8">
        <v>8.7708333333333339</v>
      </c>
      <c r="AB8" t="s">
        <v>61</v>
      </c>
    </row>
    <row r="9" spans="1:29" x14ac:dyDescent="0.2">
      <c r="A9" s="17" t="s">
        <v>7</v>
      </c>
      <c r="B9" s="5"/>
      <c r="C9" s="5"/>
      <c r="D9" s="5"/>
      <c r="E9" s="22">
        <f>B7*10%/30</f>
        <v>0.18564</v>
      </c>
      <c r="F9" s="5"/>
      <c r="G9" s="5"/>
      <c r="H9" s="5"/>
      <c r="I9" s="22">
        <f>F7*22%/30</f>
        <v>1.0691999999999999</v>
      </c>
      <c r="J9" s="5"/>
      <c r="K9" s="5"/>
      <c r="L9" s="5"/>
      <c r="M9" s="22">
        <f>J7*29%/30</f>
        <v>2.2967999999999997</v>
      </c>
      <c r="N9" s="5"/>
      <c r="O9" s="5"/>
      <c r="P9" s="5"/>
      <c r="Q9" s="22">
        <f>N7*33%/30</f>
        <v>4.2504</v>
      </c>
      <c r="T9">
        <v>8</v>
      </c>
      <c r="U9">
        <v>175</v>
      </c>
      <c r="V9">
        <v>1</v>
      </c>
      <c r="W9">
        <f>2*T7*1000/U9</f>
        <v>36.571428571428569</v>
      </c>
      <c r="X9">
        <f>W9*PI()*0.25*T9*T9*7850/1000000</f>
        <v>14.430501935209254</v>
      </c>
      <c r="AA9">
        <f>SUM(AA6:AA8)</f>
        <v>27.19061417083298</v>
      </c>
    </row>
    <row r="10" spans="1:29" x14ac:dyDescent="0.2">
      <c r="A10" s="17" t="s">
        <v>8</v>
      </c>
      <c r="B10" s="5"/>
      <c r="C10" s="5"/>
      <c r="D10" s="5"/>
      <c r="E10" s="9"/>
      <c r="F10" s="5"/>
      <c r="G10" s="5"/>
      <c r="H10" s="5"/>
      <c r="I10" s="9"/>
      <c r="J10" s="5"/>
      <c r="K10" s="5"/>
      <c r="L10" s="5"/>
      <c r="M10" s="9"/>
      <c r="N10" s="5"/>
      <c r="O10" s="5"/>
      <c r="P10" s="5"/>
      <c r="Q10" s="9"/>
      <c r="T10">
        <v>12</v>
      </c>
      <c r="U10">
        <v>150</v>
      </c>
      <c r="V10">
        <v>1</v>
      </c>
      <c r="W10">
        <f>T7*1000/U10</f>
        <v>21.333333333333332</v>
      </c>
      <c r="X10">
        <f t="shared" ref="X10:X13" si="0">W10*PI()*0.25*T10*T10*7850/1000000</f>
        <v>18.940033789962147</v>
      </c>
      <c r="Z10" t="s">
        <v>64</v>
      </c>
    </row>
    <row r="11" spans="1:29" x14ac:dyDescent="0.2">
      <c r="A11" s="17" t="s">
        <v>9</v>
      </c>
      <c r="B11" s="5">
        <f>B12/2</f>
        <v>1.3120000000000003</v>
      </c>
      <c r="C11" s="5"/>
      <c r="D11" s="5"/>
      <c r="E11" s="20">
        <f>SUM(B11:D11)/30</f>
        <v>4.3733333333333339E-2</v>
      </c>
      <c r="F11" s="5">
        <f>F12</f>
        <v>5.0999999999999996</v>
      </c>
      <c r="G11" s="5"/>
      <c r="H11" s="5"/>
      <c r="I11" s="9">
        <f>SUM(F11:H11)/30</f>
        <v>0.16999999999999998</v>
      </c>
      <c r="J11" s="5">
        <f>J12</f>
        <v>6.3000000000000007</v>
      </c>
      <c r="K11" s="5"/>
      <c r="L11" s="5"/>
      <c r="M11" s="9">
        <f>SUM(J11:L11)/30</f>
        <v>0.21000000000000002</v>
      </c>
      <c r="N11" s="5">
        <f>N12</f>
        <v>8.1000000000000014</v>
      </c>
      <c r="O11" s="5"/>
      <c r="P11" s="5"/>
      <c r="Q11" s="9">
        <f>SUM(N11:P11)/30</f>
        <v>0.27000000000000007</v>
      </c>
      <c r="S11" t="s">
        <v>1</v>
      </c>
      <c r="T11">
        <v>10</v>
      </c>
      <c r="U11">
        <v>150</v>
      </c>
      <c r="V11">
        <v>1</v>
      </c>
      <c r="W11">
        <f>T7*1000/U11</f>
        <v>21.333333333333332</v>
      </c>
      <c r="X11">
        <f t="shared" si="0"/>
        <v>13.152801243029266</v>
      </c>
      <c r="Z11" t="s">
        <v>69</v>
      </c>
      <c r="AA11">
        <f>Z1</f>
        <v>11.724424053104254</v>
      </c>
      <c r="AB11" t="str">
        <f>AA1</f>
        <v>Kg/ M Ht Column Reinf.</v>
      </c>
    </row>
    <row r="12" spans="1:29" ht="16" x14ac:dyDescent="0.2">
      <c r="A12" s="18" t="s">
        <v>10</v>
      </c>
      <c r="B12" s="5">
        <f>1.6*1.6*0.1*9+1.6*2*0.1*1</f>
        <v>2.6240000000000006</v>
      </c>
      <c r="C12" s="23">
        <f>0.45*0.075*(2.65*10)</f>
        <v>0.89437500000000003</v>
      </c>
      <c r="D12" s="5"/>
      <c r="E12" s="20">
        <f>SUM(B12:D12)/30</f>
        <v>0.11727916666666668</v>
      </c>
      <c r="F12" s="5">
        <f>30*0.1*1.7</f>
        <v>5.0999999999999996</v>
      </c>
      <c r="G12" s="5"/>
      <c r="H12" s="5"/>
      <c r="I12" s="9">
        <f>SUM(F12:H12)/30</f>
        <v>0.16999999999999998</v>
      </c>
      <c r="J12" s="5">
        <f>30*0.1*2.1</f>
        <v>6.3000000000000007</v>
      </c>
      <c r="K12" s="5"/>
      <c r="L12" s="5"/>
      <c r="M12" s="9">
        <f>SUM(J12:L12)/30</f>
        <v>0.21000000000000002</v>
      </c>
      <c r="N12" s="5">
        <f>30*0.1*2.7</f>
        <v>8.1000000000000014</v>
      </c>
      <c r="O12" s="5"/>
      <c r="P12" s="5"/>
      <c r="Q12" s="9">
        <f>SUM(N12:P12)/30</f>
        <v>0.27000000000000007</v>
      </c>
      <c r="S12">
        <v>1.6</v>
      </c>
      <c r="T12">
        <v>8</v>
      </c>
      <c r="U12">
        <v>175</v>
      </c>
      <c r="V12">
        <v>1</v>
      </c>
      <c r="W12">
        <f>2*S12*1000/U12</f>
        <v>18.285714285714285</v>
      </c>
      <c r="X12">
        <f t="shared" si="0"/>
        <v>7.2152509676046268</v>
      </c>
    </row>
    <row r="13" spans="1:29" ht="16" x14ac:dyDescent="0.2">
      <c r="A13" s="18" t="s">
        <v>11</v>
      </c>
      <c r="B13" s="5"/>
      <c r="C13" s="5"/>
      <c r="D13" s="5"/>
      <c r="E13" s="9">
        <v>0</v>
      </c>
      <c r="F13" s="5"/>
      <c r="G13" s="5"/>
      <c r="H13" s="5"/>
      <c r="I13" s="9">
        <v>0</v>
      </c>
      <c r="J13" s="5"/>
      <c r="K13" s="5"/>
      <c r="L13" s="5"/>
      <c r="M13" s="9">
        <v>0</v>
      </c>
      <c r="N13" s="5"/>
      <c r="O13" s="5"/>
      <c r="P13" s="5"/>
      <c r="Q13" s="9">
        <v>0</v>
      </c>
      <c r="T13">
        <v>12</v>
      </c>
      <c r="U13">
        <v>150</v>
      </c>
      <c r="V13">
        <v>1</v>
      </c>
      <c r="W13">
        <f>2*S12*1000/U13</f>
        <v>21.333333333333332</v>
      </c>
      <c r="X13">
        <f t="shared" si="0"/>
        <v>18.940033789962147</v>
      </c>
    </row>
    <row r="14" spans="1:29" ht="16" x14ac:dyDescent="0.2">
      <c r="A14" s="18" t="s">
        <v>12</v>
      </c>
      <c r="B14" s="5">
        <f>1.5*1.5*0.25*9+1.5*1.875*0.25*1</f>
        <v>5.765625</v>
      </c>
      <c r="C14" s="5">
        <f>0.25*0.35*(3-0.35)*10</f>
        <v>2.3187499999999996</v>
      </c>
      <c r="D14" s="5">
        <f>1.35*0.35*0.35*11</f>
        <v>1.8191249999999999</v>
      </c>
      <c r="E14" s="20">
        <f>SUM(B14:D14)/30</f>
        <v>0.33011666666666667</v>
      </c>
      <c r="F14" s="5">
        <f>30*1.6*0.25</f>
        <v>12</v>
      </c>
      <c r="G14" s="24">
        <f>0.5*(0.25+0.3)*2.55*10*(3-0.35)</f>
        <v>18.583124999999999</v>
      </c>
      <c r="H14" s="5">
        <f>2.55*0.35*0.35*11</f>
        <v>3.4361249999999988</v>
      </c>
      <c r="I14" s="21">
        <f>SUM(F14:H14)/30</f>
        <v>1.133975</v>
      </c>
      <c r="J14" s="5">
        <f>30*2*0.3</f>
        <v>18</v>
      </c>
      <c r="K14" s="5">
        <f>0.5*(0.25+0.3)*3.4*10*(3-0.35)</f>
        <v>24.777500000000003</v>
      </c>
      <c r="L14" s="5">
        <f>3.4*0.35*0.35*11</f>
        <v>4.5815000000000001</v>
      </c>
      <c r="M14" s="21">
        <f>SUM(J14:L14)/30</f>
        <v>1.5786333333333333</v>
      </c>
      <c r="N14" s="5">
        <f>30*2.6*0.3</f>
        <v>23.4</v>
      </c>
      <c r="O14" s="5">
        <f>0.5*(0.25+0.3)*4.4*10*(3-0.35)</f>
        <v>32.065000000000005</v>
      </c>
      <c r="P14" s="5">
        <f>4.4*0.35*0.35*11</f>
        <v>5.9289999999999994</v>
      </c>
      <c r="Q14" s="21">
        <f>SUM(N14:P14)/30</f>
        <v>2.0464666666666669</v>
      </c>
      <c r="W14" t="s">
        <v>63</v>
      </c>
      <c r="X14">
        <v>27.19061417083298</v>
      </c>
    </row>
    <row r="15" spans="1:29" ht="16" x14ac:dyDescent="0.2">
      <c r="A15" s="18" t="s">
        <v>13</v>
      </c>
      <c r="B15" s="5"/>
      <c r="C15" s="5">
        <f>30*0.25*0.25</f>
        <v>1.875</v>
      </c>
      <c r="D15" s="5">
        <f>3*0.35*0.35*11</f>
        <v>4.0424999999999995</v>
      </c>
      <c r="E15" s="9">
        <f>SUM(B15:D15)/30</f>
        <v>0.19724999999999998</v>
      </c>
      <c r="F15" s="5"/>
      <c r="G15" s="5">
        <f>30*0.25*0.25</f>
        <v>1.875</v>
      </c>
      <c r="H15" s="5">
        <f>3*0.35*0.35*11</f>
        <v>4.0424999999999995</v>
      </c>
      <c r="I15" s="9">
        <f>SUM(F15:H15)/30</f>
        <v>0.19724999999999998</v>
      </c>
      <c r="J15" s="5"/>
      <c r="K15" s="5">
        <f>30*0.25*0.25</f>
        <v>1.875</v>
      </c>
      <c r="L15" s="5">
        <f>3*0.35*0.35*11</f>
        <v>4.0424999999999995</v>
      </c>
      <c r="M15" s="9">
        <f>SUM(J15:L15)/30</f>
        <v>0.19724999999999998</v>
      </c>
      <c r="N15" s="5"/>
      <c r="O15" s="5">
        <f>30*0.25*0.25</f>
        <v>1.875</v>
      </c>
      <c r="P15" s="5">
        <f>3*0.35*0.35*11</f>
        <v>4.0424999999999995</v>
      </c>
      <c r="Q15" s="9">
        <f>SUM(N15:P15)/30</f>
        <v>0.19724999999999998</v>
      </c>
      <c r="W15" t="s">
        <v>64</v>
      </c>
      <c r="X15">
        <f>AA11*T7*11/30</f>
        <v>13.756657555642326</v>
      </c>
    </row>
    <row r="16" spans="1:29" ht="16" x14ac:dyDescent="0.2">
      <c r="A16" s="18" t="s">
        <v>14</v>
      </c>
      <c r="B16" s="5"/>
      <c r="C16" s="5"/>
      <c r="D16" s="5"/>
      <c r="E16" s="21">
        <f>Sheet1!H12</f>
        <v>41.590531212121206</v>
      </c>
      <c r="F16" s="5"/>
      <c r="G16" s="5"/>
      <c r="H16" s="5"/>
      <c r="I16" s="9">
        <f>X16</f>
        <v>113.62589345224275</v>
      </c>
      <c r="J16" s="5"/>
      <c r="K16" s="5"/>
      <c r="L16" s="5"/>
      <c r="M16" s="9">
        <f>X25</f>
        <v>168.68040786201246</v>
      </c>
      <c r="N16" s="5"/>
      <c r="O16" s="5"/>
      <c r="P16" s="5"/>
      <c r="Q16" s="9">
        <f>X34</f>
        <v>213.39792156797964</v>
      </c>
      <c r="T16">
        <f>2+2</f>
        <v>4</v>
      </c>
      <c r="U16" t="s">
        <v>57</v>
      </c>
      <c r="X16">
        <f>SUM(X9:X15)</f>
        <v>113.62589345224275</v>
      </c>
    </row>
    <row r="17" spans="1:24" x14ac:dyDescent="0.2">
      <c r="A17" s="19" t="s">
        <v>15</v>
      </c>
      <c r="B17" s="5"/>
      <c r="C17" s="5">
        <f>0.4*(0.7)*(10*(3-0.35))</f>
        <v>7.419999999999999</v>
      </c>
      <c r="D17" s="5"/>
      <c r="E17" s="9">
        <f>SUM(B17:D17)/30</f>
        <v>0.24733333333333329</v>
      </c>
      <c r="F17" s="5"/>
      <c r="G17" s="5">
        <v>0</v>
      </c>
      <c r="H17" s="5"/>
      <c r="I17" s="9">
        <f>SUM(F17:H17)/30</f>
        <v>0</v>
      </c>
      <c r="J17" s="5"/>
      <c r="K17" s="5">
        <v>0</v>
      </c>
      <c r="L17" s="5"/>
      <c r="M17" s="9">
        <f>SUM(J17:L17)/30</f>
        <v>0</v>
      </c>
      <c r="N17" s="5"/>
      <c r="O17" s="5">
        <v>0</v>
      </c>
      <c r="P17" s="5"/>
      <c r="Q17" s="9">
        <f>SUM(N17:P17)/30</f>
        <v>0</v>
      </c>
      <c r="S17" t="s">
        <v>38</v>
      </c>
      <c r="T17" t="s">
        <v>58</v>
      </c>
      <c r="U17" t="s">
        <v>59</v>
      </c>
      <c r="V17" s="3" t="s">
        <v>56</v>
      </c>
    </row>
    <row r="18" spans="1:24" x14ac:dyDescent="0.2">
      <c r="A18" s="19" t="s">
        <v>16</v>
      </c>
      <c r="B18" s="5"/>
      <c r="C18" s="5">
        <f>0.25*2.8*(10*(3-0.35))</f>
        <v>18.549999999999997</v>
      </c>
      <c r="D18" s="5"/>
      <c r="E18" s="9">
        <f>SUM(B18:D18)/30</f>
        <v>0.61833333333333329</v>
      </c>
      <c r="F18" s="5"/>
      <c r="G18" s="5">
        <f>0.25*2.8*10*(3-0.35)</f>
        <v>18.55</v>
      </c>
      <c r="H18" s="5"/>
      <c r="I18" s="9">
        <f>SUM(F18:H18)/30</f>
        <v>0.6183333333333334</v>
      </c>
      <c r="J18" s="5"/>
      <c r="K18" s="5">
        <f>0.25*2.8*10*(3-0.35)</f>
        <v>18.55</v>
      </c>
      <c r="L18" s="5"/>
      <c r="M18" s="9">
        <f>SUM(J18:L18)/30</f>
        <v>0.6183333333333334</v>
      </c>
      <c r="N18" s="5"/>
      <c r="O18" s="5">
        <f>0.25*2.8*10*(3-0.35)</f>
        <v>18.55</v>
      </c>
      <c r="P18" s="5"/>
      <c r="Q18" s="9">
        <f>SUM(N18:P18)/30</f>
        <v>0.6183333333333334</v>
      </c>
      <c r="T18">
        <v>8</v>
      </c>
      <c r="U18">
        <v>200</v>
      </c>
      <c r="V18">
        <v>1</v>
      </c>
      <c r="W18">
        <f>2*T16*1000/U18</f>
        <v>40</v>
      </c>
      <c r="X18">
        <f>W18*PI()*0.25*T18*T18*7850/1000000</f>
        <v>15.783361491635121</v>
      </c>
    </row>
    <row r="19" spans="1:24" ht="16" x14ac:dyDescent="0.2">
      <c r="A19" s="18" t="s">
        <v>17</v>
      </c>
      <c r="B19" s="5"/>
      <c r="C19" s="5">
        <f>0.25*10*(3-0.35)</f>
        <v>6.625</v>
      </c>
      <c r="D19" s="5"/>
      <c r="E19" s="9">
        <f>SUM(B19:D19)/30</f>
        <v>0.22083333333333333</v>
      </c>
      <c r="F19" s="5"/>
      <c r="G19" s="5">
        <f>0.25*10*(3-0.35)</f>
        <v>6.625</v>
      </c>
      <c r="H19" s="5"/>
      <c r="I19" s="9">
        <f>SUM(F19:H19)/30</f>
        <v>0.22083333333333333</v>
      </c>
      <c r="J19" s="5"/>
      <c r="K19" s="5">
        <f>0.25*10*(3-0.35)</f>
        <v>6.625</v>
      </c>
      <c r="L19" s="5"/>
      <c r="M19" s="9">
        <f>SUM(J19:L19)/30</f>
        <v>0.22083333333333333</v>
      </c>
      <c r="N19" s="5"/>
      <c r="O19" s="5">
        <f>0.25*10*(3-0.35)</f>
        <v>6.625</v>
      </c>
      <c r="P19" s="5"/>
      <c r="Q19" s="9">
        <f>SUM(N19:P19)/30</f>
        <v>0.22083333333333333</v>
      </c>
      <c r="T19">
        <v>16</v>
      </c>
      <c r="U19">
        <v>150</v>
      </c>
      <c r="V19">
        <v>1</v>
      </c>
      <c r="W19">
        <f>T16*1000/U19</f>
        <v>26.666666666666668</v>
      </c>
      <c r="X19">
        <f t="shared" ref="X19:X22" si="1">W19*PI()*0.25*T19*T19*7850/1000000</f>
        <v>42.088963977693652</v>
      </c>
    </row>
    <row r="20" spans="1:24" ht="16" x14ac:dyDescent="0.2">
      <c r="A20" s="18" t="s">
        <v>18</v>
      </c>
      <c r="B20" s="5"/>
      <c r="C20" s="5"/>
      <c r="D20" s="5"/>
      <c r="E20" s="9"/>
      <c r="F20" s="5"/>
      <c r="G20" s="5"/>
      <c r="H20" s="5"/>
      <c r="I20" s="9"/>
      <c r="J20" s="5"/>
      <c r="K20" s="5"/>
      <c r="L20" s="5"/>
      <c r="M20" s="9"/>
      <c r="N20" s="5"/>
      <c r="O20" s="5"/>
      <c r="P20" s="5"/>
      <c r="Q20" s="9"/>
      <c r="S20" t="s">
        <v>1</v>
      </c>
      <c r="T20">
        <v>10</v>
      </c>
      <c r="U20">
        <v>150</v>
      </c>
      <c r="V20">
        <v>1</v>
      </c>
      <c r="W20">
        <f>T16*1000/U20</f>
        <v>26.666666666666668</v>
      </c>
      <c r="X20">
        <f t="shared" si="1"/>
        <v>16.441001553786585</v>
      </c>
    </row>
    <row r="21" spans="1:24" ht="16" x14ac:dyDescent="0.2">
      <c r="A21" s="18" t="s">
        <v>19</v>
      </c>
      <c r="B21" s="5"/>
      <c r="C21" s="5"/>
      <c r="D21" s="5"/>
      <c r="E21" s="9"/>
      <c r="F21" s="5"/>
      <c r="G21" s="5"/>
      <c r="H21" s="5"/>
      <c r="I21" s="9"/>
      <c r="J21" s="5"/>
      <c r="K21" s="5"/>
      <c r="L21" s="5"/>
      <c r="M21" s="9"/>
      <c r="N21" s="5"/>
      <c r="O21" s="5"/>
      <c r="P21" s="5"/>
      <c r="Q21" s="9"/>
      <c r="S21">
        <v>2</v>
      </c>
      <c r="T21">
        <v>8</v>
      </c>
      <c r="U21">
        <v>200</v>
      </c>
      <c r="V21">
        <v>1</v>
      </c>
      <c r="W21">
        <f>2*S21*1000/U21</f>
        <v>20</v>
      </c>
      <c r="X21">
        <f t="shared" si="1"/>
        <v>7.8916807458175606</v>
      </c>
    </row>
    <row r="22" spans="1:24" ht="16" x14ac:dyDescent="0.2">
      <c r="A22" s="18" t="s">
        <v>20</v>
      </c>
      <c r="B22" s="5"/>
      <c r="C22" s="5">
        <f>30*3.2*2</f>
        <v>192</v>
      </c>
      <c r="D22" s="5"/>
      <c r="E22" s="9">
        <f>SUM(B22:D22)/30</f>
        <v>6.4</v>
      </c>
      <c r="F22" s="5"/>
      <c r="G22" s="5">
        <f>30*3.2*2</f>
        <v>192</v>
      </c>
      <c r="H22" s="5"/>
      <c r="I22" s="9">
        <f>SUM(F22:H22)/30</f>
        <v>6.4</v>
      </c>
      <c r="J22" s="5"/>
      <c r="K22" s="5">
        <f>30*3.2*2</f>
        <v>192</v>
      </c>
      <c r="L22" s="5"/>
      <c r="M22" s="9">
        <f>SUM(J22:L22)/30</f>
        <v>6.4</v>
      </c>
      <c r="N22" s="5"/>
      <c r="O22" s="5">
        <f>30*3.2*2</f>
        <v>192</v>
      </c>
      <c r="P22" s="5"/>
      <c r="Q22" s="9">
        <f>SUM(N22:P22)/30</f>
        <v>6.4</v>
      </c>
      <c r="T22">
        <v>16</v>
      </c>
      <c r="U22">
        <v>150</v>
      </c>
      <c r="V22">
        <v>1</v>
      </c>
      <c r="W22">
        <f>2*S21*1000/U22</f>
        <v>26.666666666666668</v>
      </c>
      <c r="X22">
        <f t="shared" si="1"/>
        <v>42.088963977693652</v>
      </c>
    </row>
    <row r="23" spans="1:24" ht="16" x14ac:dyDescent="0.2">
      <c r="A23" s="18" t="s">
        <v>21</v>
      </c>
      <c r="B23" s="5"/>
      <c r="C23" s="5">
        <f>C22</f>
        <v>192</v>
      </c>
      <c r="D23" s="5"/>
      <c r="E23" s="9">
        <f>SUM(B23:D23)/30</f>
        <v>6.4</v>
      </c>
      <c r="F23" s="5"/>
      <c r="G23" s="5">
        <f>G22</f>
        <v>192</v>
      </c>
      <c r="H23" s="5"/>
      <c r="I23" s="9">
        <f>SUM(F23:H23)/30</f>
        <v>6.4</v>
      </c>
      <c r="J23" s="5"/>
      <c r="K23" s="5">
        <f>K22</f>
        <v>192</v>
      </c>
      <c r="L23" s="5"/>
      <c r="M23" s="9">
        <f>SUM(J23:L23)/30</f>
        <v>6.4</v>
      </c>
      <c r="N23" s="5"/>
      <c r="O23" s="5">
        <f>O22</f>
        <v>192</v>
      </c>
      <c r="P23" s="5"/>
      <c r="Q23" s="9">
        <f>SUM(N23:P23)/30</f>
        <v>6.4</v>
      </c>
      <c r="W23" t="s">
        <v>63</v>
      </c>
      <c r="X23">
        <v>27.19061417083298</v>
      </c>
    </row>
    <row r="24" spans="1:24" ht="16" x14ac:dyDescent="0.2">
      <c r="A24" s="18" t="s">
        <v>22</v>
      </c>
      <c r="B24" s="5">
        <f t="shared" ref="B24:Q24" si="2">B23</f>
        <v>0</v>
      </c>
      <c r="C24" s="5">
        <f t="shared" si="2"/>
        <v>192</v>
      </c>
      <c r="D24" s="5">
        <f t="shared" si="2"/>
        <v>0</v>
      </c>
      <c r="E24" s="9">
        <f t="shared" si="2"/>
        <v>6.4</v>
      </c>
      <c r="F24" s="5">
        <f t="shared" si="2"/>
        <v>0</v>
      </c>
      <c r="G24" s="5">
        <f t="shared" si="2"/>
        <v>192</v>
      </c>
      <c r="H24" s="5">
        <f t="shared" si="2"/>
        <v>0</v>
      </c>
      <c r="I24" s="9">
        <f t="shared" si="2"/>
        <v>6.4</v>
      </c>
      <c r="J24" s="5">
        <f t="shared" si="2"/>
        <v>0</v>
      </c>
      <c r="K24" s="5">
        <f t="shared" si="2"/>
        <v>192</v>
      </c>
      <c r="L24" s="5">
        <f t="shared" si="2"/>
        <v>0</v>
      </c>
      <c r="M24" s="9">
        <f t="shared" si="2"/>
        <v>6.4</v>
      </c>
      <c r="N24" s="5">
        <f t="shared" si="2"/>
        <v>0</v>
      </c>
      <c r="O24" s="5">
        <f t="shared" si="2"/>
        <v>192</v>
      </c>
      <c r="P24" s="5">
        <f t="shared" si="2"/>
        <v>0</v>
      </c>
      <c r="Q24" s="9">
        <f t="shared" si="2"/>
        <v>6.4</v>
      </c>
      <c r="W24" t="s">
        <v>64</v>
      </c>
      <c r="X24">
        <f>AA11*T16*11/30</f>
        <v>17.195821944552907</v>
      </c>
    </row>
    <row r="25" spans="1:24" ht="16" x14ac:dyDescent="0.2">
      <c r="A25" s="18" t="s">
        <v>23</v>
      </c>
      <c r="B25" s="5"/>
      <c r="C25" s="5"/>
      <c r="D25" s="5"/>
      <c r="E25" s="9"/>
      <c r="F25" s="5"/>
      <c r="G25" s="5"/>
      <c r="H25" s="5"/>
      <c r="I25" s="9"/>
      <c r="J25" s="5"/>
      <c r="K25" s="5"/>
      <c r="L25" s="5"/>
      <c r="M25" s="9"/>
      <c r="N25" s="5"/>
      <c r="O25" s="5"/>
      <c r="P25" s="5"/>
      <c r="Q25" s="9"/>
      <c r="T25">
        <f>3+2</f>
        <v>5</v>
      </c>
      <c r="U25" t="s">
        <v>57</v>
      </c>
      <c r="X25">
        <f>SUM(X18:X24)</f>
        <v>168.68040786201246</v>
      </c>
    </row>
    <row r="26" spans="1:24" ht="16" x14ac:dyDescent="0.2">
      <c r="A26" s="18" t="s">
        <v>24</v>
      </c>
      <c r="B26" s="5"/>
      <c r="C26" s="5"/>
      <c r="D26" s="5">
        <f>2.2*4.5*11</f>
        <v>108.9</v>
      </c>
      <c r="E26" s="9">
        <f>SUM(B26:D26)/30</f>
        <v>3.6300000000000003</v>
      </c>
      <c r="F26" s="5"/>
      <c r="G26" s="5"/>
      <c r="H26" s="5">
        <f>2.2*4.5*11</f>
        <v>108.9</v>
      </c>
      <c r="I26" s="9">
        <f>SUM(F26:H26)/30</f>
        <v>3.6300000000000003</v>
      </c>
      <c r="J26" s="5"/>
      <c r="K26" s="5"/>
      <c r="L26" s="5">
        <f>2.2*4.5*11</f>
        <v>108.9</v>
      </c>
      <c r="M26" s="9">
        <f>SUM(J26:L26)/30</f>
        <v>3.6300000000000003</v>
      </c>
      <c r="N26" s="5"/>
      <c r="O26" s="5"/>
      <c r="P26" s="5">
        <f>2.2*4.5*11</f>
        <v>108.9</v>
      </c>
      <c r="Q26" s="9">
        <f>SUM(N26:P26)/30</f>
        <v>3.6300000000000003</v>
      </c>
      <c r="S26" t="s">
        <v>39</v>
      </c>
      <c r="T26" t="s">
        <v>58</v>
      </c>
      <c r="U26" t="s">
        <v>59</v>
      </c>
      <c r="V26" s="3" t="s">
        <v>56</v>
      </c>
    </row>
    <row r="27" spans="1:24" x14ac:dyDescent="0.2">
      <c r="A27" s="19" t="s">
        <v>25</v>
      </c>
      <c r="B27" s="5"/>
      <c r="C27" s="5">
        <v>30</v>
      </c>
      <c r="D27" s="5"/>
      <c r="E27" s="9">
        <f>SUM(B27:D27)/30</f>
        <v>1</v>
      </c>
      <c r="F27" s="5"/>
      <c r="G27" s="5">
        <v>30</v>
      </c>
      <c r="H27" s="5"/>
      <c r="I27" s="9">
        <f>SUM(F27:H27)/30</f>
        <v>1</v>
      </c>
      <c r="J27" s="5"/>
      <c r="K27" s="5">
        <v>30</v>
      </c>
      <c r="L27" s="5"/>
      <c r="M27" s="9">
        <f>SUM(J27:L27)/30</f>
        <v>1</v>
      </c>
      <c r="N27" s="5"/>
      <c r="O27" s="5">
        <v>30</v>
      </c>
      <c r="P27" s="5"/>
      <c r="Q27" s="9">
        <f>SUM(N27:P27)/30</f>
        <v>1</v>
      </c>
      <c r="T27">
        <v>8</v>
      </c>
      <c r="U27">
        <v>150</v>
      </c>
      <c r="V27">
        <v>1</v>
      </c>
      <c r="W27">
        <f>2*T25*1000/U27</f>
        <v>66.666666666666671</v>
      </c>
      <c r="X27">
        <f>W27*PI()*0.25*T27*T27*7850/1000000</f>
        <v>26.305602486058536</v>
      </c>
    </row>
    <row r="28" spans="1:24" x14ac:dyDescent="0.2">
      <c r="A28" s="19" t="s">
        <v>26</v>
      </c>
      <c r="B28" s="5"/>
      <c r="C28" s="5">
        <f>5*30</f>
        <v>150</v>
      </c>
      <c r="D28" s="5"/>
      <c r="E28" s="9">
        <f>SUM(B28:D28)/30</f>
        <v>5</v>
      </c>
      <c r="F28" s="5"/>
      <c r="G28" s="5">
        <f>5*30</f>
        <v>150</v>
      </c>
      <c r="H28" s="5"/>
      <c r="I28" s="9">
        <f>SUM(F28:H28)/30</f>
        <v>5</v>
      </c>
      <c r="J28" s="5"/>
      <c r="K28" s="5">
        <f>5*30</f>
        <v>150</v>
      </c>
      <c r="L28" s="5"/>
      <c r="M28" s="9">
        <f>SUM(J28:L28)/30</f>
        <v>5</v>
      </c>
      <c r="N28" s="5"/>
      <c r="O28" s="5">
        <f>5*30</f>
        <v>150</v>
      </c>
      <c r="P28" s="5"/>
      <c r="Q28" s="9">
        <f>SUM(N28:P28)/30</f>
        <v>5</v>
      </c>
      <c r="T28">
        <v>16</v>
      </c>
      <c r="U28">
        <v>125</v>
      </c>
      <c r="V28">
        <v>1</v>
      </c>
      <c r="W28">
        <f>T25*1000/U28</f>
        <v>40</v>
      </c>
      <c r="X28">
        <f t="shared" ref="X28:X31" si="3">W28*PI()*0.25*T28*T28*7850/1000000</f>
        <v>63.133445966540485</v>
      </c>
    </row>
    <row r="29" spans="1:24" ht="16" x14ac:dyDescent="0.2">
      <c r="A29" s="18" t="s">
        <v>27</v>
      </c>
      <c r="B29" s="5"/>
      <c r="C29" s="5"/>
      <c r="D29" s="5"/>
      <c r="E29" s="9">
        <v>0</v>
      </c>
      <c r="F29" s="5"/>
      <c r="G29" s="5"/>
      <c r="H29" s="5"/>
      <c r="I29" s="9">
        <v>0</v>
      </c>
      <c r="J29" s="5"/>
      <c r="K29" s="5"/>
      <c r="L29" s="5"/>
      <c r="M29" s="9">
        <v>0</v>
      </c>
      <c r="N29" s="5"/>
      <c r="O29" s="5"/>
      <c r="P29" s="5"/>
      <c r="Q29" s="9">
        <v>0</v>
      </c>
      <c r="S29" t="s">
        <v>1</v>
      </c>
      <c r="T29">
        <v>10</v>
      </c>
      <c r="U29">
        <v>125</v>
      </c>
      <c r="V29">
        <v>1</v>
      </c>
      <c r="W29">
        <f>T25*1000/U29</f>
        <v>40</v>
      </c>
      <c r="X29">
        <f t="shared" si="3"/>
        <v>24.661502330679877</v>
      </c>
    </row>
    <row r="30" spans="1:24" x14ac:dyDescent="0.2">
      <c r="S30">
        <v>2.6</v>
      </c>
      <c r="T30">
        <v>8</v>
      </c>
      <c r="U30">
        <v>150</v>
      </c>
      <c r="V30">
        <v>1</v>
      </c>
      <c r="W30">
        <f>2*S30*1000/U30</f>
        <v>34.666666666666664</v>
      </c>
      <c r="X30">
        <f t="shared" si="3"/>
        <v>13.678913292750437</v>
      </c>
    </row>
    <row r="31" spans="1:24" x14ac:dyDescent="0.2">
      <c r="T31">
        <v>12</v>
      </c>
      <c r="U31">
        <v>125</v>
      </c>
      <c r="V31">
        <v>1</v>
      </c>
      <c r="W31">
        <f>2*S30*1000/U31</f>
        <v>41.6</v>
      </c>
      <c r="X31">
        <f t="shared" si="3"/>
        <v>36.933065890426178</v>
      </c>
    </row>
    <row r="32" spans="1:24" x14ac:dyDescent="0.2">
      <c r="W32" t="s">
        <v>63</v>
      </c>
      <c r="X32">
        <v>27.19061417083298</v>
      </c>
    </row>
    <row r="33" spans="23:24" x14ac:dyDescent="0.2">
      <c r="W33" t="s">
        <v>64</v>
      </c>
      <c r="X33">
        <f>AA11*T25*11/30</f>
        <v>21.494777430691137</v>
      </c>
    </row>
    <row r="34" spans="23:24" x14ac:dyDescent="0.2">
      <c r="X34">
        <f>SUM(X27:X33)</f>
        <v>213.39792156797964</v>
      </c>
    </row>
  </sheetData>
  <mergeCells count="1">
    <mergeCell ref="B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27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3.6640625" bestFit="1" customWidth="1"/>
    <col min="3" max="3" width="16.5" bestFit="1" customWidth="1"/>
  </cols>
  <sheetData>
    <row r="2" spans="1:8" x14ac:dyDescent="0.2">
      <c r="A2" t="s">
        <v>53</v>
      </c>
    </row>
    <row r="3" spans="1:8" x14ac:dyDescent="0.2">
      <c r="B3" t="s">
        <v>81</v>
      </c>
      <c r="C3" t="s">
        <v>78</v>
      </c>
      <c r="D3" t="s">
        <v>79</v>
      </c>
      <c r="E3" t="s">
        <v>80</v>
      </c>
    </row>
    <row r="4" spans="1:8" x14ac:dyDescent="0.2">
      <c r="A4" t="s">
        <v>1</v>
      </c>
      <c r="B4">
        <v>9</v>
      </c>
      <c r="C4">
        <f>2*(1.4/0.2+1)</f>
        <v>15.999999999999998</v>
      </c>
      <c r="D4">
        <f>1.75</f>
        <v>1.75</v>
      </c>
      <c r="E4">
        <v>0.88900000000000001</v>
      </c>
      <c r="G4">
        <f>E4*D4*C4*B4</f>
        <v>224.02799999999996</v>
      </c>
    </row>
    <row r="5" spans="1:8" x14ac:dyDescent="0.2">
      <c r="B5">
        <v>1</v>
      </c>
      <c r="C5">
        <v>8</v>
      </c>
      <c r="D5">
        <f>1.75+2.15</f>
        <v>3.9</v>
      </c>
      <c r="E5">
        <v>0.88900000000000001</v>
      </c>
      <c r="G5">
        <f>E5*D5*C5*B5</f>
        <v>27.736799999999999</v>
      </c>
    </row>
    <row r="6" spans="1:8" x14ac:dyDescent="0.2">
      <c r="A6" t="s">
        <v>2</v>
      </c>
      <c r="B6">
        <v>11</v>
      </c>
      <c r="C6">
        <v>8</v>
      </c>
      <c r="D6">
        <f>2.2+3.2</f>
        <v>5.4</v>
      </c>
      <c r="E6">
        <v>0.88900000000000001</v>
      </c>
      <c r="G6">
        <f>E6*D6*C6*B6</f>
        <v>422.45280000000002</v>
      </c>
    </row>
    <row r="7" spans="1:8" x14ac:dyDescent="0.2">
      <c r="A7" t="s">
        <v>82</v>
      </c>
      <c r="B7">
        <v>11</v>
      </c>
      <c r="C7">
        <v>34</v>
      </c>
      <c r="D7">
        <f>0.25*4+0.15</f>
        <v>1.1499999999999999</v>
      </c>
      <c r="E7">
        <v>0.39500000000000002</v>
      </c>
      <c r="G7">
        <f>E7*D7*C7*B7</f>
        <v>169.8895</v>
      </c>
    </row>
    <row r="8" spans="1:8" x14ac:dyDescent="0.2">
      <c r="A8" t="s">
        <v>0</v>
      </c>
      <c r="B8">
        <v>30</v>
      </c>
      <c r="C8">
        <v>5</v>
      </c>
      <c r="D8">
        <v>1</v>
      </c>
      <c r="E8">
        <v>0.88900000000000001</v>
      </c>
      <c r="G8">
        <f>E8*D8*C8*B8</f>
        <v>133.35000000000002</v>
      </c>
    </row>
    <row r="9" spans="1:8" x14ac:dyDescent="0.2">
      <c r="A9" t="s">
        <v>83</v>
      </c>
      <c r="B9">
        <f>1+30/0.15</f>
        <v>201</v>
      </c>
      <c r="C9">
        <v>1</v>
      </c>
      <c r="D9">
        <v>0.93</v>
      </c>
      <c r="E9">
        <v>0.39500000000000002</v>
      </c>
      <c r="G9">
        <f t="shared" ref="G9:G11" si="0">E9*D9*C9*B9</f>
        <v>73.837350000000001</v>
      </c>
    </row>
    <row r="10" spans="1:8" x14ac:dyDescent="0.2">
      <c r="A10" t="s">
        <v>0</v>
      </c>
      <c r="B10">
        <v>30</v>
      </c>
      <c r="C10">
        <v>4</v>
      </c>
      <c r="D10">
        <v>1</v>
      </c>
      <c r="E10">
        <v>0.88900000000000001</v>
      </c>
      <c r="G10">
        <f t="shared" si="0"/>
        <v>106.68</v>
      </c>
    </row>
    <row r="11" spans="1:8" x14ac:dyDescent="0.2">
      <c r="A11" t="s">
        <v>83</v>
      </c>
      <c r="B11">
        <f>1+30/0.11</f>
        <v>273.72727272727275</v>
      </c>
      <c r="C11">
        <v>1</v>
      </c>
      <c r="D11">
        <v>0.83</v>
      </c>
      <c r="E11">
        <v>0.39500000000000002</v>
      </c>
      <c r="G11">
        <f t="shared" si="0"/>
        <v>89.741486363636369</v>
      </c>
    </row>
    <row r="12" spans="1:8" x14ac:dyDescent="0.2">
      <c r="H12">
        <f>SUM(G4:G11)/30</f>
        <v>41.590531212121206</v>
      </c>
    </row>
    <row r="15" spans="1:8" x14ac:dyDescent="0.2">
      <c r="A15" t="s">
        <v>39</v>
      </c>
    </row>
    <row r="16" spans="1:8" x14ac:dyDescent="0.2">
      <c r="A16" t="s">
        <v>1</v>
      </c>
    </row>
    <row r="17" spans="1:8" x14ac:dyDescent="0.2">
      <c r="A17" t="s">
        <v>84</v>
      </c>
      <c r="B17">
        <f>1+30/0.125</f>
        <v>241</v>
      </c>
      <c r="C17">
        <v>1</v>
      </c>
      <c r="D17">
        <v>2.9</v>
      </c>
      <c r="E17">
        <v>0.61599999999999999</v>
      </c>
      <c r="G17">
        <f>E17*D17*C17*B17</f>
        <v>430.5224</v>
      </c>
    </row>
    <row r="18" spans="1:8" x14ac:dyDescent="0.2">
      <c r="A18" t="s">
        <v>86</v>
      </c>
      <c r="B18">
        <f>1+30/0.125</f>
        <v>241</v>
      </c>
      <c r="C18">
        <v>1</v>
      </c>
      <c r="D18">
        <v>2.9</v>
      </c>
      <c r="E18">
        <v>1.579</v>
      </c>
      <c r="G18">
        <f t="shared" ref="G18:G19" si="1">E18*D18*C18*B18</f>
        <v>1103.5630999999998</v>
      </c>
    </row>
    <row r="19" spans="1:8" x14ac:dyDescent="0.2">
      <c r="A19" t="s">
        <v>85</v>
      </c>
      <c r="B19">
        <f>1+2.6/0.15</f>
        <v>18.333333333333336</v>
      </c>
      <c r="C19">
        <v>2</v>
      </c>
      <c r="D19">
        <v>30</v>
      </c>
      <c r="E19">
        <v>0.39500000000000002</v>
      </c>
      <c r="G19">
        <f t="shared" si="1"/>
        <v>434.50000000000011</v>
      </c>
    </row>
    <row r="20" spans="1:8" x14ac:dyDescent="0.2">
      <c r="A20" t="s">
        <v>87</v>
      </c>
      <c r="B20">
        <f>1+30/0.125</f>
        <v>241</v>
      </c>
      <c r="C20">
        <v>1</v>
      </c>
      <c r="D20">
        <v>5</v>
      </c>
      <c r="E20">
        <v>1.579</v>
      </c>
      <c r="G20">
        <f>E20*D20*C20*B20</f>
        <v>1902.6949999999999</v>
      </c>
    </row>
    <row r="21" spans="1:8" x14ac:dyDescent="0.2">
      <c r="B21">
        <f>1+30/0.125</f>
        <v>241</v>
      </c>
      <c r="C21">
        <v>1</v>
      </c>
      <c r="D21">
        <v>5</v>
      </c>
      <c r="E21">
        <v>0.61599999999999999</v>
      </c>
      <c r="G21">
        <f t="shared" ref="G21:G22" si="2">E21*D21*C21*B21</f>
        <v>742.28</v>
      </c>
    </row>
    <row r="22" spans="1:8" x14ac:dyDescent="0.2">
      <c r="A22" t="s">
        <v>85</v>
      </c>
      <c r="B22">
        <f>1+4.6/0.15</f>
        <v>31.666666666666664</v>
      </c>
      <c r="C22">
        <v>2</v>
      </c>
      <c r="D22">
        <v>30</v>
      </c>
      <c r="E22">
        <v>0.39500000000000002</v>
      </c>
      <c r="G22">
        <f t="shared" si="2"/>
        <v>750.5</v>
      </c>
    </row>
    <row r="23" spans="1:8" x14ac:dyDescent="0.2">
      <c r="A23" t="s">
        <v>2</v>
      </c>
      <c r="B23">
        <v>11</v>
      </c>
      <c r="C23">
        <v>8</v>
      </c>
      <c r="D23">
        <v>3.2</v>
      </c>
      <c r="E23">
        <v>0.88900000000000001</v>
      </c>
      <c r="G23">
        <f>E23*D23*C23*B23</f>
        <v>250.34240000000003</v>
      </c>
    </row>
    <row r="24" spans="1:8" x14ac:dyDescent="0.2">
      <c r="A24" t="s">
        <v>82</v>
      </c>
      <c r="B24">
        <v>11</v>
      </c>
      <c r="C24">
        <f>3.2/0.15</f>
        <v>21.333333333333336</v>
      </c>
      <c r="D24">
        <f>0.25*4+0.15</f>
        <v>1.1499999999999999</v>
      </c>
      <c r="E24">
        <v>0.39500000000000002</v>
      </c>
      <c r="G24">
        <f>E24*D24*C24*B24</f>
        <v>106.59733333333334</v>
      </c>
    </row>
    <row r="25" spans="1:8" x14ac:dyDescent="0.2">
      <c r="A25" t="s">
        <v>0</v>
      </c>
      <c r="B25">
        <v>30</v>
      </c>
      <c r="C25">
        <v>4</v>
      </c>
      <c r="D25">
        <v>1</v>
      </c>
      <c r="E25">
        <v>0.88900000000000001</v>
      </c>
      <c r="G25">
        <f t="shared" ref="G25:G26" si="3">E25*D25*C25*B25</f>
        <v>106.68</v>
      </c>
    </row>
    <row r="26" spans="1:8" x14ac:dyDescent="0.2">
      <c r="A26" t="s">
        <v>83</v>
      </c>
      <c r="B26">
        <f>1+30/0.11</f>
        <v>273.72727272727275</v>
      </c>
      <c r="C26">
        <v>1</v>
      </c>
      <c r="D26">
        <v>0.83</v>
      </c>
      <c r="E26">
        <v>0.39500000000000002</v>
      </c>
      <c r="G26">
        <f t="shared" si="3"/>
        <v>89.741486363636369</v>
      </c>
    </row>
    <row r="27" spans="1:8" x14ac:dyDescent="0.2">
      <c r="H27">
        <f>SUM(G17:G26)/30</f>
        <v>197.24739065656567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BOQ (MAIN)</vt:lpstr>
      <vt:lpstr>Ref</vt:lpstr>
      <vt:lpstr>Calc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2023-11-10T23:29:00Z</dcterms:modified>
</cp:coreProperties>
</file>