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28"/>
  <workbookPr filterPrivacy="1" defaultThemeVersion="124226"/>
  <xr:revisionPtr revIDLastSave="0" documentId="13_ncr:1_{E22FE205-07F1-A240-BE55-450861891B20}" xr6:coauthVersionLast="47" xr6:coauthVersionMax="47" xr10:uidLastSave="{00000000-0000-0000-0000-000000000000}"/>
  <bookViews>
    <workbookView xWindow="0" yWindow="500" windowWidth="28800" windowHeight="16260" xr2:uid="{00000000-000D-0000-FFFF-FFFF00000000}"/>
  </bookViews>
  <sheets>
    <sheet name="Pump Selection (Main Sheet)" sheetId="4" r:id="rId1"/>
    <sheet name="Pipe Selection" sheetId="5" r:id="rId2"/>
    <sheet name="Notes" sheetId="1" r:id="rId3"/>
    <sheet name="DataSheet" sheetId="2" r:id="rId4"/>
    <sheet name="TSV" sheetId="7" r:id="rId5"/>
  </sheets>
  <definedNames>
    <definedName name="g" comment="Acceleration due to gravity">'Pump Selection (Main Sheet)'!$B$7</definedName>
    <definedName name="Re" localSheetId="0">'Pump Selection (Main Sheet)'!$I$9</definedName>
    <definedName name="Res" comment="Reynold's Number Suction side" localSheetId="0">'Pump Selection (Main Sheet)'!$I$6</definedName>
    <definedName name="Rho" comment="Density in Kg/M3">'Pump Selection (Main Sheet)'!$B$4</definedName>
    <definedName name="V" comment="Mean / Average Velocity" localSheetId="0">'Pump Selection (Main Sheet)'!$I$5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1" i="7" l="1"/>
  <c r="F14" i="7"/>
  <c r="F13" i="7"/>
  <c r="E9" i="7"/>
  <c r="F3" i="7"/>
  <c r="E6" i="7"/>
  <c r="E7" i="7" s="1"/>
  <c r="K11" i="7" l="1"/>
  <c r="L11" i="7" s="1"/>
  <c r="N11" i="7" s="1"/>
  <c r="N12" i="7" s="1"/>
  <c r="O12" i="7" s="1"/>
  <c r="E10" i="7"/>
  <c r="E11" i="7" s="1"/>
  <c r="C7" i="5"/>
  <c r="E12" i="7" l="1"/>
  <c r="G9" i="7"/>
  <c r="H9" i="7" s="1"/>
  <c r="B10" i="4" l="1"/>
  <c r="B20" i="4" l="1"/>
  <c r="L19" i="4" l="1"/>
  <c r="B22" i="4"/>
  <c r="B23" i="4"/>
  <c r="B24" i="4"/>
  <c r="B25" i="4"/>
  <c r="B26" i="4"/>
  <c r="B12" i="4"/>
  <c r="B13" i="4"/>
  <c r="B14" i="4"/>
  <c r="B15" i="4"/>
  <c r="B16" i="4"/>
  <c r="B11" i="4"/>
  <c r="AK15" i="4"/>
  <c r="AP2" i="4"/>
  <c r="AQ2" i="4"/>
  <c r="AR2" i="4"/>
  <c r="AS2" i="4"/>
  <c r="AT2" i="4"/>
  <c r="AU2" i="4"/>
  <c r="AV2" i="4"/>
  <c r="AW2" i="4"/>
  <c r="AX2" i="4"/>
  <c r="AY2" i="4"/>
  <c r="AZ2" i="4"/>
  <c r="BA2" i="4"/>
  <c r="BB2" i="4"/>
  <c r="BC2" i="4"/>
  <c r="BD2" i="4"/>
  <c r="BE2" i="4"/>
  <c r="BF2" i="4"/>
  <c r="BG2" i="4"/>
  <c r="AO2" i="4"/>
  <c r="AM5" i="4"/>
  <c r="AM6" i="4"/>
  <c r="AM7" i="4"/>
  <c r="AM8" i="4"/>
  <c r="AM9" i="4"/>
  <c r="AM10" i="4"/>
  <c r="AM11" i="4"/>
  <c r="AM4" i="4"/>
  <c r="AY3" i="4" l="1"/>
  <c r="AZ3" i="4" s="1"/>
  <c r="BA3" i="4" s="1"/>
  <c r="BB3" i="4" s="1"/>
  <c r="BC3" i="4" s="1"/>
  <c r="AP7" i="4"/>
  <c r="AQ7" i="4"/>
  <c r="AR7" i="4"/>
  <c r="AS7" i="4"/>
  <c r="AT7" i="4"/>
  <c r="AU7" i="4"/>
  <c r="AW7" i="4"/>
  <c r="AX7" i="4"/>
  <c r="AY7" i="4"/>
  <c r="BA7" i="4"/>
  <c r="BD7" i="4"/>
  <c r="AO7" i="4"/>
  <c r="AZ6" i="4"/>
  <c r="AZ8" i="4"/>
  <c r="AZ9" i="4"/>
  <c r="AZ10" i="4"/>
  <c r="AZ11" i="4"/>
  <c r="AZ5" i="4"/>
  <c r="BB5" i="4"/>
  <c r="BC5" i="4" s="1"/>
  <c r="BB6" i="4"/>
  <c r="BC6" i="4" s="1"/>
  <c r="BB8" i="4"/>
  <c r="BC8" i="4" s="1"/>
  <c r="BB9" i="4"/>
  <c r="BC9" i="4" s="1"/>
  <c r="BB10" i="4"/>
  <c r="BC10" i="4" s="1"/>
  <c r="BB11" i="4"/>
  <c r="BC11" i="4" s="1"/>
  <c r="BE5" i="4"/>
  <c r="BE6" i="4"/>
  <c r="BF6" i="4" s="1"/>
  <c r="BG6" i="4" s="1"/>
  <c r="BE8" i="4"/>
  <c r="BF8" i="4" s="1"/>
  <c r="BG8" i="4" s="1"/>
  <c r="BE9" i="4"/>
  <c r="BF9" i="4" s="1"/>
  <c r="BG9" i="4" s="1"/>
  <c r="BE10" i="4"/>
  <c r="BF10" i="4" s="1"/>
  <c r="BG10" i="4" s="1"/>
  <c r="BE11" i="4"/>
  <c r="BF11" i="4" s="1"/>
  <c r="BG11" i="4" s="1"/>
  <c r="BF5" i="4"/>
  <c r="BG5" i="4" s="1"/>
  <c r="AV5" i="4"/>
  <c r="AV6" i="4"/>
  <c r="AV8" i="4"/>
  <c r="AV9" i="4"/>
  <c r="AV10" i="4"/>
  <c r="AV11" i="4"/>
  <c r="AV4" i="4"/>
  <c r="AV7" i="4" s="1"/>
  <c r="BE4" i="4"/>
  <c r="BE7" i="4" s="1"/>
  <c r="BB4" i="4"/>
  <c r="BB7" i="4" s="1"/>
  <c r="AZ4" i="4"/>
  <c r="AZ7" i="4" s="1"/>
  <c r="AY12" i="4"/>
  <c r="AZ12" i="4" s="1"/>
  <c r="BA12" i="4" s="1"/>
  <c r="BB12" i="4" s="1"/>
  <c r="BC12" i="4" s="1"/>
  <c r="BD12" i="4" s="1"/>
  <c r="BE12" i="4" s="1"/>
  <c r="BF12" i="4" s="1"/>
  <c r="BG12" i="4" s="1"/>
  <c r="B21" i="4"/>
  <c r="BC4" i="4" l="1"/>
  <c r="BC7" i="4" s="1"/>
  <c r="BF4" i="4"/>
  <c r="BD3" i="4"/>
  <c r="BE3" i="4" s="1"/>
  <c r="BF3" i="4" s="1"/>
  <c r="BG3" i="4" s="1"/>
  <c r="B29" i="4"/>
  <c r="BF7" i="4" l="1"/>
  <c r="BG4" i="4"/>
  <c r="BG7" i="4" s="1"/>
  <c r="AI5" i="4"/>
  <c r="B8" i="4" l="1"/>
  <c r="AN15" i="4" s="1"/>
  <c r="B9" i="4"/>
  <c r="B18" i="4"/>
  <c r="B28" i="4"/>
  <c r="F10" i="4"/>
  <c r="B7" i="4"/>
  <c r="C2" i="5" s="1"/>
  <c r="C3" i="5" s="1"/>
  <c r="C8" i="5" s="1"/>
  <c r="C10" i="5" s="1"/>
  <c r="F20" i="4"/>
  <c r="B4" i="4"/>
  <c r="B3" i="4"/>
  <c r="B17" i="4" l="1"/>
  <c r="I17" i="4" s="1"/>
  <c r="K19" i="4"/>
  <c r="B27" i="4"/>
  <c r="I16" i="4" s="1"/>
  <c r="B19" i="4"/>
  <c r="F29" i="4"/>
  <c r="I20" i="4"/>
  <c r="I5" i="4"/>
  <c r="I15" i="4" s="1"/>
  <c r="AC1" i="4"/>
  <c r="AN24" i="4"/>
  <c r="AN25" i="4"/>
  <c r="AN23" i="4"/>
  <c r="AK13" i="4"/>
  <c r="AN22" i="4"/>
  <c r="AN26" i="4"/>
  <c r="AN21" i="4"/>
  <c r="AK14" i="4"/>
  <c r="AN16" i="4"/>
  <c r="AN20" i="4"/>
  <c r="AN19" i="4"/>
  <c r="AN17" i="4"/>
  <c r="AN18" i="4"/>
  <c r="B5" i="4"/>
  <c r="B6" i="4" s="1"/>
  <c r="E38" i="1"/>
  <c r="E34" i="1"/>
  <c r="D33" i="1"/>
  <c r="E33" i="1" s="1"/>
  <c r="F33" i="1" l="1"/>
  <c r="L16" i="4"/>
  <c r="K16" i="4"/>
  <c r="I21" i="4"/>
  <c r="I22" i="4" s="1"/>
  <c r="K22" i="4" s="1"/>
  <c r="K17" i="4"/>
  <c r="L17" i="4"/>
  <c r="L15" i="4"/>
  <c r="K15" i="4"/>
  <c r="I9" i="4"/>
  <c r="I10" i="4" s="1"/>
  <c r="D37" i="1"/>
  <c r="E39" i="1"/>
  <c r="D39" i="1" s="1"/>
  <c r="F39" i="1" s="1"/>
  <c r="I4" i="4"/>
  <c r="I6" i="4" l="1"/>
  <c r="I7" i="4" s="1"/>
  <c r="I14" i="4"/>
  <c r="AL1" i="4"/>
  <c r="D2" i="1"/>
  <c r="L14" i="4" l="1"/>
  <c r="K14" i="4"/>
  <c r="AL2" i="4"/>
  <c r="D25" i="1"/>
  <c r="D8" i="1"/>
  <c r="I10" i="1" l="1"/>
  <c r="B3" i="2"/>
  <c r="B4" i="2" s="1"/>
  <c r="D6" i="1"/>
  <c r="D3" i="1" s="1"/>
  <c r="D11" i="1"/>
  <c r="D13" i="1" l="1"/>
  <c r="D14" i="1" s="1"/>
  <c r="D26" i="1"/>
  <c r="D27" i="1" s="1"/>
  <c r="D28" i="1" s="1"/>
  <c r="D9" i="1"/>
  <c r="F7" i="1"/>
  <c r="E7" i="1" l="1"/>
  <c r="G7" i="1"/>
  <c r="D16" i="1"/>
  <c r="AD20" i="4" l="1"/>
  <c r="I11" i="4" s="1"/>
  <c r="AC20" i="4"/>
  <c r="AB20" i="4"/>
  <c r="AC17" i="4"/>
  <c r="AD17" i="4"/>
  <c r="I8" i="4" s="1"/>
  <c r="AB17" i="4"/>
  <c r="F26" i="4" l="1"/>
  <c r="F21" i="4"/>
  <c r="F24" i="4"/>
  <c r="F23" i="4"/>
  <c r="F25" i="4"/>
  <c r="F22" i="4"/>
  <c r="F16" i="4"/>
  <c r="F14" i="4"/>
  <c r="I13" i="4" l="1"/>
  <c r="I18" i="4" s="1"/>
  <c r="I12" i="4"/>
  <c r="F30" i="4"/>
  <c r="F31" i="4" s="1"/>
  <c r="L12" i="4" l="1"/>
  <c r="I3" i="4"/>
  <c r="L13" i="4"/>
  <c r="I23" i="4"/>
  <c r="K13" i="4"/>
  <c r="K18" i="4"/>
  <c r="K12" i="4"/>
  <c r="L18" i="4" l="1"/>
  <c r="K23" i="4"/>
  <c r="I24" i="4" s="1"/>
  <c r="K24"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7" authorId="0" shapeId="0" xr:uid="{00000000-0006-0000-0300-000001000000}">
      <text>
        <r>
          <rPr>
            <b/>
            <sz val="9"/>
            <color indexed="81"/>
            <rFont val="Tahoma"/>
            <family val="2"/>
          </rPr>
          <t>Author:</t>
        </r>
        <r>
          <rPr>
            <sz val="9"/>
            <color indexed="81"/>
            <rFont val="Tahoma"/>
            <family val="2"/>
          </rPr>
          <t xml:space="preserve">
Blausius Eqn</t>
        </r>
      </text>
    </comment>
  </commentList>
</comments>
</file>

<file path=xl/sharedStrings.xml><?xml version="1.0" encoding="utf-8"?>
<sst xmlns="http://schemas.openxmlformats.org/spreadsheetml/2006/main" count="521" uniqueCount="403">
  <si>
    <t>V</t>
  </si>
  <si>
    <t>L</t>
  </si>
  <si>
    <t>g</t>
  </si>
  <si>
    <t>D</t>
  </si>
  <si>
    <t>f</t>
  </si>
  <si>
    <t>h</t>
  </si>
  <si>
    <t>Dia of pipe</t>
  </si>
  <si>
    <t>Head loss</t>
  </si>
  <si>
    <t>Density</t>
  </si>
  <si>
    <t>Rho</t>
  </si>
  <si>
    <t>Kinematic Viscosity</t>
  </si>
  <si>
    <t>Dynamic Viscosity</t>
  </si>
  <si>
    <t>Characteristic Length</t>
  </si>
  <si>
    <t>Reynold's Number</t>
  </si>
  <si>
    <t>Mu</t>
  </si>
  <si>
    <t>Nu</t>
  </si>
  <si>
    <t>l</t>
  </si>
  <si>
    <t>Re</t>
  </si>
  <si>
    <t>Kinematic Viscosity of LPG</t>
  </si>
  <si>
    <t>N-S/M2</t>
  </si>
  <si>
    <t>Pipe length</t>
  </si>
  <si>
    <t>We need to decrease pipe size with increasing velosity, to keep Reynold number in laminar range</t>
  </si>
  <si>
    <t>Type of flow (for pipes)</t>
  </si>
  <si>
    <t>Dynamic Viscosity of Propane</t>
  </si>
  <si>
    <t>Engineeringtoolbox.com</t>
  </si>
  <si>
    <t>LPG Pup Data sheet KEPL</t>
  </si>
  <si>
    <t>one stoke = 10 ^ -4 M2/s, one Cstockes = 10^-6M2/s</t>
  </si>
  <si>
    <t>Pa</t>
  </si>
  <si>
    <t>Q</t>
  </si>
  <si>
    <t>M3/Sec</t>
  </si>
  <si>
    <t>M2/s</t>
  </si>
  <si>
    <t>Head loss to be calculated based on rated pump discharge &amp; based on proper selection of low velosity &amp; pipe diameter combination.</t>
  </si>
  <si>
    <t>Calculation of pump head (for design)</t>
  </si>
  <si>
    <t>Calculation of pump head (operating condition)</t>
  </si>
  <si>
    <t>Maxm Head required at filling gun+ Maxm static head discharge side+Maxm head loss with rated Q- Min static head suction side - Min vappor pressure of LPG in MSV</t>
  </si>
  <si>
    <t xml:space="preserve"> Act head required at filling gun + actual static head discharge side +Head loss with instant Q - Act Static head suction side - Act vapor pressure of LPG at given tempr</t>
  </si>
  <si>
    <t>Darcy Weishbathc co-efficeint of friction</t>
  </si>
  <si>
    <t>Friction factor</t>
  </si>
  <si>
    <t>For Re&lt;2000</t>
  </si>
  <si>
    <t>4000&lt;Re&lt;100000</t>
  </si>
  <si>
    <t>Re Beyond 100000 (Approximation)</t>
  </si>
  <si>
    <t xml:space="preserve">Actual Eqn for Re beyond 1000000 is in RK Bansal Pg 452(it can be solved by trial error method only) along with other formulas written here. </t>
  </si>
  <si>
    <t>Smooth pipes</t>
  </si>
  <si>
    <t>For rough pipes &amp; commercial pipes formula is RK bansal page 452 to be solved by trial error method, it includes roughness factor k)</t>
  </si>
  <si>
    <t>Chezy's formula</t>
  </si>
  <si>
    <t>Chezy's Consstant</t>
  </si>
  <si>
    <t>C</t>
  </si>
  <si>
    <t>Article 10.3.1 in RK bansal pg 436</t>
  </si>
  <si>
    <t>Chezy's f' = Density * darcy's friction co-efficent / 2</t>
  </si>
  <si>
    <t>m</t>
  </si>
  <si>
    <t>Area / Perimeter Ration for pipe</t>
  </si>
  <si>
    <t>Head loss per meter</t>
  </si>
  <si>
    <t>Net Head loss</t>
  </si>
  <si>
    <t>i=h/L</t>
  </si>
  <si>
    <t>Page 466 RK Bansal</t>
  </si>
  <si>
    <t>Usualy it is given independent of darcy's co-ficient.</t>
  </si>
  <si>
    <t>Head loss by Chezy's formula usualy larger than Darcy's</t>
  </si>
  <si>
    <t>Check Chezy's also</t>
  </si>
  <si>
    <t>Check Darcy's also</t>
  </si>
  <si>
    <t>Calculate by trial error also.</t>
  </si>
  <si>
    <t>Desired Flow</t>
  </si>
  <si>
    <t>M3/s</t>
  </si>
  <si>
    <t>Diameter of pipe</t>
  </si>
  <si>
    <t>M</t>
  </si>
  <si>
    <t>Desity</t>
  </si>
  <si>
    <t>Kinamatic Viscosity</t>
  </si>
  <si>
    <t>Kg/M3</t>
  </si>
  <si>
    <t>Discharge head (required)</t>
  </si>
  <si>
    <t>Discharge side elevation (wrt pump's eye)</t>
  </si>
  <si>
    <t>Suction  head (available, if any)</t>
  </si>
  <si>
    <t>After Pump is purchased</t>
  </si>
  <si>
    <t>Efficiency</t>
  </si>
  <si>
    <t>Actual flow</t>
  </si>
  <si>
    <t>Velosity</t>
  </si>
  <si>
    <t>Velocity head required to maintaine flow</t>
  </si>
  <si>
    <t>KL/Hr</t>
  </si>
  <si>
    <t>LPM</t>
  </si>
  <si>
    <t>LPS</t>
  </si>
  <si>
    <t>Suction side elevation (wrt pump's eye)</t>
  </si>
  <si>
    <t>Sp Gravity</t>
  </si>
  <si>
    <t>Kg/L</t>
  </si>
  <si>
    <t>No</t>
  </si>
  <si>
    <t>M/s</t>
  </si>
  <si>
    <t>Re&lt;2000</t>
  </si>
  <si>
    <t>2000&lt;Re&lt;100000</t>
  </si>
  <si>
    <t>Re&gt;100000</t>
  </si>
  <si>
    <t>Delivery Pipe Diameter</t>
  </si>
  <si>
    <t>Suction Pipe Diameter</t>
  </si>
  <si>
    <t>ft</t>
  </si>
  <si>
    <t>Acceleration due to gravity</t>
  </si>
  <si>
    <t>Velocity in delivery side</t>
  </si>
  <si>
    <t>Velosity in suction side</t>
  </si>
  <si>
    <t>Reynold's Number suction side</t>
  </si>
  <si>
    <t>Reynold's Number Delivery side</t>
  </si>
  <si>
    <t>Type of Flow suction side</t>
  </si>
  <si>
    <t>Type of flow Delivery side</t>
  </si>
  <si>
    <t>Kg/cm2</t>
  </si>
  <si>
    <t>Rated Flow</t>
  </si>
  <si>
    <t>Rated Head</t>
  </si>
  <si>
    <t>Rated Speed</t>
  </si>
  <si>
    <t>Specific Speed</t>
  </si>
  <si>
    <t>Actual Head of connected piping</t>
  </si>
  <si>
    <t>N-s/m2</t>
  </si>
  <si>
    <t>Delivery Elevation + Head Required</t>
  </si>
  <si>
    <t>Suction Elevation + Head Available</t>
  </si>
  <si>
    <t>kW</t>
  </si>
  <si>
    <t>Unit</t>
  </si>
  <si>
    <t>This for design Head vs Design flow only, for actual head vs flow you need to refer pump perfromance curve</t>
  </si>
  <si>
    <t>In design H vs Q graph, Q increases with increase in H (this can be called pumps graph), Q can be obtained by specifics speed method</t>
  </si>
  <si>
    <t>When pump is connected to real load, Q decreases with increase in load(H), Q can be obtained by performance curve ( perfornce curve can be called load's H vs Q graph)</t>
  </si>
  <si>
    <t>Don’t confuse design curve with load curve</t>
  </si>
  <si>
    <t>Head of pump is irrespective of liquid - It is work done on per unit weight of liquid per second.</t>
  </si>
  <si>
    <t>162m head pump will generate same head for water, petrol diesle or LPG but pressure generated will be different based on density</t>
  </si>
  <si>
    <t>St</t>
  </si>
  <si>
    <t>cSt</t>
  </si>
  <si>
    <t>Poise</t>
  </si>
  <si>
    <t>cPoise</t>
  </si>
  <si>
    <t>KM</t>
  </si>
  <si>
    <t>Suction Pipe Length</t>
  </si>
  <si>
    <t>Delivery Pipe Length</t>
  </si>
  <si>
    <t>Units</t>
  </si>
  <si>
    <t>Flow</t>
  </si>
  <si>
    <t>D Viscosity</t>
  </si>
  <si>
    <t>K Viscosity</t>
  </si>
  <si>
    <t>Acceleration</t>
  </si>
  <si>
    <t>M/s2</t>
  </si>
  <si>
    <t>Length</t>
  </si>
  <si>
    <t>Pressure/Head</t>
  </si>
  <si>
    <t>Psi</t>
  </si>
  <si>
    <t>Rho*g  =</t>
  </si>
  <si>
    <t>&lt;Empty&gt;</t>
  </si>
  <si>
    <t>Pipe Side</t>
  </si>
  <si>
    <t>mm</t>
  </si>
  <si>
    <t>cm</t>
  </si>
  <si>
    <t>M3/Kg</t>
  </si>
  <si>
    <t>Inch</t>
  </si>
  <si>
    <t>Unitless</t>
  </si>
  <si>
    <t>Delivery side friction factor</t>
  </si>
  <si>
    <t>Suction Side friction factor</t>
  </si>
  <si>
    <t>Head is irrespective of media, Prove it</t>
  </si>
  <si>
    <t>Variable</t>
  </si>
  <si>
    <t>SI Value</t>
  </si>
  <si>
    <t>Value</t>
  </si>
  <si>
    <t>SI Unit</t>
  </si>
  <si>
    <t xml:space="preserve">Kg/cm2 </t>
  </si>
  <si>
    <t>Pump Selection</t>
  </si>
  <si>
    <t>Indipendent Variables</t>
  </si>
  <si>
    <t>Dependent Variables</t>
  </si>
  <si>
    <t>Pumping Power Required</t>
  </si>
  <si>
    <t>Brake Power</t>
  </si>
  <si>
    <t>Motor Power</t>
  </si>
  <si>
    <t>Rs/ Unit</t>
  </si>
  <si>
    <t>Electricity Board Coversion Rate</t>
  </si>
  <si>
    <t>HP</t>
  </si>
  <si>
    <t>Monthly Power loss Due to selected Dia</t>
  </si>
  <si>
    <t>Rs / Month Due to Selected Dia</t>
  </si>
  <si>
    <t>Rs</t>
  </si>
  <si>
    <t>Valve Type</t>
  </si>
  <si>
    <t>Gate Valve</t>
  </si>
  <si>
    <t>Ball Valve</t>
  </si>
  <si>
    <t>Globe Valve</t>
  </si>
  <si>
    <t>Plug Valve</t>
  </si>
  <si>
    <t>Bends</t>
  </si>
  <si>
    <t>90 Elbow</t>
  </si>
  <si>
    <t>45 Elbow</t>
  </si>
  <si>
    <t xml:space="preserve"> Tee - Thru flow</t>
  </si>
  <si>
    <t xml:space="preserve"> Tee - Thru branch</t>
  </si>
  <si>
    <t>Unit /Type</t>
  </si>
  <si>
    <t>K Factors</t>
  </si>
  <si>
    <t>Suction side number of fittings / Valves -1</t>
  </si>
  <si>
    <t>Suction side number of fittings / Valves -2</t>
  </si>
  <si>
    <t>Suction side number of fittings / Valves -3</t>
  </si>
  <si>
    <t>Suction side number of fittings / Valves -4</t>
  </si>
  <si>
    <t>Suction side number of fittings / Valves -5</t>
  </si>
  <si>
    <t>Suction side number of fittings / Valves -6</t>
  </si>
  <si>
    <t>Delivery side number of fittings / Valves -1</t>
  </si>
  <si>
    <t>Delivery side number of fittings / Valves -2</t>
  </si>
  <si>
    <t>Delivery side number of fittings / Valves -3</t>
  </si>
  <si>
    <t>Delivery side number of fittings / Valves -4</t>
  </si>
  <si>
    <t>Delivery side number of fittings / Valves -5</t>
  </si>
  <si>
    <t>Delivery side number of fittings / Valves -6</t>
  </si>
  <si>
    <t>Suction side</t>
  </si>
  <si>
    <t>Deliveryside</t>
  </si>
  <si>
    <t>Velocity</t>
  </si>
  <si>
    <t>Head</t>
  </si>
  <si>
    <t>Delivery dia</t>
  </si>
  <si>
    <t>Suction dia</t>
  </si>
  <si>
    <t>Valve type</t>
  </si>
  <si>
    <t>S Type1</t>
  </si>
  <si>
    <t>S Type2</t>
  </si>
  <si>
    <t>S Type3</t>
  </si>
  <si>
    <t>S Type4</t>
  </si>
  <si>
    <t>S Type5</t>
  </si>
  <si>
    <t>S Type6</t>
  </si>
  <si>
    <t>D Type1</t>
  </si>
  <si>
    <t>D Type2</t>
  </si>
  <si>
    <t>D Type3</t>
  </si>
  <si>
    <t>D Type4</t>
  </si>
  <si>
    <t>D Type5</t>
  </si>
  <si>
    <t>D Type6</t>
  </si>
  <si>
    <t>k value</t>
  </si>
  <si>
    <t>Multiphy Quantity &amp; velocity head</t>
  </si>
  <si>
    <t>Darcy's friction factor Suction side</t>
  </si>
  <si>
    <t>Darcy's  friction factor delivery side</t>
  </si>
  <si>
    <t xml:space="preserve">Head loss in suction side </t>
  </si>
  <si>
    <t>Head loss in delivery side</t>
  </si>
  <si>
    <t>Head loss at entry &amp; exit</t>
  </si>
  <si>
    <t>Head Required</t>
  </si>
  <si>
    <t>NPSH - Available</t>
  </si>
  <si>
    <t>Vapor Pressure at working temperature</t>
  </si>
  <si>
    <t xml:space="preserve">Head Selected </t>
  </si>
  <si>
    <t>Brake Eff</t>
  </si>
  <si>
    <t>Motor Eff</t>
  </si>
  <si>
    <t>Annually</t>
  </si>
  <si>
    <t xml:space="preserve"> From Working Guide to Pumps and Pumping Stations by Menon (2010)</t>
  </si>
  <si>
    <t>by RK Bansal</t>
  </si>
  <si>
    <t>~ L (M)</t>
  </si>
  <si>
    <t>Globe Valve  / NRV</t>
  </si>
  <si>
    <t>(-ve if below)</t>
  </si>
  <si>
    <t>Internal Pressure</t>
  </si>
  <si>
    <t>Media</t>
  </si>
  <si>
    <t>Mpa</t>
  </si>
  <si>
    <t>External Dia</t>
  </si>
  <si>
    <t>Tickness</t>
  </si>
  <si>
    <t>E</t>
  </si>
  <si>
    <t>Weld Joint Factor</t>
  </si>
  <si>
    <t>Design Factor</t>
  </si>
  <si>
    <t>F</t>
  </si>
  <si>
    <t>Yeild Strength</t>
  </si>
  <si>
    <t>Y</t>
  </si>
  <si>
    <t>S</t>
  </si>
  <si>
    <t>D/t Ratio</t>
  </si>
  <si>
    <t>Maxm Allowable hoop stress</t>
  </si>
  <si>
    <t>Design Pressure</t>
  </si>
  <si>
    <t xml:space="preserve">Media </t>
  </si>
  <si>
    <t>Water</t>
  </si>
  <si>
    <t>Air</t>
  </si>
  <si>
    <t>Gasoline</t>
  </si>
  <si>
    <t>Diesel</t>
  </si>
  <si>
    <t>Ethanol</t>
  </si>
  <si>
    <t>BioDiesel</t>
  </si>
  <si>
    <t>LPG</t>
  </si>
  <si>
    <t>Other</t>
  </si>
  <si>
    <t>Kerosene</t>
  </si>
  <si>
    <t>Code</t>
  </si>
  <si>
    <t>IS 1239 -1</t>
  </si>
  <si>
    <t>Light</t>
  </si>
  <si>
    <t xml:space="preserve">Heavy </t>
  </si>
  <si>
    <t>Medium</t>
  </si>
  <si>
    <t>Size upto 168mm</t>
  </si>
  <si>
    <t>Size more than 168mm</t>
  </si>
  <si>
    <t>IS 8539 -1</t>
  </si>
  <si>
    <t>Minimum 320mpa tensile stregth, thickness varies with class</t>
  </si>
  <si>
    <t>Choose suitable class by comparing D/t ratio in all classes for give D</t>
  </si>
  <si>
    <t>Yellow band</t>
  </si>
  <si>
    <t>Red band</t>
  </si>
  <si>
    <t>Blue Band</t>
  </si>
  <si>
    <t>Marking - Color band</t>
  </si>
  <si>
    <t>Maximum permisible Pressure</t>
  </si>
  <si>
    <t>Designation</t>
  </si>
  <si>
    <t>Chemical composition</t>
  </si>
  <si>
    <t>Minimum Hydrotest Pressure</t>
  </si>
  <si>
    <t>5Mpa minimum for 3 hours with water. It can be done by eddy current method also as described in code.</t>
  </si>
  <si>
    <t>For steam/ Water / Air puprpose</t>
  </si>
  <si>
    <t>For for seavage/ Water / Air puprpose</t>
  </si>
  <si>
    <t>Scope</t>
  </si>
  <si>
    <t>This standard ( Part 1 ) covers the requirements for welded and seamless plain end or screwed and socketed steel tubes intended for use for water, non-hazardous gas, air and steam. This standard is applicable to tubes of size 6 mm nominal bore to ISO mm nominal bore.</t>
  </si>
  <si>
    <t>To standard applies to seamless an dwelded carbon steel pipe for seavage and water carying purpose fro outside dia 168.3mm to 2540mm.</t>
  </si>
  <si>
    <t>Fe330</t>
  </si>
  <si>
    <t>Fe410</t>
  </si>
  <si>
    <t>De450</t>
  </si>
  <si>
    <t>Pipe designation to be written as method of manufacture then grade number.
Method of manufacture - ERW or SAW or S for seamless , size of pipe indicates outer dia, unlike in is1239 where size was written for nominal bore.
ERW- Fe410 means ERW manufactured pipe with minimum tensile strength 410Mpa</t>
  </si>
  <si>
    <t>Match from Code for chemical composition / laddle analysis and permissible variation</t>
  </si>
  <si>
    <t>Minimum 330mpa tensile stregth, 4 thickness variations are there in ocde for each OD selected, Choose suitable thickness by comparing D/t ratio in all classes for give D</t>
  </si>
  <si>
    <t>Minimum 410mpa tensile stregth, 4 thickness variations are there in ocde for each OD selected, Choose suitable thickness by comparing D/t ratio in all classes for give D</t>
  </si>
  <si>
    <t>Minimum 450mpa tensile stregth, 4 thickness variations are there in ocde for each OD selected, Choose suitable thickness by comparing D/t ratio in all classes for give D</t>
  </si>
  <si>
    <t>IS 1239-2 L</t>
  </si>
  <si>
    <t>IS1239-2 H</t>
  </si>
  <si>
    <t>IS 1239-M</t>
  </si>
  <si>
    <t>Manufacturer name -OD - wall thickness - Method of manufacture -maximum tensile stregth. Eg. ABC Company 508.0 8 SAW 410</t>
  </si>
  <si>
    <t>for screwed/ socket end pipes refer table A1 in code, for butt welded, flanged coupling pipes Pmax will 2.06Mpa &amp; Tmax will be 260 deg celcius</t>
  </si>
  <si>
    <t>5Mpa minimum for 3 hours with water.</t>
  </si>
  <si>
    <t>??</t>
  </si>
  <si>
    <t>Read IS 1239-2 for fittings/ forged type manuacturing</t>
  </si>
  <si>
    <t>ASTM A106</t>
  </si>
  <si>
    <t>Grade/Class</t>
  </si>
  <si>
    <t xml:space="preserve">This speciﬁcation2 covers seamless carbon steel pipe for high-temperature service (Note 1) in NPS 1⁄8 to NPS 48 inclusive, with nominal (average) wall thickness as given in ANSI B 36.10. </t>
  </si>
  <si>
    <t>Match from Code for grade wise chemical composition / laddle analysis and permissible variation</t>
  </si>
  <si>
    <t>A</t>
  </si>
  <si>
    <t>B</t>
  </si>
  <si>
    <t>For High temperature /LPG</t>
  </si>
  <si>
    <t>Minimum 330mpa tensile stregth(210YS), Pipe schedule &amp; thickness variations are there in code ASTM A106 (Cross verify with ASMEB36.10) for each OD selected, Choose suitable thickness by comparing D/t ratio in all classes for give D</t>
  </si>
  <si>
    <t>Minimum 415mpa tensile stregth(240YS),  Pipe schedule &amp; thickness variations are there in codeASTM A106 (Cross verify with ASMEB36.10) for each OD selected, Choose suitable thickness by comparing D/t ratio in all classes for give D</t>
  </si>
  <si>
    <t>Minimum 485mpa tensile stregth(275 YS), Pipe schedule &amp; thickness variations are there in codeASTM A106 (Cross verify with ASMEB36.10) for each OD selected, Choose suitable thickness by comparing D/t ratio in all classes for give D</t>
  </si>
  <si>
    <t xml:space="preserve">Marking as per ASME  A 530/A 530M </t>
  </si>
  <si>
    <t>Marking - Embosing with code</t>
  </si>
  <si>
    <t xml:space="preserve">Hydrotest as per ASME  A 530/A 530M </t>
  </si>
  <si>
    <t>NPS 1⁄8 to NPS 48</t>
  </si>
  <si>
    <t>ASME B.36.10</t>
  </si>
  <si>
    <t>This specification coveres standardization of dimension of welded and seamless wrought steel pipes for hig or low temperature of pressure</t>
  </si>
  <si>
    <t>Pipe NPS12 (DN 300) size or smaller have outside diameter numericaly larger than teir corresponding sizes. In contrast, the outside diameter of tubes are identical to thr size  number for all sizes.</t>
  </si>
  <si>
    <t>Dimesional stard for pipe described here are covered in respective ASTM codes (for chemical composition/ material strength)</t>
  </si>
  <si>
    <t>Selection of wall thickness depends primarily upon capacity to resist internal pressure under given condition, this designer shall calculateexact value of wall thickness suitable for ccondition for which pipe is required as prescribed in detail in ASME boiler &amp; pressure code B31 code for pressure piping or other similar code whichever governs the construction thickness shall be selected from table 1 to suit the condition for which the pipe is desired.</t>
  </si>
  <si>
    <t>Variatou schedule based on D/t ration or thickness. (Refer table 1 of code)</t>
  </si>
  <si>
    <t xml:space="preserve">ASME A 530/A 530M </t>
  </si>
  <si>
    <t xml:space="preserve">Welding procedure should conform to ASME SEC IX/API 1104 as applicable </t>
  </si>
  <si>
    <t xml:space="preserve"> welding electrode conforming to IS 814</t>
  </si>
  <si>
    <t>This speciﬁcation covers a group of requirements which  are mandatory requirements to the ASTM pipe product speciﬁcations noted below unless the product speciﬁcation speciﬁes different requirements, in which case the requirement of the product speciﬁcation shall prevail. 
 In case of conﬂict between a requirement of the product speciﬁcation and a requirement of this general requirement speciﬁcation, only the requirement of the product speciﬁcation need be satisﬁed.</t>
  </si>
  <si>
    <t>Rerer code for product marking, designation will be accordance with individual code</t>
  </si>
  <si>
    <t>Refer code for certified test report requirement to be prodcued by manufacturer,
Certiﬁed test report shall include the following information and test results, when applicable: 22.2.1 Heat Number, 22.2.2 Heat Analysis, 22.2.3 Product Analysis, if speciﬁed or required, 22.2.4 Tensile Properties, 22.2.5 Width of the gage length, when longitudinal strip tension test specimens are used, 22.2.6 Bend Test acceptable, 22.2.7 Flattening Test acceptable, 22.2.8 Hydrostatic Test pressure 22.2.9 Non-destructive Electric Test method, 22.2.10 Impact Test results, and 22.2.11 Other test results or information required to be reported by the product speciﬁcation</t>
  </si>
  <si>
    <t xml:space="preserve">2.1 each length of pipe shall be tested by the manufacturer to a hydrostatic pressure which will produce in the pipe wall a stress not less that 60 % of the minimum speciﬁed yield strength for carbon and ferritic alloy steel pipe, or 50 % of the speciﬁed minimum yield strength for austenitic alloy steel pipe. The test pressure or stress shall be determined by the following equation: P = 2St/D or S= PD/2t .
The hydrostatic test pressure determined by the equation shall be rounded to the nearest 50 psi [0.5 MPa] for pressures below 1000 psi [7 MPa], and to the nearest 100 psi [1 MPa] for pressures 1000 psi [7 MPa] and above. The hydrostatic test may be performed prior to cutting to ﬁnal length, or prior to upsetting, swaging, expanding, bending, or other forming operations
Regardless of pipe-wall stress-level determined by Eq 3, the minimum hydrostatic test pressure required to satisfy these requirements need not exceed 2500 psi [17.0 MPa] for outside diameters (see D in 21.1) of 3.5 in. [88.9 mm] or less, nor 2800 psi [19.0 MPa] for outside diameters over 3.5 in. [88.9 mm]. This does not prohibit testing at higher pressures at the manufacturer’s option or as provided in 21.3.
21.3 With concurrence of the manufacturer, a minimum hydrostatic test pressure in excess of the requirements of 21.2 or 21.1, or both, may be stated on the order
 The test pressure shall be held for a minimum of 5 s, without resultant leakage through the pipe wall. For welded pipe, the test pressure shall be held for a time sufficient to permit the inspector to examine the entire length of the welded seam. 
</t>
  </si>
  <si>
    <t>As per respecive specification</t>
  </si>
  <si>
    <t>See hydrotest pressure section</t>
  </si>
  <si>
    <t>Minimum tesnile /YS to be as per respective code. Minimum thickness(tolerance) corresponding to pipe thickness selected from any ASTM code is listed in tableX1.1 of code.</t>
  </si>
  <si>
    <t>Test, tolerance, strength, marking &amp; other detailed specification for al ASTM pipe codes // Supplementary</t>
  </si>
  <si>
    <t xml:space="preserve">Standardization of dimension// Supplymentry </t>
  </si>
  <si>
    <t>Metal-Arc-Welded Steel Pipe for Use With HighPressure Transmission Systems</t>
  </si>
  <si>
    <t>A 381</t>
  </si>
  <si>
    <t>Centrifugally Cast Ferritic Alloy Steel Pipe for HighTemperature Service</t>
  </si>
  <si>
    <t>A 426</t>
  </si>
  <si>
    <t>Centrifugally Cast Austenitic Steel Pipe for HighTemperature Service</t>
  </si>
  <si>
    <t>A 451</t>
  </si>
  <si>
    <t>Seamless Carbon Steel Pipe for Atmospheric and Lower Temperatures</t>
  </si>
  <si>
    <t>A 524</t>
  </si>
  <si>
    <t>Centrifugally Cast Iron-Chromium-Nickel High-Alloy Tubing for Pressure Application at High Temperatures</t>
  </si>
  <si>
    <t>A 608</t>
  </si>
  <si>
    <t>Centrifugally Cast Carbon Steel Pipe for HighTemperature Service</t>
  </si>
  <si>
    <t>A 660</t>
  </si>
  <si>
    <t>Electric-Fusion-Welded Steel Pipe for Atmospheric and Lower Temperatures</t>
  </si>
  <si>
    <t>A 671</t>
  </si>
  <si>
    <t>Electric-Fusion-Welded Steel Pipe for High-Pressure Service at Moderate Temperatures</t>
  </si>
  <si>
    <t>A 672</t>
  </si>
  <si>
    <t>3A</t>
  </si>
  <si>
    <t>3B</t>
  </si>
  <si>
    <t xml:space="preserve">Steel tube scovered byt his standard shall be designated by their nominal bore and shall be further classified as light, medium and heavy depending on the wall thickness; and screwed and socketed or plain-end/ bevel-end to denote end condition, and black or galvanized to denote surface condition.
 Steel tubes shall be manufactured by one ofthe following processes:
a) HOI-finishedseamless (HFS); b) Electric resistance welded (ERW); c) High frequency induction welded (HFIW); d) Hot-finished welded (HFW); and
e) Cold-finished seamless (CDS)
Light, medium and heavy tubes shall be either welded or seamless as agreed to between the purchaser and the manufacturer
All electric welded tubes used for steam services shall be normalized. Only medium and heavy class of tube shall normally be used for steam services.
For steam service, extra white band to be provided.
Where tubes are required to be galvanized, the zinc coating on the tubes shall be in accordance with IS 4736.
</t>
  </si>
  <si>
    <t>GI coating with IS 4736.</t>
  </si>
  <si>
    <t>4A</t>
  </si>
  <si>
    <t>4B</t>
  </si>
  <si>
    <t>4C</t>
  </si>
  <si>
    <t>4D</t>
  </si>
  <si>
    <t>4E</t>
  </si>
  <si>
    <t>4F</t>
  </si>
  <si>
    <t>4G</t>
  </si>
  <si>
    <t>ASME B31.1</t>
  </si>
  <si>
    <t>ASME B31.2</t>
  </si>
  <si>
    <t>ASME B31.3</t>
  </si>
  <si>
    <t>ASME B31.4</t>
  </si>
  <si>
    <t>ASME B31.5</t>
  </si>
  <si>
    <t>Pipeline transportation sytem for liquid hydrocarbons and othe liquids // Design procedure for pipes (Parent document of ASTM A series)</t>
  </si>
  <si>
    <t>Power Piping</t>
  </si>
  <si>
    <t>Fuel gas piping</t>
  </si>
  <si>
    <t>Process piping</t>
  </si>
  <si>
    <t>Refrigeration piping and heat transfer components</t>
  </si>
  <si>
    <t>Gas transmission &amp; distributio piing system</t>
  </si>
  <si>
    <t>ASME B31.8</t>
  </si>
  <si>
    <t>Managing system intigrity of gas pipeline</t>
  </si>
  <si>
    <t>ASME B31.9</t>
  </si>
  <si>
    <t xml:space="preserve">Slurry Transportation piping system </t>
  </si>
  <si>
    <t>ASME B31.11</t>
  </si>
  <si>
    <t>Hydrogen piping &amp; pipelines</t>
  </si>
  <si>
    <t>ASME B31.12</t>
  </si>
  <si>
    <t>Manual for determining remaining strength of corroded pipe</t>
  </si>
  <si>
    <t>ASME B31G</t>
  </si>
  <si>
    <t>4H</t>
  </si>
  <si>
    <t>4I</t>
  </si>
  <si>
    <t>4J</t>
  </si>
  <si>
    <t>Apart from Hydro static test, flattening test is impportant to check ductility of pipe</t>
  </si>
  <si>
    <t>Ordering information</t>
  </si>
  <si>
    <t>Refer code for detailed ordering information</t>
  </si>
  <si>
    <t>Pipe fittings</t>
  </si>
  <si>
    <t>Welding Procedure</t>
  </si>
  <si>
    <t>Bend</t>
  </si>
  <si>
    <t>Tee</t>
  </si>
  <si>
    <t>Reducer</t>
  </si>
  <si>
    <t>Flange</t>
  </si>
  <si>
    <t>Gasket</t>
  </si>
  <si>
    <t>Welding rod</t>
  </si>
  <si>
    <t>Weld procedure</t>
  </si>
  <si>
    <t>Additional requirement</t>
  </si>
  <si>
    <t>GI coating</t>
  </si>
  <si>
    <t>Threading</t>
  </si>
  <si>
    <t>API 5L</t>
  </si>
  <si>
    <t>IS 2712</t>
  </si>
  <si>
    <t>ANSI B 16.21</t>
  </si>
  <si>
    <t>Compare spec provided for itme by firecon for each item</t>
  </si>
  <si>
    <t>Nuts &amp; Bols</t>
  </si>
  <si>
    <t>Paintings</t>
  </si>
  <si>
    <t>Blasting / surface preperation</t>
  </si>
  <si>
    <t>Matrial Std</t>
  </si>
  <si>
    <t>Dimension std</t>
  </si>
  <si>
    <t>Pressure</t>
  </si>
  <si>
    <t>Kg</t>
  </si>
  <si>
    <t>Pascal</t>
  </si>
  <si>
    <t>Exit Velo</t>
  </si>
  <si>
    <t>Dia</t>
  </si>
  <si>
    <t>Area</t>
  </si>
  <si>
    <t>N</t>
  </si>
  <si>
    <t>Do</t>
  </si>
  <si>
    <t>Di</t>
  </si>
  <si>
    <t>2. Currency and electricity prices are given using INR currency same can be modified as per the requirement</t>
  </si>
  <si>
    <t>Note: 1. Please edit yellow highted shells only. This can be done by providing parametric input or selecting a data from the drop down as applicable.</t>
  </si>
  <si>
    <t xml:space="preserve">3. User is required to provide the physical properties of the fluid being pumped &amp; number of valvles / fittings </t>
  </si>
  <si>
    <t>4. Designer must carefully select the sizes of the suction and delivery pipes to balance between material cost and pumping cost over design life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</si>
</sst>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0000"/>
    <numFmt numFmtId="165" formatCode="0.0000000"/>
    <numFmt numFmtId="166" formatCode="0.0000000000000"/>
    <numFmt numFmtId="167" formatCode="0.000"/>
  </numFmts>
  <fonts count="9" x14ac:knownFonts="1">
    <font>
      <sz val="11"/>
      <color theme="1"/>
      <name val="Calibri"/>
      <family val="2"/>
      <scheme val="minor"/>
    </font>
    <font>
      <sz val="11"/>
      <color rgb="FF222222"/>
      <name val="Arial"/>
      <family val="2"/>
    </font>
    <font>
      <sz val="9"/>
      <color indexed="81"/>
      <name val="Tahoma"/>
      <family val="2"/>
    </font>
    <font>
      <b/>
      <sz val="9"/>
      <color indexed="81"/>
      <name val="Tahoma"/>
      <family val="2"/>
    </font>
    <font>
      <sz val="11"/>
      <color theme="1"/>
      <name val="Calibri"/>
      <family val="2"/>
      <scheme val="minor"/>
    </font>
    <font>
      <b/>
      <sz val="11"/>
      <color theme="1"/>
      <name val="Calibri"/>
      <family val="2"/>
      <scheme val="minor"/>
    </font>
    <font>
      <b/>
      <sz val="12"/>
      <color theme="1"/>
      <name val="Calibri"/>
      <family val="2"/>
      <scheme val="minor"/>
    </font>
    <font>
      <b/>
      <sz val="22"/>
      <color theme="1"/>
      <name val="Calibri"/>
      <family val="2"/>
      <scheme val="minor"/>
    </font>
    <font>
      <b/>
      <sz val="12"/>
      <color theme="1"/>
      <name val="Times New Roman"/>
      <family val="1"/>
    </font>
  </fonts>
  <fills count="9">
    <fill>
      <patternFill patternType="none"/>
    </fill>
    <fill>
      <patternFill patternType="gray125"/>
    </fill>
    <fill>
      <patternFill patternType="solid">
        <fgColor theme="2" tint="-0.249977111117893"/>
        <bgColor indexed="64"/>
      </patternFill>
    </fill>
    <fill>
      <patternFill patternType="solid">
        <fgColor rgb="FFFFFF00"/>
        <bgColor indexed="64"/>
      </patternFill>
    </fill>
    <fill>
      <patternFill patternType="solid">
        <fgColor theme="6" tint="0.39997558519241921"/>
        <bgColor indexed="64"/>
      </patternFill>
    </fill>
    <fill>
      <patternFill patternType="solid">
        <fgColor rgb="FFFFFF66"/>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rgb="FF00B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9" fontId="4" fillId="0" borderId="0" applyFont="0" applyFill="0" applyBorder="0" applyAlignment="0" applyProtection="0"/>
  </cellStyleXfs>
  <cellXfs count="41">
    <xf numFmtId="0" fontId="0" fillId="0" borderId="0" xfId="0"/>
    <xf numFmtId="0" fontId="1" fillId="0" borderId="0" xfId="0" applyFont="1"/>
    <xf numFmtId="164" fontId="0" fillId="0" borderId="0" xfId="0" applyNumberFormat="1"/>
    <xf numFmtId="0" fontId="0" fillId="2" borderId="0" xfId="0" applyFill="1"/>
    <xf numFmtId="9" fontId="0" fillId="0" borderId="0" xfId="1" applyFont="1"/>
    <xf numFmtId="165" fontId="0" fillId="0" borderId="0" xfId="0" applyNumberFormat="1"/>
    <xf numFmtId="166" fontId="0" fillId="0" borderId="0" xfId="0" applyNumberFormat="1"/>
    <xf numFmtId="0" fontId="0" fillId="3" borderId="0" xfId="0" applyFill="1"/>
    <xf numFmtId="0" fontId="5" fillId="0" borderId="0" xfId="0" applyFont="1"/>
    <xf numFmtId="0" fontId="0" fillId="4" borderId="1" xfId="0" applyFill="1" applyBorder="1"/>
    <xf numFmtId="0" fontId="0" fillId="5" borderId="1" xfId="0" applyFill="1" applyBorder="1"/>
    <xf numFmtId="0" fontId="0" fillId="6" borderId="1" xfId="0" applyFill="1" applyBorder="1"/>
    <xf numFmtId="0" fontId="0" fillId="6" borderId="1" xfId="0" applyFill="1" applyBorder="1" applyAlignment="1">
      <alignment vertical="center"/>
    </xf>
    <xf numFmtId="0" fontId="0" fillId="4" borderId="1" xfId="0" applyFill="1" applyBorder="1" applyAlignment="1">
      <alignment horizontal="right"/>
    </xf>
    <xf numFmtId="0" fontId="0" fillId="7" borderId="1" xfId="0" applyFill="1" applyBorder="1"/>
    <xf numFmtId="0" fontId="0" fillId="7" borderId="5" xfId="0" applyFill="1" applyBorder="1"/>
    <xf numFmtId="0" fontId="0" fillId="4" borderId="7" xfId="0" applyFill="1" applyBorder="1"/>
    <xf numFmtId="0" fontId="0" fillId="7" borderId="8" xfId="0" applyFill="1" applyBorder="1"/>
    <xf numFmtId="0" fontId="0" fillId="6" borderId="9" xfId="0" applyFill="1" applyBorder="1"/>
    <xf numFmtId="0" fontId="0" fillId="5" borderId="4" xfId="0" applyFill="1" applyBorder="1"/>
    <xf numFmtId="0" fontId="0" fillId="5" borderId="8" xfId="0" applyFill="1" applyBorder="1"/>
    <xf numFmtId="0" fontId="6" fillId="6" borderId="1" xfId="0" applyFont="1" applyFill="1" applyBorder="1" applyAlignment="1">
      <alignment horizontal="center"/>
    </xf>
    <xf numFmtId="12" fontId="0" fillId="0" borderId="0" xfId="0" applyNumberFormat="1"/>
    <xf numFmtId="9" fontId="0" fillId="5" borderId="1" xfId="1" applyFont="1" applyFill="1" applyBorder="1"/>
    <xf numFmtId="167" fontId="0" fillId="4" borderId="1" xfId="0" applyNumberFormat="1" applyFill="1" applyBorder="1"/>
    <xf numFmtId="0" fontId="0" fillId="7" borderId="6" xfId="0" applyFill="1" applyBorder="1" applyAlignment="1">
      <alignment wrapText="1"/>
    </xf>
    <xf numFmtId="0" fontId="0" fillId="6" borderId="1" xfId="0" applyFill="1" applyBorder="1" applyAlignment="1">
      <alignment wrapText="1"/>
    </xf>
    <xf numFmtId="0" fontId="6" fillId="6" borderId="1" xfId="0" applyFont="1" applyFill="1" applyBorder="1"/>
    <xf numFmtId="2" fontId="0" fillId="4" borderId="1" xfId="0" applyNumberFormat="1" applyFill="1" applyBorder="1"/>
    <xf numFmtId="167" fontId="0" fillId="5" borderId="1" xfId="0" applyNumberFormat="1" applyFill="1" applyBorder="1"/>
    <xf numFmtId="167" fontId="0" fillId="6" borderId="1" xfId="0" applyNumberFormat="1" applyFill="1" applyBorder="1"/>
    <xf numFmtId="0" fontId="0" fillId="0" borderId="0" xfId="0" applyAlignment="1">
      <alignment horizontal="right"/>
    </xf>
    <xf numFmtId="0" fontId="0" fillId="3" borderId="0" xfId="0" applyFill="1" applyAlignment="1">
      <alignment horizontal="left"/>
    </xf>
    <xf numFmtId="0" fontId="0" fillId="8" borderId="0" xfId="0" applyFill="1"/>
    <xf numFmtId="14" fontId="0" fillId="0" borderId="0" xfId="0" applyNumberFormat="1"/>
    <xf numFmtId="0" fontId="8" fillId="0" borderId="0" xfId="0" applyFont="1"/>
    <xf numFmtId="0" fontId="6" fillId="4" borderId="6" xfId="0" applyFont="1" applyFill="1" applyBorder="1" applyAlignment="1">
      <alignment horizontal="center"/>
    </xf>
    <xf numFmtId="0" fontId="6" fillId="4" borderId="1" xfId="0" applyFont="1" applyFill="1" applyBorder="1" applyAlignment="1">
      <alignment horizontal="center"/>
    </xf>
    <xf numFmtId="0" fontId="6" fillId="6" borderId="2" xfId="0" applyFont="1" applyFill="1" applyBorder="1" applyAlignment="1">
      <alignment horizontal="center"/>
    </xf>
    <xf numFmtId="0" fontId="6" fillId="6" borderId="0" xfId="0" applyFont="1" applyFill="1" applyAlignment="1">
      <alignment horizontal="center"/>
    </xf>
    <xf numFmtId="0" fontId="7" fillId="7" borderId="3" xfId="0" applyFont="1" applyFill="1" applyBorder="1" applyAlignment="1">
      <alignment horizontal="center" vertical="center" textRotation="90"/>
    </xf>
  </cellXfs>
  <cellStyles count="2">
    <cellStyle name="Normal" xfId="0" builtinId="0"/>
    <cellStyle name="Per cent" xfId="1" builtinId="5"/>
  </cellStyles>
  <dxfs count="0"/>
  <tableStyles count="0" defaultTableStyle="TableStyleMedium2" defaultPivotStyle="PivotStyleMedium9"/>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8</xdr:row>
      <xdr:rowOff>0</xdr:rowOff>
    </xdr:from>
    <xdr:to>
      <xdr:col>4</xdr:col>
      <xdr:colOff>304800</xdr:colOff>
      <xdr:row>9</xdr:row>
      <xdr:rowOff>114300</xdr:rowOff>
    </xdr:to>
    <xdr:sp macro="" textlink="">
      <xdr:nvSpPr>
        <xdr:cNvPr id="1026" name="AutoShape 2" descr="{\displaystyle {\frac {\Delta p}{L}}={\frac {128}{\pi }}\cdot {\frac {\mu Q}{D_{c}^{4}}},}">
          <a:extLst>
            <a:ext uri="{FF2B5EF4-FFF2-40B4-BE49-F238E27FC236}">
              <a16:creationId xmlns:a16="http://schemas.microsoft.com/office/drawing/2014/main" id="{00000000-0008-0000-0300-000002040000}"/>
            </a:ext>
          </a:extLst>
        </xdr:cNvPr>
        <xdr:cNvSpPr>
          <a:spLocks noChangeAspect="1" noChangeArrowheads="1"/>
        </xdr:cNvSpPr>
      </xdr:nvSpPr>
      <xdr:spPr bwMode="auto">
        <a:xfrm>
          <a:off x="2438400" y="1143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22</xdr:row>
      <xdr:rowOff>0</xdr:rowOff>
    </xdr:from>
    <xdr:to>
      <xdr:col>3</xdr:col>
      <xdr:colOff>390400</xdr:colOff>
      <xdr:row>23</xdr:row>
      <xdr:rowOff>57119</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2647950" y="4191000"/>
          <a:ext cx="1000000" cy="2476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209550</xdr:colOff>
      <xdr:row>1</xdr:row>
      <xdr:rowOff>19050</xdr:rowOff>
    </xdr:from>
    <xdr:to>
      <xdr:col>18</xdr:col>
      <xdr:colOff>542925</xdr:colOff>
      <xdr:row>19</xdr:row>
      <xdr:rowOff>0</xdr:rowOff>
    </xdr:to>
    <xdr:pic>
      <xdr:nvPicPr>
        <xdr:cNvPr id="2" name="Picture 1" descr="https://nptel.ac.in/content/storage2/courses/112104118/lecture-35/images/fig_11.2.jpg">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86775" y="209550"/>
          <a:ext cx="4600575" cy="3409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K37"/>
  <sheetViews>
    <sheetView tabSelected="1" workbookViewId="0">
      <selection activeCell="B12" sqref="B12"/>
    </sheetView>
  </sheetViews>
  <sheetFormatPr baseColWidth="10" defaultColWidth="8.83203125" defaultRowHeight="15" x14ac:dyDescent="0.2"/>
  <cols>
    <col min="1" max="1" width="39.5" customWidth="1"/>
    <col min="2" max="2" width="14.1640625" customWidth="1"/>
    <col min="3" max="3" width="9.5" customWidth="1"/>
    <col min="4" max="4" width="10.83203125" customWidth="1"/>
    <col min="5" max="6" width="7" customWidth="1"/>
    <col min="7" max="7" width="5.5" customWidth="1"/>
    <col min="8" max="8" width="38.6640625" customWidth="1"/>
    <col min="9" max="9" width="13" customWidth="1"/>
    <col min="11" max="12" width="11.1640625" customWidth="1"/>
    <col min="40" max="40" width="17.5" customWidth="1"/>
    <col min="41" max="41" width="12" bestFit="1" customWidth="1"/>
  </cols>
  <sheetData>
    <row r="1" spans="1:63" ht="15.75" customHeight="1" x14ac:dyDescent="0.2">
      <c r="A1" s="38" t="s">
        <v>146</v>
      </c>
      <c r="B1" s="38"/>
      <c r="C1" s="38"/>
      <c r="D1" s="38"/>
      <c r="E1" s="39"/>
      <c r="F1" s="21"/>
      <c r="G1" s="40" t="s">
        <v>145</v>
      </c>
      <c r="H1" s="36" t="s">
        <v>147</v>
      </c>
      <c r="I1" s="37"/>
      <c r="J1" s="37"/>
      <c r="K1" s="37"/>
      <c r="L1" s="37"/>
      <c r="AB1" t="s">
        <v>129</v>
      </c>
      <c r="AC1">
        <f>g*Rho</f>
        <v>5346.45</v>
      </c>
      <c r="AJ1" t="s">
        <v>183</v>
      </c>
      <c r="AK1" t="s">
        <v>181</v>
      </c>
      <c r="AL1">
        <f>I4*I4*0.5/g</f>
        <v>5.0374550953015199E-3</v>
      </c>
      <c r="AR1" t="s">
        <v>214</v>
      </c>
    </row>
    <row r="2" spans="1:63" ht="16" x14ac:dyDescent="0.2">
      <c r="A2" s="14" t="s">
        <v>140</v>
      </c>
      <c r="B2" s="14" t="s">
        <v>141</v>
      </c>
      <c r="C2" s="14" t="s">
        <v>143</v>
      </c>
      <c r="D2" s="17" t="s">
        <v>167</v>
      </c>
      <c r="E2" s="17" t="s">
        <v>142</v>
      </c>
      <c r="F2" s="25" t="s">
        <v>216</v>
      </c>
      <c r="G2" s="40"/>
      <c r="H2" s="14" t="s">
        <v>140</v>
      </c>
      <c r="I2" s="15" t="s">
        <v>141</v>
      </c>
      <c r="J2" s="14" t="s">
        <v>143</v>
      </c>
      <c r="K2" s="14" t="s">
        <v>144</v>
      </c>
      <c r="L2" s="14" t="s">
        <v>88</v>
      </c>
      <c r="AB2" t="s">
        <v>120</v>
      </c>
      <c r="AJ2" t="s">
        <v>184</v>
      </c>
      <c r="AK2" t="s">
        <v>182</v>
      </c>
      <c r="AL2">
        <f>V*V*0.5/g</f>
        <v>2.5502116419963951E-2</v>
      </c>
      <c r="AO2">
        <f>COLUMN(AO3)</f>
        <v>41</v>
      </c>
      <c r="AP2">
        <f t="shared" ref="AP2:BG2" si="0">COLUMN(AP3)</f>
        <v>42</v>
      </c>
      <c r="AQ2">
        <f t="shared" si="0"/>
        <v>43</v>
      </c>
      <c r="AR2">
        <f t="shared" si="0"/>
        <v>44</v>
      </c>
      <c r="AS2">
        <f t="shared" si="0"/>
        <v>45</v>
      </c>
      <c r="AT2">
        <f t="shared" si="0"/>
        <v>46</v>
      </c>
      <c r="AU2">
        <f t="shared" si="0"/>
        <v>47</v>
      </c>
      <c r="AV2">
        <f t="shared" si="0"/>
        <v>48</v>
      </c>
      <c r="AW2">
        <f t="shared" si="0"/>
        <v>49</v>
      </c>
      <c r="AX2">
        <f t="shared" si="0"/>
        <v>50</v>
      </c>
      <c r="AY2">
        <f t="shared" si="0"/>
        <v>51</v>
      </c>
      <c r="AZ2">
        <f t="shared" si="0"/>
        <v>52</v>
      </c>
      <c r="BA2">
        <f t="shared" si="0"/>
        <v>53</v>
      </c>
      <c r="BB2">
        <f t="shared" si="0"/>
        <v>54</v>
      </c>
      <c r="BC2">
        <f t="shared" si="0"/>
        <v>55</v>
      </c>
      <c r="BD2">
        <f t="shared" si="0"/>
        <v>56</v>
      </c>
      <c r="BE2">
        <f t="shared" si="0"/>
        <v>57</v>
      </c>
      <c r="BF2">
        <f t="shared" si="0"/>
        <v>58</v>
      </c>
      <c r="BG2">
        <f t="shared" si="0"/>
        <v>59</v>
      </c>
    </row>
    <row r="3" spans="1:63" x14ac:dyDescent="0.2">
      <c r="A3" s="12" t="s">
        <v>60</v>
      </c>
      <c r="B3" s="12">
        <f>IF(D3="m3/s",E3,IF(D3="kl/hr",E3/3600,IF(D3="LPM",E3*60/1000,IF(D3="LPS",E3*3600,"Please Enter"))))</f>
        <v>5.5555555555555558E-3</v>
      </c>
      <c r="C3" s="12" t="s">
        <v>29</v>
      </c>
      <c r="D3" s="10" t="s">
        <v>75</v>
      </c>
      <c r="E3" s="19">
        <v>20</v>
      </c>
      <c r="F3" s="26"/>
      <c r="G3" s="40"/>
      <c r="H3" s="9" t="s">
        <v>208</v>
      </c>
      <c r="I3" s="24">
        <f>IF(E17=0,(101325/AC1),B17)+B18-I12-B19</f>
        <v>60.009730777884897</v>
      </c>
      <c r="J3" s="9" t="s">
        <v>63</v>
      </c>
      <c r="K3" s="9"/>
      <c r="L3" s="9"/>
      <c r="AB3" t="s">
        <v>121</v>
      </c>
      <c r="AC3" t="s">
        <v>61</v>
      </c>
      <c r="AD3" t="s">
        <v>75</v>
      </c>
      <c r="AE3" t="s">
        <v>76</v>
      </c>
      <c r="AF3" t="s">
        <v>77</v>
      </c>
      <c r="AN3" t="s">
        <v>168</v>
      </c>
      <c r="AO3">
        <v>1.4999999999999999E-2</v>
      </c>
      <c r="AP3">
        <v>0.02</v>
      </c>
      <c r="AQ3">
        <v>2.5000000000000001E-2</v>
      </c>
      <c r="AR3">
        <v>3.2000000000000001E-2</v>
      </c>
      <c r="AS3">
        <v>0.04</v>
      </c>
      <c r="AT3">
        <v>0.05</v>
      </c>
      <c r="AU3">
        <v>6.5000000000000002E-2</v>
      </c>
      <c r="AV3">
        <v>0.08</v>
      </c>
      <c r="AW3">
        <v>0.1</v>
      </c>
      <c r="AX3">
        <v>0.15</v>
      </c>
      <c r="AY3">
        <f t="shared" ref="AY3:BG3" si="1">AX3+0.05</f>
        <v>0.2</v>
      </c>
      <c r="AZ3">
        <f t="shared" si="1"/>
        <v>0.25</v>
      </c>
      <c r="BA3">
        <f t="shared" si="1"/>
        <v>0.3</v>
      </c>
      <c r="BB3">
        <f t="shared" si="1"/>
        <v>0.35</v>
      </c>
      <c r="BC3">
        <f t="shared" si="1"/>
        <v>0.39999999999999997</v>
      </c>
      <c r="BD3">
        <f t="shared" si="1"/>
        <v>0.44999999999999996</v>
      </c>
      <c r="BE3">
        <f t="shared" si="1"/>
        <v>0.49999999999999994</v>
      </c>
      <c r="BF3">
        <f t="shared" si="1"/>
        <v>0.54999999999999993</v>
      </c>
      <c r="BG3">
        <f t="shared" si="1"/>
        <v>0.6</v>
      </c>
      <c r="BH3" s="22"/>
      <c r="BI3" s="22"/>
      <c r="BJ3" s="22"/>
      <c r="BK3" s="22"/>
    </row>
    <row r="4" spans="1:63" x14ac:dyDescent="0.2">
      <c r="A4" s="11" t="s">
        <v>64</v>
      </c>
      <c r="B4" s="12">
        <f>IF(D4="kg/m3",E4,IF(D4="Sp Gravity",E4*1000,IF(D4="Kg/L",E4*1000,"Please Enter")))</f>
        <v>545</v>
      </c>
      <c r="C4" s="12" t="s">
        <v>134</v>
      </c>
      <c r="D4" s="10" t="s">
        <v>79</v>
      </c>
      <c r="E4" s="20">
        <v>0.54500000000000004</v>
      </c>
      <c r="F4" s="11"/>
      <c r="G4" s="40"/>
      <c r="H4" s="9" t="s">
        <v>91</v>
      </c>
      <c r="I4" s="9">
        <f>B3/(0.25*PI()*POWER(B8,2))</f>
        <v>0.31438013450250929</v>
      </c>
      <c r="J4" s="9" t="s">
        <v>82</v>
      </c>
      <c r="K4" s="9"/>
      <c r="L4" s="9"/>
      <c r="AB4" t="s">
        <v>64</v>
      </c>
      <c r="AC4" t="s">
        <v>66</v>
      </c>
      <c r="AD4" t="s">
        <v>79</v>
      </c>
      <c r="AE4" t="s">
        <v>80</v>
      </c>
      <c r="AM4">
        <f>ROW(AN4)</f>
        <v>4</v>
      </c>
      <c r="AN4" t="s">
        <v>163</v>
      </c>
      <c r="AO4">
        <v>0.81</v>
      </c>
      <c r="AP4">
        <v>0.75</v>
      </c>
      <c r="AQ4">
        <v>0.69</v>
      </c>
      <c r="AR4">
        <v>0.75</v>
      </c>
      <c r="AS4">
        <v>0.63</v>
      </c>
      <c r="AT4">
        <v>0.56999999999999995</v>
      </c>
      <c r="AU4">
        <v>0.54</v>
      </c>
      <c r="AV4">
        <f>AU4</f>
        <v>0.54</v>
      </c>
      <c r="AW4">
        <v>0.51</v>
      </c>
      <c r="AX4">
        <v>0.45</v>
      </c>
      <c r="AY4">
        <v>0.42</v>
      </c>
      <c r="AZ4">
        <f>AY4</f>
        <v>0.42</v>
      </c>
      <c r="BA4">
        <v>0.39</v>
      </c>
      <c r="BB4">
        <f>BA4</f>
        <v>0.39</v>
      </c>
      <c r="BC4">
        <f>BB4</f>
        <v>0.39</v>
      </c>
      <c r="BD4">
        <v>0.36</v>
      </c>
      <c r="BE4">
        <f>BD4</f>
        <v>0.36</v>
      </c>
      <c r="BF4">
        <f t="shared" ref="BF4:BG4" si="2">BE4</f>
        <v>0.36</v>
      </c>
      <c r="BG4">
        <f t="shared" si="2"/>
        <v>0.36</v>
      </c>
    </row>
    <row r="5" spans="1:63" x14ac:dyDescent="0.2">
      <c r="A5" s="11" t="s">
        <v>11</v>
      </c>
      <c r="B5" s="12">
        <f>IF(D5="N-s/m2",E5,IF(D5="Poise",E5/10,IF(D5="CPoise",E5/1000,'Pump Selection (Main Sheet)'!AI5*Rho)))</f>
        <v>2.1800000000000001E-4</v>
      </c>
      <c r="C5" s="12" t="s">
        <v>102</v>
      </c>
      <c r="D5" s="10" t="s">
        <v>114</v>
      </c>
      <c r="E5" s="20">
        <v>0.4</v>
      </c>
      <c r="F5" s="11"/>
      <c r="G5" s="40"/>
      <c r="H5" s="16" t="s">
        <v>90</v>
      </c>
      <c r="I5" s="9">
        <f>B3/(0.25*PI()*POWER(B9,2))</f>
        <v>0.70735530263064594</v>
      </c>
      <c r="J5" s="9" t="s">
        <v>82</v>
      </c>
      <c r="K5" s="9"/>
      <c r="L5" s="9"/>
      <c r="AB5" t="s">
        <v>122</v>
      </c>
      <c r="AC5" t="s">
        <v>102</v>
      </c>
      <c r="AD5" t="s">
        <v>115</v>
      </c>
      <c r="AE5" t="s">
        <v>116</v>
      </c>
      <c r="AF5" t="s">
        <v>30</v>
      </c>
      <c r="AG5" t="s">
        <v>113</v>
      </c>
      <c r="AH5" t="s">
        <v>114</v>
      </c>
      <c r="AI5">
        <f>IF('Pump Selection (Main Sheet)'!D5="M2/s",'Pump Selection (Main Sheet)'!E5, IF('Pump Selection (Main Sheet)'!D5= "st", 'Pump Selection (Main Sheet)'!E5/10000, IF('Pump Selection (Main Sheet)'!D5= "cSt", 'Pump Selection (Main Sheet)'!E5/1000000, "Please Enter")))</f>
        <v>4.0000000000000003E-7</v>
      </c>
      <c r="AM5">
        <f t="shared" ref="AM5:AM11" si="3">ROW(AN5)</f>
        <v>5</v>
      </c>
      <c r="AN5" t="s">
        <v>164</v>
      </c>
      <c r="AO5">
        <v>0.43</v>
      </c>
      <c r="AP5">
        <v>0.4</v>
      </c>
      <c r="AQ5">
        <v>0.37</v>
      </c>
      <c r="AR5">
        <v>0.35</v>
      </c>
      <c r="AS5">
        <v>0.34</v>
      </c>
      <c r="AT5">
        <v>0.3</v>
      </c>
      <c r="AU5">
        <v>0.28999999999999998</v>
      </c>
      <c r="AV5">
        <f t="shared" ref="AV5:AV11" si="4">AU5</f>
        <v>0.28999999999999998</v>
      </c>
      <c r="AW5">
        <v>0.27</v>
      </c>
      <c r="AX5">
        <v>0.24</v>
      </c>
      <c r="AY5">
        <v>0.22</v>
      </c>
      <c r="AZ5">
        <f>AY5</f>
        <v>0.22</v>
      </c>
      <c r="BA5">
        <v>0.21</v>
      </c>
      <c r="BB5">
        <f t="shared" ref="BB5:BB11" si="5">BA5</f>
        <v>0.21</v>
      </c>
      <c r="BC5">
        <f t="shared" ref="BC5:BC11" si="6">BB5</f>
        <v>0.21</v>
      </c>
      <c r="BD5">
        <v>0.19</v>
      </c>
      <c r="BE5">
        <f t="shared" ref="BE5:BE11" si="7">BD5</f>
        <v>0.19</v>
      </c>
      <c r="BF5">
        <f t="shared" ref="BF5" si="8">BE5</f>
        <v>0.19</v>
      </c>
      <c r="BG5">
        <f t="shared" ref="BG5" si="9">BF5</f>
        <v>0.19</v>
      </c>
    </row>
    <row r="6" spans="1:63" x14ac:dyDescent="0.2">
      <c r="A6" s="11" t="s">
        <v>65</v>
      </c>
      <c r="B6" s="11">
        <f>IF(B5 = "Please Enter", B5, B5/Rho)</f>
        <v>4.0000000000000003E-7</v>
      </c>
      <c r="C6" s="11" t="s">
        <v>30</v>
      </c>
      <c r="D6" s="10" t="s">
        <v>30</v>
      </c>
      <c r="E6" s="20"/>
      <c r="F6" s="11"/>
      <c r="G6" s="40"/>
      <c r="H6" s="9" t="s">
        <v>92</v>
      </c>
      <c r="I6" s="9">
        <f>I4*B8*B4/B5</f>
        <v>117892.55043844097</v>
      </c>
      <c r="J6" s="9" t="s">
        <v>136</v>
      </c>
      <c r="K6" s="9"/>
      <c r="L6" s="9"/>
      <c r="AB6" t="s">
        <v>123</v>
      </c>
      <c r="AC6" t="s">
        <v>30</v>
      </c>
      <c r="AD6" t="s">
        <v>113</v>
      </c>
      <c r="AE6" t="s">
        <v>114</v>
      </c>
      <c r="AM6">
        <f t="shared" si="3"/>
        <v>6</v>
      </c>
      <c r="AN6" t="s">
        <v>165</v>
      </c>
      <c r="AO6">
        <v>0.54</v>
      </c>
      <c r="AP6">
        <v>0.5</v>
      </c>
      <c r="AQ6">
        <v>0.46</v>
      </c>
      <c r="AR6">
        <v>0.44</v>
      </c>
      <c r="AS6">
        <v>0.42</v>
      </c>
      <c r="AT6">
        <v>0.38</v>
      </c>
      <c r="AU6">
        <v>0.36</v>
      </c>
      <c r="AV6">
        <f t="shared" si="4"/>
        <v>0.36</v>
      </c>
      <c r="AW6">
        <v>0.34</v>
      </c>
      <c r="AX6">
        <v>0.3</v>
      </c>
      <c r="AY6">
        <v>0.28000000000000003</v>
      </c>
      <c r="AZ6">
        <f t="shared" ref="AZ6:AZ11" si="10">AY6</f>
        <v>0.28000000000000003</v>
      </c>
      <c r="BA6">
        <v>0.26</v>
      </c>
      <c r="BB6">
        <f t="shared" si="5"/>
        <v>0.26</v>
      </c>
      <c r="BC6">
        <f t="shared" si="6"/>
        <v>0.26</v>
      </c>
      <c r="BD6">
        <v>0.24</v>
      </c>
      <c r="BE6">
        <f t="shared" si="7"/>
        <v>0.24</v>
      </c>
      <c r="BF6">
        <f t="shared" ref="BF6" si="11">BE6</f>
        <v>0.24</v>
      </c>
      <c r="BG6">
        <f t="shared" ref="BG6" si="12">BF6</f>
        <v>0.24</v>
      </c>
    </row>
    <row r="7" spans="1:63" x14ac:dyDescent="0.2">
      <c r="A7" s="11" t="s">
        <v>89</v>
      </c>
      <c r="B7" s="11">
        <f>E7</f>
        <v>9.81</v>
      </c>
      <c r="C7" s="11" t="s">
        <v>125</v>
      </c>
      <c r="D7" s="10" t="s">
        <v>125</v>
      </c>
      <c r="E7" s="20">
        <v>9.81</v>
      </c>
      <c r="F7" s="11"/>
      <c r="G7" s="40"/>
      <c r="H7" s="9" t="s">
        <v>94</v>
      </c>
      <c r="I7" s="13" t="str">
        <f>IF(Res&lt;2000,"Laminar",IF(2000&lt;=Res&lt;=4000,"Transit","Turbulent"))</f>
        <v>Turbulent</v>
      </c>
      <c r="J7" s="9"/>
      <c r="K7" s="9"/>
      <c r="L7" s="9"/>
      <c r="AB7" t="s">
        <v>124</v>
      </c>
      <c r="AC7" t="s">
        <v>125</v>
      </c>
      <c r="AM7">
        <f t="shared" si="3"/>
        <v>7</v>
      </c>
      <c r="AN7" t="s">
        <v>166</v>
      </c>
      <c r="AO7">
        <f>2*AO4</f>
        <v>1.62</v>
      </c>
      <c r="AP7">
        <f t="shared" ref="AP7:BG7" si="13">2*AP4</f>
        <v>1.5</v>
      </c>
      <c r="AQ7">
        <f t="shared" si="13"/>
        <v>1.38</v>
      </c>
      <c r="AR7">
        <f t="shared" si="13"/>
        <v>1.5</v>
      </c>
      <c r="AS7">
        <f t="shared" si="13"/>
        <v>1.26</v>
      </c>
      <c r="AT7">
        <f t="shared" si="13"/>
        <v>1.1399999999999999</v>
      </c>
      <c r="AU7">
        <f t="shared" si="13"/>
        <v>1.08</v>
      </c>
      <c r="AV7">
        <f t="shared" si="13"/>
        <v>1.08</v>
      </c>
      <c r="AW7">
        <f t="shared" si="13"/>
        <v>1.02</v>
      </c>
      <c r="AX7">
        <f t="shared" si="13"/>
        <v>0.9</v>
      </c>
      <c r="AY7">
        <f t="shared" si="13"/>
        <v>0.84</v>
      </c>
      <c r="AZ7">
        <f t="shared" si="13"/>
        <v>0.84</v>
      </c>
      <c r="BA7">
        <f t="shared" si="13"/>
        <v>0.78</v>
      </c>
      <c r="BB7">
        <f t="shared" si="13"/>
        <v>0.78</v>
      </c>
      <c r="BC7">
        <f t="shared" si="13"/>
        <v>0.78</v>
      </c>
      <c r="BD7">
        <f t="shared" si="13"/>
        <v>0.72</v>
      </c>
      <c r="BE7">
        <f t="shared" si="13"/>
        <v>0.72</v>
      </c>
      <c r="BF7">
        <f t="shared" si="13"/>
        <v>0.72</v>
      </c>
      <c r="BG7">
        <f t="shared" si="13"/>
        <v>0.72</v>
      </c>
    </row>
    <row r="8" spans="1:63" x14ac:dyDescent="0.2">
      <c r="A8" s="11" t="s">
        <v>87</v>
      </c>
      <c r="B8" s="11">
        <f>IF(D8="mm",E8/1000,IF(D8="cm",E8/100,IF(D8="m",E8,IF(D8="Inch",CONVERT(E8,"in","m"),"Please Enter"))))</f>
        <v>0.15</v>
      </c>
      <c r="C8" s="11" t="s">
        <v>63</v>
      </c>
      <c r="D8" s="10" t="s">
        <v>132</v>
      </c>
      <c r="E8" s="20">
        <v>150</v>
      </c>
      <c r="F8" s="11"/>
      <c r="G8" s="40"/>
      <c r="H8" s="9" t="s">
        <v>202</v>
      </c>
      <c r="I8" s="9">
        <f>IF(Res&lt;2000,'Pump Selection (Main Sheet)'!AB20,IF(2000&lt;=Res&lt;=100000,'Pump Selection (Main Sheet)'!AC17,'Pump Selection (Main Sheet)'!AD17))</f>
        <v>1.7081934970097856E-2</v>
      </c>
      <c r="J8" s="9" t="s">
        <v>136</v>
      </c>
      <c r="K8" s="9"/>
      <c r="L8" s="9"/>
      <c r="AB8" t="s">
        <v>126</v>
      </c>
      <c r="AC8" t="s">
        <v>63</v>
      </c>
      <c r="AD8" t="s">
        <v>117</v>
      </c>
      <c r="AE8" t="s">
        <v>88</v>
      </c>
      <c r="AM8">
        <f t="shared" si="3"/>
        <v>8</v>
      </c>
      <c r="AN8" t="s">
        <v>158</v>
      </c>
      <c r="AO8">
        <v>0.22</v>
      </c>
      <c r="AP8">
        <v>0.2</v>
      </c>
      <c r="AQ8">
        <v>0.18</v>
      </c>
      <c r="AR8">
        <v>0.18</v>
      </c>
      <c r="AS8">
        <v>0.15</v>
      </c>
      <c r="AT8">
        <v>0.15</v>
      </c>
      <c r="AU8">
        <v>0.14000000000000001</v>
      </c>
      <c r="AV8">
        <f t="shared" si="4"/>
        <v>0.14000000000000001</v>
      </c>
      <c r="AW8">
        <v>0.14000000000000001</v>
      </c>
      <c r="AX8">
        <v>0.12</v>
      </c>
      <c r="AY8">
        <v>0.11</v>
      </c>
      <c r="AZ8">
        <f t="shared" si="10"/>
        <v>0.11</v>
      </c>
      <c r="BA8">
        <v>0.1</v>
      </c>
      <c r="BB8">
        <f t="shared" si="5"/>
        <v>0.1</v>
      </c>
      <c r="BC8">
        <f t="shared" si="6"/>
        <v>0.1</v>
      </c>
      <c r="BD8">
        <v>0.1</v>
      </c>
      <c r="BE8">
        <f t="shared" si="7"/>
        <v>0.1</v>
      </c>
      <c r="BF8">
        <f t="shared" ref="BF8" si="14">BE8</f>
        <v>0.1</v>
      </c>
      <c r="BG8">
        <f t="shared" ref="BG8" si="15">BF8</f>
        <v>0.1</v>
      </c>
    </row>
    <row r="9" spans="1:63" x14ac:dyDescent="0.2">
      <c r="A9" s="11" t="s">
        <v>86</v>
      </c>
      <c r="B9" s="11">
        <f>IF(D9="mm",E9/1000,IF(D9="cm",E9/100,IF(D9="m",E9,IF(D9="Inch",CONVERT(E9,"in","m"),"Please Enter"))))</f>
        <v>0.1</v>
      </c>
      <c r="C9" s="11" t="s">
        <v>63</v>
      </c>
      <c r="D9" s="10" t="s">
        <v>132</v>
      </c>
      <c r="E9" s="20">
        <v>100</v>
      </c>
      <c r="F9" s="11"/>
      <c r="G9" s="40"/>
      <c r="H9" s="9" t="s">
        <v>93</v>
      </c>
      <c r="I9" s="9">
        <f>B4*V*B9/B5</f>
        <v>176838.82565766148</v>
      </c>
      <c r="J9" s="9" t="s">
        <v>136</v>
      </c>
      <c r="K9" s="9"/>
      <c r="L9" s="9"/>
      <c r="AB9" t="s">
        <v>120</v>
      </c>
      <c r="AC9" t="s">
        <v>81</v>
      </c>
      <c r="AM9">
        <f t="shared" si="3"/>
        <v>9</v>
      </c>
      <c r="AN9" t="s">
        <v>159</v>
      </c>
      <c r="AO9">
        <v>0.08</v>
      </c>
      <c r="AP9">
        <v>0.08</v>
      </c>
      <c r="AQ9">
        <v>7.0000000000000007E-2</v>
      </c>
      <c r="AR9">
        <v>7.0000000000000007E-2</v>
      </c>
      <c r="AS9">
        <v>0.06</v>
      </c>
      <c r="AT9">
        <v>0.06</v>
      </c>
      <c r="AU9">
        <v>0.05</v>
      </c>
      <c r="AV9">
        <f t="shared" si="4"/>
        <v>0.05</v>
      </c>
      <c r="AW9">
        <v>0.05</v>
      </c>
      <c r="AX9">
        <v>0.05</v>
      </c>
      <c r="AY9">
        <v>0.04</v>
      </c>
      <c r="AZ9">
        <f t="shared" si="10"/>
        <v>0.04</v>
      </c>
      <c r="BA9">
        <v>0.04</v>
      </c>
      <c r="BB9">
        <f t="shared" si="5"/>
        <v>0.04</v>
      </c>
      <c r="BC9">
        <f t="shared" si="6"/>
        <v>0.04</v>
      </c>
      <c r="BD9">
        <v>0.04</v>
      </c>
      <c r="BE9">
        <f t="shared" si="7"/>
        <v>0.04</v>
      </c>
      <c r="BF9">
        <f t="shared" ref="BF9" si="16">BE9</f>
        <v>0.04</v>
      </c>
      <c r="BG9">
        <f t="shared" ref="BG9" si="17">BF9</f>
        <v>0.04</v>
      </c>
    </row>
    <row r="10" spans="1:63" x14ac:dyDescent="0.2">
      <c r="A10" s="11" t="s">
        <v>118</v>
      </c>
      <c r="B10" s="11">
        <f t="shared" ref="B10" si="18">IF(D10="m", E10, IF(D10= "km", E10*1000, IF(D10="ft", CONVERT(E10,"ft","m"), "Please Enter")))</f>
        <v>50</v>
      </c>
      <c r="C10" s="11" t="s">
        <v>63</v>
      </c>
      <c r="D10" s="10" t="s">
        <v>63</v>
      </c>
      <c r="E10" s="20">
        <v>50</v>
      </c>
      <c r="F10" s="11">
        <f>B10</f>
        <v>50</v>
      </c>
      <c r="G10" s="40"/>
      <c r="H10" s="9" t="s">
        <v>95</v>
      </c>
      <c r="I10" s="13" t="str">
        <f>IF(Re&lt;2000,"Laminar",IF(2000&lt;=Re&lt;=4000,"Transit","Turbulent"))</f>
        <v>Turbulent</v>
      </c>
      <c r="J10" s="13"/>
      <c r="K10" s="9"/>
      <c r="L10" s="9"/>
      <c r="AB10" t="s">
        <v>127</v>
      </c>
      <c r="AC10" t="s">
        <v>63</v>
      </c>
      <c r="AD10" t="s">
        <v>27</v>
      </c>
      <c r="AE10" t="s">
        <v>96</v>
      </c>
      <c r="AF10" s="7" t="s">
        <v>130</v>
      </c>
      <c r="AG10" t="s">
        <v>88</v>
      </c>
      <c r="AH10" t="s">
        <v>128</v>
      </c>
      <c r="AM10">
        <f t="shared" si="3"/>
        <v>10</v>
      </c>
      <c r="AN10" t="s">
        <v>217</v>
      </c>
      <c r="AO10">
        <v>9.1999999999999993</v>
      </c>
      <c r="AP10">
        <v>8.5</v>
      </c>
      <c r="AQ10">
        <v>7.8</v>
      </c>
      <c r="AR10">
        <v>7.5</v>
      </c>
      <c r="AS10">
        <v>7.1</v>
      </c>
      <c r="AT10">
        <v>6.5</v>
      </c>
      <c r="AU10">
        <v>6.1</v>
      </c>
      <c r="AV10">
        <f t="shared" si="4"/>
        <v>6.1</v>
      </c>
      <c r="AW10">
        <v>5.8</v>
      </c>
      <c r="AX10">
        <v>5.0999999999999996</v>
      </c>
      <c r="AY10">
        <v>4.8</v>
      </c>
      <c r="AZ10">
        <f t="shared" si="10"/>
        <v>4.8</v>
      </c>
      <c r="BA10">
        <v>4.4000000000000004</v>
      </c>
      <c r="BB10">
        <f t="shared" si="5"/>
        <v>4.4000000000000004</v>
      </c>
      <c r="BC10">
        <f t="shared" si="6"/>
        <v>4.4000000000000004</v>
      </c>
      <c r="BD10">
        <v>4.0999999999999996</v>
      </c>
      <c r="BE10">
        <f t="shared" si="7"/>
        <v>4.0999999999999996</v>
      </c>
      <c r="BF10">
        <f t="shared" ref="BF10" si="19">BE10</f>
        <v>4.0999999999999996</v>
      </c>
      <c r="BG10">
        <f t="shared" ref="BG10" si="20">BF10</f>
        <v>4.0999999999999996</v>
      </c>
    </row>
    <row r="11" spans="1:63" x14ac:dyDescent="0.2">
      <c r="A11" s="11" t="s">
        <v>169</v>
      </c>
      <c r="B11" s="11">
        <f>E11</f>
        <v>0</v>
      </c>
      <c r="C11" s="11" t="s">
        <v>81</v>
      </c>
      <c r="D11" s="10" t="s">
        <v>163</v>
      </c>
      <c r="E11" s="20">
        <v>0</v>
      </c>
      <c r="F11" s="11">
        <v>5</v>
      </c>
      <c r="G11" s="40"/>
      <c r="H11" s="9" t="s">
        <v>203</v>
      </c>
      <c r="I11" s="24">
        <f>IF(Re&lt;2000,'Pump Selection (Main Sheet)'!AB20,IF(2000&lt;=Re&lt;=100000,'Pump Selection (Main Sheet)'!AC20,'Pump Selection (Main Sheet)'!AD20))</f>
        <v>1.5810037474850928E-2</v>
      </c>
      <c r="J11" s="9" t="s">
        <v>136</v>
      </c>
      <c r="K11" s="9"/>
      <c r="L11" s="9"/>
      <c r="AB11" t="s">
        <v>131</v>
      </c>
      <c r="AC11" t="s">
        <v>132</v>
      </c>
      <c r="AD11" t="s">
        <v>135</v>
      </c>
      <c r="AE11" t="s">
        <v>133</v>
      </c>
      <c r="AF11" t="s">
        <v>49</v>
      </c>
      <c r="AM11">
        <f t="shared" si="3"/>
        <v>11</v>
      </c>
      <c r="AN11" t="s">
        <v>161</v>
      </c>
      <c r="AO11">
        <v>0.49</v>
      </c>
      <c r="AP11">
        <v>0.45</v>
      </c>
      <c r="AQ11">
        <v>0.41</v>
      </c>
      <c r="AR11">
        <v>0.4</v>
      </c>
      <c r="AS11">
        <v>0.38</v>
      </c>
      <c r="AT11">
        <v>0.34</v>
      </c>
      <c r="AU11">
        <v>0.32</v>
      </c>
      <c r="AV11">
        <f t="shared" si="4"/>
        <v>0.32</v>
      </c>
      <c r="AW11">
        <v>0.31</v>
      </c>
      <c r="AX11">
        <v>0.27</v>
      </c>
      <c r="AY11">
        <v>0.25</v>
      </c>
      <c r="AZ11">
        <f t="shared" si="10"/>
        <v>0.25</v>
      </c>
      <c r="BA11">
        <v>0.23</v>
      </c>
      <c r="BB11">
        <f t="shared" si="5"/>
        <v>0.23</v>
      </c>
      <c r="BC11">
        <f t="shared" si="6"/>
        <v>0.23</v>
      </c>
      <c r="BD11">
        <v>0.22</v>
      </c>
      <c r="BE11">
        <f t="shared" si="7"/>
        <v>0.22</v>
      </c>
      <c r="BF11">
        <f t="shared" ref="BF11" si="21">BE11</f>
        <v>0.22</v>
      </c>
      <c r="BG11">
        <f t="shared" ref="BG11" si="22">BF11</f>
        <v>0.22</v>
      </c>
    </row>
    <row r="12" spans="1:63" x14ac:dyDescent="0.2">
      <c r="A12" s="11" t="s">
        <v>170</v>
      </c>
      <c r="B12" s="11">
        <f t="shared" ref="B12:B16" si="23">E12</f>
        <v>0</v>
      </c>
      <c r="C12" s="11" t="s">
        <v>81</v>
      </c>
      <c r="D12" s="10" t="s">
        <v>164</v>
      </c>
      <c r="E12" s="10">
        <v>0</v>
      </c>
      <c r="F12" s="11">
        <v>2</v>
      </c>
      <c r="G12" s="40"/>
      <c r="H12" s="9" t="s">
        <v>204</v>
      </c>
      <c r="I12" s="24">
        <f>I8*(SUM(F10:F16))*POWER(I4,2)/(2*B8*B7)</f>
        <v>3.6140781748146042E-2</v>
      </c>
      <c r="J12" s="9" t="s">
        <v>63</v>
      </c>
      <c r="K12" s="24">
        <f>I12*g*Rho/100000</f>
        <v>1.9322488257737542E-3</v>
      </c>
      <c r="L12" s="24">
        <f>CONVERT(I12,"m","ft")</f>
        <v>0.11857211859627965</v>
      </c>
      <c r="AB12" t="s">
        <v>157</v>
      </c>
      <c r="AC12" t="s">
        <v>158</v>
      </c>
      <c r="AD12" t="s">
        <v>159</v>
      </c>
      <c r="AE12" t="s">
        <v>160</v>
      </c>
      <c r="AF12" t="s">
        <v>161</v>
      </c>
      <c r="AO12" s="22">
        <v>0.5</v>
      </c>
      <c r="AP12" s="22">
        <v>0.75</v>
      </c>
      <c r="AQ12" s="22">
        <v>1</v>
      </c>
      <c r="AR12" s="22">
        <v>1.25</v>
      </c>
      <c r="AS12" s="22">
        <v>1.5</v>
      </c>
      <c r="AT12" s="22">
        <v>2</v>
      </c>
      <c r="AU12" s="22">
        <v>2.5</v>
      </c>
      <c r="AV12" s="22">
        <v>3</v>
      </c>
      <c r="AW12" s="22">
        <v>4</v>
      </c>
      <c r="AX12" s="22">
        <v>6</v>
      </c>
      <c r="AY12" s="22">
        <f t="shared" ref="AY12:BG12" si="24">AX12+2</f>
        <v>8</v>
      </c>
      <c r="AZ12" s="22">
        <f t="shared" si="24"/>
        <v>10</v>
      </c>
      <c r="BA12" s="22">
        <f t="shared" si="24"/>
        <v>12</v>
      </c>
      <c r="BB12" s="22">
        <f t="shared" si="24"/>
        <v>14</v>
      </c>
      <c r="BC12" s="22">
        <f t="shared" si="24"/>
        <v>16</v>
      </c>
      <c r="BD12" s="22">
        <f t="shared" si="24"/>
        <v>18</v>
      </c>
      <c r="BE12" s="22">
        <f t="shared" si="24"/>
        <v>20</v>
      </c>
      <c r="BF12" s="22">
        <f t="shared" si="24"/>
        <v>22</v>
      </c>
      <c r="BG12" s="22">
        <f t="shared" si="24"/>
        <v>24</v>
      </c>
    </row>
    <row r="13" spans="1:63" x14ac:dyDescent="0.2">
      <c r="A13" s="11" t="s">
        <v>171</v>
      </c>
      <c r="B13" s="11">
        <f t="shared" si="23"/>
        <v>0</v>
      </c>
      <c r="C13" s="11" t="s">
        <v>81</v>
      </c>
      <c r="D13" s="10" t="s">
        <v>159</v>
      </c>
      <c r="E13" s="10">
        <v>0</v>
      </c>
      <c r="F13" s="11">
        <v>4</v>
      </c>
      <c r="G13" s="40"/>
      <c r="H13" s="9" t="s">
        <v>205</v>
      </c>
      <c r="I13" s="24">
        <f>I11*(SUM(F20:F26))*POWER(V,2)/(2*B9*B7)</f>
        <v>0.77845353725141642</v>
      </c>
      <c r="J13" s="9" t="s">
        <v>63</v>
      </c>
      <c r="K13" s="24">
        <f>I13*g*Rho/100000</f>
        <v>4.161962914237835E-2</v>
      </c>
      <c r="L13" s="24">
        <f>CONVERT(I13,"m","ft")</f>
        <v>2.5539814214285315</v>
      </c>
      <c r="AB13" t="s">
        <v>162</v>
      </c>
      <c r="AC13" t="s">
        <v>163</v>
      </c>
      <c r="AD13" t="s">
        <v>164</v>
      </c>
      <c r="AE13" t="s">
        <v>165</v>
      </c>
      <c r="AF13" t="s">
        <v>166</v>
      </c>
      <c r="AJ13" t="s">
        <v>185</v>
      </c>
      <c r="AK13">
        <f>40+MATCH(B9,AO$3:BG$3,FALSE)</f>
        <v>49</v>
      </c>
    </row>
    <row r="14" spans="1:63" x14ac:dyDescent="0.2">
      <c r="A14" s="11" t="s">
        <v>172</v>
      </c>
      <c r="B14" s="11">
        <f t="shared" si="23"/>
        <v>0</v>
      </c>
      <c r="C14" s="11" t="s">
        <v>81</v>
      </c>
      <c r="D14" s="10" t="s">
        <v>158</v>
      </c>
      <c r="E14" s="10">
        <v>0</v>
      </c>
      <c r="F14" s="11">
        <f t="shared" ref="F14:F16" si="25">B14*AN18*$B$8/($I$8)</f>
        <v>0</v>
      </c>
      <c r="G14" s="40"/>
      <c r="H14" s="9" t="s">
        <v>206</v>
      </c>
      <c r="I14" s="24">
        <f>(0.5*0.5*POWER(I4,2)/g) + (POWER(V,2)/(2*B7))</f>
        <v>2.8020843967614711E-2</v>
      </c>
      <c r="J14" s="9" t="s">
        <v>63</v>
      </c>
      <c r="K14" s="24">
        <f t="shared" ref="K14" si="26">I14*g*Rho/100000</f>
        <v>1.4981204123065367E-3</v>
      </c>
      <c r="L14" s="24">
        <f t="shared" ref="L14" si="27">CONVERT(I14,"m","ft")</f>
        <v>9.1931902780888156E-2</v>
      </c>
      <c r="AJ14" t="s">
        <v>186</v>
      </c>
      <c r="AK14">
        <f>40+MATCH(B8,AO$3:BG$3,TRUE)</f>
        <v>50</v>
      </c>
      <c r="AN14" t="s">
        <v>200</v>
      </c>
      <c r="AO14" t="s">
        <v>201</v>
      </c>
    </row>
    <row r="15" spans="1:63" x14ac:dyDescent="0.2">
      <c r="A15" s="11" t="s">
        <v>173</v>
      </c>
      <c r="B15" s="11">
        <f t="shared" si="23"/>
        <v>0</v>
      </c>
      <c r="C15" s="11" t="s">
        <v>81</v>
      </c>
      <c r="D15" s="10" t="s">
        <v>166</v>
      </c>
      <c r="E15" s="10">
        <v>0</v>
      </c>
      <c r="F15" s="11">
        <v>2</v>
      </c>
      <c r="G15" s="40"/>
      <c r="H15" s="9" t="s">
        <v>74</v>
      </c>
      <c r="I15" s="24">
        <f>POWER(V,2)/(2*B7)</f>
        <v>2.5502116419963951E-2</v>
      </c>
      <c r="J15" s="9" t="s">
        <v>63</v>
      </c>
      <c r="K15" s="24">
        <f>I15*g*Rho/100000</f>
        <v>1.3634579033351627E-3</v>
      </c>
      <c r="L15" s="24">
        <f>CONVERT(I15,"m","ft")</f>
        <v>8.3668360957886975E-2</v>
      </c>
      <c r="AB15" t="s">
        <v>138</v>
      </c>
      <c r="AE15" t="s">
        <v>215</v>
      </c>
      <c r="AJ15" t="s">
        <v>187</v>
      </c>
      <c r="AK15">
        <f>2+MATCH(D11,AN4:AN11,TRUE)</f>
        <v>6</v>
      </c>
      <c r="AM15" t="s">
        <v>188</v>
      </c>
      <c r="AN15">
        <f>INDEX($AO$4:$BG$11,(MATCH(D11,$AN$4:$AN$11,0)), (MATCH($B$8,$AO$3:$BG$3,0)), 1)</f>
        <v>0.45</v>
      </c>
    </row>
    <row r="16" spans="1:63" x14ac:dyDescent="0.2">
      <c r="A16" s="11" t="s">
        <v>174</v>
      </c>
      <c r="B16" s="11">
        <f t="shared" si="23"/>
        <v>0</v>
      </c>
      <c r="C16" s="11" t="s">
        <v>81</v>
      </c>
      <c r="D16" s="10" t="s">
        <v>161</v>
      </c>
      <c r="E16" s="10">
        <v>0</v>
      </c>
      <c r="F16" s="11">
        <f t="shared" si="25"/>
        <v>0</v>
      </c>
      <c r="G16" s="40"/>
      <c r="H16" s="9" t="s">
        <v>103</v>
      </c>
      <c r="I16" s="24">
        <f>B28+B27</f>
        <v>298.57798165137615</v>
      </c>
      <c r="J16" s="9" t="s">
        <v>63</v>
      </c>
      <c r="K16" s="24">
        <f>I16*g*Rho/100000</f>
        <v>15.9633225</v>
      </c>
      <c r="L16" s="24">
        <f>CONVERT(I16,"m","ft")</f>
        <v>979.58655397433131</v>
      </c>
      <c r="AB16" t="s">
        <v>83</v>
      </c>
      <c r="AC16" t="s">
        <v>84</v>
      </c>
      <c r="AD16" t="s">
        <v>85</v>
      </c>
      <c r="AM16" t="s">
        <v>189</v>
      </c>
      <c r="AN16">
        <f t="shared" ref="AN16:AN20" si="28">INDEX($AO$4:$BG$11,(MATCH(D12,$AN$4:$AN$11,0)), (MATCH($B$8,$AO$3:$BG$3,0)), 1)</f>
        <v>0.24</v>
      </c>
    </row>
    <row r="17" spans="1:40" x14ac:dyDescent="0.2">
      <c r="A17" s="11" t="s">
        <v>69</v>
      </c>
      <c r="B17" s="30">
        <f>IF(D17="m",E17,IF(D17="pa",E17/AC1,IF('Pump Selection (Main Sheet)'!D17="Kg/cm2",'Pump Selection (Main Sheet)'!E17*10000/Rho,IF('Pump Selection (Main Sheet)'!D17="Bar",CONVERT('Pump Selection (Main Sheet)'!E17,"atm","pa")/AC1,IF('Pump Selection (Main Sheet)'!D17="psi",CONVERT('Pump Selection (Main Sheet)'!E17,"psi","Pa")/AC1,IF('Pump Selection (Main Sheet)'!D17="ft",CONVERT('Pump Selection (Main Sheet)'!E17,"m","ft"),"Please Enter"))))))</f>
        <v>137.61467889908258</v>
      </c>
      <c r="C17" s="11" t="s">
        <v>63</v>
      </c>
      <c r="D17" s="10" t="s">
        <v>96</v>
      </c>
      <c r="E17" s="20">
        <v>7.5</v>
      </c>
      <c r="F17" s="11"/>
      <c r="G17" s="40"/>
      <c r="H17" s="9" t="s">
        <v>104</v>
      </c>
      <c r="I17" s="24">
        <f>B18+B17</f>
        <v>142.61467889908258</v>
      </c>
      <c r="J17" s="9" t="s">
        <v>63</v>
      </c>
      <c r="K17" s="24">
        <f>I17*g*Rho/100000</f>
        <v>7.6248225000000014</v>
      </c>
      <c r="L17" s="24">
        <f>CONVERT(I17,"m","ft")</f>
        <v>467.89592814659636</v>
      </c>
      <c r="AB17">
        <f>64/Res</f>
        <v>5.4286721054031635E-4</v>
      </c>
      <c r="AC17">
        <f>4*0.0791/POWER(Res,0.25)</f>
        <v>1.707516401744074E-2</v>
      </c>
      <c r="AD17">
        <f>4*(0.0008+(0.05525/POWER(Res,0.237)))</f>
        <v>1.7081934970097856E-2</v>
      </c>
      <c r="AM17" t="s">
        <v>190</v>
      </c>
      <c r="AN17">
        <f t="shared" si="28"/>
        <v>0.05</v>
      </c>
    </row>
    <row r="18" spans="1:40" x14ac:dyDescent="0.2">
      <c r="A18" s="11" t="s">
        <v>78</v>
      </c>
      <c r="B18" s="11">
        <f>IF(D18="m", E18, IF(D18= "km", E18*1000, IF(D18="ft", CONVERT(E18,"ft","m"), "Please Enter")))</f>
        <v>5</v>
      </c>
      <c r="C18" s="11" t="s">
        <v>63</v>
      </c>
      <c r="D18" s="10" t="s">
        <v>63</v>
      </c>
      <c r="E18" s="20">
        <v>5</v>
      </c>
      <c r="F18" s="11" t="s">
        <v>218</v>
      </c>
      <c r="G18" s="40"/>
      <c r="H18" s="9" t="s">
        <v>207</v>
      </c>
      <c r="I18" s="24">
        <f>SUM(I13:I15)+I16-I17</f>
        <v>156.79527924993258</v>
      </c>
      <c r="J18" s="9" t="s">
        <v>63</v>
      </c>
      <c r="K18" s="24">
        <f>I18*g*Rho/100000</f>
        <v>8.3829812074580214</v>
      </c>
      <c r="L18" s="24">
        <f>CONVERT(I18,"m","ft")</f>
        <v>514.42020751290215</v>
      </c>
      <c r="AB18" t="s">
        <v>137</v>
      </c>
      <c r="AM18" t="s">
        <v>191</v>
      </c>
      <c r="AN18">
        <f t="shared" si="28"/>
        <v>0.12</v>
      </c>
    </row>
    <row r="19" spans="1:40" x14ac:dyDescent="0.2">
      <c r="A19" s="18" t="s">
        <v>209</v>
      </c>
      <c r="B19" s="30">
        <f>IF(D19="m",E19,IF(D19="pa",E19/AC1,IF('Pump Selection (Main Sheet)'!D19="Kg/cm2",'Pump Selection (Main Sheet)'!E19*10000/Rho,IF('Pump Selection (Main Sheet)'!D19="Bar",CONVERT('Pump Selection (Main Sheet)'!E19,"atm","pa")/'Pump Selection (Main Sheet)'!A5,IF('Pump Selection (Main Sheet)'!D19="psi",CONVERT('Pump Selection (Main Sheet)'!E19,"psi","Pa")/'Pump Selection (Main Sheet)'!AC1,IF('Pump Selection (Main Sheet)'!D19="ft",CONVERT('Pump Selection (Main Sheet)'!E19,"m","ft"),"Please Enter"))))))</f>
        <v>82.568807339449535</v>
      </c>
      <c r="C19" s="18" t="s">
        <v>63</v>
      </c>
      <c r="D19" s="10" t="s">
        <v>96</v>
      </c>
      <c r="E19" s="10">
        <v>4.5</v>
      </c>
      <c r="F19" s="11"/>
      <c r="G19" s="40"/>
      <c r="H19" s="9" t="s">
        <v>210</v>
      </c>
      <c r="I19" s="10">
        <v>165</v>
      </c>
      <c r="J19" s="10" t="s">
        <v>63</v>
      </c>
      <c r="K19" s="29">
        <f>I19*g*Rho/100000</f>
        <v>8.8216424999999994</v>
      </c>
      <c r="L19" s="29">
        <f>CONVERT(I19,"m","ft")</f>
        <v>541.33858267716539</v>
      </c>
      <c r="AB19" t="s">
        <v>83</v>
      </c>
      <c r="AC19" t="s">
        <v>84</v>
      </c>
      <c r="AD19" t="s">
        <v>85</v>
      </c>
      <c r="AM19" t="s">
        <v>192</v>
      </c>
      <c r="AN19">
        <f t="shared" si="28"/>
        <v>0.9</v>
      </c>
    </row>
    <row r="20" spans="1:40" x14ac:dyDescent="0.2">
      <c r="A20" s="11" t="s">
        <v>119</v>
      </c>
      <c r="B20" s="11">
        <f t="shared" ref="B20" si="29">IF(D20="m", E20, IF(D20= "km", E20*1000, IF(D20="ft", CONVERT(E20,"ft","m"), "Please Enter")))</f>
        <v>150</v>
      </c>
      <c r="C20" s="11" t="s">
        <v>63</v>
      </c>
      <c r="D20" s="10" t="s">
        <v>63</v>
      </c>
      <c r="E20" s="20">
        <v>150</v>
      </c>
      <c r="F20" s="11">
        <f>B20</f>
        <v>150</v>
      </c>
      <c r="G20" s="40"/>
      <c r="H20" s="9" t="s">
        <v>148</v>
      </c>
      <c r="I20" s="24">
        <f>B3*I19*g*Rho/1000</f>
        <v>4.9009125000000004</v>
      </c>
      <c r="J20" s="9" t="s">
        <v>105</v>
      </c>
      <c r="K20" s="23">
        <v>0.6</v>
      </c>
      <c r="L20" s="10" t="s">
        <v>211</v>
      </c>
      <c r="AB20">
        <f>64/'Pump Selection (Main Sheet)'!I9</f>
        <v>3.6191147369354421E-4</v>
      </c>
      <c r="AC20">
        <f>4*0.0791/POWER('Pump Selection (Main Sheet)'!I9,0.25)</f>
        <v>1.5429152418126185E-2</v>
      </c>
      <c r="AD20">
        <f>4*(0.0008+(0.05525/POWER('Pump Selection (Main Sheet)'!I9,0.237)))</f>
        <v>1.5810037474850928E-2</v>
      </c>
      <c r="AM20" t="s">
        <v>193</v>
      </c>
      <c r="AN20">
        <f t="shared" si="28"/>
        <v>0.27</v>
      </c>
    </row>
    <row r="21" spans="1:40" x14ac:dyDescent="0.2">
      <c r="A21" s="11" t="s">
        <v>175</v>
      </c>
      <c r="B21" s="11">
        <f>E21</f>
        <v>6</v>
      </c>
      <c r="C21" s="11" t="s">
        <v>81</v>
      </c>
      <c r="D21" s="10" t="s">
        <v>163</v>
      </c>
      <c r="E21" s="20">
        <v>6</v>
      </c>
      <c r="F21" s="11">
        <f t="shared" ref="F21:F26" si="30">B21*AN21*$B$9/$I$11</f>
        <v>19.35479283251258</v>
      </c>
      <c r="G21" s="40"/>
      <c r="H21" s="9" t="s">
        <v>149</v>
      </c>
      <c r="I21" s="24">
        <f>I20/K20</f>
        <v>8.1681875000000019</v>
      </c>
      <c r="J21" s="9" t="s">
        <v>105</v>
      </c>
      <c r="K21" s="23">
        <v>0.85</v>
      </c>
      <c r="L21" s="10" t="s">
        <v>212</v>
      </c>
      <c r="AM21" t="s">
        <v>194</v>
      </c>
      <c r="AN21">
        <f t="shared" ref="AN21:AN26" si="31">INDEX($AO$4:$BG$11, MATCH(D21,$AN$4:$AN$11,0), MATCH($B$9,$AO$3:$BG$3,0),1)</f>
        <v>0.51</v>
      </c>
    </row>
    <row r="22" spans="1:40" x14ac:dyDescent="0.2">
      <c r="A22" s="11" t="s">
        <v>176</v>
      </c>
      <c r="B22" s="11">
        <f t="shared" ref="B22:B26" si="32">E22</f>
        <v>2</v>
      </c>
      <c r="C22" s="11" t="s">
        <v>81</v>
      </c>
      <c r="D22" s="10" t="s">
        <v>164</v>
      </c>
      <c r="E22" s="10">
        <v>2</v>
      </c>
      <c r="F22" s="11">
        <f t="shared" si="30"/>
        <v>3.4155516763257494</v>
      </c>
      <c r="G22" s="40"/>
      <c r="H22" s="9" t="s">
        <v>150</v>
      </c>
      <c r="I22" s="24">
        <f>I21/K21</f>
        <v>9.6096323529411798</v>
      </c>
      <c r="J22" s="9" t="s">
        <v>105</v>
      </c>
      <c r="K22" s="24">
        <f>CONVERT(I22*1000,"W", "HP")</f>
        <v>12.886729258181166</v>
      </c>
      <c r="L22" s="9" t="s">
        <v>153</v>
      </c>
      <c r="AM22" t="s">
        <v>195</v>
      </c>
      <c r="AN22">
        <f t="shared" si="31"/>
        <v>0.27</v>
      </c>
    </row>
    <row r="23" spans="1:40" x14ac:dyDescent="0.2">
      <c r="A23" s="11" t="s">
        <v>177</v>
      </c>
      <c r="B23" s="11">
        <f t="shared" si="32"/>
        <v>3</v>
      </c>
      <c r="C23" s="11" t="s">
        <v>81</v>
      </c>
      <c r="D23" s="10" t="s">
        <v>159</v>
      </c>
      <c r="E23" s="10">
        <v>3</v>
      </c>
      <c r="F23" s="11">
        <f t="shared" si="30"/>
        <v>0.94876435453493047</v>
      </c>
      <c r="G23" s="40"/>
      <c r="H23" s="9" t="s">
        <v>154</v>
      </c>
      <c r="I23" s="24">
        <f>3600*8*30*(I12+I13+I14)*Rho*g*B3/1000</f>
        <v>21623.999222620147</v>
      </c>
      <c r="J23" s="9" t="s">
        <v>105</v>
      </c>
      <c r="K23" s="24">
        <f>I23/3600</f>
        <v>6.0066664507278187</v>
      </c>
      <c r="L23" s="9" t="s">
        <v>106</v>
      </c>
      <c r="AM23" t="s">
        <v>196</v>
      </c>
      <c r="AN23">
        <f t="shared" si="31"/>
        <v>0.05</v>
      </c>
    </row>
    <row r="24" spans="1:40" x14ac:dyDescent="0.2">
      <c r="A24" s="11" t="s">
        <v>178</v>
      </c>
      <c r="B24" s="11">
        <f t="shared" si="32"/>
        <v>3</v>
      </c>
      <c r="C24" s="11" t="s">
        <v>81</v>
      </c>
      <c r="D24" s="10" t="s">
        <v>166</v>
      </c>
      <c r="E24" s="10">
        <v>3</v>
      </c>
      <c r="F24" s="11">
        <f t="shared" si="30"/>
        <v>19.35479283251258</v>
      </c>
      <c r="G24" s="40"/>
      <c r="H24" s="9" t="s">
        <v>155</v>
      </c>
      <c r="I24" s="28">
        <f>K23*B29</f>
        <v>72.079997408733817</v>
      </c>
      <c r="J24" s="9" t="s">
        <v>156</v>
      </c>
      <c r="K24" s="28">
        <f>I24*12</f>
        <v>864.95996890480581</v>
      </c>
      <c r="L24" s="9" t="s">
        <v>213</v>
      </c>
      <c r="AM24" t="s">
        <v>197</v>
      </c>
      <c r="AN24">
        <f t="shared" si="31"/>
        <v>1.02</v>
      </c>
    </row>
    <row r="25" spans="1:40" x14ac:dyDescent="0.2">
      <c r="A25" s="11" t="s">
        <v>179</v>
      </c>
      <c r="B25" s="11">
        <f t="shared" si="32"/>
        <v>0</v>
      </c>
      <c r="C25" s="11" t="s">
        <v>81</v>
      </c>
      <c r="D25" s="10" t="s">
        <v>217</v>
      </c>
      <c r="E25" s="10">
        <v>0</v>
      </c>
      <c r="F25" s="11">
        <f t="shared" si="30"/>
        <v>0</v>
      </c>
      <c r="G25" s="40"/>
      <c r="AM25" t="s">
        <v>198</v>
      </c>
      <c r="AN25">
        <f t="shared" si="31"/>
        <v>5.8</v>
      </c>
    </row>
    <row r="26" spans="1:40" ht="15" customHeight="1" x14ac:dyDescent="0.2">
      <c r="A26" s="11" t="s">
        <v>180</v>
      </c>
      <c r="B26" s="11">
        <f t="shared" si="32"/>
        <v>0</v>
      </c>
      <c r="C26" s="11" t="s">
        <v>81</v>
      </c>
      <c r="D26" s="10" t="s">
        <v>161</v>
      </c>
      <c r="E26" s="10">
        <v>0</v>
      </c>
      <c r="F26" s="11">
        <f t="shared" si="30"/>
        <v>0</v>
      </c>
      <c r="G26" s="40"/>
      <c r="AM26" t="s">
        <v>199</v>
      </c>
      <c r="AN26">
        <f t="shared" si="31"/>
        <v>0.31</v>
      </c>
    </row>
    <row r="27" spans="1:40" ht="15" customHeight="1" x14ac:dyDescent="0.2">
      <c r="A27" s="11" t="s">
        <v>67</v>
      </c>
      <c r="B27" s="11">
        <f>IF(D27="m",E27,IF(D27="pa",E27/'Pump Selection (Main Sheet)'!AC1,IF('Pump Selection (Main Sheet)'!D27="Kg/cm2",'Pump Selection (Main Sheet)'!E27*10000/Rho, IF('Pump Selection (Main Sheet)'!D27="Bar",(CONVERT('Pump Selection (Main Sheet)'!E27,"atm","pa")/'Pump Selection (Main Sheet)'!AC1),IF('Pump Selection (Main Sheet)'!D27="psi",(CONVERT('Pump Selection (Main Sheet)'!E27,"psi","Pa")/'Pump Selection (Main Sheet)'!AC1),IF('Pump Selection (Main Sheet)'!D27="ft",CONVERT('Pump Selection (Main Sheet)'!E27,"m","ft"),"Please Enter"))))))</f>
        <v>293.57798165137615</v>
      </c>
      <c r="C27" s="11" t="s">
        <v>63</v>
      </c>
      <c r="D27" s="10" t="s">
        <v>96</v>
      </c>
      <c r="E27" s="20">
        <v>16</v>
      </c>
      <c r="F27" s="11"/>
      <c r="G27" s="40"/>
    </row>
    <row r="28" spans="1:40" x14ac:dyDescent="0.2">
      <c r="A28" s="11" t="s">
        <v>68</v>
      </c>
      <c r="B28" s="11">
        <f>IF(D28="m", E28, IF(D28= "km", E28*1000, IF(D28="ft", CONVERT(E28,"ft","m"), "Please Enter")))</f>
        <v>5</v>
      </c>
      <c r="C28" s="11" t="s">
        <v>63</v>
      </c>
      <c r="D28" s="10" t="s">
        <v>63</v>
      </c>
      <c r="E28" s="20">
        <v>5</v>
      </c>
      <c r="F28" s="11"/>
      <c r="G28" s="40"/>
    </row>
    <row r="29" spans="1:40" x14ac:dyDescent="0.2">
      <c r="A29" s="11" t="s">
        <v>152</v>
      </c>
      <c r="B29" s="11">
        <f>IF(E29&gt;0,E29,12)</f>
        <v>12</v>
      </c>
      <c r="C29" s="11" t="s">
        <v>151</v>
      </c>
      <c r="D29" s="10" t="s">
        <v>151</v>
      </c>
      <c r="E29" s="20">
        <v>12</v>
      </c>
      <c r="F29" s="11">
        <f>SUM(F10+F20)</f>
        <v>200</v>
      </c>
      <c r="G29" s="40"/>
    </row>
    <row r="30" spans="1:40" x14ac:dyDescent="0.2">
      <c r="F30" s="11">
        <f>SUM(F11:F16)+SUM(F21:F26)</f>
        <v>56.073901695885837</v>
      </c>
    </row>
    <row r="31" spans="1:40" ht="16" x14ac:dyDescent="0.2">
      <c r="F31" s="27">
        <f>F29+F30</f>
        <v>256.07390169588587</v>
      </c>
    </row>
    <row r="34" spans="1:1" x14ac:dyDescent="0.2">
      <c r="A34" t="s">
        <v>400</v>
      </c>
    </row>
    <row r="35" spans="1:1" x14ac:dyDescent="0.2">
      <c r="A35" t="s">
        <v>399</v>
      </c>
    </row>
    <row r="36" spans="1:1" x14ac:dyDescent="0.2">
      <c r="A36" t="s">
        <v>401</v>
      </c>
    </row>
    <row r="37" spans="1:1" x14ac:dyDescent="0.2">
      <c r="A37" t="s">
        <v>402</v>
      </c>
    </row>
  </sheetData>
  <mergeCells count="3">
    <mergeCell ref="H1:L1"/>
    <mergeCell ref="A1:E1"/>
    <mergeCell ref="G1:G29"/>
  </mergeCells>
  <dataValidations count="8">
    <dataValidation type="list" allowBlank="1" showInputMessage="1" showErrorMessage="1" sqref="D11:D16 D21:D26" xr:uid="{00000000-0002-0000-0100-000000000000}">
      <formula1>$AN$4:$AN$11</formula1>
    </dataValidation>
    <dataValidation type="list" allowBlank="1" showInputMessage="1" showErrorMessage="1" sqref="D3" xr:uid="{00000000-0002-0000-0100-000001000000}">
      <formula1>$AC$3:$AF$3</formula1>
    </dataValidation>
    <dataValidation type="list" allowBlank="1" showInputMessage="1" showErrorMessage="1" sqref="D4" xr:uid="{00000000-0002-0000-0100-000002000000}">
      <formula1>$AC$4:$AE$4</formula1>
    </dataValidation>
    <dataValidation type="list" allowBlank="1" showInputMessage="1" showErrorMessage="1" sqref="D5" xr:uid="{00000000-0002-0000-0100-000003000000}">
      <formula1>$AC$5:$AH$5</formula1>
    </dataValidation>
    <dataValidation type="list" allowBlank="1" showInputMessage="1" showErrorMessage="1" sqref="D7" xr:uid="{00000000-0002-0000-0100-000004000000}">
      <formula1>$AC$7</formula1>
    </dataValidation>
    <dataValidation type="list" allowBlank="1" showInputMessage="1" showErrorMessage="1" sqref="D10 D18 D20 D28" xr:uid="{00000000-0002-0000-0100-000005000000}">
      <formula1>$AC$8:$AE$8</formula1>
    </dataValidation>
    <dataValidation type="list" allowBlank="1" showInputMessage="1" showErrorMessage="1" sqref="D17 D19 D27" xr:uid="{00000000-0002-0000-0100-000006000000}">
      <formula1>$AC$10:$AH$10</formula1>
    </dataValidation>
    <dataValidation type="list" allowBlank="1" showInputMessage="1" showErrorMessage="1" sqref="D8:D9" xr:uid="{00000000-0002-0000-0100-000007000000}">
      <formula1>$AC$11:$AF$11</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81"/>
  <sheetViews>
    <sheetView zoomScale="85" zoomScaleNormal="85" workbookViewId="0"/>
  </sheetViews>
  <sheetFormatPr baseColWidth="10" defaultColWidth="8.83203125" defaultRowHeight="15" x14ac:dyDescent="0.2"/>
  <cols>
    <col min="1" max="1" width="32.33203125" customWidth="1"/>
  </cols>
  <sheetData>
    <row r="1" spans="1:46" x14ac:dyDescent="0.2">
      <c r="A1" t="s">
        <v>220</v>
      </c>
      <c r="F1" s="7" t="s">
        <v>335</v>
      </c>
      <c r="AK1" t="s">
        <v>234</v>
      </c>
      <c r="AL1" t="s">
        <v>235</v>
      </c>
      <c r="AM1" t="s">
        <v>236</v>
      </c>
      <c r="AN1" t="s">
        <v>237</v>
      </c>
      <c r="AO1" t="s">
        <v>238</v>
      </c>
      <c r="AP1" t="s">
        <v>241</v>
      </c>
      <c r="AQ1" t="s">
        <v>239</v>
      </c>
      <c r="AR1" t="s">
        <v>240</v>
      </c>
      <c r="AS1" t="s">
        <v>243</v>
      </c>
      <c r="AT1" t="s">
        <v>242</v>
      </c>
    </row>
    <row r="2" spans="1:46" x14ac:dyDescent="0.2">
      <c r="A2" t="s">
        <v>219</v>
      </c>
      <c r="C2">
        <f>139*545*g/1000000</f>
        <v>0.74315655000000003</v>
      </c>
      <c r="D2" t="s">
        <v>221</v>
      </c>
      <c r="F2" s="7" t="s">
        <v>306</v>
      </c>
      <c r="G2" s="7"/>
      <c r="H2" s="7"/>
      <c r="I2" s="7"/>
    </row>
    <row r="3" spans="1:46" x14ac:dyDescent="0.2">
      <c r="A3" t="s">
        <v>233</v>
      </c>
      <c r="C3">
        <f>3*C2</f>
        <v>2.22946965</v>
      </c>
      <c r="D3" t="s">
        <v>221</v>
      </c>
      <c r="F3" s="7" t="s">
        <v>305</v>
      </c>
      <c r="G3" s="7"/>
      <c r="H3" s="7"/>
      <c r="I3" s="7"/>
      <c r="J3" s="7"/>
      <c r="K3" s="7"/>
      <c r="L3" s="7"/>
    </row>
    <row r="4" spans="1:46" x14ac:dyDescent="0.2">
      <c r="A4" t="s">
        <v>225</v>
      </c>
      <c r="B4" t="s">
        <v>224</v>
      </c>
      <c r="C4">
        <v>1</v>
      </c>
      <c r="F4" s="7" t="s">
        <v>283</v>
      </c>
      <c r="G4" s="7"/>
      <c r="H4" s="7"/>
      <c r="I4" s="7"/>
    </row>
    <row r="5" spans="1:46" x14ac:dyDescent="0.2">
      <c r="A5" t="s">
        <v>226</v>
      </c>
      <c r="B5" t="s">
        <v>227</v>
      </c>
      <c r="C5">
        <v>0.52</v>
      </c>
      <c r="F5" s="33" t="s">
        <v>384</v>
      </c>
      <c r="G5" s="33"/>
      <c r="H5" s="33"/>
      <c r="I5" s="33"/>
      <c r="J5" s="33"/>
      <c r="K5" s="33"/>
      <c r="L5" s="33"/>
      <c r="M5" s="33"/>
    </row>
    <row r="6" spans="1:46" x14ac:dyDescent="0.2">
      <c r="A6" t="s">
        <v>228</v>
      </c>
      <c r="B6" t="s">
        <v>229</v>
      </c>
      <c r="C6">
        <v>205</v>
      </c>
      <c r="D6" t="s">
        <v>221</v>
      </c>
      <c r="F6" t="s">
        <v>300</v>
      </c>
    </row>
    <row r="7" spans="1:46" x14ac:dyDescent="0.2">
      <c r="A7" t="s">
        <v>232</v>
      </c>
      <c r="B7" t="s">
        <v>230</v>
      </c>
      <c r="C7">
        <f>C6*C5*C4</f>
        <v>106.60000000000001</v>
      </c>
    </row>
    <row r="8" spans="1:46" x14ac:dyDescent="0.2">
      <c r="A8" t="s">
        <v>231</v>
      </c>
      <c r="C8">
        <f>20*C7/C3</f>
        <v>956.28123935214819</v>
      </c>
    </row>
    <row r="9" spans="1:46" x14ac:dyDescent="0.2">
      <c r="A9" t="s">
        <v>222</v>
      </c>
      <c r="C9">
        <v>5000</v>
      </c>
      <c r="J9" t="s">
        <v>366</v>
      </c>
    </row>
    <row r="10" spans="1:46" x14ac:dyDescent="0.2">
      <c r="A10" t="s">
        <v>223</v>
      </c>
      <c r="C10">
        <f>C9/C8</f>
        <v>5.2285873592870544</v>
      </c>
      <c r="F10" t="s">
        <v>285</v>
      </c>
      <c r="G10" t="s">
        <v>265</v>
      </c>
      <c r="H10" t="s">
        <v>367</v>
      </c>
      <c r="I10" t="s">
        <v>259</v>
      </c>
      <c r="J10" t="s">
        <v>261</v>
      </c>
      <c r="K10" t="s">
        <v>388</v>
      </c>
      <c r="L10" t="s">
        <v>389</v>
      </c>
      <c r="M10" t="s">
        <v>260</v>
      </c>
      <c r="N10" t="s">
        <v>295</v>
      </c>
      <c r="O10" t="s">
        <v>257</v>
      </c>
      <c r="P10" t="s">
        <v>258</v>
      </c>
    </row>
    <row r="11" spans="1:46" x14ac:dyDescent="0.2">
      <c r="A11" t="s">
        <v>244</v>
      </c>
    </row>
    <row r="12" spans="1:46" x14ac:dyDescent="0.2">
      <c r="A12">
        <v>1</v>
      </c>
      <c r="B12" t="s">
        <v>263</v>
      </c>
      <c r="D12" t="s">
        <v>249</v>
      </c>
      <c r="E12" t="s">
        <v>245</v>
      </c>
      <c r="F12" t="s">
        <v>246</v>
      </c>
      <c r="G12" t="s">
        <v>266</v>
      </c>
      <c r="H12" t="s">
        <v>368</v>
      </c>
      <c r="I12" t="s">
        <v>334</v>
      </c>
      <c r="J12" t="s">
        <v>262</v>
      </c>
      <c r="M12" t="s">
        <v>262</v>
      </c>
      <c r="N12" t="s">
        <v>276</v>
      </c>
      <c r="O12" t="s">
        <v>254</v>
      </c>
      <c r="P12" t="s">
        <v>280</v>
      </c>
      <c r="Q12" t="s">
        <v>252</v>
      </c>
      <c r="W12" t="s">
        <v>253</v>
      </c>
    </row>
    <row r="13" spans="1:46" x14ac:dyDescent="0.2">
      <c r="F13" t="s">
        <v>247</v>
      </c>
      <c r="M13" t="s">
        <v>262</v>
      </c>
      <c r="N13" t="s">
        <v>277</v>
      </c>
      <c r="O13" t="s">
        <v>255</v>
      </c>
      <c r="Q13" t="s">
        <v>252</v>
      </c>
    </row>
    <row r="14" spans="1:46" x14ac:dyDescent="0.2">
      <c r="F14" t="s">
        <v>248</v>
      </c>
      <c r="M14" t="s">
        <v>262</v>
      </c>
      <c r="N14" t="s">
        <v>278</v>
      </c>
      <c r="O14" t="s">
        <v>256</v>
      </c>
      <c r="Q14" t="s">
        <v>252</v>
      </c>
    </row>
    <row r="15" spans="1:46" x14ac:dyDescent="0.2">
      <c r="A15">
        <v>2</v>
      </c>
      <c r="B15" t="s">
        <v>264</v>
      </c>
      <c r="D15" t="s">
        <v>250</v>
      </c>
      <c r="E15" t="s">
        <v>251</v>
      </c>
      <c r="F15" t="s">
        <v>268</v>
      </c>
      <c r="G15" t="s">
        <v>267</v>
      </c>
      <c r="H15" t="s">
        <v>368</v>
      </c>
      <c r="I15" t="s">
        <v>271</v>
      </c>
      <c r="J15" t="s">
        <v>281</v>
      </c>
      <c r="M15" t="s">
        <v>272</v>
      </c>
      <c r="N15" t="s">
        <v>279</v>
      </c>
      <c r="P15" t="s">
        <v>282</v>
      </c>
      <c r="Q15" t="s">
        <v>273</v>
      </c>
    </row>
    <row r="16" spans="1:46" x14ac:dyDescent="0.2">
      <c r="F16" t="s">
        <v>269</v>
      </c>
      <c r="M16" t="s">
        <v>272</v>
      </c>
      <c r="Q16" t="s">
        <v>274</v>
      </c>
    </row>
    <row r="17" spans="1:17" x14ac:dyDescent="0.2">
      <c r="F17" t="s">
        <v>270</v>
      </c>
      <c r="M17" t="s">
        <v>272</v>
      </c>
      <c r="Q17" t="s">
        <v>275</v>
      </c>
    </row>
    <row r="18" spans="1:17" x14ac:dyDescent="0.2">
      <c r="A18">
        <v>3</v>
      </c>
      <c r="B18" t="s">
        <v>290</v>
      </c>
      <c r="D18" t="s">
        <v>297</v>
      </c>
      <c r="E18" t="s">
        <v>284</v>
      </c>
      <c r="F18" t="s">
        <v>288</v>
      </c>
      <c r="G18" t="s">
        <v>286</v>
      </c>
      <c r="H18" t="s">
        <v>368</v>
      </c>
      <c r="J18" t="s">
        <v>296</v>
      </c>
      <c r="M18" t="s">
        <v>287</v>
      </c>
      <c r="N18" t="s">
        <v>294</v>
      </c>
      <c r="Q18" t="s">
        <v>291</v>
      </c>
    </row>
    <row r="19" spans="1:17" x14ac:dyDescent="0.2">
      <c r="F19" t="s">
        <v>289</v>
      </c>
      <c r="J19" t="s">
        <v>296</v>
      </c>
      <c r="M19" t="s">
        <v>287</v>
      </c>
      <c r="N19" t="s">
        <v>294</v>
      </c>
      <c r="Q19" t="s">
        <v>292</v>
      </c>
    </row>
    <row r="20" spans="1:17" x14ac:dyDescent="0.2">
      <c r="F20" t="s">
        <v>46</v>
      </c>
      <c r="J20" t="s">
        <v>296</v>
      </c>
      <c r="M20" t="s">
        <v>287</v>
      </c>
      <c r="N20" t="s">
        <v>294</v>
      </c>
      <c r="Q20" t="s">
        <v>293</v>
      </c>
    </row>
    <row r="21" spans="1:17" x14ac:dyDescent="0.2">
      <c r="A21">
        <v>4</v>
      </c>
      <c r="B21" t="s">
        <v>316</v>
      </c>
      <c r="E21" t="s">
        <v>317</v>
      </c>
    </row>
    <row r="22" spans="1:17" x14ac:dyDescent="0.2">
      <c r="A22">
        <v>5</v>
      </c>
      <c r="B22" t="s">
        <v>318</v>
      </c>
      <c r="E22" t="s">
        <v>319</v>
      </c>
    </row>
    <row r="23" spans="1:17" x14ac:dyDescent="0.2">
      <c r="A23">
        <v>6</v>
      </c>
      <c r="B23" t="s">
        <v>320</v>
      </c>
      <c r="E23" t="s">
        <v>321</v>
      </c>
    </row>
    <row r="24" spans="1:17" x14ac:dyDescent="0.2">
      <c r="A24">
        <v>7</v>
      </c>
      <c r="B24" t="s">
        <v>322</v>
      </c>
      <c r="E24" t="s">
        <v>323</v>
      </c>
    </row>
    <row r="25" spans="1:17" x14ac:dyDescent="0.2">
      <c r="A25">
        <v>8</v>
      </c>
      <c r="B25" t="s">
        <v>324</v>
      </c>
      <c r="E25" t="s">
        <v>325</v>
      </c>
    </row>
    <row r="26" spans="1:17" x14ac:dyDescent="0.2">
      <c r="A26">
        <v>9</v>
      </c>
      <c r="B26" t="s">
        <v>326</v>
      </c>
      <c r="E26" t="s">
        <v>327</v>
      </c>
    </row>
    <row r="27" spans="1:17" x14ac:dyDescent="0.2">
      <c r="A27">
        <v>10</v>
      </c>
      <c r="B27" t="s">
        <v>328</v>
      </c>
      <c r="E27" t="s">
        <v>329</v>
      </c>
    </row>
    <row r="28" spans="1:17" x14ac:dyDescent="0.2">
      <c r="A28">
        <v>11</v>
      </c>
      <c r="B28" t="s">
        <v>330</v>
      </c>
      <c r="E28" t="s">
        <v>331</v>
      </c>
    </row>
    <row r="29" spans="1:17" x14ac:dyDescent="0.2">
      <c r="A29" s="31" t="s">
        <v>332</v>
      </c>
      <c r="B29" t="s">
        <v>315</v>
      </c>
      <c r="E29" t="s">
        <v>298</v>
      </c>
      <c r="F29" t="s">
        <v>303</v>
      </c>
      <c r="G29" t="s">
        <v>299</v>
      </c>
      <c r="M29" t="s">
        <v>301</v>
      </c>
      <c r="Q29" t="s">
        <v>302</v>
      </c>
    </row>
    <row r="30" spans="1:17" x14ac:dyDescent="0.2">
      <c r="A30" s="31" t="s">
        <v>333</v>
      </c>
      <c r="B30" t="s">
        <v>314</v>
      </c>
      <c r="E30" t="s">
        <v>304</v>
      </c>
      <c r="F30" t="s">
        <v>309</v>
      </c>
      <c r="G30" t="s">
        <v>307</v>
      </c>
      <c r="I30" t="s">
        <v>308</v>
      </c>
      <c r="J30" t="s">
        <v>310</v>
      </c>
      <c r="M30" t="s">
        <v>311</v>
      </c>
      <c r="N30" t="s">
        <v>308</v>
      </c>
      <c r="P30" t="s">
        <v>312</v>
      </c>
      <c r="Q30" t="s">
        <v>313</v>
      </c>
    </row>
    <row r="31" spans="1:17" x14ac:dyDescent="0.2">
      <c r="A31" s="31" t="s">
        <v>336</v>
      </c>
      <c r="B31" t="s">
        <v>349</v>
      </c>
      <c r="E31" t="s">
        <v>343</v>
      </c>
    </row>
    <row r="32" spans="1:17" x14ac:dyDescent="0.2">
      <c r="A32" s="31" t="s">
        <v>337</v>
      </c>
      <c r="B32" t="s">
        <v>350</v>
      </c>
      <c r="E32" t="s">
        <v>344</v>
      </c>
    </row>
    <row r="33" spans="1:5" x14ac:dyDescent="0.2">
      <c r="A33" s="31" t="s">
        <v>338</v>
      </c>
      <c r="B33" t="s">
        <v>351</v>
      </c>
      <c r="E33" t="s">
        <v>345</v>
      </c>
    </row>
    <row r="34" spans="1:5" x14ac:dyDescent="0.2">
      <c r="A34" s="31" t="s">
        <v>339</v>
      </c>
      <c r="B34" t="s">
        <v>348</v>
      </c>
      <c r="E34" t="s">
        <v>346</v>
      </c>
    </row>
    <row r="35" spans="1:5" x14ac:dyDescent="0.2">
      <c r="A35" s="31" t="s">
        <v>340</v>
      </c>
      <c r="B35" t="s">
        <v>352</v>
      </c>
      <c r="E35" t="s">
        <v>347</v>
      </c>
    </row>
    <row r="36" spans="1:5" x14ac:dyDescent="0.2">
      <c r="A36" s="31" t="s">
        <v>341</v>
      </c>
      <c r="B36" t="s">
        <v>353</v>
      </c>
      <c r="E36" t="s">
        <v>354</v>
      </c>
    </row>
    <row r="37" spans="1:5" x14ac:dyDescent="0.2">
      <c r="A37" s="31" t="s">
        <v>342</v>
      </c>
      <c r="B37" t="s">
        <v>355</v>
      </c>
      <c r="E37" t="s">
        <v>356</v>
      </c>
    </row>
    <row r="38" spans="1:5" x14ac:dyDescent="0.2">
      <c r="A38" s="31" t="s">
        <v>363</v>
      </c>
      <c r="B38" t="s">
        <v>357</v>
      </c>
      <c r="E38" t="s">
        <v>358</v>
      </c>
    </row>
    <row r="39" spans="1:5" x14ac:dyDescent="0.2">
      <c r="A39" s="31" t="s">
        <v>364</v>
      </c>
      <c r="B39" t="s">
        <v>359</v>
      </c>
      <c r="E39" t="s">
        <v>360</v>
      </c>
    </row>
    <row r="40" spans="1:5" x14ac:dyDescent="0.2">
      <c r="A40" s="31" t="s">
        <v>365</v>
      </c>
      <c r="B40" t="s">
        <v>361</v>
      </c>
      <c r="E40" t="s">
        <v>362</v>
      </c>
    </row>
    <row r="41" spans="1:5" x14ac:dyDescent="0.2">
      <c r="A41">
        <v>12</v>
      </c>
      <c r="E41" t="s">
        <v>381</v>
      </c>
    </row>
    <row r="42" spans="1:5" x14ac:dyDescent="0.2">
      <c r="A42" s="32" t="s">
        <v>369</v>
      </c>
    </row>
    <row r="43" spans="1:5" x14ac:dyDescent="0.2">
      <c r="A43" s="31" t="s">
        <v>371</v>
      </c>
    </row>
    <row r="47" spans="1:5" x14ac:dyDescent="0.2">
      <c r="A47" t="s">
        <v>372</v>
      </c>
    </row>
    <row r="51" spans="1:5" x14ac:dyDescent="0.2">
      <c r="A51" t="s">
        <v>373</v>
      </c>
    </row>
    <row r="55" spans="1:5" x14ac:dyDescent="0.2">
      <c r="A55" t="s">
        <v>374</v>
      </c>
    </row>
    <row r="59" spans="1:5" x14ac:dyDescent="0.2">
      <c r="A59" t="s">
        <v>385</v>
      </c>
    </row>
    <row r="63" spans="1:5" x14ac:dyDescent="0.2">
      <c r="A63" t="s">
        <v>375</v>
      </c>
      <c r="E63" t="s">
        <v>382</v>
      </c>
    </row>
    <row r="64" spans="1:5" x14ac:dyDescent="0.2">
      <c r="E64" t="s">
        <v>383</v>
      </c>
    </row>
    <row r="67" spans="1:1" x14ac:dyDescent="0.2">
      <c r="A67" s="7" t="s">
        <v>370</v>
      </c>
    </row>
    <row r="68" spans="1:1" x14ac:dyDescent="0.2">
      <c r="A68" t="s">
        <v>376</v>
      </c>
    </row>
    <row r="69" spans="1:1" x14ac:dyDescent="0.2">
      <c r="A69" t="s">
        <v>377</v>
      </c>
    </row>
    <row r="77" spans="1:1" x14ac:dyDescent="0.2">
      <c r="A77" s="7" t="s">
        <v>378</v>
      </c>
    </row>
    <row r="78" spans="1:1" x14ac:dyDescent="0.2">
      <c r="A78" t="s">
        <v>379</v>
      </c>
    </row>
    <row r="79" spans="1:1" x14ac:dyDescent="0.2">
      <c r="A79" t="s">
        <v>380</v>
      </c>
    </row>
    <row r="80" spans="1:1" x14ac:dyDescent="0.2">
      <c r="A80" t="s">
        <v>386</v>
      </c>
    </row>
    <row r="81" spans="1:1" x14ac:dyDescent="0.2">
      <c r="A81" t="s">
        <v>387</v>
      </c>
    </row>
  </sheetData>
  <dataValidations count="1">
    <dataValidation type="list" allowBlank="1" showInputMessage="1" showErrorMessage="1" sqref="B1" xr:uid="{00000000-0002-0000-0000-000000000000}">
      <formula1>$AL$1:$AT$1</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I43"/>
  <sheetViews>
    <sheetView workbookViewId="0">
      <selection activeCell="B53" sqref="B53"/>
    </sheetView>
  </sheetViews>
  <sheetFormatPr baseColWidth="10" defaultColWidth="8.83203125" defaultRowHeight="15" x14ac:dyDescent="0.2"/>
  <cols>
    <col min="2" max="2" width="30.5" customWidth="1"/>
    <col min="4" max="4" width="24" customWidth="1"/>
    <col min="5" max="5" width="15.33203125" customWidth="1"/>
    <col min="6" max="6" width="13.1640625" customWidth="1"/>
    <col min="7" max="7" width="17.33203125" customWidth="1"/>
    <col min="8" max="8" width="19.83203125" customWidth="1"/>
  </cols>
  <sheetData>
    <row r="1" spans="2:9" x14ac:dyDescent="0.2">
      <c r="G1" t="s">
        <v>42</v>
      </c>
    </row>
    <row r="2" spans="2:9" x14ac:dyDescent="0.2">
      <c r="C2" t="s">
        <v>28</v>
      </c>
      <c r="D2">
        <f>50/3600</f>
        <v>1.3888888888888888E-2</v>
      </c>
      <c r="E2" t="s">
        <v>38</v>
      </c>
      <c r="F2" t="s">
        <v>39</v>
      </c>
      <c r="G2" t="s">
        <v>40</v>
      </c>
      <c r="H2" t="s">
        <v>43</v>
      </c>
    </row>
    <row r="3" spans="2:9" x14ac:dyDescent="0.2">
      <c r="C3" t="s">
        <v>0</v>
      </c>
      <c r="D3">
        <f>D2/(0.25*PI()*POWER(D6,2))</f>
        <v>0.7859503362562732</v>
      </c>
      <c r="G3" t="s">
        <v>41</v>
      </c>
    </row>
    <row r="4" spans="2:9" x14ac:dyDescent="0.2">
      <c r="B4" t="s">
        <v>20</v>
      </c>
      <c r="C4" t="s">
        <v>1</v>
      </c>
      <c r="D4">
        <v>300</v>
      </c>
    </row>
    <row r="5" spans="2:9" x14ac:dyDescent="0.2">
      <c r="C5" t="s">
        <v>2</v>
      </c>
      <c r="D5">
        <v>9.81</v>
      </c>
    </row>
    <row r="6" spans="2:9" x14ac:dyDescent="0.2">
      <c r="B6" t="s">
        <v>6</v>
      </c>
      <c r="C6" t="s">
        <v>3</v>
      </c>
      <c r="D6">
        <f>E6/1000</f>
        <v>0.15</v>
      </c>
      <c r="E6">
        <v>150</v>
      </c>
    </row>
    <row r="7" spans="2:9" x14ac:dyDescent="0.2">
      <c r="B7" t="s">
        <v>36</v>
      </c>
      <c r="C7" t="s">
        <v>4</v>
      </c>
      <c r="D7">
        <v>2E-3</v>
      </c>
      <c r="E7">
        <f>16/D14</f>
        <v>2.7392382183226972E-5</v>
      </c>
      <c r="F7">
        <f>0.0791/POWER(D14,0.25)</f>
        <v>2.861237698068092E-3</v>
      </c>
      <c r="G7">
        <f>0.0008+(0.05525/POWER(D14,0.237))</f>
        <v>3.1750573977486424E-3</v>
      </c>
      <c r="H7" t="s">
        <v>59</v>
      </c>
    </row>
    <row r="8" spans="2:9" x14ac:dyDescent="0.2">
      <c r="B8" t="s">
        <v>37</v>
      </c>
      <c r="D8">
        <f>4*D7</f>
        <v>8.0000000000000002E-3</v>
      </c>
    </row>
    <row r="9" spans="2:9" x14ac:dyDescent="0.2">
      <c r="B9" t="s">
        <v>7</v>
      </c>
      <c r="C9" t="s">
        <v>5</v>
      </c>
      <c r="D9">
        <f>(D8*D4*POWER(D3,2))/(2*D5*D6)</f>
        <v>0.50374550953015196</v>
      </c>
      <c r="E9" t="s">
        <v>57</v>
      </c>
    </row>
    <row r="10" spans="2:9" x14ac:dyDescent="0.2">
      <c r="B10" t="s">
        <v>8</v>
      </c>
      <c r="C10" t="s">
        <v>9</v>
      </c>
      <c r="D10">
        <v>545</v>
      </c>
      <c r="I10">
        <f>0.00011/0.545</f>
        <v>2.0183486238532111E-4</v>
      </c>
    </row>
    <row r="11" spans="2:9" x14ac:dyDescent="0.2">
      <c r="B11" t="s">
        <v>10</v>
      </c>
      <c r="C11" t="s">
        <v>15</v>
      </c>
      <c r="D11">
        <f>D12/D10</f>
        <v>2.0183486238532112E-7</v>
      </c>
    </row>
    <row r="12" spans="2:9" x14ac:dyDescent="0.2">
      <c r="B12" t="s">
        <v>11</v>
      </c>
      <c r="C12" t="s">
        <v>14</v>
      </c>
      <c r="D12">
        <v>1.1E-4</v>
      </c>
    </row>
    <row r="13" spans="2:9" x14ac:dyDescent="0.2">
      <c r="B13" t="s">
        <v>12</v>
      </c>
      <c r="C13" t="s">
        <v>16</v>
      </c>
      <c r="D13">
        <f>D6</f>
        <v>0.15</v>
      </c>
    </row>
    <row r="14" spans="2:9" x14ac:dyDescent="0.2">
      <c r="B14" t="s">
        <v>13</v>
      </c>
      <c r="C14" t="s">
        <v>17</v>
      </c>
      <c r="D14" s="2">
        <f>D3*D13*D10/D12</f>
        <v>584103.99989954848</v>
      </c>
      <c r="E14" t="s">
        <v>21</v>
      </c>
    </row>
    <row r="16" spans="2:9" x14ac:dyDescent="0.2">
      <c r="B16" t="s">
        <v>22</v>
      </c>
      <c r="D16" t="str">
        <f>IF(D14&lt;2000, "Laminar", "Transit / Turbulent")</f>
        <v>Transit / Turbulent</v>
      </c>
    </row>
    <row r="18" spans="2:6" x14ac:dyDescent="0.2">
      <c r="B18" t="s">
        <v>32</v>
      </c>
      <c r="C18" t="s">
        <v>34</v>
      </c>
    </row>
    <row r="19" spans="2:6" x14ac:dyDescent="0.2">
      <c r="C19" t="s">
        <v>31</v>
      </c>
    </row>
    <row r="21" spans="2:6" x14ac:dyDescent="0.2">
      <c r="B21" t="s">
        <v>33</v>
      </c>
      <c r="C21" t="s">
        <v>35</v>
      </c>
    </row>
    <row r="23" spans="2:6" x14ac:dyDescent="0.2">
      <c r="B23" t="s">
        <v>44</v>
      </c>
      <c r="E23" t="s">
        <v>54</v>
      </c>
      <c r="F23" t="s">
        <v>56</v>
      </c>
    </row>
    <row r="24" spans="2:6" x14ac:dyDescent="0.2">
      <c r="B24" t="s">
        <v>48</v>
      </c>
      <c r="D24" t="s">
        <v>47</v>
      </c>
    </row>
    <row r="25" spans="2:6" x14ac:dyDescent="0.2">
      <c r="B25" t="s">
        <v>45</v>
      </c>
      <c r="C25" t="s">
        <v>46</v>
      </c>
      <c r="D25">
        <f>SQRT(2*D5/D7)</f>
        <v>99.045444115315064</v>
      </c>
      <c r="E25" t="s">
        <v>55</v>
      </c>
    </row>
    <row r="26" spans="2:6" x14ac:dyDescent="0.2">
      <c r="B26" t="s">
        <v>50</v>
      </c>
      <c r="C26" t="s">
        <v>49</v>
      </c>
      <c r="D26">
        <f>D6/4</f>
        <v>3.7499999999999999E-2</v>
      </c>
    </row>
    <row r="27" spans="2:6" x14ac:dyDescent="0.2">
      <c r="B27" t="s">
        <v>51</v>
      </c>
      <c r="C27" t="s">
        <v>53</v>
      </c>
      <c r="D27">
        <f>D3*D3/(D25*D25*D26)</f>
        <v>1.6791516984338399E-3</v>
      </c>
    </row>
    <row r="28" spans="2:6" x14ac:dyDescent="0.2">
      <c r="B28" t="s">
        <v>52</v>
      </c>
      <c r="C28" t="s">
        <v>5</v>
      </c>
      <c r="D28">
        <f>D27*D4</f>
        <v>0.50374550953015196</v>
      </c>
      <c r="E28" t="s">
        <v>58</v>
      </c>
    </row>
    <row r="32" spans="2:6" x14ac:dyDescent="0.2">
      <c r="B32" t="s">
        <v>70</v>
      </c>
    </row>
    <row r="33" spans="2:7" x14ac:dyDescent="0.2">
      <c r="B33" t="s">
        <v>97</v>
      </c>
      <c r="D33">
        <f>50/3600</f>
        <v>1.3888888888888888E-2</v>
      </c>
      <c r="E33">
        <f>SQRT(D33)</f>
        <v>0.11785113019775792</v>
      </c>
      <c r="F33">
        <f>D33*3600</f>
        <v>50</v>
      </c>
      <c r="G33" t="s">
        <v>107</v>
      </c>
    </row>
    <row r="34" spans="2:7" x14ac:dyDescent="0.2">
      <c r="B34" t="s">
        <v>98</v>
      </c>
      <c r="D34">
        <v>162</v>
      </c>
      <c r="E34">
        <f>POWER(D34, 0.75)</f>
        <v>45.408406423700569</v>
      </c>
      <c r="G34" t="s">
        <v>108</v>
      </c>
    </row>
    <row r="35" spans="2:7" x14ac:dyDescent="0.2">
      <c r="B35" t="s">
        <v>99</v>
      </c>
      <c r="D35">
        <v>2970</v>
      </c>
      <c r="G35" t="s">
        <v>109</v>
      </c>
    </row>
    <row r="36" spans="2:7" x14ac:dyDescent="0.2">
      <c r="B36" t="s">
        <v>71</v>
      </c>
      <c r="D36" s="4">
        <v>0.52</v>
      </c>
      <c r="G36" t="s">
        <v>110</v>
      </c>
    </row>
    <row r="37" spans="2:7" x14ac:dyDescent="0.2">
      <c r="B37" t="s">
        <v>100</v>
      </c>
      <c r="D37">
        <f>D35*E33/E34</f>
        <v>7.7082171398257193</v>
      </c>
      <c r="G37" t="s">
        <v>111</v>
      </c>
    </row>
    <row r="38" spans="2:7" x14ac:dyDescent="0.2">
      <c r="B38" t="s">
        <v>101</v>
      </c>
      <c r="D38">
        <v>140</v>
      </c>
      <c r="E38">
        <f>POWER(D38,0.75)</f>
        <v>40.700151587775338</v>
      </c>
      <c r="G38" t="s">
        <v>112</v>
      </c>
    </row>
    <row r="39" spans="2:7" x14ac:dyDescent="0.2">
      <c r="B39" t="s">
        <v>72</v>
      </c>
      <c r="D39" s="6">
        <f>POWER(E39,2)</f>
        <v>1.1158017424437068E-2</v>
      </c>
      <c r="E39" s="5">
        <f>E38*E33/E34</f>
        <v>0.10563151719272552</v>
      </c>
      <c r="F39">
        <f>D39*3600</f>
        <v>40.168862727973448</v>
      </c>
      <c r="G39" s="8" t="s">
        <v>139</v>
      </c>
    </row>
    <row r="40" spans="2:7" x14ac:dyDescent="0.2">
      <c r="B40" t="s">
        <v>62</v>
      </c>
    </row>
    <row r="41" spans="2:7" x14ac:dyDescent="0.2">
      <c r="B41" t="s">
        <v>73</v>
      </c>
    </row>
    <row r="42" spans="2:7" x14ac:dyDescent="0.2">
      <c r="B42" t="s">
        <v>11</v>
      </c>
    </row>
    <row r="43" spans="2:7" x14ac:dyDescent="0.2">
      <c r="B43" t="s">
        <v>65</v>
      </c>
    </row>
  </sheetData>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9"/>
  <sheetViews>
    <sheetView workbookViewId="0">
      <selection activeCell="D8" sqref="D8"/>
    </sheetView>
  </sheetViews>
  <sheetFormatPr baseColWidth="10" defaultColWidth="8.83203125" defaultRowHeight="15" x14ac:dyDescent="0.2"/>
  <cols>
    <col min="1" max="1" width="31.83203125" customWidth="1"/>
    <col min="2" max="2" width="10" bestFit="1" customWidth="1"/>
  </cols>
  <sheetData>
    <row r="1" spans="1:7" x14ac:dyDescent="0.2">
      <c r="B1" s="3"/>
      <c r="C1" s="3"/>
      <c r="D1" s="3"/>
      <c r="E1" s="3"/>
    </row>
    <row r="2" spans="1:7" x14ac:dyDescent="0.2">
      <c r="A2" t="s">
        <v>23</v>
      </c>
      <c r="B2" s="1">
        <v>1.1E-4</v>
      </c>
      <c r="C2" t="s">
        <v>19</v>
      </c>
      <c r="D2" t="s">
        <v>24</v>
      </c>
    </row>
    <row r="3" spans="1:7" x14ac:dyDescent="0.2">
      <c r="A3" t="s">
        <v>18</v>
      </c>
      <c r="B3">
        <f>0.4*POWER(10,-6)</f>
        <v>3.9999999999999998E-7</v>
      </c>
      <c r="C3" t="s">
        <v>30</v>
      </c>
      <c r="D3" t="s">
        <v>25</v>
      </c>
      <c r="G3" t="s">
        <v>26</v>
      </c>
    </row>
    <row r="4" spans="1:7" x14ac:dyDescent="0.2">
      <c r="B4">
        <f>B3*545</f>
        <v>2.1799999999999999E-4</v>
      </c>
    </row>
    <row r="15" spans="1:7" x14ac:dyDescent="0.2">
      <c r="B15" s="34"/>
    </row>
    <row r="17" spans="2:5" x14ac:dyDescent="0.2">
      <c r="B17" s="34"/>
    </row>
    <row r="18" spans="2:5" x14ac:dyDescent="0.2">
      <c r="E18" s="34"/>
    </row>
    <row r="19" spans="2:5" x14ac:dyDescent="0.2">
      <c r="E19" s="34"/>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D2:O14"/>
  <sheetViews>
    <sheetView workbookViewId="0">
      <selection activeCell="J15" sqref="J15"/>
    </sheetView>
  </sheetViews>
  <sheetFormatPr baseColWidth="10" defaultColWidth="8.83203125" defaultRowHeight="15" x14ac:dyDescent="0.2"/>
  <cols>
    <col min="5" max="6" width="12" bestFit="1" customWidth="1"/>
    <col min="10" max="10" width="10" customWidth="1"/>
    <col min="15" max="15" width="10" bestFit="1" customWidth="1"/>
  </cols>
  <sheetData>
    <row r="2" spans="4:15" x14ac:dyDescent="0.2">
      <c r="E2" t="s">
        <v>391</v>
      </c>
      <c r="F2" t="s">
        <v>392</v>
      </c>
    </row>
    <row r="3" spans="4:15" x14ac:dyDescent="0.2">
      <c r="D3" t="s">
        <v>390</v>
      </c>
      <c r="E3">
        <v>21</v>
      </c>
      <c r="F3">
        <f>E3*100000</f>
        <v>2100000</v>
      </c>
    </row>
    <row r="4" spans="4:15" x14ac:dyDescent="0.2">
      <c r="D4" t="s">
        <v>8</v>
      </c>
      <c r="E4">
        <v>545</v>
      </c>
    </row>
    <row r="5" spans="4:15" x14ac:dyDescent="0.2">
      <c r="D5" t="s">
        <v>2</v>
      </c>
      <c r="E5">
        <v>9.81</v>
      </c>
    </row>
    <row r="6" spans="4:15" x14ac:dyDescent="0.2">
      <c r="D6" t="s">
        <v>184</v>
      </c>
      <c r="E6">
        <f>F3/(E4*E5)</f>
        <v>392.78399685772803</v>
      </c>
    </row>
    <row r="7" spans="4:15" x14ac:dyDescent="0.2">
      <c r="D7" t="s">
        <v>393</v>
      </c>
      <c r="E7">
        <f>SQRT(E6*2*E5)</f>
        <v>87.786229092885776</v>
      </c>
    </row>
    <row r="8" spans="4:15" x14ac:dyDescent="0.2">
      <c r="D8" t="s">
        <v>394</v>
      </c>
      <c r="E8">
        <v>2.5000000000000001E-2</v>
      </c>
    </row>
    <row r="9" spans="4:15" x14ac:dyDescent="0.2">
      <c r="D9" t="s">
        <v>395</v>
      </c>
      <c r="E9">
        <f>(PI()*E8*E8)/4</f>
        <v>4.9087385212340522E-4</v>
      </c>
      <c r="G9">
        <f>E11*E7/10</f>
        <v>206.1670178918302</v>
      </c>
      <c r="H9">
        <f>G9/E5</f>
        <v>21.016005901307867</v>
      </c>
    </row>
    <row r="10" spans="4:15" x14ac:dyDescent="0.2">
      <c r="D10" t="s">
        <v>28</v>
      </c>
      <c r="E10">
        <f>E9*E7</f>
        <v>4.3091964438212588E-2</v>
      </c>
    </row>
    <row r="11" spans="4:15" ht="16" x14ac:dyDescent="0.2">
      <c r="D11" t="s">
        <v>49</v>
      </c>
      <c r="E11">
        <f>E10*E4</f>
        <v>23.48512061882586</v>
      </c>
      <c r="J11" s="35">
        <v>2.73828</v>
      </c>
      <c r="K11">
        <f>J11*E7</f>
        <v>240.38327540046726</v>
      </c>
      <c r="L11">
        <f>K11/E5</f>
        <v>24.503901671811136</v>
      </c>
      <c r="N11">
        <f>L11*3</f>
        <v>73.511705015433407</v>
      </c>
      <c r="O11">
        <f>6.2/1000000</f>
        <v>6.1999999999999999E-6</v>
      </c>
    </row>
    <row r="12" spans="4:15" x14ac:dyDescent="0.2">
      <c r="D12" t="s">
        <v>396</v>
      </c>
      <c r="E12">
        <f>E11*E7</f>
        <v>2061.6701789183021</v>
      </c>
      <c r="N12">
        <f>N11/O11</f>
        <v>11856726.615392486</v>
      </c>
      <c r="O12">
        <f>N12/1000000</f>
        <v>11.856726615392486</v>
      </c>
    </row>
    <row r="13" spans="4:15" x14ac:dyDescent="0.2">
      <c r="D13" t="s">
        <v>397</v>
      </c>
      <c r="E13">
        <v>3.4200000000000001E-2</v>
      </c>
      <c r="F13">
        <f>POWER(E13,4)</f>
        <v>1.3680577296E-6</v>
      </c>
    </row>
    <row r="14" spans="4:15" x14ac:dyDescent="0.2">
      <c r="D14" t="s">
        <v>398</v>
      </c>
      <c r="E14">
        <v>3.3300000000000003E-2</v>
      </c>
      <c r="F14">
        <f>POWER(E14,4)</f>
        <v>1.2296370321000004E-6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Pump Selection (Main Sheet)</vt:lpstr>
      <vt:lpstr>Pipe Selection</vt:lpstr>
      <vt:lpstr>Notes</vt:lpstr>
      <vt:lpstr>DataSheet</vt:lpstr>
      <vt:lpstr>TSV</vt:lpstr>
      <vt:lpstr>g</vt:lpstr>
      <vt:lpstr>'Pump Selection (Main Sheet)'!Re</vt:lpstr>
      <vt:lpstr>'Pump Selection (Main Sheet)'!Res</vt:lpstr>
      <vt:lpstr>Rho</vt:lpstr>
      <vt:lpstr>'Pump Selection (Main Sheet)'!V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2023-11-10T23:04:39Z</dcterms:modified>
</cp:coreProperties>
</file>