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.資料輸入_HD現況" sheetId="1" r:id="rId4"/>
    <sheet name="b.資料輸入_PD" sheetId="2" r:id="rId5"/>
    <sheet name="c.SUMMARY_HD vs. PD利潤(現況)_簡易版HD" sheetId="3" r:id="rId6"/>
  </sheets>
</workbook>
</file>

<file path=xl/comments1.xml><?xml version="1.0" encoding="utf-8"?>
<comments xmlns="http://schemas.openxmlformats.org/spreadsheetml/2006/main">
  <authors>
    <author>Lu, Victoria</author>
  </authors>
  <commentList>
    <comment ref="H20" authorId="0">
      <text>
        <r>
          <rPr>
            <sz val="11"/>
            <color indexed="8"/>
            <rFont val="Helvetica"/>
          </rPr>
          <t>Lu, Victoria:
Avg. RP</t>
        </r>
      </text>
    </comment>
    <comment ref="E95" authorId="0">
      <text>
        <r>
          <rPr>
            <sz val="11"/>
            <color indexed="8"/>
            <rFont val="Helvetica"/>
          </rPr>
          <t>Lu, Victoria:
25% of 醫護人員費(追蹤處置費)</t>
        </r>
      </text>
    </comment>
  </commentList>
</comments>
</file>

<file path=xl/sharedStrings.xml><?xml version="1.0" encoding="utf-8"?>
<sst xmlns="http://schemas.openxmlformats.org/spreadsheetml/2006/main" uniqueCount="206">
  <si>
    <r>
      <rPr>
        <b val="1"/>
        <u val="single"/>
        <sz val="30"/>
        <color indexed="9"/>
        <rFont val="Arial"/>
      </rPr>
      <t>HD</t>
    </r>
    <r>
      <rPr>
        <u val="single"/>
        <sz val="30"/>
        <color indexed="9"/>
        <rFont val="標楷體"/>
      </rPr>
      <t>利潤試算</t>
    </r>
  </si>
  <si>
    <r>
      <rPr>
        <sz val="14"/>
        <color indexed="12"/>
        <rFont val="細明體"/>
      </rPr>
      <t>資料輸入</t>
    </r>
    <r>
      <rPr>
        <b val="1"/>
        <sz val="14"/>
        <color indexed="12"/>
        <rFont val="Arial"/>
      </rPr>
      <t>(1)</t>
    </r>
  </si>
  <si>
    <r>
      <rPr>
        <sz val="14"/>
        <color indexed="12"/>
        <rFont val="細明體"/>
      </rPr>
      <t>資料輸入</t>
    </r>
    <r>
      <rPr>
        <b val="1"/>
        <sz val="14"/>
        <color indexed="12"/>
        <rFont val="Arial"/>
      </rPr>
      <t>(2)</t>
    </r>
  </si>
  <si>
    <r>
      <rPr>
        <sz val="14"/>
        <color indexed="12"/>
        <rFont val="細明體"/>
      </rPr>
      <t>當資料輸入</t>
    </r>
    <r>
      <rPr>
        <b val="1"/>
        <sz val="14"/>
        <color indexed="12"/>
        <rFont val="Arial"/>
      </rPr>
      <t>(1)</t>
    </r>
    <r>
      <rPr>
        <sz val="14"/>
        <color indexed="12"/>
        <rFont val="細明體"/>
      </rPr>
      <t>不全時</t>
    </r>
    <r>
      <rPr>
        <b val="1"/>
        <sz val="14"/>
        <color indexed="12"/>
        <rFont val="Arial"/>
      </rPr>
      <t xml:space="preserve">, </t>
    </r>
    <r>
      <rPr>
        <sz val="14"/>
        <color indexed="12"/>
        <rFont val="細明體"/>
      </rPr>
      <t>可直接輸入</t>
    </r>
    <r>
      <rPr>
        <b val="1"/>
        <sz val="14"/>
        <color indexed="12"/>
        <rFont val="Arial"/>
      </rPr>
      <t>"</t>
    </r>
    <r>
      <rPr>
        <sz val="14"/>
        <color indexed="12"/>
        <rFont val="細明體"/>
      </rPr>
      <t>資料輸入</t>
    </r>
    <r>
      <rPr>
        <b val="1"/>
        <sz val="14"/>
        <color indexed="12"/>
        <rFont val="Arial"/>
      </rPr>
      <t>(2)"</t>
    </r>
    <r>
      <rPr>
        <sz val="14"/>
        <color indexed="12"/>
        <rFont val="細明體"/>
      </rPr>
      <t>欄</t>
    </r>
  </si>
  <si>
    <t>健保給付</t>
  </si>
  <si>
    <t>損益表</t>
  </si>
  <si>
    <r>
      <rPr>
        <u val="single"/>
        <sz val="18"/>
        <color indexed="12"/>
        <rFont val="標楷體"/>
      </rPr>
      <t>每</t>
    </r>
    <r>
      <rPr>
        <b val="1"/>
        <u val="single"/>
        <sz val="18"/>
        <color indexed="12"/>
        <rFont val="Times New Roman"/>
      </rPr>
      <t xml:space="preserve">       </t>
    </r>
    <r>
      <rPr>
        <u val="single"/>
        <sz val="18"/>
        <color indexed="12"/>
        <rFont val="標楷體"/>
      </rPr>
      <t>月</t>
    </r>
  </si>
  <si>
    <r>
      <rPr>
        <u val="single"/>
        <sz val="18"/>
        <color indexed="12"/>
        <rFont val="標楷體"/>
      </rPr>
      <t>每</t>
    </r>
    <r>
      <rPr>
        <b val="1"/>
        <u val="single"/>
        <sz val="18"/>
        <color indexed="12"/>
        <rFont val="Times New Roman"/>
      </rPr>
      <t xml:space="preserve">     </t>
    </r>
    <r>
      <rPr>
        <u val="single"/>
        <sz val="18"/>
        <color indexed="12"/>
        <rFont val="標楷體"/>
      </rPr>
      <t>年</t>
    </r>
  </si>
  <si>
    <r>
      <rPr>
        <sz val="12"/>
        <color indexed="8"/>
        <rFont val="細明體"/>
      </rPr>
      <t>平均每月血液透析人次</t>
    </r>
    <r>
      <rPr>
        <sz val="12"/>
        <color indexed="8"/>
        <rFont val="Arial"/>
      </rPr>
      <t xml:space="preserve"> (Tx / mon.)</t>
    </r>
  </si>
  <si>
    <r>
      <rPr>
        <sz val="14"/>
        <color indexed="8"/>
        <rFont val="細明體"/>
      </rPr>
      <t>健保給付點</t>
    </r>
  </si>
  <si>
    <r>
      <rPr>
        <u val="single"/>
        <sz val="12"/>
        <color indexed="17"/>
        <rFont val="細明體"/>
      </rPr>
      <t>平均健保給付點數</t>
    </r>
    <r>
      <rPr>
        <u val="single"/>
        <sz val="12"/>
        <color indexed="17"/>
        <rFont val="Arial"/>
      </rPr>
      <t xml:space="preserve"> (</t>
    </r>
    <r>
      <rPr>
        <u val="single"/>
        <sz val="12"/>
        <color indexed="17"/>
        <rFont val="細明體"/>
      </rPr>
      <t>每次</t>
    </r>
    <r>
      <rPr>
        <u val="single"/>
        <sz val="12"/>
        <color indexed="17"/>
        <rFont val="Arial"/>
      </rPr>
      <t>)</t>
    </r>
  </si>
  <si>
    <t>健保給付金額</t>
  </si>
  <si>
    <r>
      <rPr>
        <sz val="12"/>
        <color indexed="8"/>
        <rFont val="細明體"/>
      </rPr>
      <t>健保給付點值</t>
    </r>
    <r>
      <rPr>
        <sz val="12"/>
        <color indexed="8"/>
        <rFont val="Times New Roman"/>
      </rPr>
      <t xml:space="preserve"> (</t>
    </r>
    <r>
      <rPr>
        <sz val="12"/>
        <color indexed="8"/>
        <rFont val="細明體"/>
      </rPr>
      <t>元</t>
    </r>
    <r>
      <rPr>
        <sz val="12"/>
        <color indexed="8"/>
        <rFont val="Times New Roman"/>
      </rPr>
      <t>)_</t>
    </r>
    <r>
      <rPr>
        <sz val="12"/>
        <color indexed="8"/>
        <rFont val="細明體"/>
      </rPr>
      <t>預估</t>
    </r>
  </si>
  <si>
    <t>成本</t>
  </si>
  <si>
    <t>床數</t>
  </si>
  <si>
    <r>
      <rPr>
        <sz val="14"/>
        <color indexed="8"/>
        <rFont val="細明體"/>
      </rPr>
      <t>材料成本</t>
    </r>
    <r>
      <rPr>
        <sz val="14"/>
        <color indexed="8"/>
        <rFont val="Times New Roman"/>
      </rPr>
      <t>(</t>
    </r>
    <r>
      <rPr>
        <sz val="14"/>
        <color indexed="8"/>
        <rFont val="細明體"/>
      </rPr>
      <t>含人工腎臟</t>
    </r>
    <r>
      <rPr>
        <sz val="14"/>
        <color indexed="8"/>
        <rFont val="Times New Roman"/>
      </rPr>
      <t xml:space="preserve">, </t>
    </r>
    <r>
      <rPr>
        <sz val="14"/>
        <color indexed="8"/>
        <rFont val="細明體"/>
      </rPr>
      <t>藥品等</t>
    </r>
    <r>
      <rPr>
        <sz val="14"/>
        <color indexed="8"/>
        <rFont val="Times New Roman"/>
      </rPr>
      <t>)</t>
    </r>
  </si>
  <si>
    <r>
      <rPr>
        <sz val="12"/>
        <color indexed="8"/>
        <rFont val="細明體"/>
      </rPr>
      <t>班數</t>
    </r>
    <r>
      <rPr>
        <sz val="12"/>
        <color indexed="8"/>
        <rFont val="Times New Roman"/>
      </rPr>
      <t xml:space="preserve"> / </t>
    </r>
    <r>
      <rPr>
        <sz val="12"/>
        <color indexed="8"/>
        <rFont val="細明體"/>
      </rPr>
      <t>床</t>
    </r>
    <r>
      <rPr>
        <sz val="12"/>
        <color indexed="8"/>
        <rFont val="Times New Roman"/>
      </rPr>
      <t xml:space="preserve"> / </t>
    </r>
    <r>
      <rPr>
        <sz val="12"/>
        <color indexed="8"/>
        <rFont val="細明體"/>
      </rPr>
      <t>星期</t>
    </r>
  </si>
  <si>
    <r>
      <rPr>
        <sz val="14"/>
        <color indexed="8"/>
        <rFont val="細明體"/>
      </rPr>
      <t>醫務成本</t>
    </r>
    <r>
      <rPr>
        <sz val="14"/>
        <color indexed="8"/>
        <rFont val="Times New Roman"/>
      </rPr>
      <t>(</t>
    </r>
    <r>
      <rPr>
        <sz val="14"/>
        <color indexed="8"/>
        <rFont val="細明體"/>
      </rPr>
      <t>檢驗費</t>
    </r>
    <r>
      <rPr>
        <sz val="14"/>
        <color indexed="8"/>
        <rFont val="Times New Roman"/>
      </rPr>
      <t>…</t>
    </r>
    <r>
      <rPr>
        <sz val="14"/>
        <color indexed="8"/>
        <rFont val="細明體"/>
      </rPr>
      <t>等</t>
    </r>
    <r>
      <rPr>
        <sz val="14"/>
        <color indexed="8"/>
        <rFont val="Times New Roman"/>
      </rPr>
      <t>)</t>
    </r>
  </si>
  <si>
    <r>
      <rPr>
        <sz val="12"/>
        <color indexed="8"/>
        <rFont val="細明體"/>
      </rPr>
      <t>每月每病人平均血液透析次數</t>
    </r>
    <r>
      <rPr>
        <sz val="12"/>
        <color indexed="8"/>
        <rFont val="Arial"/>
      </rPr>
      <t>(Tx/p't/mon.)</t>
    </r>
  </si>
  <si>
    <r>
      <rPr>
        <sz val="12"/>
        <color indexed="8"/>
        <rFont val="Arial"/>
      </rPr>
      <t>Max.</t>
    </r>
    <r>
      <rPr>
        <sz val="12"/>
        <color indexed="8"/>
        <rFont val="細明體"/>
      </rPr>
      <t>每月血液透析人次</t>
    </r>
    <r>
      <rPr>
        <sz val="12"/>
        <color indexed="8"/>
        <rFont val="Arial"/>
      </rPr>
      <t xml:space="preserve"> (Tx / mon.)</t>
    </r>
  </si>
  <si>
    <t>費用</t>
  </si>
  <si>
    <t>病床使用率</t>
  </si>
  <si>
    <t>硬體折舊</t>
  </si>
  <si>
    <t>硬體維修費用</t>
  </si>
  <si>
    <t>人事薪資</t>
  </si>
  <si>
    <t>材料成本(每病人次)</t>
  </si>
  <si>
    <t>固定薪資</t>
  </si>
  <si>
    <t>衛材類</t>
  </si>
  <si>
    <r>
      <rPr>
        <sz val="12"/>
        <color indexed="8"/>
        <rFont val="細明體"/>
      </rPr>
      <t>變動薪資</t>
    </r>
    <r>
      <rPr>
        <sz val="12"/>
        <color indexed="8"/>
        <rFont val="Arial"/>
      </rPr>
      <t>(PPF), $ / Tx</t>
    </r>
  </si>
  <si>
    <r>
      <rPr>
        <sz val="12"/>
        <color indexed="8"/>
        <rFont val="Arial"/>
      </rPr>
      <t xml:space="preserve">   </t>
    </r>
    <r>
      <rPr>
        <sz val="12"/>
        <color indexed="8"/>
        <rFont val="新細明體"/>
      </rPr>
      <t>人工腎臟－</t>
    </r>
    <r>
      <rPr>
        <sz val="12"/>
        <color indexed="8"/>
        <rFont val="Arial"/>
      </rPr>
      <t xml:space="preserve">REUSE          </t>
    </r>
  </si>
  <si>
    <t>房屋租金</t>
  </si>
  <si>
    <r>
      <rPr>
        <sz val="12"/>
        <color indexed="8"/>
        <rFont val="Arial"/>
      </rPr>
      <t xml:space="preserve">   </t>
    </r>
    <r>
      <rPr>
        <sz val="12"/>
        <color indexed="8"/>
        <rFont val="新細明體"/>
      </rPr>
      <t>人工腎臟－一般</t>
    </r>
    <r>
      <rPr>
        <sz val="12"/>
        <color indexed="8"/>
        <rFont val="Arial"/>
      </rPr>
      <t xml:space="preserve">           </t>
    </r>
  </si>
  <si>
    <t>營運費用</t>
  </si>
  <si>
    <r>
      <rPr>
        <sz val="12"/>
        <color indexed="8"/>
        <rFont val="Arial"/>
      </rPr>
      <t xml:space="preserve">   </t>
    </r>
    <r>
      <rPr>
        <sz val="12"/>
        <color indexed="8"/>
        <rFont val="新細明體"/>
      </rPr>
      <t>血液迴路管</t>
    </r>
    <r>
      <rPr>
        <sz val="12"/>
        <color indexed="8"/>
        <rFont val="Arial"/>
      </rPr>
      <t xml:space="preserve">               </t>
    </r>
  </si>
  <si>
    <t>行政管理費用</t>
  </si>
  <si>
    <r>
      <rPr>
        <sz val="12"/>
        <color indexed="8"/>
        <rFont val="Arial"/>
      </rPr>
      <t xml:space="preserve">   </t>
    </r>
    <r>
      <rPr>
        <sz val="12"/>
        <color indexed="8"/>
        <rFont val="新細明體"/>
      </rPr>
      <t>穿刺針</t>
    </r>
    <r>
      <rPr>
        <sz val="12"/>
        <color indexed="8"/>
        <rFont val="Arial"/>
      </rPr>
      <t xml:space="preserve">                   </t>
    </r>
  </si>
  <si>
    <r>
      <rPr>
        <sz val="12"/>
        <color indexed="8"/>
        <rFont val="Arial"/>
      </rPr>
      <t>A</t>
    </r>
    <r>
      <rPr>
        <sz val="12"/>
        <color indexed="8"/>
        <rFont val="細明體"/>
      </rPr>
      <t>液藥水</t>
    </r>
  </si>
  <si>
    <t>稅前利潤</t>
  </si>
  <si>
    <r>
      <rPr>
        <sz val="12"/>
        <color indexed="8"/>
        <rFont val="Arial"/>
      </rPr>
      <t>B</t>
    </r>
    <r>
      <rPr>
        <sz val="12"/>
        <color indexed="8"/>
        <rFont val="細明體"/>
      </rPr>
      <t>液藥水</t>
    </r>
  </si>
  <si>
    <r>
      <rPr>
        <sz val="12"/>
        <color indexed="8"/>
        <rFont val="Arial"/>
      </rPr>
      <t xml:space="preserve">   </t>
    </r>
    <r>
      <rPr>
        <sz val="12"/>
        <color indexed="8"/>
        <rFont val="新細明體"/>
      </rPr>
      <t>保護罩</t>
    </r>
    <r>
      <rPr>
        <sz val="12"/>
        <color indexed="8"/>
        <rFont val="Arial"/>
      </rPr>
      <t xml:space="preserve">                   </t>
    </r>
  </si>
  <si>
    <t>每人次利潤</t>
  </si>
  <si>
    <r>
      <rPr>
        <sz val="12"/>
        <color indexed="8"/>
        <rFont val="Arial"/>
      </rPr>
      <t xml:space="preserve">   </t>
    </r>
    <r>
      <rPr>
        <sz val="12"/>
        <color indexed="8"/>
        <rFont val="新細明體"/>
      </rPr>
      <t>消毒水－</t>
    </r>
    <r>
      <rPr>
        <sz val="12"/>
        <color indexed="8"/>
        <rFont val="Arial"/>
      </rPr>
      <t xml:space="preserve">AK               </t>
    </r>
  </si>
  <si>
    <t>每人每月利潤</t>
  </si>
  <si>
    <r>
      <rPr>
        <sz val="12"/>
        <color indexed="8"/>
        <rFont val="Arial"/>
      </rPr>
      <t xml:space="preserve">   </t>
    </r>
    <r>
      <rPr>
        <sz val="12"/>
        <color indexed="8"/>
        <rFont val="新細明體"/>
      </rPr>
      <t>生理食鹽水</t>
    </r>
    <r>
      <rPr>
        <sz val="12"/>
        <color indexed="8"/>
        <rFont val="Arial"/>
      </rPr>
      <t xml:space="preserve">               </t>
    </r>
  </si>
  <si>
    <r>
      <rPr>
        <sz val="12"/>
        <color indexed="8"/>
        <rFont val="Arial"/>
      </rPr>
      <t xml:space="preserve">   </t>
    </r>
    <r>
      <rPr>
        <sz val="12"/>
        <color indexed="8"/>
        <rFont val="新細明體"/>
      </rPr>
      <t>其他衛耗材</t>
    </r>
    <r>
      <rPr>
        <sz val="12"/>
        <color indexed="8"/>
        <rFont val="Arial"/>
      </rPr>
      <t xml:space="preserve">               </t>
    </r>
  </si>
  <si>
    <t>藥品類</t>
  </si>
  <si>
    <r>
      <rPr>
        <sz val="12"/>
        <color indexed="8"/>
        <rFont val="Arial"/>
      </rPr>
      <t xml:space="preserve">   </t>
    </r>
    <r>
      <rPr>
        <sz val="12"/>
        <color indexed="8"/>
        <rFont val="新細明體"/>
      </rPr>
      <t>銷貨成本－一般藥品</t>
    </r>
    <r>
      <rPr>
        <sz val="12"/>
        <color indexed="8"/>
        <rFont val="Arial"/>
      </rPr>
      <t xml:space="preserve">       </t>
    </r>
  </si>
  <si>
    <t>IV Vitamin D</t>
  </si>
  <si>
    <t>IV Iron</t>
  </si>
  <si>
    <r>
      <rPr>
        <sz val="12"/>
        <color indexed="8"/>
        <rFont val="Arial"/>
      </rPr>
      <t xml:space="preserve">   </t>
    </r>
    <r>
      <rPr>
        <sz val="12"/>
        <color indexed="8"/>
        <rFont val="新細明體"/>
      </rPr>
      <t>銷貨成本－</t>
    </r>
    <r>
      <rPr>
        <sz val="12"/>
        <color indexed="8"/>
        <rFont val="Arial"/>
      </rPr>
      <t xml:space="preserve">EPO            </t>
    </r>
  </si>
  <si>
    <r>
      <rPr>
        <u val="single"/>
        <sz val="18"/>
        <color indexed="12"/>
        <rFont val="標楷體"/>
      </rPr>
      <t>醫務成本</t>
    </r>
    <r>
      <rPr>
        <b val="1"/>
        <u val="single"/>
        <sz val="18"/>
        <color indexed="12"/>
        <rFont val="Times New Roman"/>
      </rPr>
      <t>(</t>
    </r>
    <r>
      <rPr>
        <u val="single"/>
        <sz val="18"/>
        <color indexed="12"/>
        <rFont val="標楷體"/>
      </rPr>
      <t>每病人次</t>
    </r>
    <r>
      <rPr>
        <b val="1"/>
        <u val="single"/>
        <sz val="18"/>
        <color indexed="12"/>
        <rFont val="Times New Roman"/>
      </rPr>
      <t>)</t>
    </r>
  </si>
  <si>
    <r>
      <rPr>
        <sz val="12"/>
        <color indexed="8"/>
        <rFont val="Arial"/>
      </rPr>
      <t xml:space="preserve">   </t>
    </r>
    <r>
      <rPr>
        <sz val="12"/>
        <color indexed="8"/>
        <rFont val="新細明體"/>
      </rPr>
      <t>醫務－輸血費－血材費</t>
    </r>
    <r>
      <rPr>
        <sz val="12"/>
        <color indexed="8"/>
        <rFont val="Arial"/>
      </rPr>
      <t xml:space="preserve">     </t>
    </r>
  </si>
  <si>
    <r>
      <rPr>
        <sz val="12"/>
        <color indexed="8"/>
        <rFont val="Arial"/>
      </rPr>
      <t xml:space="preserve">   </t>
    </r>
    <r>
      <rPr>
        <sz val="12"/>
        <color indexed="8"/>
        <rFont val="新細明體"/>
      </rPr>
      <t>醫務－檢驗費</t>
    </r>
    <r>
      <rPr>
        <sz val="12"/>
        <color indexed="8"/>
        <rFont val="Arial"/>
      </rPr>
      <t xml:space="preserve">             </t>
    </r>
  </si>
  <si>
    <r>
      <rPr>
        <sz val="12"/>
        <color indexed="8"/>
        <rFont val="Arial"/>
      </rPr>
      <t xml:space="preserve">   </t>
    </r>
    <r>
      <rPr>
        <sz val="12"/>
        <color indexed="8"/>
        <rFont val="新細明體"/>
      </rPr>
      <t>醫務－病人伙食費</t>
    </r>
    <r>
      <rPr>
        <sz val="12"/>
        <color indexed="8"/>
        <rFont val="Arial"/>
      </rPr>
      <t xml:space="preserve">         </t>
    </r>
  </si>
  <si>
    <r>
      <rPr>
        <sz val="12"/>
        <color indexed="8"/>
        <rFont val="Arial"/>
      </rPr>
      <t xml:space="preserve">   </t>
    </r>
    <r>
      <rPr>
        <sz val="12"/>
        <color indexed="8"/>
        <rFont val="新細明體"/>
      </rPr>
      <t>醫務－放射檢查費</t>
    </r>
    <r>
      <rPr>
        <sz val="12"/>
        <color indexed="8"/>
        <rFont val="Arial"/>
      </rPr>
      <t xml:space="preserve">         </t>
    </r>
  </si>
  <si>
    <t>硬體設備折舊/維修費用</t>
  </si>
  <si>
    <r>
      <rPr>
        <sz val="12"/>
        <color indexed="8"/>
        <rFont val="細明體"/>
      </rPr>
      <t>硬體折舊費用</t>
    </r>
    <r>
      <rPr>
        <sz val="12"/>
        <color indexed="8"/>
        <rFont val="Times New Roman"/>
      </rPr>
      <t xml:space="preserve"> (</t>
    </r>
    <r>
      <rPr>
        <sz val="12"/>
        <color indexed="8"/>
        <rFont val="細明體"/>
      </rPr>
      <t>月</t>
    </r>
    <r>
      <rPr>
        <sz val="12"/>
        <color indexed="8"/>
        <rFont val="Times New Roman"/>
      </rPr>
      <t>)</t>
    </r>
  </si>
  <si>
    <r>
      <rPr>
        <sz val="12"/>
        <color indexed="8"/>
        <rFont val="細明體"/>
      </rPr>
      <t>硬體折舊費用</t>
    </r>
    <r>
      <rPr>
        <sz val="12"/>
        <color indexed="8"/>
        <rFont val="Times New Roman"/>
      </rPr>
      <t xml:space="preserve"> (</t>
    </r>
    <r>
      <rPr>
        <sz val="12"/>
        <color indexed="8"/>
        <rFont val="細明體"/>
      </rPr>
      <t>年</t>
    </r>
    <r>
      <rPr>
        <sz val="12"/>
        <color indexed="8"/>
        <rFont val="Times New Roman"/>
      </rPr>
      <t>)</t>
    </r>
  </si>
  <si>
    <r>
      <rPr>
        <sz val="12"/>
        <color indexed="8"/>
        <rFont val="細明體"/>
      </rPr>
      <t>硬體維護費用</t>
    </r>
    <r>
      <rPr>
        <sz val="12"/>
        <color indexed="8"/>
        <rFont val="Times New Roman"/>
      </rPr>
      <t xml:space="preserve"> (</t>
    </r>
    <r>
      <rPr>
        <sz val="12"/>
        <color indexed="8"/>
        <rFont val="細明體"/>
      </rPr>
      <t>月</t>
    </r>
    <r>
      <rPr>
        <sz val="12"/>
        <color indexed="8"/>
        <rFont val="Times New Roman"/>
      </rPr>
      <t>)</t>
    </r>
  </si>
  <si>
    <r>
      <rPr>
        <sz val="12"/>
        <color indexed="8"/>
        <rFont val="細明體"/>
      </rPr>
      <t>硬體維護費用</t>
    </r>
    <r>
      <rPr>
        <sz val="12"/>
        <color indexed="8"/>
        <rFont val="Times New Roman"/>
      </rPr>
      <t xml:space="preserve"> (</t>
    </r>
    <r>
      <rPr>
        <sz val="12"/>
        <color indexed="8"/>
        <rFont val="細明體"/>
      </rPr>
      <t>年</t>
    </r>
    <r>
      <rPr>
        <sz val="12"/>
        <color indexed="8"/>
        <rFont val="Times New Roman"/>
      </rPr>
      <t>)</t>
    </r>
  </si>
  <si>
    <r>
      <rPr>
        <u val="single"/>
        <sz val="18"/>
        <color indexed="12"/>
        <rFont val="標楷體"/>
      </rPr>
      <t>人事薪資</t>
    </r>
  </si>
  <si>
    <t>固定人事薪資</t>
  </si>
  <si>
    <t>醫師</t>
  </si>
  <si>
    <t>護理人員</t>
  </si>
  <si>
    <t>醫工</t>
  </si>
  <si>
    <r>
      <rPr>
        <u val="single"/>
        <sz val="14"/>
        <color indexed="8"/>
        <rFont val="細明體"/>
      </rPr>
      <t>行政人員</t>
    </r>
    <r>
      <rPr>
        <u val="single"/>
        <sz val="14"/>
        <color indexed="8"/>
        <rFont val="Times New Roman"/>
      </rPr>
      <t>/</t>
    </r>
    <r>
      <rPr>
        <u val="single"/>
        <sz val="14"/>
        <color indexed="8"/>
        <rFont val="細明體"/>
      </rPr>
      <t>其他</t>
    </r>
  </si>
  <si>
    <t>TOTAL</t>
  </si>
  <si>
    <t>人數</t>
  </si>
  <si>
    <r>
      <rPr>
        <sz val="12"/>
        <color indexed="8"/>
        <rFont val="新細明體"/>
      </rPr>
      <t>平均固定月薪</t>
    </r>
    <r>
      <rPr>
        <sz val="12"/>
        <color indexed="8"/>
        <rFont val="Times New Roman"/>
      </rPr>
      <t xml:space="preserve"> / </t>
    </r>
    <r>
      <rPr>
        <sz val="12"/>
        <color indexed="8"/>
        <rFont val="新細明體"/>
      </rPr>
      <t>人</t>
    </r>
  </si>
  <si>
    <r>
      <rPr>
        <sz val="12"/>
        <color indexed="8"/>
        <rFont val="新細明體"/>
      </rPr>
      <t>年度固定薪資給付月數</t>
    </r>
    <r>
      <rPr>
        <sz val="12"/>
        <color indexed="8"/>
        <rFont val="Times New Roman"/>
      </rPr>
      <t xml:space="preserve"> (</t>
    </r>
    <r>
      <rPr>
        <sz val="12"/>
        <color indexed="8"/>
        <rFont val="新細明體"/>
      </rPr>
      <t>月</t>
    </r>
    <r>
      <rPr>
        <sz val="12"/>
        <color indexed="8"/>
        <rFont val="Times New Roman"/>
      </rPr>
      <t>/</t>
    </r>
    <r>
      <rPr>
        <sz val="12"/>
        <color indexed="8"/>
        <rFont val="新細明體"/>
      </rPr>
      <t>年</t>
    </r>
    <r>
      <rPr>
        <sz val="12"/>
        <color indexed="8"/>
        <rFont val="Times New Roman"/>
      </rPr>
      <t>)</t>
    </r>
  </si>
  <si>
    <r>
      <rPr>
        <sz val="12"/>
        <color indexed="8"/>
        <rFont val="新細明體"/>
      </rPr>
      <t>平均年薪</t>
    </r>
    <r>
      <rPr>
        <sz val="12"/>
        <color indexed="8"/>
        <rFont val="Times New Roman"/>
      </rPr>
      <t xml:space="preserve"> / </t>
    </r>
    <r>
      <rPr>
        <sz val="12"/>
        <color indexed="8"/>
        <rFont val="新細明體"/>
      </rPr>
      <t>每人</t>
    </r>
  </si>
  <si>
    <r>
      <rPr>
        <sz val="12"/>
        <color indexed="8"/>
        <rFont val="Arial"/>
      </rPr>
      <t>Max.</t>
    </r>
    <r>
      <rPr>
        <sz val="12"/>
        <color indexed="8"/>
        <rFont val="細明體"/>
      </rPr>
      <t>照護之病床數</t>
    </r>
    <r>
      <rPr>
        <sz val="12"/>
        <color indexed="8"/>
        <rFont val="Arial"/>
      </rPr>
      <t xml:space="preserve"> / </t>
    </r>
    <r>
      <rPr>
        <sz val="12"/>
        <color indexed="8"/>
        <rFont val="細明體"/>
      </rPr>
      <t>機器數</t>
    </r>
  </si>
  <si>
    <r>
      <rPr>
        <sz val="12"/>
        <color indexed="8"/>
        <rFont val="新細明體"/>
      </rPr>
      <t>年節獎金</t>
    </r>
    <r>
      <rPr>
        <sz val="12"/>
        <color indexed="8"/>
        <rFont val="Arial"/>
      </rPr>
      <t xml:space="preserve">, </t>
    </r>
    <r>
      <rPr>
        <sz val="12"/>
        <color indexed="8"/>
        <rFont val="新細明體"/>
      </rPr>
      <t>退休金</t>
    </r>
    <r>
      <rPr>
        <sz val="12"/>
        <color indexed="8"/>
        <rFont val="Arial"/>
      </rPr>
      <t xml:space="preserve">, </t>
    </r>
    <r>
      <rPr>
        <sz val="12"/>
        <color indexed="8"/>
        <rFont val="新細明體"/>
      </rPr>
      <t>勞健保</t>
    </r>
    <r>
      <rPr>
        <sz val="12"/>
        <color indexed="8"/>
        <rFont val="Arial"/>
      </rPr>
      <t xml:space="preserve">, </t>
    </r>
    <r>
      <rPr>
        <sz val="12"/>
        <color indexed="8"/>
        <rFont val="新細明體"/>
      </rPr>
      <t>福利金</t>
    </r>
    <r>
      <rPr>
        <sz val="12"/>
        <color indexed="8"/>
        <rFont val="Arial"/>
      </rPr>
      <t xml:space="preserve"> (</t>
    </r>
    <r>
      <rPr>
        <sz val="12"/>
        <color indexed="8"/>
        <rFont val="新細明體"/>
      </rPr>
      <t>佔年薪之百分比</t>
    </r>
    <r>
      <rPr>
        <sz val="12"/>
        <color indexed="8"/>
        <rFont val="Arial"/>
      </rPr>
      <t>)</t>
    </r>
  </si>
  <si>
    <r>
      <rPr>
        <sz val="12"/>
        <color indexed="8"/>
        <rFont val="新細明體"/>
      </rPr>
      <t>總薪資支出</t>
    </r>
    <r>
      <rPr>
        <sz val="12"/>
        <color indexed="8"/>
        <rFont val="Times New Roman"/>
      </rPr>
      <t xml:space="preserve"> (</t>
    </r>
    <r>
      <rPr>
        <sz val="12"/>
        <color indexed="8"/>
        <rFont val="新細明體"/>
      </rPr>
      <t>年</t>
    </r>
    <r>
      <rPr>
        <sz val="12"/>
        <color indexed="8"/>
        <rFont val="Times New Roman"/>
      </rPr>
      <t>)</t>
    </r>
  </si>
  <si>
    <r>
      <rPr>
        <sz val="12"/>
        <color indexed="8"/>
        <rFont val="新細明體"/>
      </rPr>
      <t>總薪資支出</t>
    </r>
    <r>
      <rPr>
        <sz val="12"/>
        <color indexed="8"/>
        <rFont val="Times New Roman"/>
      </rPr>
      <t xml:space="preserve"> (</t>
    </r>
    <r>
      <rPr>
        <sz val="12"/>
        <color indexed="8"/>
        <rFont val="新細明體"/>
      </rPr>
      <t>月</t>
    </r>
    <r>
      <rPr>
        <sz val="12"/>
        <color indexed="8"/>
        <rFont val="Times New Roman"/>
      </rPr>
      <t>)</t>
    </r>
  </si>
  <si>
    <r>
      <rPr>
        <sz val="12"/>
        <color indexed="8"/>
        <rFont val="Arial"/>
      </rPr>
      <t>Time Allocation to HD</t>
    </r>
  </si>
  <si>
    <r>
      <rPr>
        <sz val="14"/>
        <color indexed="18"/>
        <rFont val="新細明體"/>
      </rPr>
      <t>變動人事薪資</t>
    </r>
    <r>
      <rPr>
        <b val="1"/>
        <sz val="14"/>
        <color indexed="18"/>
        <rFont val="Arial"/>
      </rPr>
      <t xml:space="preserve"> (PPF)</t>
    </r>
  </si>
  <si>
    <r>
      <rPr>
        <sz val="12"/>
        <color indexed="8"/>
        <rFont val="細明體"/>
      </rPr>
      <t>醫師</t>
    </r>
    <r>
      <rPr>
        <sz val="12"/>
        <color indexed="8"/>
        <rFont val="Times New Roman"/>
      </rPr>
      <t xml:space="preserve"> (</t>
    </r>
    <r>
      <rPr>
        <sz val="12"/>
        <color indexed="8"/>
        <rFont val="細明體"/>
      </rPr>
      <t>每病人次</t>
    </r>
    <r>
      <rPr>
        <sz val="12"/>
        <color indexed="8"/>
        <rFont val="Times New Roman"/>
      </rPr>
      <t>)</t>
    </r>
  </si>
  <si>
    <r>
      <rPr>
        <sz val="12"/>
        <color indexed="8"/>
        <rFont val="細明體"/>
      </rPr>
      <t>護理人員</t>
    </r>
    <r>
      <rPr>
        <sz val="12"/>
        <color indexed="8"/>
        <rFont val="Times New Roman"/>
      </rPr>
      <t xml:space="preserve"> (</t>
    </r>
    <r>
      <rPr>
        <sz val="12"/>
        <color indexed="8"/>
        <rFont val="細明體"/>
      </rPr>
      <t>每病人次</t>
    </r>
    <r>
      <rPr>
        <sz val="12"/>
        <color indexed="8"/>
        <rFont val="Times New Roman"/>
      </rPr>
      <t>)</t>
    </r>
  </si>
  <si>
    <r>
      <rPr>
        <sz val="12"/>
        <color indexed="8"/>
        <rFont val="新細明體"/>
      </rPr>
      <t>總</t>
    </r>
    <r>
      <rPr>
        <sz val="12"/>
        <color indexed="8"/>
        <rFont val="Arial"/>
      </rPr>
      <t>PPF</t>
    </r>
    <r>
      <rPr>
        <sz val="12"/>
        <color indexed="8"/>
        <rFont val="新細明體"/>
      </rPr>
      <t>支出</t>
    </r>
    <r>
      <rPr>
        <sz val="12"/>
        <color indexed="8"/>
        <rFont val="Arial"/>
      </rPr>
      <t xml:space="preserve"> (</t>
    </r>
    <r>
      <rPr>
        <sz val="12"/>
        <color indexed="8"/>
        <rFont val="新細明體"/>
      </rPr>
      <t>月</t>
    </r>
    <r>
      <rPr>
        <sz val="12"/>
        <color indexed="8"/>
        <rFont val="Arial"/>
      </rPr>
      <t>)</t>
    </r>
  </si>
  <si>
    <r>
      <rPr>
        <sz val="12"/>
        <color indexed="8"/>
        <rFont val="新細明體"/>
      </rPr>
      <t>總</t>
    </r>
    <r>
      <rPr>
        <sz val="12"/>
        <color indexed="8"/>
        <rFont val="Arial"/>
      </rPr>
      <t>PPF</t>
    </r>
    <r>
      <rPr>
        <sz val="12"/>
        <color indexed="8"/>
        <rFont val="新細明體"/>
      </rPr>
      <t>支出</t>
    </r>
    <r>
      <rPr>
        <sz val="12"/>
        <color indexed="8"/>
        <rFont val="Arial"/>
      </rPr>
      <t xml:space="preserve"> (</t>
    </r>
    <r>
      <rPr>
        <sz val="12"/>
        <color indexed="8"/>
        <rFont val="新細明體"/>
      </rPr>
      <t>年</t>
    </r>
    <r>
      <rPr>
        <sz val="12"/>
        <color indexed="8"/>
        <rFont val="Arial"/>
      </rPr>
      <t>)</t>
    </r>
  </si>
  <si>
    <t>現有總坪數</t>
  </si>
  <si>
    <r>
      <rPr>
        <sz val="12"/>
        <color indexed="8"/>
        <rFont val="細明體"/>
      </rPr>
      <t>每坪租金</t>
    </r>
    <r>
      <rPr>
        <sz val="12"/>
        <color indexed="8"/>
        <rFont val="Arial"/>
      </rPr>
      <t xml:space="preserve"> (</t>
    </r>
    <r>
      <rPr>
        <sz val="12"/>
        <color indexed="8"/>
        <rFont val="細明體"/>
      </rPr>
      <t>月</t>
    </r>
    <r>
      <rPr>
        <sz val="12"/>
        <color indexed="8"/>
        <rFont val="Arial"/>
      </rPr>
      <t>)</t>
    </r>
  </si>
  <si>
    <t>每月租金</t>
  </si>
  <si>
    <t>每年租金</t>
  </si>
  <si>
    <t>營運費用(水,電,燃料,垃圾處理,交際,差旅等)</t>
  </si>
  <si>
    <r>
      <rPr>
        <sz val="12"/>
        <color indexed="8"/>
        <rFont val="細明體"/>
      </rPr>
      <t>營運費用</t>
    </r>
    <r>
      <rPr>
        <sz val="12"/>
        <color indexed="8"/>
        <rFont val="Times New Roman"/>
      </rPr>
      <t xml:space="preserve"> (</t>
    </r>
    <r>
      <rPr>
        <sz val="12"/>
        <color indexed="8"/>
        <rFont val="細明體"/>
      </rPr>
      <t>月</t>
    </r>
    <r>
      <rPr>
        <sz val="12"/>
        <color indexed="8"/>
        <rFont val="Times New Roman"/>
      </rPr>
      <t>)</t>
    </r>
  </si>
  <si>
    <r>
      <rPr>
        <sz val="14"/>
        <color indexed="8"/>
        <rFont val="Times New Roman"/>
      </rPr>
      <t>(</t>
    </r>
    <r>
      <rPr>
        <sz val="14"/>
        <color indexed="8"/>
        <rFont val="細明體"/>
      </rPr>
      <t>約佔營收額</t>
    </r>
    <r>
      <rPr>
        <sz val="14"/>
        <color indexed="8"/>
        <rFont val="Times New Roman"/>
      </rPr>
      <t>(</t>
    </r>
    <r>
      <rPr>
        <sz val="14"/>
        <color indexed="8"/>
        <rFont val="細明體"/>
      </rPr>
      <t>健保點數</t>
    </r>
    <r>
      <rPr>
        <sz val="14"/>
        <color indexed="8"/>
        <rFont val="Times New Roman"/>
      </rPr>
      <t>)</t>
    </r>
    <r>
      <rPr>
        <sz val="14"/>
        <color indexed="8"/>
        <rFont val="細明體"/>
      </rPr>
      <t>之百分比</t>
    </r>
    <r>
      <rPr>
        <sz val="14"/>
        <color indexed="8"/>
        <rFont val="Times New Roman"/>
      </rPr>
      <t>)</t>
    </r>
  </si>
  <si>
    <r>
      <rPr>
        <sz val="12"/>
        <color indexed="8"/>
        <rFont val="細明體"/>
      </rPr>
      <t>營運費用</t>
    </r>
    <r>
      <rPr>
        <sz val="12"/>
        <color indexed="8"/>
        <rFont val="Times New Roman"/>
      </rPr>
      <t xml:space="preserve"> (</t>
    </r>
    <r>
      <rPr>
        <sz val="12"/>
        <color indexed="8"/>
        <rFont val="細明體"/>
      </rPr>
      <t>年</t>
    </r>
    <r>
      <rPr>
        <sz val="12"/>
        <color indexed="8"/>
        <rFont val="Times New Roman"/>
      </rPr>
      <t>)</t>
    </r>
  </si>
  <si>
    <t>行政管理費用(文具,印刷影印,電話,郵資快遞等)</t>
  </si>
  <si>
    <r>
      <rPr>
        <sz val="12"/>
        <color indexed="8"/>
        <rFont val="細明體"/>
      </rPr>
      <t>行政管理費用</t>
    </r>
    <r>
      <rPr>
        <sz val="12"/>
        <color indexed="8"/>
        <rFont val="Arial"/>
      </rPr>
      <t xml:space="preserve"> (</t>
    </r>
    <r>
      <rPr>
        <sz val="12"/>
        <color indexed="8"/>
        <rFont val="細明體"/>
      </rPr>
      <t>月</t>
    </r>
    <r>
      <rPr>
        <sz val="12"/>
        <color indexed="8"/>
        <rFont val="Arial"/>
      </rPr>
      <t>)</t>
    </r>
  </si>
  <si>
    <r>
      <rPr>
        <sz val="12"/>
        <color indexed="8"/>
        <rFont val="細明體"/>
      </rPr>
      <t>行政管理費用</t>
    </r>
    <r>
      <rPr>
        <sz val="12"/>
        <color indexed="8"/>
        <rFont val="Arial"/>
      </rPr>
      <t xml:space="preserve"> (</t>
    </r>
    <r>
      <rPr>
        <sz val="12"/>
        <color indexed="8"/>
        <rFont val="細明體"/>
      </rPr>
      <t>年</t>
    </r>
    <r>
      <rPr>
        <sz val="12"/>
        <color indexed="8"/>
        <rFont val="Arial"/>
      </rPr>
      <t>)</t>
    </r>
  </si>
  <si>
    <t>現有病人數</t>
  </si>
  <si>
    <t>資料輸入</t>
  </si>
  <si>
    <r>
      <rPr>
        <b val="1"/>
        <sz val="30"/>
        <color indexed="9"/>
        <rFont val="Arial"/>
      </rPr>
      <t>PD</t>
    </r>
    <r>
      <rPr>
        <sz val="30"/>
        <color indexed="9"/>
        <rFont val="標楷體"/>
      </rPr>
      <t>利潤試算</t>
    </r>
  </si>
  <si>
    <t>(每病人每月)</t>
  </si>
  <si>
    <r>
      <rPr>
        <u val="single"/>
        <sz val="12"/>
        <color indexed="8"/>
        <rFont val="細明體"/>
      </rPr>
      <t>數量</t>
    </r>
    <r>
      <rPr>
        <b val="1"/>
        <u val="single"/>
        <sz val="12"/>
        <color indexed="8"/>
        <rFont val="Times New Roman"/>
      </rPr>
      <t>(</t>
    </r>
    <r>
      <rPr>
        <u val="single"/>
        <sz val="12"/>
        <color indexed="8"/>
        <rFont val="細明體"/>
      </rPr>
      <t>每月</t>
    </r>
    <r>
      <rPr>
        <b val="1"/>
        <u val="single"/>
        <sz val="12"/>
        <color indexed="8"/>
        <rFont val="Times New Roman"/>
      </rPr>
      <t>)</t>
    </r>
  </si>
  <si>
    <t>健保給付單價/點數</t>
  </si>
  <si>
    <t>追蹤處置費</t>
  </si>
  <si>
    <t>醫護人員費</t>
  </si>
  <si>
    <t>特殊材料費</t>
  </si>
  <si>
    <t>醫材耗品費</t>
  </si>
  <si>
    <t>檢查費</t>
  </si>
  <si>
    <t>保障點值</t>
  </si>
  <si>
    <t>每月追縱處置費</t>
  </si>
  <si>
    <r>
      <rPr>
        <b val="1"/>
        <sz val="18"/>
        <color indexed="12"/>
        <rFont val="Tahoma"/>
      </rPr>
      <t xml:space="preserve"> </t>
    </r>
    <r>
      <rPr>
        <sz val="18"/>
        <color indexed="12"/>
        <rFont val="標楷體"/>
      </rPr>
      <t>腹膜透析液等</t>
    </r>
    <r>
      <rPr>
        <b val="1"/>
        <sz val="18"/>
        <color indexed="12"/>
        <rFont val="Tahoma"/>
      </rPr>
      <t xml:space="preserve">(incl. Cassette, </t>
    </r>
    <r>
      <rPr>
        <sz val="18"/>
        <color indexed="12"/>
        <rFont val="標楷體"/>
      </rPr>
      <t>租金</t>
    </r>
    <r>
      <rPr>
        <b val="1"/>
        <sz val="18"/>
        <color indexed="12"/>
        <rFont val="Tahoma"/>
      </rPr>
      <t>)</t>
    </r>
  </si>
  <si>
    <t>藥品一點一元給付</t>
  </si>
  <si>
    <t>使用比例</t>
  </si>
  <si>
    <t>CAPD</t>
  </si>
  <si>
    <t>1.5L/2.0L / 2.5L</t>
  </si>
  <si>
    <t>APD</t>
  </si>
  <si>
    <t>5L</t>
  </si>
  <si>
    <r>
      <rPr>
        <sz val="12"/>
        <color indexed="8"/>
        <rFont val="Arial"/>
      </rPr>
      <t>2L (</t>
    </r>
    <r>
      <rPr>
        <sz val="12"/>
        <color indexed="8"/>
        <rFont val="細明體"/>
      </rPr>
      <t>加洗一袋比例</t>
    </r>
    <r>
      <rPr>
        <sz val="12"/>
        <color indexed="8"/>
        <rFont val="Arial"/>
      </rPr>
      <t>)</t>
    </r>
  </si>
  <si>
    <t>Cassette</t>
  </si>
  <si>
    <r>
      <rPr>
        <sz val="12"/>
        <color indexed="8"/>
        <rFont val="Arial"/>
      </rPr>
      <t>HomeChoice</t>
    </r>
    <r>
      <rPr>
        <sz val="12"/>
        <color indexed="8"/>
        <rFont val="細明體"/>
      </rPr>
      <t>租金</t>
    </r>
  </si>
  <si>
    <t>透析點值</t>
  </si>
  <si>
    <r>
      <rPr>
        <u val="single"/>
        <sz val="12"/>
        <color indexed="8"/>
        <rFont val="細明體"/>
      </rPr>
      <t>使用</t>
    </r>
    <r>
      <rPr>
        <u val="single"/>
        <sz val="12"/>
        <color indexed="8"/>
        <rFont val="Arial"/>
      </rPr>
      <t>Extraneal</t>
    </r>
    <r>
      <rPr>
        <u val="single"/>
        <sz val="12"/>
        <color indexed="8"/>
        <rFont val="細明體"/>
      </rPr>
      <t>佔所有</t>
    </r>
    <r>
      <rPr>
        <u val="single"/>
        <sz val="12"/>
        <color indexed="8"/>
        <rFont val="Arial"/>
      </rPr>
      <t>PD</t>
    </r>
    <r>
      <rPr>
        <u val="single"/>
        <sz val="12"/>
        <color indexed="8"/>
        <rFont val="細明體"/>
      </rPr>
      <t>病人比例</t>
    </r>
  </si>
  <si>
    <r>
      <rPr>
        <u val="single"/>
        <sz val="12"/>
        <color indexed="8"/>
        <rFont val="細明體"/>
      </rPr>
      <t>與</t>
    </r>
    <r>
      <rPr>
        <u val="single"/>
        <sz val="12"/>
        <color indexed="8"/>
        <rFont val="Arial"/>
      </rPr>
      <t>Dianeal</t>
    </r>
    <r>
      <rPr>
        <u val="single"/>
        <sz val="12"/>
        <color indexed="8"/>
        <rFont val="細明體"/>
      </rPr>
      <t>給付差額</t>
    </r>
  </si>
  <si>
    <t>Extraneal</t>
  </si>
  <si>
    <t>藥品</t>
  </si>
  <si>
    <r>
      <rPr>
        <sz val="12"/>
        <color indexed="8"/>
        <rFont val="細明體"/>
      </rPr>
      <t>紅血球生成素</t>
    </r>
    <r>
      <rPr>
        <sz val="12"/>
        <color indexed="8"/>
        <rFont val="Tahoma"/>
      </rPr>
      <t>(EPO)</t>
    </r>
  </si>
  <si>
    <t>2000 iu / vial</t>
  </si>
  <si>
    <t>活性維生素</t>
  </si>
  <si>
    <t>tablet</t>
  </si>
  <si>
    <t>磷結合劑</t>
  </si>
  <si>
    <r>
      <rPr>
        <sz val="12"/>
        <color indexed="8"/>
        <rFont val="細明體"/>
      </rPr>
      <t>水溶性維生素</t>
    </r>
    <r>
      <rPr>
        <sz val="12"/>
        <color indexed="8"/>
        <rFont val="Arial"/>
      </rPr>
      <t>B</t>
    </r>
  </si>
  <si>
    <r>
      <rPr>
        <sz val="12"/>
        <color indexed="8"/>
        <rFont val="細明體"/>
      </rPr>
      <t>水溶性維生素</t>
    </r>
    <r>
      <rPr>
        <sz val="12"/>
        <color indexed="8"/>
        <rFont val="Arial"/>
      </rPr>
      <t>C</t>
    </r>
  </si>
  <si>
    <r>
      <rPr>
        <sz val="12"/>
        <color indexed="8"/>
        <rFont val="細明體"/>
      </rPr>
      <t>葉酸</t>
    </r>
    <r>
      <rPr>
        <sz val="12"/>
        <color indexed="8"/>
        <rFont val="Arial"/>
      </rPr>
      <t>Folic acid</t>
    </r>
  </si>
  <si>
    <t>高血壓用藥</t>
  </si>
  <si>
    <t>失眠</t>
  </si>
  <si>
    <t>皮膚養</t>
  </si>
  <si>
    <r>
      <rPr>
        <sz val="12"/>
        <color indexed="8"/>
        <rFont val="細明體"/>
      </rPr>
      <t>其他</t>
    </r>
    <r>
      <rPr>
        <sz val="12"/>
        <color indexed="8"/>
        <rFont val="Arial"/>
      </rPr>
      <t>(</t>
    </r>
    <r>
      <rPr>
        <sz val="12"/>
        <color indexed="8"/>
        <rFont val="細明體"/>
      </rPr>
      <t>便秘</t>
    </r>
    <r>
      <rPr>
        <sz val="12"/>
        <color indexed="8"/>
        <rFont val="Arial"/>
      </rPr>
      <t>….</t>
    </r>
    <r>
      <rPr>
        <sz val="12"/>
        <color indexed="8"/>
        <rFont val="細明體"/>
      </rPr>
      <t>等</t>
    </r>
    <r>
      <rPr>
        <sz val="12"/>
        <color indexed="8"/>
        <rFont val="Arial"/>
      </rPr>
      <t>)</t>
    </r>
  </si>
  <si>
    <t>健保給付金額總計</t>
  </si>
  <si>
    <t>材料成本</t>
  </si>
  <si>
    <r>
      <rPr>
        <u val="single"/>
        <sz val="14"/>
        <color indexed="8"/>
        <rFont val="細明體"/>
      </rPr>
      <t>數量</t>
    </r>
    <r>
      <rPr>
        <u val="single"/>
        <sz val="14"/>
        <color indexed="8"/>
        <rFont val="Times New Roman"/>
      </rPr>
      <t>(</t>
    </r>
    <r>
      <rPr>
        <u val="single"/>
        <sz val="14"/>
        <color indexed="8"/>
        <rFont val="細明體"/>
      </rPr>
      <t>每月</t>
    </r>
    <r>
      <rPr>
        <u val="single"/>
        <sz val="14"/>
        <color indexed="8"/>
        <rFont val="Times New Roman"/>
      </rPr>
      <t>)</t>
    </r>
  </si>
  <si>
    <t>單位成本</t>
  </si>
  <si>
    <t>進貨成本</t>
  </si>
  <si>
    <r>
      <rPr>
        <sz val="12"/>
        <color indexed="8"/>
        <rFont val="細明體"/>
      </rPr>
      <t>腹膜透析輸液管</t>
    </r>
    <r>
      <rPr>
        <sz val="12"/>
        <color indexed="8"/>
        <rFont val="Arial"/>
      </rPr>
      <t xml:space="preserve"> </t>
    </r>
  </si>
  <si>
    <t>每半年換一次</t>
  </si>
  <si>
    <r>
      <rPr>
        <sz val="12"/>
        <color indexed="8"/>
        <rFont val="細明體"/>
      </rPr>
      <t>更換準備包</t>
    </r>
    <r>
      <rPr>
        <sz val="12"/>
        <color indexed="8"/>
        <rFont val="Arial"/>
      </rPr>
      <t xml:space="preserve">(On-Off Tray) </t>
    </r>
  </si>
  <si>
    <r>
      <rPr>
        <sz val="12"/>
        <color indexed="8"/>
        <rFont val="細明體"/>
      </rPr>
      <t>紗</t>
    </r>
  </si>
  <si>
    <r>
      <rPr>
        <sz val="12"/>
        <color indexed="8"/>
        <rFont val="Arial"/>
      </rPr>
      <t>4</t>
    </r>
    <r>
      <rPr>
        <sz val="12"/>
        <color indexed="8"/>
        <rFont val="細明體"/>
      </rPr>
      <t>塊</t>
    </r>
    <r>
      <rPr>
        <sz val="12"/>
        <color indexed="8"/>
        <rFont val="Arial"/>
      </rPr>
      <t>/</t>
    </r>
    <r>
      <rPr>
        <sz val="12"/>
        <color indexed="8"/>
        <rFont val="細明體"/>
      </rPr>
      <t>包</t>
    </r>
  </si>
  <si>
    <r>
      <rPr>
        <sz val="12"/>
        <color indexed="8"/>
        <rFont val="細明體"/>
      </rPr>
      <t>棉棒</t>
    </r>
    <r>
      <rPr>
        <sz val="12"/>
        <color indexed="8"/>
        <rFont val="Arial"/>
      </rPr>
      <t>/</t>
    </r>
    <r>
      <rPr>
        <sz val="12"/>
        <color indexed="8"/>
        <rFont val="細明體"/>
      </rPr>
      <t>棉籤</t>
    </r>
  </si>
  <si>
    <r>
      <rPr>
        <sz val="12"/>
        <color indexed="8"/>
        <rFont val="Arial"/>
      </rPr>
      <t>10</t>
    </r>
    <r>
      <rPr>
        <sz val="12"/>
        <color indexed="8"/>
        <rFont val="細明體"/>
      </rPr>
      <t>支</t>
    </r>
    <r>
      <rPr>
        <sz val="12"/>
        <color indexed="8"/>
        <rFont val="Arial"/>
      </rPr>
      <t>/</t>
    </r>
    <r>
      <rPr>
        <sz val="12"/>
        <color indexed="8"/>
        <rFont val="細明體"/>
      </rPr>
      <t>包</t>
    </r>
  </si>
  <si>
    <t>紙膠</t>
  </si>
  <si>
    <r>
      <rPr>
        <sz val="12"/>
        <color indexed="8"/>
        <rFont val="Arial"/>
      </rPr>
      <t>9.1m/</t>
    </r>
    <r>
      <rPr>
        <sz val="12"/>
        <color indexed="8"/>
        <rFont val="細明體"/>
      </rPr>
      <t>卷</t>
    </r>
  </si>
  <si>
    <t>酒精</t>
  </si>
  <si>
    <t>c.c.</t>
  </si>
  <si>
    <t>碘酒</t>
  </si>
  <si>
    <t>生理食鹽水</t>
  </si>
  <si>
    <r>
      <rPr>
        <sz val="12"/>
        <color indexed="8"/>
        <rFont val="細明體"/>
      </rPr>
      <t>血液檢查</t>
    </r>
    <r>
      <rPr>
        <sz val="12"/>
        <color indexed="8"/>
        <rFont val="Arial"/>
      </rPr>
      <t xml:space="preserve"> </t>
    </r>
  </si>
  <si>
    <t>每月檢查</t>
  </si>
  <si>
    <r>
      <rPr>
        <sz val="12"/>
        <color indexed="8"/>
        <rFont val="細明體"/>
      </rPr>
      <t>腹膜透析功能測</t>
    </r>
  </si>
  <si>
    <t>年度檢查</t>
  </si>
  <si>
    <t xml:space="preserve">X-Ray </t>
  </si>
  <si>
    <t>折扣</t>
  </si>
  <si>
    <r>
      <rPr>
        <sz val="12"/>
        <color indexed="8"/>
        <rFont val="細明體"/>
      </rPr>
      <t>透析液</t>
    </r>
    <r>
      <rPr>
        <sz val="12"/>
        <color indexed="8"/>
        <rFont val="Arial"/>
      </rPr>
      <t xml:space="preserve"> / Cassette</t>
    </r>
  </si>
  <si>
    <r>
      <rPr>
        <sz val="12"/>
        <color indexed="8"/>
        <rFont val="Tahoma"/>
      </rPr>
      <t>APD</t>
    </r>
    <r>
      <rPr>
        <sz val="12"/>
        <color indexed="8"/>
        <rFont val="細明體"/>
      </rPr>
      <t>租金</t>
    </r>
  </si>
  <si>
    <r>
      <rPr>
        <sz val="12"/>
        <color indexed="8"/>
        <rFont val="Tahoma"/>
      </rPr>
      <t>紅血球生成素(EPO)</t>
    </r>
  </si>
  <si>
    <r>
      <rPr>
        <sz val="12"/>
        <color indexed="8"/>
        <rFont val="Tahoma"/>
      </rPr>
      <t>活性維生素</t>
    </r>
  </si>
  <si>
    <r>
      <rPr>
        <sz val="12"/>
        <color indexed="8"/>
        <rFont val="Tahoma"/>
      </rPr>
      <t>磷結合劑</t>
    </r>
  </si>
  <si>
    <r>
      <rPr>
        <sz val="12"/>
        <color indexed="8"/>
        <rFont val="Tahoma"/>
      </rPr>
      <t>水溶性維生素B</t>
    </r>
  </si>
  <si>
    <r>
      <rPr>
        <sz val="12"/>
        <color indexed="8"/>
        <rFont val="Tahoma"/>
      </rPr>
      <t>水溶性維生素C</t>
    </r>
  </si>
  <si>
    <r>
      <rPr>
        <sz val="12"/>
        <color indexed="8"/>
        <rFont val="Tahoma"/>
      </rPr>
      <t>葉酸Folic acid</t>
    </r>
  </si>
  <si>
    <r>
      <rPr>
        <sz val="12"/>
        <color indexed="8"/>
        <rFont val="Tahoma"/>
      </rPr>
      <t>高血壓用藥</t>
    </r>
  </si>
  <si>
    <r>
      <rPr>
        <sz val="12"/>
        <color indexed="8"/>
        <rFont val="Tahoma"/>
      </rPr>
      <t>失眠</t>
    </r>
  </si>
  <si>
    <r>
      <rPr>
        <sz val="12"/>
        <color indexed="8"/>
        <rFont val="Tahoma"/>
      </rPr>
      <t>皮膚養</t>
    </r>
  </si>
  <si>
    <r>
      <rPr>
        <sz val="12"/>
        <color indexed="8"/>
        <rFont val="Tahoma"/>
      </rPr>
      <t>其他(便秘….等)</t>
    </r>
  </si>
  <si>
    <t>材料成本總計</t>
  </si>
  <si>
    <t>毛利潤</t>
  </si>
  <si>
    <r>
      <rPr>
        <sz val="12"/>
        <color indexed="8"/>
        <rFont val="細明體"/>
      </rPr>
      <t>照護</t>
    </r>
    <r>
      <rPr>
        <sz val="12"/>
        <color indexed="8"/>
        <rFont val="Arial"/>
      </rPr>
      <t>PD</t>
    </r>
    <r>
      <rPr>
        <sz val="12"/>
        <color indexed="8"/>
        <rFont val="細明體"/>
      </rPr>
      <t>病人數</t>
    </r>
    <r>
      <rPr>
        <sz val="12"/>
        <color indexed="8"/>
        <rFont val="Arial"/>
      </rPr>
      <t xml:space="preserve">      / </t>
    </r>
    <r>
      <rPr>
        <sz val="12"/>
        <color indexed="8"/>
        <rFont val="細明體"/>
      </rPr>
      <t>每護理人員</t>
    </r>
  </si>
  <si>
    <r>
      <rPr>
        <sz val="12"/>
        <color indexed="8"/>
        <rFont val="細明體"/>
      </rPr>
      <t>年薪</t>
    </r>
    <r>
      <rPr>
        <sz val="12"/>
        <color indexed="8"/>
        <rFont val="Times New Roman"/>
      </rPr>
      <t>/</t>
    </r>
    <r>
      <rPr>
        <sz val="12"/>
        <color indexed="8"/>
        <rFont val="細明體"/>
      </rPr>
      <t>人</t>
    </r>
    <r>
      <rPr>
        <sz val="12"/>
        <color indexed="8"/>
        <rFont val="Times New Roman"/>
      </rPr>
      <t xml:space="preserve">               (</t>
    </r>
    <r>
      <rPr>
        <sz val="12"/>
        <color indexed="8"/>
        <rFont val="細明體"/>
      </rPr>
      <t>含相關福利</t>
    </r>
    <r>
      <rPr>
        <sz val="12"/>
        <color indexed="8"/>
        <rFont val="Times New Roman"/>
      </rPr>
      <t>)</t>
    </r>
  </si>
  <si>
    <r>
      <rPr>
        <sz val="14"/>
        <color indexed="8"/>
        <rFont val="細明體"/>
      </rPr>
      <t>費用支出</t>
    </r>
    <r>
      <rPr>
        <sz val="12"/>
        <color indexed="8"/>
        <rFont val="Times New Roman"/>
      </rPr>
      <t xml:space="preserve">                   </t>
    </r>
    <r>
      <rPr>
        <sz val="12"/>
        <color indexed="8"/>
        <rFont val="細明體"/>
      </rPr>
      <t>每病人</t>
    </r>
    <r>
      <rPr>
        <sz val="12"/>
        <color indexed="8"/>
        <rFont val="Times New Roman"/>
      </rPr>
      <t>/</t>
    </r>
    <r>
      <rPr>
        <sz val="12"/>
        <color indexed="8"/>
        <rFont val="細明體"/>
      </rPr>
      <t>每月</t>
    </r>
  </si>
  <si>
    <t>Time allocation to PD</t>
  </si>
  <si>
    <r>
      <rPr>
        <sz val="12"/>
        <color indexed="8"/>
        <rFont val="細明體"/>
      </rPr>
      <t>醫師固定薪資</t>
    </r>
    <r>
      <rPr>
        <sz val="12"/>
        <color indexed="8"/>
        <rFont val="Arial"/>
      </rPr>
      <t>allocated to PD (</t>
    </r>
    <r>
      <rPr>
        <sz val="12"/>
        <color indexed="8"/>
        <rFont val="細明體"/>
      </rPr>
      <t>月</t>
    </r>
    <r>
      <rPr>
        <sz val="12"/>
        <color indexed="8"/>
        <rFont val="Arial"/>
      </rPr>
      <t>)</t>
    </r>
  </si>
  <si>
    <r>
      <rPr>
        <sz val="12"/>
        <color indexed="8"/>
        <rFont val="細明體"/>
      </rPr>
      <t>醫師績效獎金</t>
    </r>
    <r>
      <rPr>
        <sz val="12"/>
        <color indexed="8"/>
        <rFont val="Arial"/>
      </rPr>
      <t xml:space="preserve"> (PPF) / </t>
    </r>
    <r>
      <rPr>
        <sz val="12"/>
        <color indexed="8"/>
        <rFont val="細明體"/>
      </rPr>
      <t>每月每病人</t>
    </r>
  </si>
  <si>
    <t>佔營收比例</t>
  </si>
  <si>
    <t>營運成本總計</t>
  </si>
  <si>
    <r>
      <rPr>
        <b val="1"/>
        <sz val="22"/>
        <color indexed="12"/>
        <rFont val="Tahoma"/>
      </rPr>
      <t>HD vs. PD</t>
    </r>
    <r>
      <rPr>
        <sz val="22"/>
        <color indexed="12"/>
        <rFont val="標楷體"/>
      </rPr>
      <t>損益</t>
    </r>
    <r>
      <rPr>
        <b val="1"/>
        <sz val="22"/>
        <color indexed="12"/>
        <rFont val="Tahoma"/>
      </rPr>
      <t>(PNL)</t>
    </r>
    <r>
      <rPr>
        <sz val="22"/>
        <color indexed="12"/>
        <rFont val="標楷體"/>
      </rPr>
      <t>比較</t>
    </r>
  </si>
  <si>
    <t>Data Input</t>
  </si>
  <si>
    <t>每月每病人</t>
  </si>
  <si>
    <t>HD</t>
  </si>
  <si>
    <t>PD</t>
  </si>
  <si>
    <t>預估透析點值</t>
  </si>
  <si>
    <r>
      <rPr>
        <sz val="14"/>
        <color indexed="12"/>
        <rFont val="標楷體"/>
      </rPr>
      <t>平均健保給付金額</t>
    </r>
    <r>
      <rPr>
        <b val="1"/>
        <sz val="14"/>
        <color indexed="12"/>
        <rFont val="Arial"/>
      </rPr>
      <t>/</t>
    </r>
    <r>
      <rPr>
        <sz val="14"/>
        <color indexed="12"/>
        <rFont val="標楷體"/>
      </rPr>
      <t>每人</t>
    </r>
    <r>
      <rPr>
        <b val="1"/>
        <sz val="14"/>
        <color indexed="12"/>
        <rFont val="Arial"/>
      </rPr>
      <t>/</t>
    </r>
    <r>
      <rPr>
        <sz val="14"/>
        <color indexed="12"/>
        <rFont val="標楷體"/>
      </rPr>
      <t>每月</t>
    </r>
  </si>
  <si>
    <r>
      <rPr>
        <sz val="12"/>
        <color indexed="8"/>
        <rFont val="細明體"/>
      </rPr>
      <t>平均健保給付點數</t>
    </r>
    <r>
      <rPr>
        <sz val="12"/>
        <color indexed="8"/>
        <rFont val="Arial"/>
      </rPr>
      <t>/</t>
    </r>
    <r>
      <rPr>
        <sz val="12"/>
        <color indexed="8"/>
        <rFont val="細明體"/>
      </rPr>
      <t>每人次</t>
    </r>
  </si>
  <si>
    <r>
      <rPr>
        <sz val="12"/>
        <color indexed="8"/>
        <rFont val="細明體"/>
      </rPr>
      <t>追蹤處置費</t>
    </r>
    <r>
      <rPr>
        <sz val="12"/>
        <color indexed="8"/>
        <rFont val="Arial"/>
      </rPr>
      <t xml:space="preserve"> </t>
    </r>
  </si>
  <si>
    <r>
      <rPr>
        <sz val="12"/>
        <color indexed="8"/>
        <rFont val="細明體"/>
      </rPr>
      <t>平均健保給付金額</t>
    </r>
    <r>
      <rPr>
        <sz val="12"/>
        <color indexed="8"/>
        <rFont val="Arial"/>
      </rPr>
      <t>/</t>
    </r>
    <r>
      <rPr>
        <sz val="12"/>
        <color indexed="8"/>
        <rFont val="細明體"/>
      </rPr>
      <t>每人次</t>
    </r>
  </si>
  <si>
    <r>
      <rPr>
        <sz val="12"/>
        <color indexed="8"/>
        <rFont val="細明體"/>
      </rPr>
      <t>透析藥水等</t>
    </r>
    <r>
      <rPr>
        <sz val="12"/>
        <color indexed="8"/>
        <rFont val="Arial"/>
      </rPr>
      <t>(incl. Cassette, Rental)</t>
    </r>
  </si>
  <si>
    <r>
      <rPr>
        <sz val="12"/>
        <color indexed="8"/>
        <rFont val="細明體"/>
      </rPr>
      <t>藥品</t>
    </r>
    <r>
      <rPr>
        <sz val="12"/>
        <color indexed="8"/>
        <rFont val="Arial"/>
      </rPr>
      <t xml:space="preserve"> </t>
    </r>
  </si>
  <si>
    <r>
      <rPr>
        <sz val="12"/>
        <color indexed="8"/>
        <rFont val="Arial"/>
      </rPr>
      <t>材料成本(含人工腎臟, 藥品等)</t>
    </r>
  </si>
  <si>
    <r>
      <rPr>
        <sz val="12"/>
        <color indexed="8"/>
        <rFont val="細明體"/>
      </rPr>
      <t>追蹤處置費</t>
    </r>
    <r>
      <rPr>
        <sz val="12"/>
        <color indexed="8"/>
        <rFont val="Arial"/>
      </rPr>
      <t>(</t>
    </r>
    <r>
      <rPr>
        <sz val="12"/>
        <color indexed="8"/>
        <rFont val="細明體"/>
      </rPr>
      <t>材料</t>
    </r>
    <r>
      <rPr>
        <sz val="12"/>
        <color indexed="8"/>
        <rFont val="Arial"/>
      </rPr>
      <t>,</t>
    </r>
    <r>
      <rPr>
        <sz val="12"/>
        <color indexed="8"/>
        <rFont val="細明體"/>
      </rPr>
      <t>檢驗</t>
    </r>
    <r>
      <rPr>
        <sz val="12"/>
        <color indexed="8"/>
        <rFont val="Arial"/>
      </rPr>
      <t>..etc)</t>
    </r>
  </si>
  <si>
    <r>
      <rPr>
        <sz val="12"/>
        <color indexed="8"/>
        <rFont val="Arial"/>
      </rPr>
      <t>醫務成本(檢驗費…等)</t>
    </r>
  </si>
  <si>
    <t>透析藥水</t>
  </si>
  <si>
    <r>
      <rPr>
        <sz val="12"/>
        <color indexed="8"/>
        <rFont val="Arial"/>
      </rPr>
      <t>硬體折舊</t>
    </r>
  </si>
  <si>
    <r>
      <rPr>
        <sz val="12"/>
        <color indexed="8"/>
        <rFont val="細明體"/>
      </rPr>
      <t>護理人員</t>
    </r>
  </si>
  <si>
    <r>
      <rPr>
        <sz val="12"/>
        <color indexed="8"/>
        <rFont val="Arial"/>
      </rPr>
      <t>硬體維修費用</t>
    </r>
  </si>
  <si>
    <r>
      <rPr>
        <sz val="12"/>
        <color indexed="8"/>
        <rFont val="Arial"/>
      </rPr>
      <t>人事薪資</t>
    </r>
  </si>
  <si>
    <r>
      <rPr>
        <sz val="12"/>
        <color indexed="8"/>
        <rFont val="Arial"/>
      </rPr>
      <t>醫師</t>
    </r>
  </si>
  <si>
    <r>
      <rPr>
        <i val="1"/>
        <sz val="10"/>
        <color indexed="8"/>
        <rFont val="Arial"/>
      </rPr>
      <t>固定薪資</t>
    </r>
  </si>
  <si>
    <r>
      <rPr>
        <i val="1"/>
        <sz val="10"/>
        <color indexed="8"/>
        <rFont val="Arial"/>
      </rPr>
      <t>醫師固定薪資allocated to PD (月)</t>
    </r>
  </si>
  <si>
    <r>
      <rPr>
        <i val="1"/>
        <sz val="10"/>
        <color indexed="8"/>
        <rFont val="Arial"/>
      </rPr>
      <t>變動薪資(PPF), $ / Tx</t>
    </r>
  </si>
  <si>
    <r>
      <rPr>
        <i val="1"/>
        <sz val="10"/>
        <color indexed="8"/>
        <rFont val="Arial"/>
      </rPr>
      <t>醫師績效獎金 (PPF) / 每月每病人</t>
    </r>
  </si>
  <si>
    <r>
      <rPr>
        <sz val="12"/>
        <color indexed="8"/>
        <rFont val="Arial"/>
      </rPr>
      <t>營運費用</t>
    </r>
  </si>
  <si>
    <r>
      <rPr>
        <sz val="12"/>
        <color indexed="8"/>
        <rFont val="Arial"/>
      </rPr>
      <t>行政管理費用</t>
    </r>
  </si>
  <si>
    <t>利潤</t>
  </si>
</sst>
</file>

<file path=xl/styles.xml><?xml version="1.0" encoding="utf-8"?>
<styleSheet xmlns="http://schemas.openxmlformats.org/spreadsheetml/2006/main">
  <numFmts count="10">
    <numFmt numFmtId="0" formatCode="General"/>
    <numFmt numFmtId="59" formatCode="&quot; &quot;* #,##0.00&quot; &quot;;&quot;-&quot;* #,##0.00&quot; &quot;;&quot; &quot;* &quot;-&quot;??&quot; &quot;"/>
    <numFmt numFmtId="60" formatCode="&quot; &quot;* #,##0&quot; &quot;;&quot;-&quot;* #,##0&quot; &quot;;&quot; &quot;* &quot;-&quot;??&quot; &quot;"/>
    <numFmt numFmtId="61" formatCode="&quot; &quot;* #,##0.0000&quot; &quot;;&quot;-&quot;* #,##0.0000&quot; &quot;;&quot; &quot;* &quot;-&quot;??&quot; &quot;"/>
    <numFmt numFmtId="62" formatCode="&quot; &quot;* #,##0&quot; &quot;;&quot;-&quot;* #,##0&quot; &quot;;&quot; &quot;* &quot;- &quot;"/>
    <numFmt numFmtId="63" formatCode="&quot; &quot;* #,##0.0&quot; &quot;;&quot;-&quot;* #,##0.0&quot; &quot;;&quot; &quot;* &quot;-&quot;??&quot; &quot;"/>
    <numFmt numFmtId="64" formatCode="#,##0&quot; &quot;;(#,##0)"/>
    <numFmt numFmtId="65" formatCode="0.0%"/>
    <numFmt numFmtId="66" formatCode="#,##0.00&quot; &quot;"/>
    <numFmt numFmtId="67" formatCode="0.0000"/>
  </numFmts>
  <fonts count="120">
    <font>
      <sz val="12"/>
      <color indexed="8"/>
      <name val="Arial"/>
    </font>
    <font>
      <sz val="12"/>
      <color indexed="8"/>
      <name val="Helvetica"/>
    </font>
    <font>
      <sz val="15"/>
      <color indexed="8"/>
      <name val="Arial"/>
    </font>
    <font>
      <b val="1"/>
      <u val="single"/>
      <sz val="30"/>
      <color indexed="9"/>
      <name val="Arial"/>
    </font>
    <font>
      <u val="single"/>
      <sz val="30"/>
      <color indexed="9"/>
      <name val="標楷體"/>
    </font>
    <font>
      <sz val="14"/>
      <color indexed="12"/>
      <name val="細明體"/>
    </font>
    <font>
      <b val="1"/>
      <sz val="14"/>
      <color indexed="12"/>
      <name val="Arial"/>
    </font>
    <font>
      <b val="1"/>
      <sz val="12"/>
      <color indexed="12"/>
      <name val="Arial"/>
    </font>
    <font>
      <b val="1"/>
      <u val="single"/>
      <sz val="30"/>
      <color indexed="12"/>
      <name val="Tahoma"/>
    </font>
    <font>
      <sz val="26"/>
      <color indexed="12"/>
      <name val="標楷體"/>
    </font>
    <font>
      <b val="1"/>
      <sz val="22"/>
      <color indexed="12"/>
      <name val="Arial"/>
    </font>
    <font>
      <u val="single"/>
      <sz val="30"/>
      <color indexed="12"/>
      <name val="標楷體"/>
    </font>
    <font>
      <u val="single"/>
      <sz val="18"/>
      <color indexed="12"/>
      <name val="標楷體"/>
    </font>
    <font>
      <b val="1"/>
      <u val="single"/>
      <sz val="18"/>
      <color indexed="12"/>
      <name val="Times New Roman"/>
    </font>
    <font>
      <u val="single"/>
      <sz val="22"/>
      <color indexed="12"/>
      <name val="標楷體"/>
    </font>
    <font>
      <sz val="12"/>
      <color indexed="8"/>
      <name val="細明體"/>
    </font>
    <font>
      <b val="1"/>
      <sz val="13"/>
      <color indexed="12"/>
      <name val="Tahoma"/>
    </font>
    <font>
      <b val="1"/>
      <sz val="13"/>
      <color indexed="12"/>
      <name val="Arial"/>
    </font>
    <font>
      <sz val="14"/>
      <color indexed="8"/>
      <name val="細明體"/>
    </font>
    <font>
      <b val="1"/>
      <sz val="22"/>
      <color indexed="8"/>
      <name val="Arial"/>
    </font>
    <font>
      <b val="1"/>
      <sz val="14"/>
      <color indexed="8"/>
      <name val="Arial"/>
    </font>
    <font>
      <u val="single"/>
      <sz val="12"/>
      <color indexed="17"/>
      <name val="細明體"/>
    </font>
    <font>
      <u val="single"/>
      <sz val="12"/>
      <color indexed="17"/>
      <name val="Arial"/>
    </font>
    <font>
      <b val="1"/>
      <sz val="13"/>
      <color indexed="8"/>
      <name val="Calibri"/>
    </font>
    <font>
      <b val="1"/>
      <sz val="12"/>
      <color indexed="8"/>
      <name val="Arial"/>
    </font>
    <font>
      <sz val="14"/>
      <color indexed="17"/>
      <name val="細明體"/>
    </font>
    <font>
      <b val="1"/>
      <sz val="12"/>
      <color indexed="17"/>
      <name val="Arial"/>
    </font>
    <font>
      <b val="1"/>
      <sz val="14"/>
      <color indexed="17"/>
      <name val="Arial"/>
    </font>
    <font>
      <sz val="12"/>
      <color indexed="8"/>
      <name val="Times New Roman"/>
    </font>
    <font>
      <b val="1"/>
      <sz val="14"/>
      <color indexed="8"/>
      <name val="Calibri"/>
    </font>
    <font>
      <u val="single"/>
      <sz val="15"/>
      <color indexed="18"/>
      <name val="細明體"/>
    </font>
    <font>
      <sz val="12"/>
      <color indexed="18"/>
      <name val="Arial"/>
    </font>
    <font>
      <sz val="14"/>
      <color indexed="18"/>
      <name val="細明體"/>
    </font>
    <font>
      <b val="1"/>
      <u val="single"/>
      <sz val="14"/>
      <color indexed="18"/>
      <name val="Arial"/>
    </font>
    <font>
      <b val="1"/>
      <u val="single"/>
      <sz val="12"/>
      <color indexed="18"/>
      <name val="Arial"/>
    </font>
    <font>
      <b val="1"/>
      <sz val="14"/>
      <color indexed="8"/>
      <name val="Tahoma"/>
    </font>
    <font>
      <sz val="14"/>
      <color indexed="8"/>
      <name val="Times New Roman"/>
    </font>
    <font>
      <sz val="14"/>
      <color indexed="8"/>
      <name val="Arial"/>
    </font>
    <font>
      <sz val="14"/>
      <color indexed="18"/>
      <name val="Arial"/>
    </font>
    <font>
      <sz val="30"/>
      <color indexed="8"/>
      <name val="Arial"/>
    </font>
    <font>
      <b val="1"/>
      <u val="single"/>
      <sz val="14"/>
      <color indexed="12"/>
      <name val="Arial"/>
    </font>
    <font>
      <i val="1"/>
      <sz val="12"/>
      <color indexed="8"/>
      <name val="Arial"/>
    </font>
    <font>
      <u val="single"/>
      <sz val="14"/>
      <color indexed="18"/>
      <name val="細明體"/>
    </font>
    <font>
      <b val="1"/>
      <i val="1"/>
      <u val="single"/>
      <sz val="12"/>
      <color indexed="20"/>
      <name val="Arial"/>
    </font>
    <font>
      <b val="1"/>
      <i val="1"/>
      <u val="single"/>
      <sz val="12"/>
      <color indexed="18"/>
      <name val="Arial"/>
    </font>
    <font>
      <b val="1"/>
      <i val="1"/>
      <sz val="12"/>
      <color indexed="8"/>
      <name val="Arial"/>
    </font>
    <font>
      <b val="1"/>
      <i val="1"/>
      <sz val="14"/>
      <color indexed="8"/>
      <name val="Arial"/>
    </font>
    <font>
      <sz val="12"/>
      <color indexed="8"/>
      <name val="新細明體"/>
    </font>
    <font>
      <sz val="14"/>
      <color indexed="21"/>
      <name val="細明體"/>
    </font>
    <font>
      <b val="1"/>
      <sz val="14"/>
      <color indexed="21"/>
      <name val="Tahoma"/>
    </font>
    <font>
      <b val="1"/>
      <sz val="12"/>
      <color indexed="21"/>
      <name val="Tahoma"/>
    </font>
    <font>
      <sz val="12"/>
      <color indexed="8"/>
      <name val="Tahoma"/>
    </font>
    <font>
      <b val="1"/>
      <sz val="14"/>
      <color indexed="21"/>
      <name val="Arial"/>
    </font>
    <font>
      <b val="1"/>
      <sz val="15"/>
      <color indexed="21"/>
      <name val="Tahoma"/>
    </font>
    <font>
      <b val="1"/>
      <u val="single"/>
      <sz val="12"/>
      <color indexed="8"/>
      <name val="Arial"/>
    </font>
    <font>
      <u val="single"/>
      <sz val="12"/>
      <color indexed="8"/>
      <name val="細明體"/>
    </font>
    <font>
      <sz val="10"/>
      <color indexed="8"/>
      <name val="Arial"/>
    </font>
    <font>
      <u val="single"/>
      <sz val="26"/>
      <color indexed="12"/>
      <name val="標楷體"/>
    </font>
    <font>
      <sz val="12"/>
      <color indexed="22"/>
      <name val="Arial"/>
    </font>
    <font>
      <sz val="14"/>
      <color indexed="18"/>
      <name val="新細明體"/>
    </font>
    <font>
      <u val="single"/>
      <sz val="12"/>
      <color indexed="8"/>
      <name val="新細明體"/>
    </font>
    <font>
      <u val="single"/>
      <sz val="14"/>
      <color indexed="8"/>
      <name val="細明體"/>
    </font>
    <font>
      <u val="single"/>
      <sz val="14"/>
      <color indexed="8"/>
      <name val="Times New Roman"/>
    </font>
    <font>
      <b val="1"/>
      <u val="single"/>
      <sz val="14"/>
      <color indexed="8"/>
      <name val="Arial"/>
    </font>
    <font>
      <b val="1"/>
      <sz val="12"/>
      <color indexed="8"/>
      <name val="Tahoma"/>
    </font>
    <font>
      <b val="1"/>
      <sz val="11"/>
      <color indexed="8"/>
      <name val="Tahoma"/>
    </font>
    <font>
      <b val="1"/>
      <sz val="14"/>
      <color indexed="18"/>
      <name val="Arial"/>
    </font>
    <font>
      <sz val="24"/>
      <color indexed="12"/>
      <name val="標楷體"/>
    </font>
    <font>
      <b val="1"/>
      <sz val="16"/>
      <color indexed="12"/>
      <name val="Tahoma"/>
    </font>
    <font>
      <sz val="16"/>
      <color indexed="12"/>
      <name val="標楷體"/>
    </font>
    <font>
      <sz val="15"/>
      <color indexed="8"/>
      <name val="標楷體"/>
    </font>
    <font>
      <b val="1"/>
      <sz val="30"/>
      <color indexed="9"/>
      <name val="Arial"/>
    </font>
    <font>
      <sz val="30"/>
      <color indexed="9"/>
      <name val="標楷體"/>
    </font>
    <font>
      <sz val="16"/>
      <color indexed="8"/>
      <name val="標楷體"/>
    </font>
    <font>
      <sz val="24"/>
      <color indexed="9"/>
      <name val="標楷體"/>
    </font>
    <font>
      <sz val="12"/>
      <color indexed="9"/>
      <name val="Arial"/>
    </font>
    <font>
      <sz val="22"/>
      <color indexed="12"/>
      <name val="標楷體"/>
    </font>
    <font>
      <b val="1"/>
      <u val="single"/>
      <sz val="12"/>
      <color indexed="8"/>
      <name val="Times New Roman"/>
    </font>
    <font>
      <sz val="18"/>
      <color indexed="12"/>
      <name val="標楷體"/>
    </font>
    <font>
      <b val="1"/>
      <sz val="14"/>
      <color indexed="10"/>
      <name val="Arial"/>
    </font>
    <font>
      <b val="1"/>
      <sz val="12"/>
      <color indexed="17"/>
      <name val="Tahoma"/>
    </font>
    <font>
      <b val="1"/>
      <sz val="18"/>
      <color indexed="12"/>
      <name val="Tahoma"/>
    </font>
    <font>
      <b val="1"/>
      <u val="single"/>
      <sz val="15"/>
      <color indexed="12"/>
      <name val="Arial"/>
    </font>
    <font>
      <b val="1"/>
      <u val="single"/>
      <sz val="14"/>
      <color indexed="8"/>
      <name val="Tahoma"/>
    </font>
    <font>
      <sz val="11"/>
      <color indexed="8"/>
      <name val="Helvetica"/>
    </font>
    <font>
      <b val="1"/>
      <sz val="14"/>
      <color indexed="17"/>
      <name val="Tahoma"/>
    </font>
    <font>
      <u val="single"/>
      <sz val="12"/>
      <color indexed="8"/>
      <name val="Arial"/>
    </font>
    <font>
      <sz val="11"/>
      <color indexed="8"/>
      <name val="細明體"/>
    </font>
    <font>
      <sz val="11"/>
      <color indexed="8"/>
      <name val="Tahoma"/>
    </font>
    <font>
      <sz val="11"/>
      <color indexed="8"/>
      <name val="Arial"/>
    </font>
    <font>
      <sz val="16"/>
      <color indexed="17"/>
      <name val="細明體"/>
    </font>
    <font>
      <sz val="16"/>
      <color indexed="8"/>
      <name val="Tahoma"/>
    </font>
    <font>
      <b val="1"/>
      <sz val="16"/>
      <color indexed="17"/>
      <name val="Tahoma"/>
    </font>
    <font>
      <b val="1"/>
      <sz val="14"/>
      <color indexed="23"/>
      <name val="Arial"/>
    </font>
    <font>
      <sz val="13"/>
      <color indexed="8"/>
      <name val="細明體"/>
    </font>
    <font>
      <b val="1"/>
      <i val="1"/>
      <sz val="13"/>
      <color indexed="8"/>
      <name val="Arial"/>
    </font>
    <font>
      <b val="1"/>
      <sz val="14"/>
      <color indexed="17"/>
      <name val="Calibri"/>
    </font>
    <font>
      <sz val="16"/>
      <color indexed="21"/>
      <name val="細明體"/>
    </font>
    <font>
      <b val="1"/>
      <sz val="16"/>
      <color indexed="21"/>
      <name val="Tahoma"/>
    </font>
    <font>
      <sz val="20"/>
      <color indexed="12"/>
      <name val="標楷體"/>
    </font>
    <font>
      <b val="1"/>
      <sz val="12"/>
      <color indexed="24"/>
      <name val="Arial"/>
    </font>
    <font>
      <sz val="18"/>
      <color indexed="21"/>
      <name val="細明體"/>
    </font>
    <font>
      <b val="1"/>
      <sz val="18"/>
      <color indexed="21"/>
      <name val="Tahoma"/>
    </font>
    <font>
      <b val="1"/>
      <sz val="22"/>
      <color indexed="12"/>
      <name val="Tahoma"/>
    </font>
    <font>
      <sz val="14"/>
      <color indexed="12"/>
      <name val="標楷體"/>
    </font>
    <font>
      <b val="1"/>
      <sz val="18"/>
      <color indexed="12"/>
      <name val="Verdana"/>
    </font>
    <font>
      <b val="1"/>
      <sz val="18"/>
      <color indexed="8"/>
      <name val="Verdana"/>
    </font>
    <font>
      <sz val="14"/>
      <color indexed="8"/>
      <name val="標楷體"/>
    </font>
    <font>
      <b val="1"/>
      <sz val="14"/>
      <color indexed="12"/>
      <name val="Tahoma"/>
    </font>
    <font>
      <sz val="12"/>
      <color indexed="8"/>
      <name val="標楷體"/>
    </font>
    <font>
      <sz val="12"/>
      <color indexed="10"/>
      <name val="Arial"/>
    </font>
    <font>
      <sz val="10"/>
      <color indexed="12"/>
      <name val="Arial"/>
    </font>
    <font>
      <b val="1"/>
      <sz val="11"/>
      <color indexed="8"/>
      <name val="Arial"/>
    </font>
    <font>
      <sz val="10"/>
      <color indexed="10"/>
      <name val="Arial"/>
    </font>
    <font>
      <i val="1"/>
      <sz val="10"/>
      <color indexed="8"/>
      <name val="Arial"/>
    </font>
    <font>
      <sz val="10"/>
      <color indexed="8"/>
      <name val="標楷體"/>
    </font>
    <font>
      <b val="1"/>
      <i val="1"/>
      <sz val="11"/>
      <color indexed="8"/>
      <name val="Arial"/>
    </font>
    <font>
      <sz val="16"/>
      <color indexed="21"/>
      <name val="標楷體"/>
    </font>
    <font>
      <b val="1"/>
      <sz val="16"/>
      <color indexed="21"/>
      <name val="Arial"/>
    </font>
    <font>
      <b val="1"/>
      <sz val="12"/>
      <color indexed="21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5"/>
        <bgColor auto="1"/>
      </patternFill>
    </fill>
  </fills>
  <borders count="80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1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ck">
        <color indexed="16"/>
      </bottom>
      <diagonal/>
    </border>
    <border>
      <left style="medium">
        <color indexed="8"/>
      </left>
      <right/>
      <top/>
      <bottom/>
      <diagonal/>
    </border>
    <border>
      <left style="thin">
        <color indexed="11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16"/>
      </right>
      <top style="thin">
        <color indexed="8"/>
      </top>
      <bottom/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6"/>
      </left>
      <right style="medium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ck">
        <color indexed="16"/>
      </top>
      <bottom style="thick">
        <color indexed="16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ck">
        <color indexed="16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n">
        <color indexed="8"/>
      </left>
      <right style="thick">
        <color indexed="16"/>
      </right>
      <top/>
      <bottom/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/>
      <right style="thin">
        <color indexed="8"/>
      </right>
      <top style="thick">
        <color indexed="16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ck">
        <color indexed="16"/>
      </left>
      <right style="thick">
        <color indexed="16"/>
      </right>
      <top/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ck">
        <color indexed="16"/>
      </left>
      <right style="thick">
        <color indexed="16"/>
      </right>
      <top/>
      <bottom style="thin">
        <color indexed="8"/>
      </bottom>
      <diagonal/>
    </border>
    <border>
      <left style="thick">
        <color indexed="16"/>
      </left>
      <right/>
      <top/>
      <bottom/>
      <diagonal/>
    </border>
    <border>
      <left style="thick">
        <color indexed="16"/>
      </left>
      <right style="thick">
        <color indexed="16"/>
      </right>
      <top style="thin">
        <color indexed="8"/>
      </top>
      <bottom/>
      <diagonal/>
    </border>
    <border>
      <left/>
      <right style="thick">
        <color indexed="16"/>
      </right>
      <top/>
      <bottom style="thin">
        <color indexed="8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n">
        <color indexed="8"/>
      </bottom>
      <diagonal/>
    </border>
    <border>
      <left/>
      <right/>
      <top style="thick">
        <color indexed="16"/>
      </top>
      <bottom/>
      <diagonal/>
    </border>
    <border>
      <left style="thin">
        <color indexed="8"/>
      </left>
      <right/>
      <top/>
      <bottom style="dashed">
        <color indexed="8"/>
      </bottom>
      <diagonal/>
    </border>
    <border>
      <left style="thin">
        <color indexed="8"/>
      </left>
      <right style="thick">
        <color indexed="16"/>
      </right>
      <top style="dashed">
        <color indexed="8"/>
      </top>
      <bottom/>
      <diagonal/>
    </border>
    <border>
      <left/>
      <right style="thin">
        <color indexed="8"/>
      </right>
      <top style="thick">
        <color indexed="16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ck">
        <color indexed="16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ck">
        <color indexed="16"/>
      </top>
      <bottom style="thin">
        <color indexed="8"/>
      </bottom>
      <diagonal/>
    </border>
    <border>
      <left style="thick">
        <color indexed="16"/>
      </left>
      <right/>
      <top style="thin">
        <color indexed="8"/>
      </top>
      <bottom/>
      <diagonal/>
    </border>
    <border>
      <left style="thin">
        <color indexed="11"/>
      </left>
      <right style="thin">
        <color indexed="8"/>
      </right>
      <top/>
      <bottom style="thin">
        <color indexed="11"/>
      </bottom>
      <diagonal/>
    </border>
    <border>
      <left style="thin">
        <color indexed="8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/>
      <right style="thick">
        <color indexed="16"/>
      </right>
      <top style="thin">
        <color indexed="11"/>
      </top>
      <bottom/>
      <diagonal/>
    </border>
    <border>
      <left style="thick">
        <color indexed="16"/>
      </left>
      <right/>
      <top style="thin">
        <color indexed="11"/>
      </top>
      <bottom/>
      <diagonal/>
    </border>
    <border>
      <left/>
      <right style="thick">
        <color indexed="16"/>
      </right>
      <top/>
      <bottom/>
      <diagonal/>
    </border>
    <border>
      <left/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ck">
        <color indexed="8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thin">
        <color indexed="11"/>
      </left>
      <right/>
      <top/>
      <bottom style="medium">
        <color indexed="8"/>
      </bottom>
      <diagonal/>
    </border>
    <border>
      <left/>
      <right style="thin">
        <color indexed="11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ck">
        <color indexed="16"/>
      </left>
      <right style="thick">
        <color indexed="16"/>
      </right>
      <top style="thick">
        <color indexed="16"/>
      </top>
      <bottom>
        <color indexed="8"/>
      </bottom>
      <diagonal/>
    </border>
    <border>
      <left style="thick">
        <color indexed="16"/>
      </left>
      <right style="thick">
        <color indexed="16"/>
      </right>
      <top>
        <color indexed="8"/>
      </top>
      <bottom style="thick">
        <color indexed="16"/>
      </bottom>
      <diagonal/>
    </border>
    <border>
      <left style="medium">
        <color indexed="8"/>
      </left>
      <right style="thick">
        <color indexed="16"/>
      </right>
      <top/>
      <bottom/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/>
    </xf>
    <xf numFmtId="0" fontId="0" fillId="2" borderId="2" applyNumberFormat="0" applyFont="1" applyFill="1" applyBorder="1" applyAlignment="1" applyProtection="0">
      <alignment vertical="center"/>
    </xf>
    <xf numFmtId="0" fontId="5" fillId="2" borderId="2" applyNumberFormat="1" applyFont="1" applyFill="1" applyBorder="1" applyAlignment="1" applyProtection="0">
      <alignment horizontal="center" vertical="center"/>
    </xf>
    <xf numFmtId="0" fontId="6" fillId="2" borderId="2" applyNumberFormat="1" applyFont="1" applyFill="1" applyBorder="1" applyAlignment="1" applyProtection="0">
      <alignment vertical="center"/>
    </xf>
    <xf numFmtId="0" fontId="7" fillId="2" borderId="2" applyNumberFormat="1" applyFont="1" applyFill="1" applyBorder="1" applyAlignment="1" applyProtection="0">
      <alignment horizontal="right" vertical="center"/>
    </xf>
    <xf numFmtId="0" fontId="7" fillId="2" borderId="2" applyNumberFormat="1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center"/>
    </xf>
    <xf numFmtId="59" fontId="8" fillId="2" borderId="4" applyNumberFormat="1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/>
    </xf>
    <xf numFmtId="49" fontId="5" fillId="3" borderId="5" applyNumberFormat="1" applyFont="1" applyFill="1" applyBorder="1" applyAlignment="1" applyProtection="0">
      <alignment horizontal="center" vertical="center"/>
    </xf>
    <xf numFmtId="0" fontId="5" fillId="2" borderId="5" applyNumberFormat="1" applyFont="1" applyFill="1" applyBorder="1" applyAlignment="1" applyProtection="0">
      <alignment horizontal="center" vertical="center"/>
    </xf>
    <xf numFmtId="0" fontId="6" fillId="2" borderId="5" applyNumberFormat="1" applyFont="1" applyFill="1" applyBorder="1" applyAlignment="1" applyProtection="0">
      <alignment vertical="center"/>
    </xf>
    <xf numFmtId="0" fontId="7" fillId="2" borderId="5" applyNumberFormat="1" applyFont="1" applyFill="1" applyBorder="1" applyAlignment="1" applyProtection="0">
      <alignment horizontal="right" vertical="center"/>
    </xf>
    <xf numFmtId="0" fontId="7" fillId="2" borderId="5" applyNumberFormat="1" applyFont="1" applyFill="1" applyBorder="1" applyAlignment="1" applyProtection="0">
      <alignment horizontal="center" vertical="center"/>
    </xf>
    <xf numFmtId="59" fontId="6" fillId="2" borderId="5" applyNumberFormat="1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center"/>
    </xf>
    <xf numFmtId="49" fontId="5" fillId="4" borderId="5" applyNumberFormat="1" applyFont="1" applyFill="1" applyBorder="1" applyAlignment="1" applyProtection="0">
      <alignment horizontal="center" vertical="center"/>
    </xf>
    <xf numFmtId="49" fontId="5" fillId="2" borderId="5" applyNumberFormat="1" applyFont="1" applyFill="1" applyBorder="1" applyAlignment="1" applyProtection="0">
      <alignment vertical="center"/>
    </xf>
    <xf numFmtId="0" fontId="6" fillId="2" borderId="5" applyNumberFormat="1" applyFont="1" applyFill="1" applyBorder="1" applyAlignment="1" applyProtection="0">
      <alignment horizontal="center" vertical="center"/>
    </xf>
    <xf numFmtId="0" fontId="5" fillId="2" borderId="5" applyNumberFormat="1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0" fontId="6" fillId="2" borderId="7" applyNumberFormat="1" applyFont="1" applyFill="1" applyBorder="1" applyAlignment="1" applyProtection="0">
      <alignment horizontal="center" vertical="center"/>
    </xf>
    <xf numFmtId="0" fontId="6" fillId="2" borderId="7" applyNumberFormat="1" applyFont="1" applyFill="1" applyBorder="1" applyAlignment="1" applyProtection="0">
      <alignment vertical="center"/>
    </xf>
    <xf numFmtId="0" fontId="7" fillId="2" borderId="7" applyNumberFormat="1" applyFont="1" applyFill="1" applyBorder="1" applyAlignment="1" applyProtection="0">
      <alignment horizontal="right" vertical="center"/>
    </xf>
    <xf numFmtId="0" fontId="7" fillId="2" borderId="7" applyNumberFormat="1" applyFont="1" applyFill="1" applyBorder="1" applyAlignment="1" applyProtection="0">
      <alignment horizontal="center" vertical="center"/>
    </xf>
    <xf numFmtId="49" fontId="9" fillId="5" borderId="4" applyNumberFormat="1" applyFont="1" applyFill="1" applyBorder="1" applyAlignment="1" applyProtection="0">
      <alignment vertical="center"/>
    </xf>
    <xf numFmtId="0" fontId="10" fillId="5" borderId="5" applyNumberFormat="1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0" fontId="10" fillId="2" borderId="9" applyNumberFormat="1" applyFont="1" applyFill="1" applyBorder="1" applyAlignment="1" applyProtection="0">
      <alignment vertical="center"/>
    </xf>
    <xf numFmtId="49" fontId="11" fillId="2" borderId="10" applyNumberFormat="1" applyFont="1" applyFill="1" applyBorder="1" applyAlignment="1" applyProtection="0">
      <alignment horizontal="right" vertical="center"/>
    </xf>
    <xf numFmtId="0" fontId="6" fillId="2" borderId="10" applyNumberFormat="1" applyFont="1" applyFill="1" applyBorder="1" applyAlignment="1" applyProtection="0">
      <alignment horizontal="center" vertical="center"/>
    </xf>
    <xf numFmtId="49" fontId="12" fillId="2" borderId="10" applyNumberFormat="1" applyFont="1" applyFill="1" applyBorder="1" applyAlignment="1" applyProtection="0">
      <alignment horizontal="center" vertical="center"/>
    </xf>
    <xf numFmtId="0" fontId="12" fillId="2" borderId="10" applyNumberFormat="1" applyFont="1" applyFill="1" applyBorder="1" applyAlignment="1" applyProtection="0">
      <alignment horizontal="right" vertical="center"/>
    </xf>
    <xf numFmtId="0" fontId="12" fillId="2" borderId="10" applyNumberFormat="1" applyFont="1" applyFill="1" applyBorder="1" applyAlignment="1" applyProtection="0">
      <alignment horizontal="center" vertical="center"/>
    </xf>
    <xf numFmtId="0" fontId="7" fillId="2" borderId="10" applyNumberFormat="1" applyFont="1" applyFill="1" applyBorder="1" applyAlignment="1" applyProtection="0">
      <alignment horizontal="center" vertical="center"/>
    </xf>
    <xf numFmtId="0" fontId="10" fillId="2" borderId="11" applyNumberFormat="1" applyFont="1" applyFill="1" applyBorder="1" applyAlignment="1" applyProtection="0">
      <alignment vertical="center"/>
    </xf>
    <xf numFmtId="0" fontId="0" fillId="2" borderId="12" applyNumberFormat="0" applyFont="1" applyFill="1" applyBorder="1" applyAlignment="1" applyProtection="0">
      <alignment vertical="center"/>
    </xf>
    <xf numFmtId="0" fontId="14" fillId="2" borderId="4" applyNumberFormat="1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center"/>
    </xf>
    <xf numFmtId="0" fontId="0" fillId="2" borderId="14" applyNumberFormat="0" applyFont="1" applyFill="1" applyBorder="1" applyAlignment="1" applyProtection="0">
      <alignment vertical="center"/>
    </xf>
    <xf numFmtId="0" fontId="10" fillId="2" borderId="15" applyNumberFormat="1" applyFont="1" applyFill="1" applyBorder="1" applyAlignment="1" applyProtection="0">
      <alignment vertical="center"/>
    </xf>
    <xf numFmtId="0" fontId="10" fillId="2" borderId="8" applyNumberFormat="1" applyFont="1" applyFill="1" applyBorder="1" applyAlignment="1" applyProtection="0">
      <alignment vertical="center"/>
    </xf>
    <xf numFmtId="0" fontId="14" fillId="2" borderId="16" applyNumberFormat="1" applyFont="1" applyFill="1" applyBorder="1" applyAlignment="1" applyProtection="0">
      <alignment vertical="center"/>
    </xf>
    <xf numFmtId="49" fontId="15" fillId="2" borderId="17" applyNumberFormat="1" applyFont="1" applyFill="1" applyBorder="1" applyAlignment="1" applyProtection="0">
      <alignment vertical="center"/>
    </xf>
    <xf numFmtId="60" fontId="16" fillId="3" borderId="18" applyNumberFormat="1" applyFont="1" applyFill="1" applyBorder="1" applyAlignment="1" applyProtection="0">
      <alignment vertical="center"/>
    </xf>
    <xf numFmtId="60" fontId="17" fillId="2" borderId="19" applyNumberFormat="1" applyFont="1" applyFill="1" applyBorder="1" applyAlignment="1" applyProtection="0">
      <alignment vertical="center"/>
    </xf>
    <xf numFmtId="49" fontId="18" fillId="2" borderId="5" applyNumberFormat="1" applyFont="1" applyFill="1" applyBorder="1" applyAlignment="1" applyProtection="0">
      <alignment vertical="center"/>
    </xf>
    <xf numFmtId="0" fontId="19" fillId="2" borderId="5" applyNumberFormat="1" applyFont="1" applyFill="1" applyBorder="1" applyAlignment="1" applyProtection="0">
      <alignment vertical="center"/>
    </xf>
    <xf numFmtId="60" fontId="18" fillId="2" borderId="5" applyNumberFormat="1" applyFont="1" applyFill="1" applyBorder="1" applyAlignment="1" applyProtection="0">
      <alignment horizontal="center" vertical="center"/>
    </xf>
    <xf numFmtId="60" fontId="20" fillId="2" borderId="5" applyNumberFormat="1" applyFont="1" applyFill="1" applyBorder="1" applyAlignment="1" applyProtection="0">
      <alignment vertical="center"/>
    </xf>
    <xf numFmtId="0" fontId="0" fillId="2" borderId="16" applyNumberFormat="0" applyFont="1" applyFill="1" applyBorder="1" applyAlignment="1" applyProtection="0">
      <alignment vertical="center"/>
    </xf>
    <xf numFmtId="49" fontId="21" fillId="2" borderId="20" applyNumberFormat="1" applyFont="1" applyFill="1" applyBorder="1" applyAlignment="1" applyProtection="0">
      <alignment vertical="center"/>
    </xf>
    <xf numFmtId="60" fontId="23" fillId="2" borderId="21" applyNumberFormat="1" applyFont="1" applyFill="1" applyBorder="1" applyAlignment="1" applyProtection="0">
      <alignment vertical="center"/>
    </xf>
    <xf numFmtId="60" fontId="24" fillId="2" borderId="22" applyNumberFormat="1" applyFont="1" applyFill="1" applyBorder="1" applyAlignment="1" applyProtection="0">
      <alignment vertical="center"/>
    </xf>
    <xf numFmtId="0" fontId="0" fillId="2" borderId="15" applyNumberFormat="1" applyFont="1" applyFill="1" applyBorder="1" applyAlignment="1" applyProtection="0">
      <alignment vertical="center"/>
    </xf>
    <xf numFmtId="49" fontId="25" fillId="2" borderId="5" applyNumberFormat="1" applyFont="1" applyFill="1" applyBorder="1" applyAlignment="1" applyProtection="0">
      <alignment vertical="center"/>
    </xf>
    <xf numFmtId="0" fontId="26" fillId="2" borderId="5" applyNumberFormat="1" applyFont="1" applyFill="1" applyBorder="1" applyAlignment="1" applyProtection="0">
      <alignment vertical="center"/>
    </xf>
    <xf numFmtId="60" fontId="25" fillId="2" borderId="5" applyNumberFormat="1" applyFont="1" applyFill="1" applyBorder="1" applyAlignment="1" applyProtection="0">
      <alignment horizontal="center" vertical="center"/>
    </xf>
    <xf numFmtId="60" fontId="27" fillId="2" borderId="5" applyNumberFormat="1" applyFont="1" applyFill="1" applyBorder="1" applyAlignment="1" applyProtection="0">
      <alignment vertical="center"/>
    </xf>
    <xf numFmtId="9" fontId="0" fillId="2" borderId="5" applyNumberFormat="1" applyFont="1" applyFill="1" applyBorder="1" applyAlignment="1" applyProtection="0">
      <alignment horizontal="right" vertical="center"/>
    </xf>
    <xf numFmtId="9" fontId="0" fillId="2" borderId="5" applyNumberFormat="1" applyFont="1" applyFill="1" applyBorder="1" applyAlignment="1" applyProtection="0">
      <alignment horizontal="center" vertical="center"/>
    </xf>
    <xf numFmtId="0" fontId="0" fillId="2" borderId="5" applyNumberFormat="1" applyFont="1" applyFill="1" applyBorder="1" applyAlignment="1" applyProtection="0">
      <alignment horizontal="center" vertical="center"/>
    </xf>
    <xf numFmtId="0" fontId="0" fillId="2" borderId="8" applyNumberFormat="1" applyFont="1" applyFill="1" applyBorder="1" applyAlignment="1" applyProtection="0">
      <alignment vertical="center"/>
    </xf>
    <xf numFmtId="59" fontId="0" fillId="2" borderId="12" applyNumberFormat="1" applyFont="1" applyFill="1" applyBorder="1" applyAlignment="1" applyProtection="0">
      <alignment vertical="center"/>
    </xf>
    <xf numFmtId="49" fontId="15" fillId="2" borderId="23" applyNumberFormat="1" applyFont="1" applyFill="1" applyBorder="1" applyAlignment="1" applyProtection="0">
      <alignment vertical="center"/>
    </xf>
    <xf numFmtId="61" fontId="29" fillId="3" borderId="18" applyNumberFormat="1" applyFont="1" applyFill="1" applyBorder="1" applyAlignment="1" applyProtection="0">
      <alignment vertical="center"/>
    </xf>
    <xf numFmtId="61" fontId="24" fillId="2" borderId="19" applyNumberFormat="1" applyFont="1" applyFill="1" applyBorder="1" applyAlignment="1" applyProtection="0">
      <alignment vertical="center"/>
    </xf>
    <xf numFmtId="0" fontId="0" fillId="2" borderId="5" applyNumberFormat="1" applyFont="1" applyFill="1" applyBorder="1" applyAlignment="1" applyProtection="0">
      <alignment horizontal="right" vertical="center"/>
    </xf>
    <xf numFmtId="0" fontId="0" fillId="2" borderId="24" applyNumberFormat="0" applyFont="1" applyFill="1" applyBorder="1" applyAlignment="1" applyProtection="0">
      <alignment vertical="center"/>
    </xf>
    <xf numFmtId="0" fontId="0" fillId="2" borderId="25" applyNumberFormat="0" applyFont="1" applyFill="1" applyBorder="1" applyAlignment="1" applyProtection="0">
      <alignment vertical="center"/>
    </xf>
    <xf numFmtId="49" fontId="30" fillId="2" borderId="5" applyNumberFormat="1" applyFont="1" applyFill="1" applyBorder="1" applyAlignment="1" applyProtection="0">
      <alignment vertical="center"/>
    </xf>
    <xf numFmtId="0" fontId="31" fillId="2" borderId="5" applyNumberFormat="1" applyFont="1" applyFill="1" applyBorder="1" applyAlignment="1" applyProtection="0">
      <alignment vertical="center"/>
    </xf>
    <xf numFmtId="0" fontId="32" fillId="2" borderId="5" applyNumberFormat="1" applyFont="1" applyFill="1" applyBorder="1" applyAlignment="1" applyProtection="0">
      <alignment vertical="center"/>
    </xf>
    <xf numFmtId="62" fontId="33" fillId="2" borderId="5" applyNumberFormat="1" applyFont="1" applyFill="1" applyBorder="1" applyAlignment="1" applyProtection="0">
      <alignment horizontal="left" vertical="center"/>
    </xf>
    <xf numFmtId="9" fontId="34" fillId="2" borderId="5" applyNumberFormat="1" applyFont="1" applyFill="1" applyBorder="1" applyAlignment="1" applyProtection="0">
      <alignment horizontal="right" vertical="center"/>
    </xf>
    <xf numFmtId="62" fontId="33" fillId="2" borderId="5" applyNumberFormat="1" applyFont="1" applyFill="1" applyBorder="1" applyAlignment="1" applyProtection="0">
      <alignment vertical="center"/>
    </xf>
    <xf numFmtId="9" fontId="34" fillId="2" borderId="5" applyNumberFormat="1" applyFont="1" applyFill="1" applyBorder="1" applyAlignment="1" applyProtection="0">
      <alignment horizontal="center" vertical="center"/>
    </xf>
    <xf numFmtId="60" fontId="35" fillId="3" borderId="26" applyNumberFormat="1" applyFont="1" applyFill="1" applyBorder="1" applyAlignment="1" applyProtection="0">
      <alignment vertical="center"/>
    </xf>
    <xf numFmtId="60" fontId="24" fillId="2" borderId="19" applyNumberFormat="1" applyFont="1" applyFill="1" applyBorder="1" applyAlignment="1" applyProtection="0">
      <alignment vertical="center"/>
    </xf>
    <xf numFmtId="0" fontId="18" fillId="2" borderId="5" applyNumberFormat="1" applyFont="1" applyFill="1" applyBorder="1" applyAlignment="1" applyProtection="0">
      <alignment vertical="center"/>
    </xf>
    <xf numFmtId="62" fontId="37" fillId="2" borderId="5" applyNumberFormat="1" applyFont="1" applyFill="1" applyBorder="1" applyAlignment="1" applyProtection="0">
      <alignment vertical="center"/>
    </xf>
    <xf numFmtId="49" fontId="15" fillId="2" borderId="27" applyNumberFormat="1" applyFont="1" applyFill="1" applyBorder="1" applyAlignment="1" applyProtection="0">
      <alignment vertical="center"/>
    </xf>
    <xf numFmtId="60" fontId="23" fillId="3" borderId="28" applyNumberFormat="1" applyFont="1" applyFill="1" applyBorder="1" applyAlignment="1" applyProtection="0">
      <alignment vertical="center"/>
    </xf>
    <xf numFmtId="49" fontId="15" fillId="2" borderId="20" applyNumberFormat="1" applyFont="1" applyFill="1" applyBorder="1" applyAlignment="1" applyProtection="0">
      <alignment vertical="center"/>
    </xf>
    <xf numFmtId="59" fontId="24" fillId="6" borderId="29" applyNumberFormat="1" applyFont="1" applyFill="1" applyBorder="1" applyAlignment="1" applyProtection="0">
      <alignment vertical="center"/>
    </xf>
    <xf numFmtId="59" fontId="24" fillId="2" borderId="22" applyNumberFormat="1" applyFont="1" applyFill="1" applyBorder="1" applyAlignment="1" applyProtection="0">
      <alignment vertical="center"/>
    </xf>
    <xf numFmtId="49" fontId="0" fillId="2" borderId="20" applyNumberFormat="1" applyFont="1" applyFill="1" applyBorder="1" applyAlignment="1" applyProtection="0">
      <alignment vertical="center"/>
    </xf>
    <xf numFmtId="60" fontId="0" fillId="2" borderId="30" applyNumberFormat="1" applyFont="1" applyFill="1" applyBorder="1" applyAlignment="1" applyProtection="0">
      <alignment vertical="center"/>
    </xf>
    <xf numFmtId="60" fontId="0" fillId="2" borderId="22" applyNumberFormat="1" applyFont="1" applyFill="1" applyBorder="1" applyAlignment="1" applyProtection="0">
      <alignment vertical="center"/>
    </xf>
    <xf numFmtId="0" fontId="38" fillId="2" borderId="5" applyNumberFormat="1" applyFont="1" applyFill="1" applyBorder="1" applyAlignment="1" applyProtection="0">
      <alignment vertical="center"/>
    </xf>
    <xf numFmtId="60" fontId="33" fillId="2" borderId="5" applyNumberFormat="1" applyFont="1" applyFill="1" applyBorder="1" applyAlignment="1" applyProtection="0">
      <alignment vertical="center"/>
    </xf>
    <xf numFmtId="49" fontId="15" fillId="2" borderId="31" applyNumberFormat="1" applyFont="1" applyFill="1" applyBorder="1" applyAlignment="1" applyProtection="0">
      <alignment vertical="center"/>
    </xf>
    <xf numFmtId="10" fontId="0" fillId="2" borderId="32" applyNumberFormat="1" applyFont="1" applyFill="1" applyBorder="1" applyAlignment="1" applyProtection="0">
      <alignment vertical="center"/>
    </xf>
    <xf numFmtId="10" fontId="0" fillId="2" borderId="22" applyNumberFormat="1" applyFont="1" applyFill="1" applyBorder="1" applyAlignment="1" applyProtection="0">
      <alignment vertical="center"/>
    </xf>
    <xf numFmtId="60" fontId="37" fillId="2" borderId="5" applyNumberFormat="1" applyFont="1" applyFill="1" applyBorder="1" applyAlignment="1" applyProtection="0">
      <alignment vertical="center"/>
    </xf>
    <xf numFmtId="63" fontId="0" fillId="2" borderId="12" applyNumberFormat="1" applyFont="1" applyFill="1" applyBorder="1" applyAlignment="1" applyProtection="0">
      <alignment vertical="center"/>
    </xf>
    <xf numFmtId="0" fontId="0" fillId="2" borderId="33" applyNumberFormat="0" applyFont="1" applyFill="1" applyBorder="1" applyAlignment="1" applyProtection="0">
      <alignment vertical="center"/>
    </xf>
    <xf numFmtId="0" fontId="39" fillId="5" borderId="5" applyNumberFormat="1" applyFont="1" applyFill="1" applyBorder="1" applyAlignment="1" applyProtection="0">
      <alignment vertical="center"/>
    </xf>
    <xf numFmtId="10" fontId="39" fillId="5" borderId="5" applyNumberFormat="1" applyFont="1" applyFill="1" applyBorder="1" applyAlignment="1" applyProtection="0">
      <alignment vertical="center"/>
    </xf>
    <xf numFmtId="10" fontId="39" fillId="2" borderId="8" applyNumberFormat="1" applyFont="1" applyFill="1" applyBorder="1" applyAlignment="1" applyProtection="0">
      <alignment vertical="center"/>
    </xf>
    <xf numFmtId="0" fontId="39" fillId="2" borderId="15" applyNumberFormat="1" applyFont="1" applyFill="1" applyBorder="1" applyAlignment="1" applyProtection="0">
      <alignment vertical="center"/>
    </xf>
    <xf numFmtId="0" fontId="37" fillId="2" borderId="5" applyNumberFormat="1" applyFont="1" applyFill="1" applyBorder="1" applyAlignment="1" applyProtection="0">
      <alignment vertical="center"/>
    </xf>
    <xf numFmtId="0" fontId="39" fillId="2" borderId="8" applyNumberFormat="1" applyFont="1" applyFill="1" applyBorder="1" applyAlignment="1" applyProtection="0">
      <alignment vertical="center"/>
    </xf>
    <xf numFmtId="60" fontId="0" fillId="2" borderId="12" applyNumberFormat="1" applyFont="1" applyFill="1" applyBorder="1" applyAlignment="1" applyProtection="0">
      <alignment vertical="center"/>
    </xf>
    <xf numFmtId="49" fontId="12" fillId="2" borderId="13" applyNumberFormat="1" applyFont="1" applyFill="1" applyBorder="1" applyAlignment="1" applyProtection="0">
      <alignment vertical="center"/>
    </xf>
    <xf numFmtId="62" fontId="40" fillId="2" borderId="14" applyNumberFormat="1" applyFont="1" applyFill="1" applyBorder="1" applyAlignment="1" applyProtection="0">
      <alignment vertical="center"/>
    </xf>
    <xf numFmtId="62" fontId="40" fillId="2" borderId="8" applyNumberFormat="1" applyFont="1" applyFill="1" applyBorder="1" applyAlignment="1" applyProtection="0">
      <alignment vertical="center"/>
    </xf>
    <xf numFmtId="0" fontId="24" fillId="2" borderId="15" applyNumberFormat="1" applyFont="1" applyFill="1" applyBorder="1" applyAlignment="1" applyProtection="0">
      <alignment vertical="center"/>
    </xf>
    <xf numFmtId="49" fontId="15" fillId="2" borderId="5" applyNumberFormat="1" applyFont="1" applyFill="1" applyBorder="1" applyAlignment="1" applyProtection="0">
      <alignment horizontal="left" vertical="center"/>
    </xf>
    <xf numFmtId="0" fontId="41" fillId="2" borderId="5" applyNumberFormat="1" applyFont="1" applyFill="1" applyBorder="1" applyAlignment="1" applyProtection="0">
      <alignment vertical="center"/>
    </xf>
    <xf numFmtId="64" fontId="41" fillId="2" borderId="5" applyNumberFormat="1" applyFont="1" applyFill="1" applyBorder="1" applyAlignment="1" applyProtection="0">
      <alignment vertical="center"/>
    </xf>
    <xf numFmtId="59" fontId="20" fillId="2" borderId="5" applyNumberFormat="1" applyFont="1" applyFill="1" applyBorder="1" applyAlignment="1" applyProtection="0">
      <alignment vertical="center"/>
    </xf>
    <xf numFmtId="0" fontId="24" fillId="2" borderId="5" applyNumberFormat="1" applyFont="1" applyFill="1" applyBorder="1" applyAlignment="1" applyProtection="0">
      <alignment horizontal="center" vertical="center"/>
    </xf>
    <xf numFmtId="0" fontId="24" fillId="2" borderId="8" applyNumberFormat="1" applyFont="1" applyFill="1" applyBorder="1" applyAlignment="1" applyProtection="0">
      <alignment vertical="center"/>
    </xf>
    <xf numFmtId="49" fontId="42" fillId="2" borderId="17" applyNumberFormat="1" applyFont="1" applyFill="1" applyBorder="1" applyAlignment="1" applyProtection="0">
      <alignment horizontal="left" vertical="center"/>
    </xf>
    <xf numFmtId="62" fontId="43" fillId="4" borderId="26" applyNumberFormat="1" applyFont="1" applyFill="1" applyBorder="1" applyAlignment="1" applyProtection="0">
      <alignment horizontal="center" vertical="center"/>
    </xf>
    <xf numFmtId="62" fontId="44" fillId="2" borderId="19" applyNumberFormat="1" applyFont="1" applyFill="1" applyBorder="1" applyAlignment="1" applyProtection="0">
      <alignment horizontal="center" vertical="center"/>
    </xf>
    <xf numFmtId="0" fontId="45" fillId="2" borderId="15" applyNumberFormat="1" applyFont="1" applyFill="1" applyBorder="1" applyAlignment="1" applyProtection="0">
      <alignment vertical="center"/>
    </xf>
    <xf numFmtId="0" fontId="46" fillId="2" borderId="5" applyNumberFormat="1" applyFont="1" applyFill="1" applyBorder="1" applyAlignment="1" applyProtection="0">
      <alignment vertical="center"/>
    </xf>
    <xf numFmtId="0" fontId="45" fillId="2" borderId="5" applyNumberFormat="1" applyFont="1" applyFill="1" applyBorder="1" applyAlignment="1" applyProtection="0">
      <alignment horizontal="center" vertical="center"/>
    </xf>
    <xf numFmtId="0" fontId="45" fillId="2" borderId="8" applyNumberFormat="1" applyFont="1" applyFill="1" applyBorder="1" applyAlignment="1" applyProtection="0">
      <alignment vertical="center"/>
    </xf>
    <xf numFmtId="49" fontId="0" fillId="2" borderId="27" applyNumberFormat="1" applyFont="1" applyFill="1" applyBorder="1" applyAlignment="1" applyProtection="0">
      <alignment horizontal="right" vertical="center"/>
    </xf>
    <xf numFmtId="62" fontId="24" fillId="3" borderId="34" applyNumberFormat="1" applyFont="1" applyFill="1" applyBorder="1" applyAlignment="1" applyProtection="0">
      <alignment vertical="center"/>
    </xf>
    <xf numFmtId="62" fontId="24" fillId="2" borderId="19" applyNumberFormat="1" applyFont="1" applyFill="1" applyBorder="1" applyAlignment="1" applyProtection="0">
      <alignment vertical="center"/>
    </xf>
    <xf numFmtId="0" fontId="0" fillId="2" borderId="13" applyNumberFormat="1" applyFont="1" applyFill="1" applyBorder="1" applyAlignment="1" applyProtection="0">
      <alignment horizontal="right" vertical="center"/>
    </xf>
    <xf numFmtId="49" fontId="48" fillId="2" borderId="35" applyNumberFormat="1" applyFont="1" applyFill="1" applyBorder="1" applyAlignment="1" applyProtection="0">
      <alignment vertical="center"/>
    </xf>
    <xf numFmtId="0" fontId="49" fillId="2" borderId="35" applyNumberFormat="1" applyFont="1" applyFill="1" applyBorder="1" applyAlignment="1" applyProtection="0">
      <alignment vertical="center"/>
    </xf>
    <xf numFmtId="62" fontId="49" fillId="2" borderId="35" applyNumberFormat="1" applyFont="1" applyFill="1" applyBorder="1" applyAlignment="1" applyProtection="0">
      <alignment vertical="center"/>
    </xf>
    <xf numFmtId="9" fontId="50" fillId="2" borderId="35" applyNumberFormat="1" applyFont="1" applyFill="1" applyBorder="1" applyAlignment="1" applyProtection="0">
      <alignment horizontal="right" vertical="center"/>
    </xf>
    <xf numFmtId="9" fontId="51" fillId="2" borderId="5" applyNumberFormat="1" applyFont="1" applyFill="1" applyBorder="1" applyAlignment="1" applyProtection="0">
      <alignment horizontal="center" vertical="center"/>
    </xf>
    <xf numFmtId="9" fontId="50" fillId="2" borderId="35" applyNumberFormat="1" applyFont="1" applyFill="1" applyBorder="1" applyAlignment="1" applyProtection="0">
      <alignment horizontal="center" vertical="center"/>
    </xf>
    <xf numFmtId="0" fontId="0" fillId="2" borderId="10" applyNumberFormat="0" applyFont="1" applyFill="1" applyBorder="1" applyAlignment="1" applyProtection="0">
      <alignment vertical="center"/>
    </xf>
    <xf numFmtId="0" fontId="0" fillId="2" borderId="10" applyNumberFormat="1" applyFont="1" applyFill="1" applyBorder="1" applyAlignment="1" applyProtection="0">
      <alignment horizontal="right" vertical="center"/>
    </xf>
    <xf numFmtId="0" fontId="20" fillId="2" borderId="5" applyNumberFormat="1" applyFont="1" applyFill="1" applyBorder="1" applyAlignment="1" applyProtection="0">
      <alignment vertical="center"/>
    </xf>
    <xf numFmtId="60" fontId="35" fillId="2" borderId="5" applyNumberFormat="1" applyFont="1" applyFill="1" applyBorder="1" applyAlignment="1" applyProtection="0">
      <alignment vertical="center"/>
    </xf>
    <xf numFmtId="59" fontId="37" fillId="2" borderId="5" applyNumberFormat="1" applyFont="1" applyFill="1" applyBorder="1" applyAlignment="1" applyProtection="0">
      <alignment vertical="center"/>
    </xf>
    <xf numFmtId="49" fontId="48" fillId="2" borderId="5" applyNumberFormat="1" applyFont="1" applyFill="1" applyBorder="1" applyAlignment="1" applyProtection="0">
      <alignment vertical="center"/>
    </xf>
    <xf numFmtId="0" fontId="52" fillId="2" borderId="5" applyNumberFormat="1" applyFont="1" applyFill="1" applyBorder="1" applyAlignment="1" applyProtection="0">
      <alignment vertical="center"/>
    </xf>
    <xf numFmtId="60" fontId="53" fillId="2" borderId="5" applyNumberFormat="1" applyFont="1" applyFill="1" applyBorder="1" applyAlignment="1" applyProtection="0">
      <alignment vertical="center"/>
    </xf>
    <xf numFmtId="0" fontId="0" fillId="2" borderId="36" applyNumberFormat="1" applyFont="1" applyFill="1" applyBorder="1" applyAlignment="1" applyProtection="0">
      <alignment vertical="center"/>
    </xf>
    <xf numFmtId="0" fontId="0" fillId="2" borderId="7" applyNumberFormat="1" applyFont="1" applyFill="1" applyBorder="1" applyAlignment="1" applyProtection="0">
      <alignment vertical="center"/>
    </xf>
    <xf numFmtId="0" fontId="37" fillId="2" borderId="7" applyNumberFormat="1" applyFont="1" applyFill="1" applyBorder="1" applyAlignment="1" applyProtection="0">
      <alignment vertical="center"/>
    </xf>
    <xf numFmtId="0" fontId="0" fillId="2" borderId="7" applyNumberFormat="1" applyFont="1" applyFill="1" applyBorder="1" applyAlignment="1" applyProtection="0">
      <alignment horizontal="right" vertical="center"/>
    </xf>
    <xf numFmtId="0" fontId="0" fillId="2" borderId="7" applyNumberFormat="1" applyFont="1" applyFill="1" applyBorder="1" applyAlignment="1" applyProtection="0">
      <alignment horizontal="center" vertical="center"/>
    </xf>
    <xf numFmtId="0" fontId="0" fillId="2" borderId="37" applyNumberFormat="1" applyFont="1" applyFill="1" applyBorder="1" applyAlignment="1" applyProtection="0">
      <alignment vertical="center"/>
    </xf>
    <xf numFmtId="49" fontId="0" fillId="2" borderId="23" applyNumberFormat="1" applyFont="1" applyFill="1" applyBorder="1" applyAlignment="1" applyProtection="0">
      <alignment horizontal="right" vertical="center"/>
    </xf>
    <xf numFmtId="62" fontId="24" fillId="3" borderId="38" applyNumberFormat="1" applyFont="1" applyFill="1" applyBorder="1" applyAlignment="1" applyProtection="0">
      <alignment vertical="center"/>
    </xf>
    <xf numFmtId="62" fontId="24" fillId="2" borderId="39" applyNumberFormat="1" applyFont="1" applyFill="1" applyBorder="1" applyAlignment="1" applyProtection="0">
      <alignment vertical="center"/>
    </xf>
    <xf numFmtId="0" fontId="0" fillId="2" borderId="10" applyNumberFormat="1" applyFont="1" applyFill="1" applyBorder="1" applyAlignment="1" applyProtection="0">
      <alignment horizontal="center" vertical="center"/>
    </xf>
    <xf numFmtId="60" fontId="43" fillId="4" borderId="40" applyNumberFormat="1" applyFont="1" applyFill="1" applyBorder="1" applyAlignment="1" applyProtection="0">
      <alignment vertical="center"/>
    </xf>
    <xf numFmtId="60" fontId="44" fillId="2" borderId="39" applyNumberFormat="1" applyFont="1" applyFill="1" applyBorder="1" applyAlignment="1" applyProtection="0">
      <alignment vertical="center"/>
    </xf>
    <xf numFmtId="60" fontId="45" fillId="2" borderId="5" applyNumberFormat="1" applyFont="1" applyFill="1" applyBorder="1" applyAlignment="1" applyProtection="0">
      <alignment vertical="center"/>
    </xf>
    <xf numFmtId="0" fontId="45" fillId="2" borderId="5" applyNumberFormat="1" applyFont="1" applyFill="1" applyBorder="1" applyAlignment="1" applyProtection="0">
      <alignment horizontal="right" vertical="center"/>
    </xf>
    <xf numFmtId="60" fontId="24" fillId="3" borderId="34" applyNumberFormat="1" applyFont="1" applyFill="1" applyBorder="1" applyAlignment="1" applyProtection="0">
      <alignment vertical="center"/>
    </xf>
    <xf numFmtId="60" fontId="24" fillId="2" borderId="39" applyNumberFormat="1" applyFont="1" applyFill="1" applyBorder="1" applyAlignment="1" applyProtection="0">
      <alignment vertical="center"/>
    </xf>
    <xf numFmtId="65" fontId="37" fillId="2" borderId="5" applyNumberFormat="1" applyFont="1" applyFill="1" applyBorder="1" applyAlignment="1" applyProtection="0">
      <alignment vertical="center"/>
    </xf>
    <xf numFmtId="60" fontId="24" fillId="3" borderId="28" applyNumberFormat="1" applyFont="1" applyFill="1" applyBorder="1" applyAlignment="1" applyProtection="0">
      <alignment vertical="center"/>
    </xf>
    <xf numFmtId="0" fontId="0" fillId="2" borderId="33" applyNumberFormat="1" applyFont="1" applyFill="1" applyBorder="1" applyAlignment="1" applyProtection="0">
      <alignment horizontal="right" vertical="center"/>
    </xf>
    <xf numFmtId="60" fontId="0" fillId="2" borderId="25" applyNumberFormat="1" applyFont="1" applyFill="1" applyBorder="1" applyAlignment="1" applyProtection="0">
      <alignment vertical="center"/>
    </xf>
    <xf numFmtId="60" fontId="0" fillId="2" borderId="5" applyNumberFormat="1" applyFont="1" applyFill="1" applyBorder="1" applyAlignment="1" applyProtection="0">
      <alignment vertical="center"/>
    </xf>
    <xf numFmtId="49" fontId="12" fillId="2" borderId="41" applyNumberFormat="1" applyFont="1" applyFill="1" applyBorder="1" applyAlignment="1" applyProtection="0">
      <alignment vertical="center"/>
    </xf>
    <xf numFmtId="60" fontId="54" fillId="4" borderId="42" applyNumberFormat="1" applyFont="1" applyFill="1" applyBorder="1" applyAlignment="1" applyProtection="0">
      <alignment horizontal="center" vertical="center"/>
    </xf>
    <xf numFmtId="60" fontId="55" fillId="2" borderId="39" applyNumberFormat="1" applyFont="1" applyFill="1" applyBorder="1" applyAlignment="1" applyProtection="0">
      <alignment horizontal="center" vertical="center"/>
    </xf>
    <xf numFmtId="9" fontId="24" fillId="2" borderId="5" applyNumberFormat="1" applyFont="1" applyFill="1" applyBorder="1" applyAlignment="1" applyProtection="0">
      <alignment horizontal="center" vertical="center"/>
    </xf>
    <xf numFmtId="0" fontId="36" fillId="2" borderId="5" applyNumberFormat="1" applyFont="1" applyFill="1" applyBorder="1" applyAlignment="1" applyProtection="0">
      <alignment horizontal="left" vertical="center"/>
    </xf>
    <xf numFmtId="49" fontId="0" fillId="2" borderId="17" applyNumberFormat="1" applyFont="1" applyFill="1" applyBorder="1" applyAlignment="1" applyProtection="0">
      <alignment horizontal="right" vertical="center"/>
    </xf>
    <xf numFmtId="60" fontId="24" fillId="3" borderId="40" applyNumberFormat="1" applyFont="1" applyFill="1" applyBorder="1" applyAlignment="1" applyProtection="0">
      <alignment vertical="center"/>
    </xf>
    <xf numFmtId="0" fontId="24" fillId="3" borderId="34" applyNumberFormat="1" applyFont="1" applyFill="1" applyBorder="1" applyAlignment="1" applyProtection="0">
      <alignment vertical="center"/>
    </xf>
    <xf numFmtId="0" fontId="0" fillId="2" borderId="39" applyNumberFormat="0" applyFont="1" applyFill="1" applyBorder="1" applyAlignment="1" applyProtection="0">
      <alignment vertical="center"/>
    </xf>
    <xf numFmtId="0" fontId="56" fillId="3" borderId="34" applyNumberFormat="1" applyFont="1" applyFill="1" applyBorder="1" applyAlignment="1" applyProtection="0">
      <alignment vertical="center"/>
    </xf>
    <xf numFmtId="0" fontId="56" fillId="3" borderId="28" applyNumberFormat="1" applyFont="1" applyFill="1" applyBorder="1" applyAlignment="1" applyProtection="0">
      <alignment vertical="center"/>
    </xf>
    <xf numFmtId="0" fontId="0" fillId="2" borderId="43" applyNumberFormat="0" applyFont="1" applyFill="1" applyBorder="1" applyAlignment="1" applyProtection="0">
      <alignment vertical="center"/>
    </xf>
    <xf numFmtId="49" fontId="57" fillId="5" borderId="4" applyNumberFormat="1" applyFont="1" applyFill="1" applyBorder="1" applyAlignment="1" applyProtection="0">
      <alignment vertical="center"/>
    </xf>
    <xf numFmtId="0" fontId="0" fillId="5" borderId="5" applyNumberFormat="1" applyFont="1" applyFill="1" applyBorder="1" applyAlignment="1" applyProtection="0">
      <alignment vertical="center"/>
    </xf>
    <xf numFmtId="49" fontId="15" fillId="2" borderId="17" applyNumberFormat="1" applyFont="1" applyFill="1" applyBorder="1" applyAlignment="1" applyProtection="0">
      <alignment horizontal="right" vertical="center"/>
    </xf>
    <xf numFmtId="60" fontId="24" fillId="3" borderId="18" applyNumberFormat="1" applyFont="1" applyFill="1" applyBorder="1" applyAlignment="1" applyProtection="0">
      <alignment vertical="center"/>
    </xf>
    <xf numFmtId="60" fontId="58" fillId="2" borderId="5" applyNumberFormat="1" applyFont="1" applyFill="1" applyBorder="1" applyAlignment="1" applyProtection="0">
      <alignment vertical="center"/>
    </xf>
    <xf numFmtId="49" fontId="15" fillId="2" borderId="44" applyNumberFormat="1" applyFont="1" applyFill="1" applyBorder="1" applyAlignment="1" applyProtection="0">
      <alignment horizontal="right" vertical="center"/>
    </xf>
    <xf numFmtId="60" fontId="0" fillId="2" borderId="21" applyNumberFormat="1" applyFont="1" applyFill="1" applyBorder="1" applyAlignment="1" applyProtection="0">
      <alignment vertical="center"/>
    </xf>
    <xf numFmtId="60" fontId="24" fillId="2" borderId="20" applyNumberFormat="1" applyFont="1" applyFill="1" applyBorder="1" applyAlignment="1" applyProtection="0">
      <alignment vertical="center"/>
    </xf>
    <xf numFmtId="49" fontId="15" fillId="2" borderId="45" applyNumberFormat="1" applyFont="1" applyFill="1" applyBorder="1" applyAlignment="1" applyProtection="0">
      <alignment horizontal="right" vertical="center"/>
    </xf>
    <xf numFmtId="49" fontId="15" fillId="2" borderId="31" applyNumberFormat="1" applyFont="1" applyFill="1" applyBorder="1" applyAlignment="1" applyProtection="0">
      <alignment horizontal="right" vertical="center"/>
    </xf>
    <xf numFmtId="60" fontId="0" fillId="2" borderId="46" applyNumberFormat="1" applyFont="1" applyFill="1" applyBorder="1" applyAlignment="1" applyProtection="0">
      <alignment vertical="center"/>
    </xf>
    <xf numFmtId="0" fontId="15" fillId="2" borderId="13" applyNumberFormat="1" applyFont="1" applyFill="1" applyBorder="1" applyAlignment="1" applyProtection="0">
      <alignment vertical="center"/>
    </xf>
    <xf numFmtId="0" fontId="0" fillId="2" borderId="13" applyNumberFormat="1" applyFont="1" applyFill="1" applyBorder="1" applyAlignment="1" applyProtection="0">
      <alignment horizontal="center" vertical="center"/>
    </xf>
    <xf numFmtId="49" fontId="59" fillId="2" borderId="47" applyNumberFormat="1" applyFont="1" applyFill="1" applyBorder="1" applyAlignment="1" applyProtection="0">
      <alignment horizontal="left" vertical="center"/>
    </xf>
    <xf numFmtId="49" fontId="60" fillId="2" borderId="48" applyNumberFormat="1" applyFont="1" applyFill="1" applyBorder="1" applyAlignment="1" applyProtection="0">
      <alignment horizontal="center" vertical="center"/>
    </xf>
    <xf numFmtId="0" fontId="60" fillId="2" borderId="33" applyNumberFormat="1" applyFont="1" applyFill="1" applyBorder="1" applyAlignment="1" applyProtection="0">
      <alignment horizontal="center" vertical="center"/>
    </xf>
    <xf numFmtId="49" fontId="55" fillId="2" borderId="48" applyNumberFormat="1" applyFont="1" applyFill="1" applyBorder="1" applyAlignment="1" applyProtection="0">
      <alignment horizontal="center" vertical="center"/>
    </xf>
    <xf numFmtId="0" fontId="55" fillId="2" borderId="33" applyNumberFormat="1" applyFont="1" applyFill="1" applyBorder="1" applyAlignment="1" applyProtection="0">
      <alignment horizontal="center" vertical="center"/>
    </xf>
    <xf numFmtId="49" fontId="61" fillId="2" borderId="48" applyNumberFormat="1" applyFont="1" applyFill="1" applyBorder="1" applyAlignment="1" applyProtection="0">
      <alignment horizontal="center" vertical="center"/>
    </xf>
    <xf numFmtId="0" fontId="61" fillId="2" borderId="33" applyNumberFormat="1" applyFont="1" applyFill="1" applyBorder="1" applyAlignment="1" applyProtection="0">
      <alignment horizontal="center" vertical="center"/>
    </xf>
    <xf numFmtId="0" fontId="55" fillId="2" borderId="33" applyNumberFormat="1" applyFont="1" applyFill="1" applyBorder="1" applyAlignment="1" applyProtection="0">
      <alignment horizontal="right" vertical="center"/>
    </xf>
    <xf numFmtId="49" fontId="63" fillId="2" borderId="49" applyNumberFormat="1" applyFont="1" applyFill="1" applyBorder="1" applyAlignment="1" applyProtection="0">
      <alignment horizontal="center" vertical="center"/>
    </xf>
    <xf numFmtId="0" fontId="0" fillId="2" borderId="20" applyNumberFormat="0" applyFont="1" applyFill="1" applyBorder="1" applyAlignment="1" applyProtection="0">
      <alignment vertical="center"/>
    </xf>
    <xf numFmtId="49" fontId="47" fillId="2" borderId="27" applyNumberFormat="1" applyFont="1" applyFill="1" applyBorder="1" applyAlignment="1" applyProtection="0">
      <alignment horizontal="right" vertical="center"/>
    </xf>
    <xf numFmtId="64" fontId="29" fillId="3" borderId="26" applyNumberFormat="1" applyFont="1" applyFill="1" applyBorder="1" applyAlignment="1" applyProtection="0">
      <alignment horizontal="center" vertical="center"/>
    </xf>
    <xf numFmtId="64" fontId="29" fillId="2" borderId="34" applyNumberFormat="1" applyFont="1" applyFill="1" applyBorder="1" applyAlignment="1" applyProtection="0">
      <alignment horizontal="center" vertical="center"/>
    </xf>
    <xf numFmtId="60" fontId="24" fillId="2" borderId="39" applyNumberFormat="1" applyFont="1" applyFill="1" applyBorder="1" applyAlignment="1" applyProtection="0">
      <alignment horizontal="right" vertical="center"/>
    </xf>
    <xf numFmtId="60" fontId="24" fillId="2" borderId="5" applyNumberFormat="1" applyFont="1" applyFill="1" applyBorder="1" applyAlignment="1" applyProtection="0">
      <alignment horizontal="center" vertical="center"/>
    </xf>
    <xf numFmtId="0" fontId="37" fillId="2" borderId="30" applyNumberFormat="1" applyFont="1" applyFill="1" applyBorder="1" applyAlignment="1" applyProtection="0">
      <alignment vertical="center"/>
    </xf>
    <xf numFmtId="64" fontId="29" fillId="3" borderId="34" applyNumberFormat="1" applyFont="1" applyFill="1" applyBorder="1" applyAlignment="1" applyProtection="0">
      <alignment horizontal="center" vertical="center"/>
    </xf>
    <xf numFmtId="64" fontId="29" fillId="3" borderId="28" applyNumberFormat="1" applyFont="1" applyFill="1" applyBorder="1" applyAlignment="1" applyProtection="0">
      <alignment horizontal="center" vertical="center"/>
    </xf>
    <xf numFmtId="49" fontId="47" fillId="2" borderId="20" applyNumberFormat="1" applyFont="1" applyFill="1" applyBorder="1" applyAlignment="1" applyProtection="0">
      <alignment horizontal="right" vertical="center"/>
    </xf>
    <xf numFmtId="64" fontId="51" fillId="2" borderId="43" applyNumberFormat="1" applyFont="1" applyFill="1" applyBorder="1" applyAlignment="1" applyProtection="0">
      <alignment horizontal="center" vertical="center"/>
    </xf>
    <xf numFmtId="64" fontId="51" fillId="2" borderId="5" applyNumberFormat="1" applyFont="1" applyFill="1" applyBorder="1" applyAlignment="1" applyProtection="0">
      <alignment horizontal="center" vertical="center"/>
    </xf>
    <xf numFmtId="60" fontId="24" fillId="2" borderId="5" applyNumberFormat="1" applyFont="1" applyFill="1" applyBorder="1" applyAlignment="1" applyProtection="0">
      <alignment horizontal="right" vertical="center"/>
    </xf>
    <xf numFmtId="49" fontId="0" fillId="2" borderId="20" applyNumberFormat="1" applyFont="1" applyFill="1" applyBorder="1" applyAlignment="1" applyProtection="0">
      <alignment horizontal="right" vertical="center"/>
    </xf>
    <xf numFmtId="64" fontId="0" fillId="2" borderId="14" applyNumberFormat="1" applyFont="1" applyFill="1" applyBorder="1" applyAlignment="1" applyProtection="0">
      <alignment horizontal="center" vertical="center"/>
    </xf>
    <xf numFmtId="64" fontId="0" fillId="2" borderId="5" applyNumberFormat="1" applyFont="1" applyFill="1" applyBorder="1" applyAlignment="1" applyProtection="0">
      <alignment horizontal="center" vertical="center"/>
    </xf>
    <xf numFmtId="64" fontId="24" fillId="2" borderId="5" applyNumberFormat="1" applyFont="1" applyFill="1" applyBorder="1" applyAlignment="1" applyProtection="0">
      <alignment horizontal="center" vertical="center"/>
    </xf>
    <xf numFmtId="64" fontId="24" fillId="2" borderId="14" applyNumberFormat="1" applyFont="1" applyFill="1" applyBorder="1" applyAlignment="1" applyProtection="0">
      <alignment horizontal="center" vertical="center"/>
    </xf>
    <xf numFmtId="62" fontId="0" fillId="2" borderId="5" applyNumberFormat="1" applyFont="1" applyFill="1" applyBorder="1" applyAlignment="1" applyProtection="0">
      <alignment horizontal="right" vertical="center"/>
    </xf>
    <xf numFmtId="62" fontId="0" fillId="2" borderId="5" applyNumberFormat="1" applyFont="1" applyFill="1" applyBorder="1" applyAlignment="1" applyProtection="0">
      <alignment horizontal="center" vertical="center"/>
    </xf>
    <xf numFmtId="49" fontId="47" fillId="2" borderId="27" applyNumberFormat="1" applyFont="1" applyFill="1" applyBorder="1" applyAlignment="1" applyProtection="0">
      <alignment horizontal="right" vertical="center" wrapText="1"/>
    </xf>
    <xf numFmtId="9" fontId="29" fillId="3" borderId="26" applyNumberFormat="1" applyFont="1" applyFill="1" applyBorder="1" applyAlignment="1" applyProtection="0">
      <alignment horizontal="center" vertical="center"/>
    </xf>
    <xf numFmtId="9" fontId="29" fillId="2" borderId="34" applyNumberFormat="1" applyFont="1" applyFill="1" applyBorder="1" applyAlignment="1" applyProtection="0">
      <alignment horizontal="center" vertical="center"/>
    </xf>
    <xf numFmtId="60" fontId="0" fillId="2" borderId="39" applyNumberFormat="1" applyFont="1" applyFill="1" applyBorder="1" applyAlignment="1" applyProtection="0">
      <alignment horizontal="right" vertical="center"/>
    </xf>
    <xf numFmtId="60" fontId="0" fillId="2" borderId="5" applyNumberFormat="1" applyFont="1" applyFill="1" applyBorder="1" applyAlignment="1" applyProtection="0">
      <alignment horizontal="center" vertical="center"/>
    </xf>
    <xf numFmtId="64" fontId="64" fillId="4" borderId="28" applyNumberFormat="1" applyFont="1" applyFill="1" applyBorder="1" applyAlignment="1" applyProtection="0">
      <alignment horizontal="center" vertical="center"/>
    </xf>
    <xf numFmtId="64" fontId="24" fillId="2" borderId="34" applyNumberFormat="1" applyFont="1" applyFill="1" applyBorder="1" applyAlignment="1" applyProtection="0">
      <alignment horizontal="center" vertical="center"/>
    </xf>
    <xf numFmtId="64" fontId="29" fillId="2" borderId="30" applyNumberFormat="1" applyFont="1" applyFill="1" applyBorder="1" applyAlignment="1" applyProtection="0">
      <alignment horizontal="right" vertical="center"/>
    </xf>
    <xf numFmtId="49" fontId="47" fillId="2" borderId="20" applyNumberFormat="1" applyFont="1" applyFill="1" applyBorder="1" applyAlignment="1" applyProtection="0">
      <alignment horizontal="right" vertical="center" wrapText="1"/>
    </xf>
    <xf numFmtId="9" fontId="64" fillId="2" borderId="5" applyNumberFormat="1" applyFont="1" applyFill="1" applyBorder="1" applyAlignment="1" applyProtection="0">
      <alignment horizontal="center" vertical="center"/>
    </xf>
    <xf numFmtId="60" fontId="0" fillId="2" borderId="5" applyNumberFormat="1" applyFont="1" applyFill="1" applyBorder="1" applyAlignment="1" applyProtection="0">
      <alignment horizontal="right" vertical="center"/>
    </xf>
    <xf numFmtId="64" fontId="51" fillId="2" borderId="30" applyNumberFormat="1" applyFont="1" applyFill="1" applyBorder="1" applyAlignment="1" applyProtection="0">
      <alignment horizontal="right" vertical="center"/>
    </xf>
    <xf numFmtId="59" fontId="47" fillId="2" borderId="20" applyNumberFormat="1" applyFont="1" applyFill="1" applyBorder="1" applyAlignment="1" applyProtection="0">
      <alignment horizontal="right" vertical="center" wrapText="1"/>
    </xf>
    <xf numFmtId="65" fontId="24" fillId="2" borderId="5" applyNumberFormat="1" applyFont="1" applyFill="1" applyBorder="1" applyAlignment="1" applyProtection="0">
      <alignment horizontal="center" vertical="center"/>
    </xf>
    <xf numFmtId="64" fontId="0" fillId="2" borderId="30" applyNumberFormat="1" applyFont="1" applyFill="1" applyBorder="1" applyAlignment="1" applyProtection="0">
      <alignment horizontal="right" vertical="center"/>
    </xf>
    <xf numFmtId="49" fontId="0" fillId="2" borderId="31" applyNumberFormat="1" applyFont="1" applyFill="1" applyBorder="1" applyAlignment="1" applyProtection="0">
      <alignment horizontal="right" vertical="center"/>
    </xf>
    <xf numFmtId="65" fontId="65" fillId="6" borderId="13" applyNumberFormat="1" applyFont="1" applyFill="1" applyBorder="1" applyAlignment="1" applyProtection="0">
      <alignment horizontal="center" vertical="center"/>
    </xf>
    <xf numFmtId="9" fontId="24" fillId="2" borderId="13" applyNumberFormat="1" applyFont="1" applyFill="1" applyBorder="1" applyAlignment="1" applyProtection="0">
      <alignment horizontal="center" vertical="center"/>
    </xf>
    <xf numFmtId="64" fontId="0" fillId="2" borderId="13" applyNumberFormat="1" applyFont="1" applyFill="1" applyBorder="1" applyAlignment="1" applyProtection="0">
      <alignment horizontal="center" vertical="center"/>
    </xf>
    <xf numFmtId="9" fontId="0" fillId="2" borderId="13" applyNumberFormat="1" applyFont="1" applyFill="1" applyBorder="1" applyAlignment="1" applyProtection="0">
      <alignment horizontal="right" vertical="center"/>
    </xf>
    <xf numFmtId="9" fontId="0" fillId="2" borderId="13" applyNumberFormat="1" applyFont="1" applyFill="1" applyBorder="1" applyAlignment="1" applyProtection="0">
      <alignment horizontal="center" vertical="center"/>
    </xf>
    <xf numFmtId="0" fontId="37" fillId="2" borderId="32" applyNumberFormat="1" applyFont="1" applyFill="1" applyBorder="1" applyAlignment="1" applyProtection="0">
      <alignment horizontal="right" vertical="center"/>
    </xf>
    <xf numFmtId="64" fontId="0" fillId="2" borderId="48" applyNumberFormat="1" applyFont="1" applyFill="1" applyBorder="1" applyAlignment="1" applyProtection="0">
      <alignment horizontal="center" vertical="center"/>
    </xf>
    <xf numFmtId="64" fontId="0" fillId="2" borderId="33" applyNumberFormat="1" applyFont="1" applyFill="1" applyBorder="1" applyAlignment="1" applyProtection="0">
      <alignment horizontal="center" vertical="center"/>
    </xf>
    <xf numFmtId="64" fontId="37" fillId="2" borderId="33" applyNumberFormat="1" applyFont="1" applyFill="1" applyBorder="1" applyAlignment="1" applyProtection="0">
      <alignment horizontal="center" vertical="center"/>
    </xf>
    <xf numFmtId="0" fontId="37" fillId="2" borderId="49" applyNumberFormat="1" applyFont="1" applyFill="1" applyBorder="1" applyAlignment="1" applyProtection="0">
      <alignment horizontal="right" vertical="center"/>
    </xf>
    <xf numFmtId="49" fontId="15" fillId="2" borderId="27" applyNumberFormat="1" applyFont="1" applyFill="1" applyBorder="1" applyAlignment="1" applyProtection="0">
      <alignment horizontal="right" vertical="center"/>
    </xf>
    <xf numFmtId="64" fontId="24" fillId="2" borderId="39" applyNumberFormat="1" applyFont="1" applyFill="1" applyBorder="1" applyAlignment="1" applyProtection="0">
      <alignment horizontal="center" vertical="center"/>
    </xf>
    <xf numFmtId="64" fontId="37" fillId="2" borderId="5" applyNumberFormat="1" applyFont="1" applyFill="1" applyBorder="1" applyAlignment="1" applyProtection="0">
      <alignment horizontal="center" vertical="center"/>
    </xf>
    <xf numFmtId="0" fontId="37" fillId="2" borderId="30" applyNumberFormat="1" applyFont="1" applyFill="1" applyBorder="1" applyAlignment="1" applyProtection="0">
      <alignment horizontal="right" vertical="center"/>
    </xf>
    <xf numFmtId="49" fontId="47" fillId="2" borderId="31" applyNumberFormat="1" applyFont="1" applyFill="1" applyBorder="1" applyAlignment="1" applyProtection="0">
      <alignment horizontal="right" vertical="center" wrapText="1"/>
    </xf>
    <xf numFmtId="64" fontId="0" fillId="2" borderId="50" applyNumberFormat="1" applyFont="1" applyFill="1" applyBorder="1" applyAlignment="1" applyProtection="0">
      <alignment horizontal="center" vertical="center"/>
    </xf>
    <xf numFmtId="64" fontId="24" fillId="2" borderId="13" applyNumberFormat="1" applyFont="1" applyFill="1" applyBorder="1" applyAlignment="1" applyProtection="0">
      <alignment horizontal="center" vertical="center"/>
    </xf>
    <xf numFmtId="64" fontId="37" fillId="2" borderId="13" applyNumberFormat="1" applyFont="1" applyFill="1" applyBorder="1" applyAlignment="1" applyProtection="0">
      <alignment horizontal="center" vertical="center"/>
    </xf>
    <xf numFmtId="64" fontId="51" fillId="2" borderId="32" applyNumberFormat="1" applyFont="1" applyFill="1" applyBorder="1" applyAlignment="1" applyProtection="0">
      <alignment horizontal="right" vertical="center"/>
    </xf>
    <xf numFmtId="62" fontId="0" fillId="2" borderId="33" applyNumberFormat="1" applyFont="1" applyFill="1" applyBorder="1" applyAlignment="1" applyProtection="0">
      <alignment vertical="center"/>
    </xf>
    <xf numFmtId="62" fontId="0" fillId="2" borderId="14" applyNumberFormat="1" applyFont="1" applyFill="1" applyBorder="1" applyAlignment="1" applyProtection="0">
      <alignment vertical="center"/>
    </xf>
    <xf numFmtId="62" fontId="0" fillId="2" borderId="5" applyNumberFormat="1" applyFont="1" applyFill="1" applyBorder="1" applyAlignment="1" applyProtection="0">
      <alignment vertical="center"/>
    </xf>
    <xf numFmtId="62" fontId="29" fillId="3" borderId="26" applyNumberFormat="1" applyFont="1" applyFill="1" applyBorder="1" applyAlignment="1" applyProtection="0">
      <alignment vertical="center"/>
    </xf>
    <xf numFmtId="62" fontId="29" fillId="3" borderId="34" applyNumberFormat="1" applyFont="1" applyFill="1" applyBorder="1" applyAlignment="1" applyProtection="0">
      <alignment vertical="center"/>
    </xf>
    <xf numFmtId="60" fontId="64" fillId="4" borderId="28" applyNumberFormat="1" applyFont="1" applyFill="1" applyBorder="1" applyAlignment="1" applyProtection="0">
      <alignment vertical="center"/>
    </xf>
    <xf numFmtId="60" fontId="51" fillId="2" borderId="46" applyNumberFormat="1" applyFont="1" applyFill="1" applyBorder="1" applyAlignment="1" applyProtection="0">
      <alignment vertical="center"/>
    </xf>
    <xf numFmtId="60" fontId="0" fillId="3" borderId="18" applyNumberFormat="1" applyFont="1" applyFill="1" applyBorder="1" applyAlignment="1" applyProtection="0">
      <alignment vertical="center"/>
    </xf>
    <xf numFmtId="60" fontId="0" fillId="2" borderId="40" applyNumberFormat="1" applyFont="1" applyFill="1" applyBorder="1" applyAlignment="1" applyProtection="0">
      <alignment vertical="center"/>
    </xf>
    <xf numFmtId="9" fontId="64" fillId="4" borderId="18" applyNumberFormat="1" applyFont="1" applyFill="1" applyBorder="1" applyAlignment="1" applyProtection="0">
      <alignment horizontal="center" vertical="center"/>
    </xf>
    <xf numFmtId="9" fontId="24" fillId="2" borderId="51" applyNumberFormat="1" applyFont="1" applyFill="1" applyBorder="1" applyAlignment="1" applyProtection="0">
      <alignment horizontal="right" vertical="center"/>
    </xf>
    <xf numFmtId="49" fontId="36" fillId="2" borderId="33" applyNumberFormat="1" applyFont="1" applyFill="1" applyBorder="1" applyAlignment="1" applyProtection="0">
      <alignment horizontal="left" vertical="center"/>
    </xf>
    <xf numFmtId="0" fontId="36" fillId="2" borderId="33" applyNumberFormat="1" applyFont="1" applyFill="1" applyBorder="1" applyAlignment="1" applyProtection="0">
      <alignment horizontal="left" vertical="center"/>
    </xf>
    <xf numFmtId="0" fontId="37" fillId="2" borderId="49" applyNumberFormat="1" applyFont="1" applyFill="1" applyBorder="1" applyAlignment="1" applyProtection="0">
      <alignment vertical="center"/>
    </xf>
    <xf numFmtId="60" fontId="0" fillId="2" borderId="50" applyNumberFormat="1" applyFont="1" applyFill="1" applyBorder="1" applyAlignment="1" applyProtection="0">
      <alignment vertical="center"/>
    </xf>
    <xf numFmtId="60" fontId="0" fillId="2" borderId="13" applyNumberFormat="1" applyFont="1" applyFill="1" applyBorder="1" applyAlignment="1" applyProtection="0">
      <alignment vertical="center"/>
    </xf>
    <xf numFmtId="9" fontId="24" fillId="2" borderId="50" applyNumberFormat="1" applyFont="1" applyFill="1" applyBorder="1" applyAlignment="1" applyProtection="0">
      <alignment horizontal="right" vertical="center"/>
    </xf>
    <xf numFmtId="9" fontId="24" fillId="2" borderId="13" applyNumberFormat="1" applyFont="1" applyFill="1" applyBorder="1" applyAlignment="1" applyProtection="0">
      <alignment horizontal="right" vertical="center"/>
    </xf>
    <xf numFmtId="0" fontId="36" fillId="2" borderId="13" applyNumberFormat="1" applyFont="1" applyFill="1" applyBorder="1" applyAlignment="1" applyProtection="0">
      <alignment horizontal="left" vertical="center"/>
    </xf>
    <xf numFmtId="0" fontId="37" fillId="2" borderId="32" applyNumberFormat="1" applyFont="1" applyFill="1" applyBorder="1" applyAlignment="1" applyProtection="0">
      <alignment vertical="center"/>
    </xf>
    <xf numFmtId="0" fontId="0" fillId="2" borderId="40" applyNumberFormat="1" applyFont="1" applyFill="1" applyBorder="1" applyAlignment="1" applyProtection="0">
      <alignment vertical="center"/>
    </xf>
    <xf numFmtId="65" fontId="24" fillId="4" borderId="18" applyNumberFormat="1" applyFont="1" applyFill="1" applyBorder="1" applyAlignment="1" applyProtection="0">
      <alignment horizontal="center" vertical="center"/>
    </xf>
    <xf numFmtId="65" fontId="24" fillId="2" borderId="51" applyNumberFormat="1" applyFont="1" applyFill="1" applyBorder="1" applyAlignment="1" applyProtection="0">
      <alignment horizontal="right" vertical="center"/>
    </xf>
    <xf numFmtId="0" fontId="0" fillId="2" borderId="52" applyNumberFormat="0" applyFont="1" applyFill="1" applyBorder="1" applyAlignment="1" applyProtection="0">
      <alignment vertical="center"/>
    </xf>
    <xf numFmtId="0" fontId="0" fillId="2" borderId="13" applyNumberFormat="1" applyFont="1" applyFill="1" applyBorder="1" applyAlignment="1" applyProtection="0">
      <alignment vertical="center"/>
    </xf>
    <xf numFmtId="0" fontId="0" fillId="2" borderId="50" applyNumberFormat="1" applyFont="1" applyFill="1" applyBorder="1" applyAlignment="1" applyProtection="0">
      <alignment vertical="center"/>
    </xf>
    <xf numFmtId="0" fontId="37" fillId="2" borderId="13" applyNumberFormat="1" applyFont="1" applyFill="1" applyBorder="1" applyAlignment="1" applyProtection="0">
      <alignment vertical="center"/>
    </xf>
    <xf numFmtId="0" fontId="0" fillId="2" borderId="53" applyNumberFormat="0" applyFont="1" applyFill="1" applyBorder="1" applyAlignment="1" applyProtection="0">
      <alignment vertical="center"/>
    </xf>
    <xf numFmtId="0" fontId="0" fillId="2" borderId="54" applyNumberFormat="0" applyFont="1" applyFill="1" applyBorder="1" applyAlignment="1" applyProtection="0">
      <alignment vertical="center"/>
    </xf>
    <xf numFmtId="0" fontId="0" fillId="2" borderId="55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67" fillId="2" borderId="1" applyNumberFormat="1" applyFont="1" applyFill="1" applyBorder="1" applyAlignment="1" applyProtection="0">
      <alignment horizontal="left" vertical="center"/>
    </xf>
    <xf numFmtId="0" fontId="0" fillId="2" borderId="56" applyNumberFormat="0" applyFont="1" applyFill="1" applyBorder="1" applyAlignment="1" applyProtection="0">
      <alignment vertical="center"/>
    </xf>
    <xf numFmtId="0" fontId="68" fillId="3" borderId="18" applyNumberFormat="1" applyFont="1" applyFill="1" applyBorder="1" applyAlignment="1" applyProtection="0">
      <alignment horizontal="center" vertical="center"/>
    </xf>
    <xf numFmtId="49" fontId="69" fillId="2" borderId="57" applyNumberFormat="1" applyFont="1" applyFill="1" applyBorder="1" applyAlignment="1" applyProtection="0">
      <alignment vertical="center"/>
    </xf>
    <xf numFmtId="49" fontId="70" fillId="3" borderId="2" applyNumberFormat="1" applyFont="1" applyFill="1" applyBorder="1" applyAlignment="1" applyProtection="0">
      <alignment horizontal="center" vertical="center"/>
    </xf>
    <xf numFmtId="0" fontId="15" fillId="2" borderId="4" applyNumberFormat="1" applyFont="1" applyFill="1" applyBorder="1" applyAlignment="1" applyProtection="0">
      <alignment vertical="center"/>
    </xf>
    <xf numFmtId="49" fontId="71" fillId="2" borderId="4" applyNumberFormat="1" applyFont="1" applyFill="1" applyBorder="1" applyAlignment="1" applyProtection="0">
      <alignment horizontal="left" vertical="center"/>
    </xf>
    <xf numFmtId="0" fontId="0" fillId="2" borderId="5" applyNumberFormat="1" applyFont="1" applyFill="1" applyBorder="1" applyAlignment="1" applyProtection="0">
      <alignment vertical="center"/>
    </xf>
    <xf numFmtId="59" fontId="73" fillId="2" borderId="5" applyNumberFormat="1" applyFont="1" applyFill="1" applyBorder="1" applyAlignment="1" applyProtection="0">
      <alignment vertical="center"/>
    </xf>
    <xf numFmtId="0" fontId="24" fillId="2" borderId="43" applyNumberFormat="1" applyFont="1" applyFill="1" applyBorder="1" applyAlignment="1" applyProtection="0">
      <alignment vertical="center"/>
    </xf>
    <xf numFmtId="0" fontId="10" fillId="2" borderId="5" applyNumberFormat="1" applyFont="1" applyFill="1" applyBorder="1" applyAlignment="1" applyProtection="0">
      <alignment vertical="center"/>
    </xf>
    <xf numFmtId="49" fontId="74" fillId="2" borderId="4" applyNumberFormat="1" applyFont="1" applyFill="1" applyBorder="1" applyAlignment="1" applyProtection="0">
      <alignment horizontal="left" vertical="center"/>
    </xf>
    <xf numFmtId="0" fontId="75" fillId="2" borderId="5" applyNumberFormat="1" applyFont="1" applyFill="1" applyBorder="1" applyAlignment="1" applyProtection="0">
      <alignment vertical="center"/>
    </xf>
    <xf numFmtId="0" fontId="24" fillId="2" borderId="5" applyNumberFormat="1" applyFont="1" applyFill="1" applyBorder="1" applyAlignment="1" applyProtection="0">
      <alignment vertical="center"/>
    </xf>
    <xf numFmtId="49" fontId="76" fillId="5" borderId="4" applyNumberFormat="1" applyFont="1" applyFill="1" applyBorder="1" applyAlignment="1" applyProtection="0">
      <alignment vertical="center"/>
    </xf>
    <xf numFmtId="59" fontId="0" fillId="5" borderId="5" applyNumberFormat="1" applyFont="1" applyFill="1" applyBorder="1" applyAlignment="1" applyProtection="0">
      <alignment vertical="center"/>
    </xf>
    <xf numFmtId="59" fontId="0" fillId="2" borderId="5" applyNumberFormat="1" applyFont="1" applyFill="1" applyBorder="1" applyAlignment="1" applyProtection="0">
      <alignment horizontal="center" vertical="center"/>
    </xf>
    <xf numFmtId="49" fontId="55" fillId="2" borderId="5" applyNumberFormat="1" applyFont="1" applyFill="1" applyBorder="1" applyAlignment="1" applyProtection="0">
      <alignment horizontal="center" vertical="center"/>
    </xf>
    <xf numFmtId="49" fontId="78" fillId="2" borderId="5" applyNumberFormat="1" applyFont="1" applyFill="1" applyBorder="1" applyAlignment="1" applyProtection="0">
      <alignment vertical="center"/>
    </xf>
    <xf numFmtId="60" fontId="79" fillId="2" borderId="5" applyNumberFormat="1" applyFont="1" applyFill="1" applyBorder="1" applyAlignment="1" applyProtection="0">
      <alignment vertical="center"/>
    </xf>
    <xf numFmtId="60" fontId="40" fillId="2" borderId="5" applyNumberFormat="1" applyFont="1" applyFill="1" applyBorder="1" applyAlignment="1" applyProtection="0">
      <alignment vertical="center"/>
    </xf>
    <xf numFmtId="49" fontId="15" fillId="2" borderId="5" applyNumberFormat="1" applyFont="1" applyFill="1" applyBorder="1" applyAlignment="1" applyProtection="0">
      <alignment vertical="center"/>
    </xf>
    <xf numFmtId="59" fontId="15" fillId="2" borderId="5" applyNumberFormat="1" applyFont="1" applyFill="1" applyBorder="1" applyAlignment="1" applyProtection="0">
      <alignment vertical="center"/>
    </xf>
    <xf numFmtId="60" fontId="0" fillId="2" borderId="14" applyNumberFormat="1" applyFont="1" applyFill="1" applyBorder="1" applyAlignment="1" applyProtection="0">
      <alignment vertical="center"/>
    </xf>
    <xf numFmtId="0" fontId="24" fillId="2" borderId="4" applyNumberFormat="1" applyFont="1" applyFill="1" applyBorder="1" applyAlignment="1" applyProtection="0">
      <alignment vertical="center"/>
    </xf>
    <xf numFmtId="49" fontId="15" fillId="2" borderId="58" applyNumberFormat="1" applyFont="1" applyFill="1" applyBorder="1" applyAlignment="1" applyProtection="0">
      <alignment horizontal="right" vertical="center"/>
    </xf>
    <xf numFmtId="59" fontId="80" fillId="3" borderId="18" applyNumberFormat="1" applyFont="1" applyFill="1" applyBorder="1" applyAlignment="1" applyProtection="0">
      <alignment vertical="center"/>
    </xf>
    <xf numFmtId="49" fontId="15" fillId="2" borderId="39" applyNumberFormat="1" applyFont="1" applyFill="1" applyBorder="1" applyAlignment="1" applyProtection="0">
      <alignment vertical="center"/>
    </xf>
    <xf numFmtId="0" fontId="15" fillId="2" borderId="5" applyNumberFormat="1" applyFont="1" applyFill="1" applyBorder="1" applyAlignment="1" applyProtection="0">
      <alignment vertical="center" wrapText="1"/>
    </xf>
    <xf numFmtId="0" fontId="15" fillId="2" borderId="5" applyNumberFormat="1" applyFont="1" applyFill="1" applyBorder="1" applyAlignment="1" applyProtection="0">
      <alignment horizontal="right" vertical="center"/>
    </xf>
    <xf numFmtId="0" fontId="15" fillId="2" borderId="43" applyNumberFormat="1" applyFont="1" applyFill="1" applyBorder="1" applyAlignment="1" applyProtection="0">
      <alignment horizontal="right" vertical="center"/>
    </xf>
    <xf numFmtId="49" fontId="81" fillId="2" borderId="5" applyNumberFormat="1" applyFont="1" applyFill="1" applyBorder="1" applyAlignment="1" applyProtection="0">
      <alignment vertical="center"/>
    </xf>
    <xf numFmtId="60" fontId="82" fillId="2" borderId="5" applyNumberFormat="1" applyFont="1" applyFill="1" applyBorder="1" applyAlignment="1" applyProtection="0">
      <alignment vertical="center"/>
    </xf>
    <xf numFmtId="60" fontId="20" fillId="2" borderId="6" applyNumberFormat="1" applyFont="1" applyFill="1" applyBorder="1" applyAlignment="1" applyProtection="0">
      <alignment vertical="center"/>
    </xf>
    <xf numFmtId="59" fontId="78" fillId="2" borderId="5" applyNumberFormat="1" applyFont="1" applyFill="1" applyBorder="1" applyAlignment="1" applyProtection="0">
      <alignment vertical="center"/>
    </xf>
    <xf numFmtId="49" fontId="61" fillId="2" borderId="5" applyNumberFormat="1" applyFont="1" applyFill="1" applyBorder="1" applyAlignment="1" applyProtection="0">
      <alignment horizontal="center" vertical="center"/>
    </xf>
    <xf numFmtId="0" fontId="15" fillId="2" borderId="5" applyNumberFormat="1" applyFont="1" applyFill="1" applyBorder="1" applyAlignment="1" applyProtection="0">
      <alignment vertical="center"/>
    </xf>
    <xf numFmtId="49" fontId="83" fillId="2" borderId="5" applyNumberFormat="1" applyFont="1" applyFill="1" applyBorder="1" applyAlignment="1" applyProtection="0">
      <alignment vertical="center"/>
    </xf>
    <xf numFmtId="9" fontId="20" fillId="2" borderId="5" applyNumberFormat="1" applyFont="1" applyFill="1" applyBorder="1" applyAlignment="1" applyProtection="0">
      <alignment horizontal="center" vertical="center"/>
    </xf>
    <xf numFmtId="60" fontId="64" fillId="2" borderId="5" applyNumberFormat="1" applyFont="1" applyFill="1" applyBorder="1" applyAlignment="1" applyProtection="0">
      <alignment vertical="center"/>
    </xf>
    <xf numFmtId="59" fontId="83" fillId="2" borderId="5" applyNumberFormat="1" applyFont="1" applyFill="1" applyBorder="1" applyAlignment="1" applyProtection="0">
      <alignment vertical="center"/>
    </xf>
    <xf numFmtId="49" fontId="0" fillId="2" borderId="5" applyNumberFormat="1" applyFont="1" applyFill="1" applyBorder="1" applyAlignment="1" applyProtection="0">
      <alignment vertical="center"/>
    </xf>
    <xf numFmtId="0" fontId="0" fillId="2" borderId="58" applyNumberFormat="1" applyFont="1" applyFill="1" applyBorder="1" applyAlignment="1" applyProtection="0">
      <alignment vertical="center"/>
    </xf>
    <xf numFmtId="60" fontId="51" fillId="3" borderId="18" applyNumberFormat="1" applyFont="1" applyFill="1" applyBorder="1" applyAlignment="1" applyProtection="0">
      <alignment vertical="center"/>
    </xf>
    <xf numFmtId="0" fontId="0" fillId="2" borderId="39" applyNumberFormat="1" applyFont="1" applyFill="1" applyBorder="1" applyAlignment="1" applyProtection="0">
      <alignment vertical="center"/>
    </xf>
    <xf numFmtId="60" fontId="41" fillId="2" borderId="5" applyNumberFormat="1" applyFont="1" applyFill="1" applyBorder="1" applyAlignment="1" applyProtection="0">
      <alignment vertical="center"/>
    </xf>
    <xf numFmtId="0" fontId="0" fillId="2" borderId="14" applyNumberFormat="1" applyFont="1" applyFill="1" applyBorder="1" applyAlignment="1" applyProtection="0">
      <alignment horizontal="right" vertical="center"/>
    </xf>
    <xf numFmtId="60" fontId="0" fillId="2" borderId="43" applyNumberFormat="1" applyFont="1" applyFill="1" applyBorder="1" applyAlignment="1" applyProtection="0">
      <alignment vertical="center"/>
    </xf>
    <xf numFmtId="49" fontId="83" fillId="2" borderId="58" applyNumberFormat="1" applyFont="1" applyFill="1" applyBorder="1" applyAlignment="1" applyProtection="0">
      <alignment vertical="center"/>
    </xf>
    <xf numFmtId="9" fontId="85" fillId="3" borderId="18" applyNumberFormat="1" applyFont="1" applyFill="1" applyBorder="1" applyAlignment="1" applyProtection="0">
      <alignment horizontal="center" vertical="center"/>
    </xf>
    <xf numFmtId="0" fontId="0" fillId="2" borderId="43" applyNumberFormat="1" applyFont="1" applyFill="1" applyBorder="1" applyAlignment="1" applyProtection="0">
      <alignment vertical="center"/>
    </xf>
    <xf numFmtId="59" fontId="0" fillId="2" borderId="5" applyNumberFormat="1" applyFont="1" applyFill="1" applyBorder="1" applyAlignment="1" applyProtection="0">
      <alignment vertical="center"/>
    </xf>
    <xf numFmtId="0" fontId="55" fillId="2" borderId="59" applyNumberFormat="1" applyFont="1" applyFill="1" applyBorder="1" applyAlignment="1" applyProtection="0">
      <alignment horizontal="center" vertical="center"/>
    </xf>
    <xf numFmtId="60" fontId="0" fillId="2" borderId="39" applyNumberFormat="1" applyFont="1" applyFill="1" applyBorder="1" applyAlignment="1" applyProtection="0">
      <alignment vertical="center"/>
    </xf>
    <xf numFmtId="49" fontId="0" fillId="2" borderId="58" applyNumberFormat="1" applyFont="1" applyFill="1" applyBorder="1" applyAlignment="1" applyProtection="0">
      <alignment vertical="center"/>
    </xf>
    <xf numFmtId="9" fontId="24" fillId="3" borderId="18" applyNumberFormat="1" applyFont="1" applyFill="1" applyBorder="1" applyAlignment="1" applyProtection="0">
      <alignment horizontal="center" vertical="center"/>
    </xf>
    <xf numFmtId="60" fontId="0" fillId="2" borderId="60" applyNumberFormat="1" applyFont="1" applyFill="1" applyBorder="1" applyAlignment="1" applyProtection="0">
      <alignment vertical="center"/>
    </xf>
    <xf numFmtId="49" fontId="15" fillId="2" borderId="5" applyNumberFormat="1" applyFont="1" applyFill="1" applyBorder="1" applyAlignment="1" applyProtection="0">
      <alignment horizontal="right" vertical="center"/>
    </xf>
    <xf numFmtId="61" fontId="64" fillId="6" borderId="5" applyNumberFormat="1" applyFont="1" applyFill="1" applyBorder="1" applyAlignment="1" applyProtection="0">
      <alignment vertical="center"/>
    </xf>
    <xf numFmtId="49" fontId="55" fillId="2" borderId="14" applyNumberFormat="1" applyFont="1" applyFill="1" applyBorder="1" applyAlignment="1" applyProtection="0">
      <alignment horizontal="center" vertical="center"/>
    </xf>
    <xf numFmtId="49" fontId="35" fillId="2" borderId="58" applyNumberFormat="1" applyFont="1" applyFill="1" applyBorder="1" applyAlignment="1" applyProtection="0">
      <alignment vertical="center"/>
    </xf>
    <xf numFmtId="60" fontId="24" fillId="2" borderId="5" applyNumberFormat="1" applyFont="1" applyFill="1" applyBorder="1" applyAlignment="1" applyProtection="0">
      <alignment vertical="center"/>
    </xf>
    <xf numFmtId="0" fontId="0" fillId="2" borderId="58" applyNumberFormat="0" applyFont="1" applyFill="1" applyBorder="1" applyAlignment="1" applyProtection="0">
      <alignment vertical="center"/>
    </xf>
    <xf numFmtId="60" fontId="6" fillId="4" borderId="18" applyNumberFormat="1" applyFont="1" applyFill="1" applyBorder="1" applyAlignment="1" applyProtection="0">
      <alignment vertical="center"/>
    </xf>
    <xf numFmtId="49" fontId="51" fillId="2" borderId="5" applyNumberFormat="1" applyFont="1" applyFill="1" applyBorder="1" applyAlignment="1" applyProtection="0">
      <alignment vertical="center"/>
    </xf>
    <xf numFmtId="66" fontId="87" fillId="2" borderId="58" applyNumberFormat="1" applyFont="1" applyFill="1" applyBorder="1" applyAlignment="1" applyProtection="0">
      <alignment vertical="center"/>
    </xf>
    <xf numFmtId="60" fontId="88" fillId="3" borderId="26" applyNumberFormat="1" applyFont="1" applyFill="1" applyBorder="1" applyAlignment="1" applyProtection="0">
      <alignment vertical="center"/>
    </xf>
    <xf numFmtId="60" fontId="89" fillId="2" borderId="39" applyNumberFormat="1" applyFont="1" applyFill="1" applyBorder="1" applyAlignment="1" applyProtection="0">
      <alignment horizontal="center" vertical="center"/>
    </xf>
    <xf numFmtId="60" fontId="89" fillId="2" borderId="43" applyNumberFormat="1" applyFont="1" applyFill="1" applyBorder="1" applyAlignment="1" applyProtection="0">
      <alignment vertical="center"/>
    </xf>
    <xf numFmtId="60" fontId="88" fillId="3" borderId="34" applyNumberFormat="1" applyFont="1" applyFill="1" applyBorder="1" applyAlignment="1" applyProtection="0">
      <alignment vertical="center"/>
    </xf>
    <xf numFmtId="60" fontId="89" fillId="2" borderId="5" applyNumberFormat="1" applyFont="1" applyFill="1" applyBorder="1" applyAlignment="1" applyProtection="0">
      <alignment vertical="center"/>
    </xf>
    <xf numFmtId="59" fontId="89" fillId="2" borderId="39" applyNumberFormat="1" applyFont="1" applyFill="1" applyBorder="1" applyAlignment="1" applyProtection="0">
      <alignment horizontal="center" vertical="center"/>
    </xf>
    <xf numFmtId="62" fontId="88" fillId="3" borderId="28" applyNumberFormat="1" applyFont="1" applyFill="1" applyBorder="1" applyAlignment="1" applyProtection="0">
      <alignment vertical="center"/>
    </xf>
    <xf numFmtId="62" fontId="89" fillId="2" borderId="5" applyNumberFormat="1" applyFont="1" applyFill="1" applyBorder="1" applyAlignment="1" applyProtection="0">
      <alignment vertical="center"/>
    </xf>
    <xf numFmtId="59" fontId="15" fillId="2" borderId="13" applyNumberFormat="1" applyFont="1" applyFill="1" applyBorder="1" applyAlignment="1" applyProtection="0">
      <alignment vertical="center"/>
    </xf>
    <xf numFmtId="49" fontId="90" fillId="2" borderId="35" applyNumberFormat="1" applyFont="1" applyFill="1" applyBorder="1" applyAlignment="1" applyProtection="0">
      <alignment vertical="center"/>
    </xf>
    <xf numFmtId="59" fontId="91" fillId="2" borderId="35" applyNumberFormat="1" applyFont="1" applyFill="1" applyBorder="1" applyAlignment="1" applyProtection="0">
      <alignment vertical="center"/>
    </xf>
    <xf numFmtId="0" fontId="91" fillId="2" borderId="35" applyNumberFormat="1" applyFont="1" applyFill="1" applyBorder="1" applyAlignment="1" applyProtection="0">
      <alignment vertical="center"/>
    </xf>
    <xf numFmtId="60" fontId="91" fillId="2" borderId="35" applyNumberFormat="1" applyFont="1" applyFill="1" applyBorder="1" applyAlignment="1" applyProtection="0">
      <alignment vertical="center"/>
    </xf>
    <xf numFmtId="60" fontId="92" fillId="2" borderId="35" applyNumberFormat="1" applyFont="1" applyFill="1" applyBorder="1" applyAlignment="1" applyProtection="0">
      <alignment vertical="center"/>
    </xf>
    <xf numFmtId="59" fontId="15" fillId="2" borderId="10" applyNumberFormat="1" applyFont="1" applyFill="1" applyBorder="1" applyAlignment="1" applyProtection="0">
      <alignment vertical="center"/>
    </xf>
    <xf numFmtId="60" fontId="0" fillId="2" borderId="10" applyNumberFormat="1" applyFont="1" applyFill="1" applyBorder="1" applyAlignment="1" applyProtection="0">
      <alignment vertical="center"/>
    </xf>
    <xf numFmtId="59" fontId="15" fillId="5" borderId="5" applyNumberFormat="1" applyFont="1" applyFill="1" applyBorder="1" applyAlignment="1" applyProtection="0">
      <alignment vertical="center"/>
    </xf>
    <xf numFmtId="60" fontId="0" fillId="5" borderId="5" applyNumberFormat="1" applyFont="1" applyFill="1" applyBorder="1" applyAlignment="1" applyProtection="0">
      <alignment vertical="center"/>
    </xf>
    <xf numFmtId="60" fontId="93" fillId="2" borderId="5" applyNumberFormat="1" applyFont="1" applyFill="1" applyBorder="1" applyAlignment="1" applyProtection="0">
      <alignment vertical="center"/>
    </xf>
    <xf numFmtId="49" fontId="94" fillId="2" borderId="5" applyNumberFormat="1" applyFont="1" applyFill="1" applyBorder="1" applyAlignment="1" applyProtection="0">
      <alignment vertical="center"/>
    </xf>
    <xf numFmtId="60" fontId="95" fillId="2" borderId="5" applyNumberFormat="1" applyFont="1" applyFill="1" applyBorder="1" applyAlignment="1" applyProtection="0">
      <alignment vertical="center"/>
    </xf>
    <xf numFmtId="59" fontId="89" fillId="2" borderId="5" applyNumberFormat="1" applyFont="1" applyFill="1" applyBorder="1" applyAlignment="1" applyProtection="0">
      <alignment vertical="center"/>
    </xf>
    <xf numFmtId="0" fontId="87" fillId="2" borderId="5" applyNumberFormat="1" applyFont="1" applyFill="1" applyBorder="1" applyAlignment="1" applyProtection="0">
      <alignment vertical="center"/>
    </xf>
    <xf numFmtId="59" fontId="89" fillId="2" borderId="58" applyNumberFormat="1" applyFont="1" applyFill="1" applyBorder="1" applyAlignment="1" applyProtection="0">
      <alignment vertical="center"/>
    </xf>
    <xf numFmtId="60" fontId="89" fillId="2" borderId="39" applyNumberFormat="1" applyFont="1" applyFill="1" applyBorder="1" applyAlignment="1" applyProtection="0">
      <alignment vertical="center"/>
    </xf>
    <xf numFmtId="60" fontId="88" fillId="3" borderId="28" applyNumberFormat="1" applyFont="1" applyFill="1" applyBorder="1" applyAlignment="1" applyProtection="0">
      <alignment vertical="center"/>
    </xf>
    <xf numFmtId="59" fontId="24" fillId="2" borderId="5" applyNumberFormat="1" applyFont="1" applyFill="1" applyBorder="1" applyAlignment="1" applyProtection="0">
      <alignment vertical="center"/>
    </xf>
    <xf numFmtId="60" fontId="64" fillId="2" borderId="25" applyNumberFormat="1" applyFont="1" applyFill="1" applyBorder="1" applyAlignment="1" applyProtection="0">
      <alignment vertical="center"/>
    </xf>
    <xf numFmtId="60" fontId="89" fillId="2" borderId="58" applyNumberFormat="1" applyFont="1" applyFill="1" applyBorder="1" applyAlignment="1" applyProtection="0">
      <alignment vertical="center"/>
    </xf>
    <xf numFmtId="63" fontId="88" fillId="3" borderId="26" applyNumberFormat="1" applyFont="1" applyFill="1" applyBorder="1" applyAlignment="1" applyProtection="0">
      <alignment vertical="center"/>
    </xf>
    <xf numFmtId="59" fontId="88" fillId="3" borderId="34" applyNumberFormat="1" applyFont="1" applyFill="1" applyBorder="1" applyAlignment="1" applyProtection="0">
      <alignment vertical="center"/>
    </xf>
    <xf numFmtId="59" fontId="88" fillId="3" borderId="28" applyNumberFormat="1" applyFont="1" applyFill="1" applyBorder="1" applyAlignment="1" applyProtection="0">
      <alignment vertical="center"/>
    </xf>
    <xf numFmtId="49" fontId="61" fillId="2" borderId="14" applyNumberFormat="1" applyFont="1" applyFill="1" applyBorder="1" applyAlignment="1" applyProtection="0">
      <alignment horizontal="center" vertical="center"/>
    </xf>
    <xf numFmtId="10" fontId="0" fillId="2" borderId="5" applyNumberFormat="1" applyFont="1" applyFill="1" applyBorder="1" applyAlignment="1" applyProtection="0">
      <alignment vertical="center"/>
    </xf>
    <xf numFmtId="65" fontId="96" fillId="3" borderId="26" applyNumberFormat="1" applyFont="1" applyFill="1" applyBorder="1" applyAlignment="1" applyProtection="0">
      <alignment horizontal="center" vertical="center"/>
    </xf>
    <xf numFmtId="65" fontId="96" fillId="3" borderId="34" applyNumberFormat="1" applyFont="1" applyFill="1" applyBorder="1" applyAlignment="1" applyProtection="0">
      <alignment horizontal="center" vertical="center"/>
    </xf>
    <xf numFmtId="65" fontId="96" fillId="3" borderId="28" applyNumberFormat="1" applyFont="1" applyFill="1" applyBorder="1" applyAlignment="1" applyProtection="0">
      <alignment horizontal="center" vertical="center"/>
    </xf>
    <xf numFmtId="0" fontId="0" fillId="2" borderId="59" applyNumberFormat="0" applyFont="1" applyFill="1" applyBorder="1" applyAlignment="1" applyProtection="0">
      <alignment vertical="center"/>
    </xf>
    <xf numFmtId="60" fontId="93" fillId="4" borderId="18" applyNumberFormat="1" applyFont="1" applyFill="1" applyBorder="1" applyAlignment="1" applyProtection="0">
      <alignment vertical="center"/>
    </xf>
    <xf numFmtId="0" fontId="89" fillId="2" borderId="5" applyNumberFormat="1" applyFont="1" applyFill="1" applyBorder="1" applyAlignment="1" applyProtection="0">
      <alignment vertical="center"/>
    </xf>
    <xf numFmtId="60" fontId="88" fillId="3" borderId="26" applyNumberFormat="1" applyFont="1" applyFill="1" applyBorder="1" applyAlignment="1" applyProtection="0">
      <alignment horizontal="center" vertical="center"/>
    </xf>
    <xf numFmtId="60" fontId="89" fillId="2" borderId="60" applyNumberFormat="1" applyFont="1" applyFill="1" applyBorder="1" applyAlignment="1" applyProtection="0">
      <alignment vertical="center"/>
    </xf>
    <xf numFmtId="60" fontId="88" fillId="3" borderId="34" applyNumberFormat="1" applyFont="1" applyFill="1" applyBorder="1" applyAlignment="1" applyProtection="0">
      <alignment horizontal="center" vertical="center"/>
    </xf>
    <xf numFmtId="63" fontId="88" fillId="3" borderId="34" applyNumberFormat="1" applyFont="1" applyFill="1" applyBorder="1" applyAlignment="1" applyProtection="0">
      <alignment horizontal="center" vertical="center"/>
    </xf>
    <xf numFmtId="62" fontId="89" fillId="2" borderId="58" applyNumberFormat="1" applyFont="1" applyFill="1" applyBorder="1" applyAlignment="1" applyProtection="0">
      <alignment vertical="center"/>
    </xf>
    <xf numFmtId="63" fontId="88" fillId="3" borderId="28" applyNumberFormat="1" applyFont="1" applyFill="1" applyBorder="1" applyAlignment="1" applyProtection="0">
      <alignment horizontal="center" vertical="center"/>
    </xf>
    <xf numFmtId="62" fontId="89" fillId="2" borderId="39" applyNumberFormat="1" applyFont="1" applyFill="1" applyBorder="1" applyAlignment="1" applyProtection="0">
      <alignment vertical="center"/>
    </xf>
    <xf numFmtId="0" fontId="0" fillId="2" borderId="50" applyNumberFormat="0" applyFont="1" applyFill="1" applyBorder="1" applyAlignment="1" applyProtection="0">
      <alignment vertical="center"/>
    </xf>
    <xf numFmtId="0" fontId="0" fillId="2" borderId="61" applyNumberFormat="0" applyFont="1" applyFill="1" applyBorder="1" applyAlignment="1" applyProtection="0">
      <alignment vertical="center"/>
    </xf>
    <xf numFmtId="60" fontId="20" fillId="2" borderId="61" applyNumberFormat="1" applyFont="1" applyFill="1" applyBorder="1" applyAlignment="1" applyProtection="0">
      <alignment vertical="center"/>
    </xf>
    <xf numFmtId="49" fontId="97" fillId="2" borderId="35" applyNumberFormat="1" applyFont="1" applyFill="1" applyBorder="1" applyAlignment="1" applyProtection="0">
      <alignment vertical="center"/>
    </xf>
    <xf numFmtId="60" fontId="98" fillId="2" borderId="35" applyNumberFormat="1" applyFont="1" applyFill="1" applyBorder="1" applyAlignment="1" applyProtection="0">
      <alignment vertical="center"/>
    </xf>
    <xf numFmtId="49" fontId="99" fillId="5" borderId="4" applyNumberFormat="1" applyFont="1" applyFill="1" applyBorder="1" applyAlignment="1" applyProtection="0">
      <alignment vertical="center"/>
    </xf>
    <xf numFmtId="59" fontId="18" fillId="2" borderId="5" applyNumberFormat="1" applyFont="1" applyFill="1" applyBorder="1" applyAlignment="1" applyProtection="0">
      <alignment vertical="center"/>
    </xf>
    <xf numFmtId="0" fontId="15" fillId="2" borderId="5" applyNumberFormat="1" applyFont="1" applyFill="1" applyBorder="1" applyAlignment="1" applyProtection="0">
      <alignment horizontal="center" vertical="center"/>
    </xf>
    <xf numFmtId="49" fontId="15" fillId="2" borderId="14" applyNumberFormat="1" applyFont="1" applyFill="1" applyBorder="1" applyAlignment="1" applyProtection="0">
      <alignment horizontal="center" vertical="center" wrapText="1"/>
    </xf>
    <xf numFmtId="0" fontId="86" fillId="2" borderId="5" applyNumberFormat="1" applyFont="1" applyFill="1" applyBorder="1" applyAlignment="1" applyProtection="0">
      <alignment horizontal="center" vertical="center" wrapText="1"/>
    </xf>
    <xf numFmtId="0" fontId="55" fillId="2" borderId="5" applyNumberFormat="1" applyFont="1" applyFill="1" applyBorder="1" applyAlignment="1" applyProtection="0">
      <alignment horizontal="center" vertical="center"/>
    </xf>
    <xf numFmtId="49" fontId="18" fillId="2" borderId="13" applyNumberFormat="1" applyFont="1" applyFill="1" applyBorder="1" applyAlignment="1" applyProtection="0">
      <alignment horizontal="right" vertical="center" wrapText="1"/>
    </xf>
    <xf numFmtId="60" fontId="0" fillId="2" borderId="58" applyNumberFormat="1" applyFont="1" applyFill="1" applyBorder="1" applyAlignment="1" applyProtection="0">
      <alignment vertical="center"/>
    </xf>
    <xf numFmtId="64" fontId="24" fillId="3" borderId="18" applyNumberFormat="1" applyFont="1" applyFill="1" applyBorder="1" applyAlignment="1" applyProtection="0">
      <alignment horizontal="center" vertical="center"/>
    </xf>
    <xf numFmtId="0" fontId="0" fillId="2" borderId="34" applyNumberFormat="1" applyFont="1" applyFill="1" applyBorder="1" applyAlignment="1" applyProtection="0">
      <alignment horizontal="center" vertical="center"/>
    </xf>
    <xf numFmtId="60" fontId="24" fillId="3" borderId="18" applyNumberFormat="1" applyFont="1" applyFill="1" applyBorder="1" applyAlignment="1" applyProtection="0">
      <alignment horizontal="center" vertical="center"/>
    </xf>
    <xf numFmtId="0" fontId="24" fillId="2" borderId="39" applyNumberFormat="1" applyFont="1" applyFill="1" applyBorder="1" applyAlignment="1" applyProtection="0">
      <alignment horizontal="center" vertical="center"/>
    </xf>
    <xf numFmtId="60" fontId="0" fillId="2" borderId="33" applyNumberFormat="1" applyFont="1" applyFill="1" applyBorder="1" applyAlignment="1" applyProtection="0">
      <alignment vertical="center"/>
    </xf>
    <xf numFmtId="60" fontId="100" fillId="2" borderId="5" applyNumberFormat="1" applyFont="1" applyFill="1" applyBorder="1" applyAlignment="1" applyProtection="0">
      <alignment vertical="center"/>
    </xf>
    <xf numFmtId="0" fontId="0" fillId="2" borderId="5" applyNumberFormat="1" applyFont="1" applyFill="1" applyBorder="1" applyAlignment="1" applyProtection="0">
      <alignment horizontal="left" vertical="center"/>
    </xf>
    <xf numFmtId="59" fontId="15" fillId="2" borderId="5" applyNumberFormat="1" applyFont="1" applyFill="1" applyBorder="1" applyAlignment="1" applyProtection="0">
      <alignment horizontal="left" vertical="center"/>
    </xf>
    <xf numFmtId="49" fontId="0" fillId="2" borderId="5" applyNumberFormat="1" applyFont="1" applyFill="1" applyBorder="1" applyAlignment="1" applyProtection="0">
      <alignment horizontal="left" vertical="center"/>
    </xf>
    <xf numFmtId="65" fontId="0" fillId="2" borderId="5" applyNumberFormat="1" applyFont="1" applyFill="1" applyBorder="1" applyAlignment="1" applyProtection="0">
      <alignment horizontal="center" vertical="center"/>
    </xf>
    <xf numFmtId="60" fontId="0" fillId="2" borderId="14" applyNumberFormat="1" applyFont="1" applyFill="1" applyBorder="1" applyAlignment="1" applyProtection="0">
      <alignment horizontal="center" vertical="center"/>
    </xf>
    <xf numFmtId="9" fontId="0" fillId="2" borderId="39" applyNumberFormat="1" applyFont="1" applyFill="1" applyBorder="1" applyAlignment="1" applyProtection="0">
      <alignment vertical="center"/>
    </xf>
    <xf numFmtId="60" fontId="24" fillId="2" borderId="25" applyNumberFormat="1" applyFont="1" applyFill="1" applyBorder="1" applyAlignment="1" applyProtection="0">
      <alignment horizontal="center" vertical="center"/>
    </xf>
    <xf numFmtId="9" fontId="0" fillId="2" borderId="5" applyNumberFormat="1" applyFont="1" applyFill="1" applyBorder="1" applyAlignment="1" applyProtection="0">
      <alignment vertical="center"/>
    </xf>
    <xf numFmtId="65" fontId="24" fillId="3" borderId="18" applyNumberFormat="1" applyFont="1" applyFill="1" applyBorder="1" applyAlignment="1" applyProtection="0">
      <alignment horizontal="right" vertical="center"/>
    </xf>
    <xf numFmtId="59" fontId="92" fillId="2" borderId="35" applyNumberFormat="1" applyFont="1" applyFill="1" applyBorder="1" applyAlignment="1" applyProtection="0">
      <alignment vertical="center"/>
    </xf>
    <xf numFmtId="0" fontId="92" fillId="2" borderId="35" applyNumberFormat="1" applyFont="1" applyFill="1" applyBorder="1" applyAlignment="1" applyProtection="0">
      <alignment vertical="center"/>
    </xf>
    <xf numFmtId="0" fontId="0" fillId="2" borderId="62" applyNumberFormat="0" applyFont="1" applyFill="1" applyBorder="1" applyAlignment="1" applyProtection="0">
      <alignment vertical="center"/>
    </xf>
    <xf numFmtId="0" fontId="0" fillId="2" borderId="63" applyNumberFormat="0" applyFont="1" applyFill="1" applyBorder="1" applyAlignment="1" applyProtection="0">
      <alignment vertical="center"/>
    </xf>
    <xf numFmtId="49" fontId="101" fillId="7" borderId="64" applyNumberFormat="1" applyFont="1" applyFill="1" applyBorder="1" applyAlignment="1" applyProtection="0">
      <alignment vertical="center" wrapText="1"/>
    </xf>
    <xf numFmtId="60" fontId="102" fillId="7" borderId="64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103" fillId="2" borderId="1" applyNumberFormat="1" applyFont="1" applyFill="1" applyBorder="1" applyAlignment="1" applyProtection="0">
      <alignment horizontal="left" vertical="center"/>
    </xf>
    <xf numFmtId="0" fontId="103" fillId="2" borderId="2" applyNumberFormat="1" applyFont="1" applyFill="1" applyBorder="1" applyAlignment="1" applyProtection="0">
      <alignment horizontal="left" vertical="center"/>
    </xf>
    <xf numFmtId="49" fontId="24" fillId="3" borderId="2" applyNumberFormat="1" applyFont="1" applyFill="1" applyBorder="1" applyAlignment="1" applyProtection="0">
      <alignment horizontal="center" vertical="center"/>
    </xf>
    <xf numFmtId="49" fontId="104" fillId="2" borderId="4" applyNumberFormat="1" applyFont="1" applyFill="1" applyBorder="1" applyAlignment="1" applyProtection="0">
      <alignment horizontal="left" vertical="center"/>
    </xf>
    <xf numFmtId="0" fontId="104" fillId="2" borderId="5" applyNumberFormat="1" applyFont="1" applyFill="1" applyBorder="1" applyAlignment="1" applyProtection="0">
      <alignment horizontal="left" vertical="center"/>
    </xf>
    <xf numFmtId="0" fontId="0" fillId="2" borderId="65" applyNumberFormat="0" applyFont="1" applyFill="1" applyBorder="1" applyAlignment="1" applyProtection="0">
      <alignment vertical="center"/>
    </xf>
    <xf numFmtId="0" fontId="0" fillId="2" borderId="66" applyNumberFormat="0" applyFont="1" applyFill="1" applyBorder="1" applyAlignment="1" applyProtection="0">
      <alignment vertical="center"/>
    </xf>
    <xf numFmtId="49" fontId="105" fillId="2" borderId="67" applyNumberFormat="1" applyFont="1" applyFill="1" applyBorder="1" applyAlignment="1" applyProtection="0">
      <alignment horizontal="center" vertical="center"/>
    </xf>
    <xf numFmtId="0" fontId="105" fillId="2" borderId="61" applyNumberFormat="1" applyFont="1" applyFill="1" applyBorder="1" applyAlignment="1" applyProtection="0">
      <alignment horizontal="center" vertical="center"/>
    </xf>
    <xf numFmtId="0" fontId="105" fillId="2" borderId="68" applyNumberFormat="1" applyFont="1" applyFill="1" applyBorder="1" applyAlignment="1" applyProtection="0">
      <alignment horizontal="center" vertical="center"/>
    </xf>
    <xf numFmtId="0" fontId="70" fillId="2" borderId="69" applyNumberFormat="0" applyFont="1" applyFill="1" applyBorder="1" applyAlignment="1" applyProtection="0">
      <alignment horizontal="left" vertical="center"/>
    </xf>
    <xf numFmtId="0" fontId="70" fillId="2" borderId="33" applyNumberFormat="1" applyFont="1" applyFill="1" applyBorder="1" applyAlignment="1" applyProtection="0">
      <alignment horizontal="left" vertical="center"/>
    </xf>
    <xf numFmtId="0" fontId="106" fillId="2" borderId="33" applyNumberFormat="1" applyFont="1" applyFill="1" applyBorder="1" applyAlignment="1" applyProtection="0">
      <alignment horizontal="center" vertical="center"/>
    </xf>
    <xf numFmtId="0" fontId="106" fillId="2" borderId="70" applyNumberFormat="1" applyFont="1" applyFill="1" applyBorder="1" applyAlignment="1" applyProtection="0">
      <alignment horizontal="center" vertical="center"/>
    </xf>
    <xf numFmtId="0" fontId="106" fillId="2" borderId="69" applyNumberFormat="1" applyFont="1" applyFill="1" applyBorder="1" applyAlignment="1" applyProtection="0">
      <alignment horizontal="center" vertical="center"/>
    </xf>
    <xf numFmtId="0" fontId="106" fillId="2" borderId="70" applyNumberFormat="1" applyFont="1" applyFill="1" applyBorder="1" applyAlignment="1" applyProtection="0">
      <alignment horizontal="right" vertical="center"/>
    </xf>
    <xf numFmtId="0" fontId="106" fillId="2" borderId="15" applyNumberFormat="1" applyFont="1" applyFill="1" applyBorder="1" applyAlignment="1" applyProtection="0">
      <alignment horizontal="center" vertical="center"/>
    </xf>
    <xf numFmtId="0" fontId="106" fillId="2" borderId="5" applyNumberFormat="1" applyFont="1" applyFill="1" applyBorder="1" applyAlignment="1" applyProtection="0">
      <alignment horizontal="center" vertical="center"/>
    </xf>
    <xf numFmtId="0" fontId="106" fillId="2" borderId="14" applyNumberFormat="1" applyFont="1" applyFill="1" applyBorder="1" applyAlignment="1" applyProtection="0">
      <alignment horizontal="center" vertical="center"/>
    </xf>
    <xf numFmtId="0" fontId="106" fillId="2" borderId="8" applyNumberFormat="1" applyFont="1" applyFill="1" applyBorder="1" applyAlignment="1" applyProtection="0">
      <alignment horizontal="center" vertical="center"/>
    </xf>
    <xf numFmtId="0" fontId="106" fillId="2" borderId="8" applyNumberFormat="1" applyFont="1" applyFill="1" applyBorder="1" applyAlignment="1" applyProtection="0">
      <alignment horizontal="right" vertical="center"/>
    </xf>
    <xf numFmtId="49" fontId="107" fillId="2" borderId="15" applyNumberFormat="1" applyFont="1" applyFill="1" applyBorder="1" applyAlignment="1" applyProtection="0">
      <alignment horizontal="left" vertical="center"/>
    </xf>
    <xf numFmtId="0" fontId="107" fillId="2" borderId="58" applyNumberFormat="1" applyFont="1" applyFill="1" applyBorder="1" applyAlignment="1" applyProtection="0">
      <alignment horizontal="left" vertical="center"/>
    </xf>
    <xf numFmtId="67" fontId="24" fillId="3" borderId="18" applyNumberFormat="1" applyFont="1" applyFill="1" applyBorder="1" applyAlignment="1" applyProtection="0">
      <alignment vertical="center"/>
    </xf>
    <xf numFmtId="0" fontId="0" fillId="2" borderId="8" applyNumberFormat="1" applyFont="1" applyFill="1" applyBorder="1" applyAlignment="1" applyProtection="0">
      <alignment horizontal="right" vertical="center"/>
    </xf>
    <xf numFmtId="67" fontId="24" fillId="3" borderId="18" applyNumberFormat="1" applyFont="1" applyFill="1" applyBorder="1" applyAlignment="1" applyProtection="0">
      <alignment vertical="bottom"/>
    </xf>
    <xf numFmtId="0" fontId="0" fillId="2" borderId="15" applyNumberFormat="1" applyFont="1" applyFill="1" applyBorder="1" applyAlignment="1" applyProtection="0">
      <alignment horizontal="left" vertical="center"/>
    </xf>
    <xf numFmtId="49" fontId="104" fillId="2" borderId="15" applyNumberFormat="1" applyFont="1" applyFill="1" applyBorder="1" applyAlignment="1" applyProtection="0">
      <alignment horizontal="left" vertical="center"/>
    </xf>
    <xf numFmtId="60" fontId="108" fillId="2" borderId="14" applyNumberFormat="1" applyFont="1" applyFill="1" applyBorder="1" applyAlignment="1" applyProtection="0">
      <alignment vertical="center"/>
    </xf>
    <xf numFmtId="65" fontId="7" fillId="2" borderId="5" applyNumberFormat="1" applyFont="1" applyFill="1" applyBorder="1" applyAlignment="1" applyProtection="0">
      <alignment horizontal="right" vertical="center"/>
    </xf>
    <xf numFmtId="9" fontId="7" fillId="2" borderId="8" applyNumberFormat="1" applyFont="1" applyFill="1" applyBorder="1" applyAlignment="1" applyProtection="0">
      <alignment horizontal="right" vertical="center"/>
    </xf>
    <xf numFmtId="60" fontId="6" fillId="2" borderId="14" applyNumberFormat="1" applyFont="1" applyFill="1" applyBorder="1" applyAlignment="1" applyProtection="0">
      <alignment vertical="center"/>
    </xf>
    <xf numFmtId="9" fontId="7" fillId="2" borderId="5" applyNumberFormat="1" applyFont="1" applyFill="1" applyBorder="1" applyAlignment="1" applyProtection="0">
      <alignment horizontal="center" vertical="center"/>
    </xf>
    <xf numFmtId="49" fontId="15" fillId="2" borderId="15" applyNumberFormat="1" applyFont="1" applyFill="1" applyBorder="1" applyAlignment="1" applyProtection="0">
      <alignment horizontal="left" vertical="center"/>
    </xf>
    <xf numFmtId="0" fontId="109" fillId="2" borderId="58" applyNumberFormat="1" applyFont="1" applyFill="1" applyBorder="1" applyAlignment="1" applyProtection="0">
      <alignment horizontal="left" vertical="center"/>
    </xf>
    <xf numFmtId="60" fontId="0" fillId="3" borderId="18" applyNumberFormat="1" applyFont="1" applyFill="1" applyBorder="1" applyAlignment="1" applyProtection="0">
      <alignment vertical="bottom"/>
    </xf>
    <xf numFmtId="0" fontId="0" fillId="2" borderId="39" applyNumberFormat="1" applyFont="1" applyFill="1" applyBorder="1" applyAlignment="1" applyProtection="0">
      <alignment horizontal="center" vertical="center"/>
    </xf>
    <xf numFmtId="64" fontId="58" fillId="2" borderId="58" applyNumberFormat="1" applyFont="1" applyFill="1" applyBorder="1" applyAlignment="1" applyProtection="0">
      <alignment horizontal="right" vertical="center"/>
    </xf>
    <xf numFmtId="60" fontId="0" fillId="3" borderId="26" applyNumberFormat="1" applyFont="1" applyFill="1" applyBorder="1" applyAlignment="1" applyProtection="0">
      <alignment vertical="bottom"/>
    </xf>
    <xf numFmtId="0" fontId="109" fillId="2" borderId="5" applyNumberFormat="1" applyFont="1" applyFill="1" applyBorder="1" applyAlignment="1" applyProtection="0">
      <alignment horizontal="left" vertical="center"/>
    </xf>
    <xf numFmtId="60" fontId="0" fillId="3" borderId="34" applyNumberFormat="1" applyFont="1" applyFill="1" applyBorder="1" applyAlignment="1" applyProtection="0">
      <alignment vertical="bottom"/>
    </xf>
    <xf numFmtId="49" fontId="109" fillId="2" borderId="5" applyNumberFormat="1" applyFont="1" applyFill="1" applyBorder="1" applyAlignment="1" applyProtection="0">
      <alignment horizontal="left" vertical="center"/>
    </xf>
    <xf numFmtId="60" fontId="0" fillId="3" borderId="28" applyNumberFormat="1" applyFont="1" applyFill="1" applyBorder="1" applyAlignment="1" applyProtection="0">
      <alignment vertical="bottom"/>
    </xf>
    <xf numFmtId="0" fontId="110" fillId="2" borderId="5" applyNumberFormat="1" applyFont="1" applyFill="1" applyBorder="1" applyAlignment="1" applyProtection="0">
      <alignment vertical="center"/>
    </xf>
    <xf numFmtId="49" fontId="0" fillId="2" borderId="15" applyNumberFormat="1" applyFont="1" applyFill="1" applyBorder="1" applyAlignment="1" applyProtection="0">
      <alignment horizontal="left" vertical="center"/>
    </xf>
    <xf numFmtId="60" fontId="0" fillId="3" borderId="71" applyNumberFormat="1" applyFont="1" applyFill="1" applyBorder="1" applyAlignment="1" applyProtection="0">
      <alignment vertical="bottom"/>
    </xf>
    <xf numFmtId="65" fontId="109" fillId="2" borderId="39" applyNumberFormat="1" applyFont="1" applyFill="1" applyBorder="1" applyAlignment="1" applyProtection="0">
      <alignment horizontal="right" vertical="center"/>
    </xf>
    <xf numFmtId="9" fontId="56" fillId="2" borderId="8" applyNumberFormat="1" applyFont="1" applyFill="1" applyBorder="1" applyAlignment="1" applyProtection="0">
      <alignment horizontal="right" vertical="center"/>
    </xf>
    <xf numFmtId="9" fontId="111" fillId="2" borderId="39" applyNumberFormat="1" applyFont="1" applyFill="1" applyBorder="1" applyAlignment="1" applyProtection="0">
      <alignment horizontal="right" vertical="center"/>
    </xf>
    <xf numFmtId="0" fontId="109" fillId="2" borderId="8" applyNumberFormat="1" applyFont="1" applyFill="1" applyBorder="1" applyAlignment="1" applyProtection="0">
      <alignment horizontal="right" vertical="center"/>
    </xf>
    <xf numFmtId="60" fontId="0" fillId="3" borderId="72" applyNumberFormat="1" applyFont="1" applyFill="1" applyBorder="1" applyAlignment="1" applyProtection="0">
      <alignment vertical="bottom"/>
    </xf>
    <xf numFmtId="9" fontId="24" fillId="2" borderId="58" applyNumberFormat="1" applyFont="1" applyFill="1" applyBorder="1" applyAlignment="1" applyProtection="0">
      <alignment horizontal="left" vertical="center"/>
    </xf>
    <xf numFmtId="0" fontId="109" fillId="2" borderId="15" applyNumberFormat="1" applyFont="1" applyFill="1" applyBorder="1" applyAlignment="1" applyProtection="0">
      <alignment horizontal="left" vertical="center"/>
    </xf>
    <xf numFmtId="65" fontId="109" fillId="2" borderId="5" applyNumberFormat="1" applyFont="1" applyFill="1" applyBorder="1" applyAlignment="1" applyProtection="0">
      <alignment horizontal="right" vertical="center"/>
    </xf>
    <xf numFmtId="0" fontId="15" fillId="2" borderId="15" applyNumberFormat="1" applyFont="1" applyFill="1" applyBorder="1" applyAlignment="1" applyProtection="0">
      <alignment vertical="center"/>
    </xf>
    <xf numFmtId="0" fontId="109" fillId="2" borderId="5" applyNumberFormat="1" applyFont="1" applyFill="1" applyBorder="1" applyAlignment="1" applyProtection="0">
      <alignment vertical="center"/>
    </xf>
    <xf numFmtId="65" fontId="112" fillId="2" borderId="39" applyNumberFormat="1" applyFont="1" applyFill="1" applyBorder="1" applyAlignment="1" applyProtection="0">
      <alignment horizontal="right" vertical="center"/>
    </xf>
    <xf numFmtId="59" fontId="109" fillId="2" borderId="58" applyNumberFormat="1" applyFont="1" applyFill="1" applyBorder="1" applyAlignment="1" applyProtection="0">
      <alignment horizontal="left" vertical="center"/>
    </xf>
    <xf numFmtId="62" fontId="109" fillId="3" borderId="34" applyNumberFormat="1" applyFont="1" applyFill="1" applyBorder="1" applyAlignment="1" applyProtection="0">
      <alignment vertical="bottom"/>
    </xf>
    <xf numFmtId="60" fontId="113" fillId="2" borderId="15" applyNumberFormat="1" applyFont="1" applyFill="1" applyBorder="1" applyAlignment="1" applyProtection="0">
      <alignment vertical="center"/>
    </xf>
    <xf numFmtId="60" fontId="113" fillId="2" borderId="5" applyNumberFormat="1" applyFont="1" applyFill="1" applyBorder="1" applyAlignment="1" applyProtection="0">
      <alignment vertical="center"/>
    </xf>
    <xf numFmtId="49" fontId="114" fillId="2" borderId="15" applyNumberFormat="1" applyFont="1" applyFill="1" applyBorder="1" applyAlignment="1" applyProtection="0">
      <alignment horizontal="left" vertical="center"/>
    </xf>
    <xf numFmtId="0" fontId="115" fillId="2" borderId="59" applyNumberFormat="1" applyFont="1" applyFill="1" applyBorder="1" applyAlignment="1" applyProtection="0">
      <alignment horizontal="left" vertical="center"/>
    </xf>
    <xf numFmtId="60" fontId="114" fillId="3" borderId="34" applyNumberFormat="1" applyFont="1" applyFill="1" applyBorder="1" applyAlignment="1" applyProtection="0">
      <alignment vertical="bottom"/>
    </xf>
    <xf numFmtId="64" fontId="114" fillId="2" borderId="58" applyNumberFormat="1" applyFont="1" applyFill="1" applyBorder="1" applyAlignment="1" applyProtection="0">
      <alignment horizontal="left" vertical="center"/>
    </xf>
    <xf numFmtId="49" fontId="114" fillId="2" borderId="73" applyNumberFormat="1" applyFont="1" applyFill="1" applyBorder="1" applyAlignment="1" applyProtection="0">
      <alignment horizontal="left" vertical="center"/>
    </xf>
    <xf numFmtId="0" fontId="116" fillId="3" borderId="74" applyNumberFormat="1" applyFont="1" applyFill="1" applyBorder="1" applyAlignment="1" applyProtection="0">
      <alignment horizontal="left" vertical="center"/>
    </xf>
    <xf numFmtId="60" fontId="114" fillId="3" borderId="58" applyNumberFormat="1" applyFont="1" applyFill="1" applyBorder="1" applyAlignment="1" applyProtection="0">
      <alignment vertical="bottom"/>
    </xf>
    <xf numFmtId="0" fontId="109" fillId="2" borderId="75" applyNumberFormat="1" applyFont="1" applyFill="1" applyBorder="1" applyAlignment="1" applyProtection="0">
      <alignment horizontal="left" vertical="center"/>
    </xf>
    <xf numFmtId="0" fontId="109" fillId="2" borderId="76" applyNumberFormat="1" applyFont="1" applyFill="1" applyBorder="1" applyAlignment="1" applyProtection="0">
      <alignment horizontal="left" vertical="center"/>
    </xf>
    <xf numFmtId="0" fontId="109" fillId="2" borderId="13" applyNumberFormat="1" applyFont="1" applyFill="1" applyBorder="1" applyAlignment="1" applyProtection="0">
      <alignment horizontal="left" vertical="center"/>
    </xf>
    <xf numFmtId="0" fontId="109" fillId="2" borderId="13" applyNumberFormat="1" applyFont="1" applyFill="1" applyBorder="1" applyAlignment="1" applyProtection="0">
      <alignment horizontal="center" vertical="center"/>
    </xf>
    <xf numFmtId="0" fontId="109" fillId="2" borderId="77" applyNumberFormat="1" applyFont="1" applyFill="1" applyBorder="1" applyAlignment="1" applyProtection="0">
      <alignment horizontal="right" vertical="center"/>
    </xf>
    <xf numFmtId="0" fontId="109" fillId="2" borderId="76" applyNumberFormat="1" applyFont="1" applyFill="1" applyBorder="1" applyAlignment="1" applyProtection="0">
      <alignment vertical="center"/>
    </xf>
    <xf numFmtId="0" fontId="109" fillId="2" borderId="13" applyNumberFormat="1" applyFont="1" applyFill="1" applyBorder="1" applyAlignment="1" applyProtection="0">
      <alignment vertical="center"/>
    </xf>
    <xf numFmtId="0" fontId="109" fillId="2" borderId="50" applyNumberFormat="1" applyFont="1" applyFill="1" applyBorder="1" applyAlignment="1" applyProtection="0">
      <alignment vertical="center"/>
    </xf>
    <xf numFmtId="49" fontId="117" fillId="7" borderId="78" applyNumberFormat="1" applyFont="1" applyFill="1" applyBorder="1" applyAlignment="1" applyProtection="0">
      <alignment horizontal="left" vertical="center"/>
    </xf>
    <xf numFmtId="0" fontId="117" fillId="7" borderId="35" applyNumberFormat="1" applyFont="1" applyFill="1" applyBorder="1" applyAlignment="1" applyProtection="0">
      <alignment horizontal="left" vertical="center"/>
    </xf>
    <xf numFmtId="60" fontId="118" fillId="7" borderId="35" applyNumberFormat="1" applyFont="1" applyFill="1" applyBorder="1" applyAlignment="1" applyProtection="0">
      <alignment vertical="center"/>
    </xf>
    <xf numFmtId="65" fontId="119" fillId="7" borderId="35" applyNumberFormat="1" applyFont="1" applyFill="1" applyBorder="1" applyAlignment="1" applyProtection="0">
      <alignment horizontal="right" vertical="center"/>
    </xf>
    <xf numFmtId="9" fontId="119" fillId="7" borderId="79" applyNumberFormat="1" applyFont="1" applyFill="1" applyBorder="1" applyAlignment="1" applyProtection="0">
      <alignment horizontal="right" vertical="center"/>
    </xf>
    <xf numFmtId="9" fontId="119" fillId="7" borderId="35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800080"/>
      <rgbColor rgb="ffc0c0c0"/>
      <rgbColor rgb="ffaaaaaa"/>
      <rgbColor rgb="ff000090"/>
      <rgbColor rgb="ffffffff"/>
      <rgbColor rgb="ffffc000"/>
      <rgbColor rgb="ffcc99ff"/>
      <rgbColor rgb="ffff0000"/>
      <rgbColor rgb="ff0000ff"/>
      <rgbColor rgb="ff006411"/>
      <rgbColor rgb="ffbfbfbf"/>
      <rgbColor rgb="ff006600"/>
      <rgbColor rgb="ff800000"/>
      <rgbColor rgb="ff969696"/>
      <rgbColor rgb="ff333399"/>
      <rgbColor rgb="ff333333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佈景主題">
  <a:themeElements>
    <a:clrScheme name="Office 佈景主題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佈景主題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佈景主題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O79"/>
  <sheetViews>
    <sheetView workbookViewId="0" showGridLines="0" defaultGridColor="1"/>
  </sheetViews>
  <sheetFormatPr defaultColWidth="8.71429" defaultRowHeight="18" customHeight="1" outlineLevelRow="0" outlineLevelCol="0"/>
  <cols>
    <col min="1" max="1" width="3.73438" style="1" customWidth="1"/>
    <col min="2" max="2" width="41" style="1" customWidth="1"/>
    <col min="3" max="3" width="14.8672" style="1" customWidth="1"/>
    <col min="4" max="4" width="1.73438" style="1" customWidth="1"/>
    <col min="5" max="5" width="14.8672" style="1" customWidth="1"/>
    <col min="6" max="6" width="1.86719" style="1" customWidth="1"/>
    <col min="7" max="7" width="32.2891" style="1" customWidth="1"/>
    <col min="8" max="8" width="2.86719" style="1" customWidth="1"/>
    <col min="9" max="9" width="14.8672" style="1" customWidth="1"/>
    <col min="10" max="10" width="6.86719" style="1" customWidth="1"/>
    <col min="11" max="11" width="2.15625" style="1" customWidth="1"/>
    <col min="12" max="12" width="15.5781" style="1" customWidth="1"/>
    <col min="13" max="13" width="7.86719" style="1" customWidth="1"/>
    <col min="14" max="14" width="9.28906" style="1" customWidth="1"/>
    <col min="15" max="15" width="14.8672" style="1" customWidth="1"/>
    <col min="16" max="256" width="8.73438" style="1" customWidth="1"/>
  </cols>
  <sheetData>
    <row r="1" ht="41.25" customHeight="1">
      <c r="A1" t="s" s="2">
        <v>0</v>
      </c>
      <c r="B1" s="3"/>
      <c r="C1" s="4"/>
      <c r="D1" s="4"/>
      <c r="E1" s="3"/>
      <c r="F1" s="3"/>
      <c r="G1" s="5"/>
      <c r="H1" s="5"/>
      <c r="I1" s="5"/>
      <c r="J1" s="6"/>
      <c r="K1" s="7"/>
      <c r="L1" s="5"/>
      <c r="M1" s="7"/>
      <c r="N1" s="3"/>
      <c r="O1" s="8"/>
    </row>
    <row r="2" ht="24" customHeight="1">
      <c r="A2" s="9"/>
      <c r="B2" s="10"/>
      <c r="C2" t="s" s="11">
        <v>1</v>
      </c>
      <c r="D2" s="12"/>
      <c r="E2" s="10"/>
      <c r="F2" s="10"/>
      <c r="G2" s="13"/>
      <c r="H2" s="13"/>
      <c r="I2" s="13"/>
      <c r="J2" s="14"/>
      <c r="K2" s="15"/>
      <c r="L2" s="16"/>
      <c r="M2" s="15"/>
      <c r="N2" s="10"/>
      <c r="O2" s="17"/>
    </row>
    <row r="3" ht="24" customHeight="1">
      <c r="A3" s="18"/>
      <c r="B3" s="10"/>
      <c r="C3" t="s" s="19">
        <v>2</v>
      </c>
      <c r="D3" t="s" s="20">
        <v>3</v>
      </c>
      <c r="E3" s="10"/>
      <c r="F3" s="10"/>
      <c r="G3" s="21"/>
      <c r="H3" s="21"/>
      <c r="I3" s="13"/>
      <c r="J3" s="14"/>
      <c r="K3" s="15"/>
      <c r="L3" s="13"/>
      <c r="M3" s="15"/>
      <c r="N3" s="10"/>
      <c r="O3" s="17"/>
    </row>
    <row r="4" ht="8" customHeight="1">
      <c r="A4" s="18"/>
      <c r="B4" s="10"/>
      <c r="C4" s="12"/>
      <c r="D4" s="22"/>
      <c r="E4" s="23"/>
      <c r="F4" s="23"/>
      <c r="G4" s="24"/>
      <c r="H4" s="24"/>
      <c r="I4" s="25"/>
      <c r="J4" s="26"/>
      <c r="K4" s="27"/>
      <c r="L4" s="25"/>
      <c r="M4" s="27"/>
      <c r="N4" s="23"/>
      <c r="O4" s="17"/>
    </row>
    <row r="5" ht="27.95" customHeight="1">
      <c r="A5" t="s" s="28">
        <v>4</v>
      </c>
      <c r="B5" s="29"/>
      <c r="C5" s="29"/>
      <c r="D5" s="30"/>
      <c r="E5" s="31"/>
      <c r="F5" t="s" s="32">
        <v>5</v>
      </c>
      <c r="G5" s="33"/>
      <c r="H5" s="33"/>
      <c r="I5" t="s" s="34">
        <v>6</v>
      </c>
      <c r="J5" s="35"/>
      <c r="K5" s="36"/>
      <c r="L5" t="s" s="34">
        <v>7</v>
      </c>
      <c r="M5" s="37"/>
      <c r="N5" s="38"/>
      <c r="O5" s="39"/>
    </row>
    <row r="6" ht="8" customHeight="1">
      <c r="A6" s="40"/>
      <c r="B6" s="41"/>
      <c r="C6" s="42"/>
      <c r="D6" s="30"/>
      <c r="E6" s="43"/>
      <c r="F6" s="10"/>
      <c r="G6" s="21"/>
      <c r="H6" s="21"/>
      <c r="I6" s="13"/>
      <c r="J6" s="14"/>
      <c r="K6" s="15"/>
      <c r="L6" s="13"/>
      <c r="M6" s="15"/>
      <c r="N6" s="44"/>
      <c r="O6" s="39"/>
    </row>
    <row r="7" ht="20.1" customHeight="1">
      <c r="A7" s="45"/>
      <c r="B7" t="s" s="46">
        <v>8</v>
      </c>
      <c r="C7" s="47">
        <v>937</v>
      </c>
      <c r="D7" s="48"/>
      <c r="E7" s="43"/>
      <c r="F7" t="s" s="49">
        <v>9</v>
      </c>
      <c r="G7" s="50"/>
      <c r="H7" s="51"/>
      <c r="I7" s="52">
        <f>C7*C8</f>
        <v>3665544</v>
      </c>
      <c r="J7" s="14"/>
      <c r="K7" s="15"/>
      <c r="L7" s="52">
        <f>I7*12</f>
        <v>43986528</v>
      </c>
      <c r="M7" s="15"/>
      <c r="N7" s="44"/>
      <c r="O7" s="39"/>
    </row>
    <row r="8" ht="20.1" customHeight="1">
      <c r="A8" s="53"/>
      <c r="B8" t="s" s="54">
        <v>10</v>
      </c>
      <c r="C8" s="55">
        <v>3912</v>
      </c>
      <c r="D8" s="56"/>
      <c r="E8" s="57"/>
      <c r="F8" t="s" s="58">
        <v>11</v>
      </c>
      <c r="G8" s="59"/>
      <c r="H8" s="60"/>
      <c r="I8" s="61">
        <f>I7*C9</f>
        <v>2993649.7848</v>
      </c>
      <c r="J8" s="62">
        <v>1</v>
      </c>
      <c r="K8" s="63"/>
      <c r="L8" s="61">
        <f>I8*12</f>
        <v>35923797.4176</v>
      </c>
      <c r="M8" s="64"/>
      <c r="N8" s="65"/>
      <c r="O8" s="66"/>
    </row>
    <row r="9" ht="20.1" customHeight="1">
      <c r="A9" s="53"/>
      <c r="B9" t="s" s="67">
        <v>12</v>
      </c>
      <c r="C9" s="68">
        <v>0.8167</v>
      </c>
      <c r="D9" s="69"/>
      <c r="E9" s="57"/>
      <c r="F9" s="10"/>
      <c r="G9" s="10"/>
      <c r="H9" s="10"/>
      <c r="I9" s="10"/>
      <c r="J9" s="70"/>
      <c r="K9" s="64"/>
      <c r="L9" s="10"/>
      <c r="M9" s="64"/>
      <c r="N9" s="65"/>
      <c r="O9" s="39"/>
    </row>
    <row r="10" ht="20.1" customHeight="1">
      <c r="A10" s="18"/>
      <c r="B10" s="71"/>
      <c r="C10" s="72"/>
      <c r="D10" s="30"/>
      <c r="E10" s="57"/>
      <c r="F10" t="s" s="73">
        <v>13</v>
      </c>
      <c r="G10" s="74"/>
      <c r="H10" s="75"/>
      <c r="I10" s="76">
        <f>SUM(I11:I12)</f>
        <v>694916.6799999999</v>
      </c>
      <c r="J10" s="77">
        <f>I10/$I$8</f>
        <v>0.2321302523522891</v>
      </c>
      <c r="K10" s="63"/>
      <c r="L10" s="78">
        <f>I10*12</f>
        <v>8339000.159999999</v>
      </c>
      <c r="M10" s="79">
        <f>L10/$L$8</f>
        <v>0.2321302523522891</v>
      </c>
      <c r="N10" s="65"/>
      <c r="O10" s="66"/>
    </row>
    <row r="11" ht="20.1" customHeight="1">
      <c r="A11" s="53"/>
      <c r="B11" t="s" s="46">
        <v>14</v>
      </c>
      <c r="C11" s="80">
        <v>15</v>
      </c>
      <c r="D11" s="81"/>
      <c r="E11" s="57"/>
      <c r="F11" s="10"/>
      <c r="G11" t="s" s="49">
        <v>15</v>
      </c>
      <c r="H11" s="82"/>
      <c r="I11" s="83">
        <f>C18*C7</f>
        <v>683672.6799999999</v>
      </c>
      <c r="J11" s="62">
        <f>I11/$I$8</f>
        <v>0.2283743019879244</v>
      </c>
      <c r="K11" s="63"/>
      <c r="L11" s="10"/>
      <c r="M11" s="63"/>
      <c r="N11" s="65"/>
      <c r="O11" s="39"/>
    </row>
    <row r="12" ht="20.1" customHeight="1">
      <c r="A12" s="53"/>
      <c r="B12" t="s" s="84">
        <v>16</v>
      </c>
      <c r="C12" s="85">
        <v>5</v>
      </c>
      <c r="D12" s="81"/>
      <c r="E12" s="57"/>
      <c r="F12" s="10"/>
      <c r="G12" t="s" s="49">
        <v>17</v>
      </c>
      <c r="H12" s="82"/>
      <c r="I12" s="83">
        <f>C36*C7</f>
        <v>11244</v>
      </c>
      <c r="J12" s="62">
        <f>I12/$I$8</f>
        <v>0.003755950364364745</v>
      </c>
      <c r="K12" s="63"/>
      <c r="L12" s="10"/>
      <c r="M12" s="63"/>
      <c r="N12" s="65"/>
      <c r="O12" s="39"/>
    </row>
    <row r="13" ht="20.1" customHeight="1">
      <c r="A13" s="53"/>
      <c r="B13" t="s" s="86">
        <v>18</v>
      </c>
      <c r="C13" s="87">
        <v>12.5</v>
      </c>
      <c r="D13" s="88"/>
      <c r="E13" s="57"/>
      <c r="F13" s="10"/>
      <c r="G13" s="10"/>
      <c r="H13" s="10"/>
      <c r="I13" s="10"/>
      <c r="J13" s="70"/>
      <c r="K13" s="64"/>
      <c r="L13" s="10"/>
      <c r="M13" s="64"/>
      <c r="N13" s="65"/>
      <c r="O13" s="39"/>
    </row>
    <row r="14" ht="20.1" customHeight="1">
      <c r="A14" s="53"/>
      <c r="B14" t="s" s="89">
        <v>19</v>
      </c>
      <c r="C14" s="90">
        <f>C11*C12*C13</f>
        <v>937.5</v>
      </c>
      <c r="D14" s="91"/>
      <c r="E14" s="57"/>
      <c r="F14" t="s" s="73">
        <v>20</v>
      </c>
      <c r="G14" s="92"/>
      <c r="H14" s="92"/>
      <c r="I14" s="93">
        <f>SUM(I15:I17,I20:I22)</f>
        <v>1917840.865515321</v>
      </c>
      <c r="J14" s="77">
        <f>I14/$I$8</f>
        <v>0.6406363480634886</v>
      </c>
      <c r="K14" s="63"/>
      <c r="L14" s="93">
        <f>I14*12</f>
        <v>23014090.38618385</v>
      </c>
      <c r="M14" s="79">
        <f>L14/$L$8</f>
        <v>0.6406363480634887</v>
      </c>
      <c r="N14" s="65"/>
      <c r="O14" s="66"/>
    </row>
    <row r="15" ht="20.1" customHeight="1">
      <c r="A15" s="53"/>
      <c r="B15" t="s" s="94">
        <v>21</v>
      </c>
      <c r="C15" s="95">
        <f>C7/C14</f>
        <v>0.9994666666666666</v>
      </c>
      <c r="D15" s="96"/>
      <c r="E15" s="57"/>
      <c r="F15" s="10"/>
      <c r="G15" t="s" s="49">
        <v>22</v>
      </c>
      <c r="H15" s="82"/>
      <c r="I15" s="97">
        <f>C44</f>
        <v>50000</v>
      </c>
      <c r="J15" s="62">
        <f>I15/$I$8</f>
        <v>0.01670202047476319</v>
      </c>
      <c r="K15" s="63"/>
      <c r="L15" s="10"/>
      <c r="M15" s="64"/>
      <c r="N15" s="65"/>
      <c r="O15" s="98"/>
    </row>
    <row r="16" ht="18" customHeight="1">
      <c r="A16" s="18"/>
      <c r="B16" s="99"/>
      <c r="C16" s="99"/>
      <c r="D16" s="30"/>
      <c r="E16" s="57"/>
      <c r="F16" s="10"/>
      <c r="G16" t="s" s="49">
        <v>23</v>
      </c>
      <c r="H16" s="82"/>
      <c r="I16" s="97">
        <f>C46</f>
        <v>0</v>
      </c>
      <c r="J16" s="62">
        <f>I16/$I$8</f>
        <v>0</v>
      </c>
      <c r="K16" s="63"/>
      <c r="L16" s="10"/>
      <c r="M16" s="64"/>
      <c r="N16" s="65"/>
      <c r="O16" s="39"/>
    </row>
    <row r="17" ht="27.95" customHeight="1">
      <c r="A17" t="s" s="28">
        <v>13</v>
      </c>
      <c r="B17" s="100"/>
      <c r="C17" s="101"/>
      <c r="D17" s="102"/>
      <c r="E17" s="103"/>
      <c r="F17" s="10"/>
      <c r="G17" t="s" s="49">
        <v>24</v>
      </c>
      <c r="H17" s="104"/>
      <c r="I17" s="97">
        <f>SUM(I18:I19)</f>
        <v>1171252.78551532</v>
      </c>
      <c r="J17" s="62">
        <f>I17/$I$8</f>
        <v>0.3912457600960059</v>
      </c>
      <c r="K17" s="63"/>
      <c r="L17" s="104"/>
      <c r="M17" s="64"/>
      <c r="N17" s="105"/>
      <c r="O17" s="106"/>
    </row>
    <row r="18" ht="24.75" customHeight="1">
      <c r="A18" s="18"/>
      <c r="B18" t="s" s="107">
        <v>25</v>
      </c>
      <c r="C18" s="108">
        <f>SUM(C19,C30)</f>
        <v>729.64</v>
      </c>
      <c r="D18" s="109"/>
      <c r="E18" s="110"/>
      <c r="F18" s="104"/>
      <c r="G18" t="s" s="111">
        <v>26</v>
      </c>
      <c r="H18" s="112"/>
      <c r="I18" s="113">
        <f>L58</f>
        <v>937002.7855153204</v>
      </c>
      <c r="J18" s="62">
        <f>I18/$I$8</f>
        <v>0.3129967941717404</v>
      </c>
      <c r="K18" s="63"/>
      <c r="L18" s="114"/>
      <c r="M18" s="115"/>
      <c r="N18" s="116"/>
      <c r="O18" s="106"/>
    </row>
    <row r="19" ht="24" customHeight="1">
      <c r="A19" s="53"/>
      <c r="B19" t="s" s="117">
        <v>27</v>
      </c>
      <c r="C19" s="118">
        <f>SUM(C20:C29)</f>
        <v>533.64</v>
      </c>
      <c r="D19" s="119"/>
      <c r="E19" s="120"/>
      <c r="F19" s="104"/>
      <c r="G19" t="s" s="111">
        <v>28</v>
      </c>
      <c r="H19" s="112"/>
      <c r="I19" s="113">
        <f>L64</f>
        <v>234250</v>
      </c>
      <c r="J19" s="62">
        <f>I19/$I$8</f>
        <v>0.07824896592426552</v>
      </c>
      <c r="K19" s="63"/>
      <c r="L19" s="121"/>
      <c r="M19" s="122"/>
      <c r="N19" s="123"/>
      <c r="O19" s="106"/>
    </row>
    <row r="20" ht="18" customHeight="1">
      <c r="A20" s="53"/>
      <c r="B20" t="s" s="124">
        <v>29</v>
      </c>
      <c r="C20" s="125"/>
      <c r="D20" s="126"/>
      <c r="E20" s="57"/>
      <c r="F20" s="10"/>
      <c r="G20" t="s" s="49">
        <v>30</v>
      </c>
      <c r="H20" s="52"/>
      <c r="I20" s="97">
        <f>C70</f>
        <v>440000</v>
      </c>
      <c r="J20" s="62">
        <f>I20/$I$8</f>
        <v>0.146977780177916</v>
      </c>
      <c r="K20" s="63"/>
      <c r="L20" s="10"/>
      <c r="M20" s="10"/>
      <c r="N20" s="65"/>
      <c r="O20" s="106"/>
    </row>
    <row r="21" ht="18" customHeight="1">
      <c r="A21" s="53"/>
      <c r="B21" t="s" s="124">
        <v>31</v>
      </c>
      <c r="C21" s="125">
        <v>256</v>
      </c>
      <c r="D21" s="126"/>
      <c r="E21" s="57"/>
      <c r="F21" s="10"/>
      <c r="G21" t="s" s="49">
        <v>32</v>
      </c>
      <c r="H21" s="121"/>
      <c r="I21" s="97">
        <f>IF(C74=0,E74*I7,C74)</f>
        <v>183277.2</v>
      </c>
      <c r="J21" s="62">
        <f>I21/$I$8</f>
        <v>0.06122199093914534</v>
      </c>
      <c r="K21" s="63"/>
      <c r="L21" s="10"/>
      <c r="M21" s="10"/>
      <c r="N21" s="65"/>
      <c r="O21" s="106"/>
    </row>
    <row r="22" ht="18" customHeight="1">
      <c r="A22" s="53"/>
      <c r="B22" t="s" s="124">
        <v>33</v>
      </c>
      <c r="C22" s="125">
        <v>78</v>
      </c>
      <c r="D22" s="126"/>
      <c r="E22" s="57"/>
      <c r="F22" s="10"/>
      <c r="G22" t="s" s="49">
        <v>34</v>
      </c>
      <c r="H22" s="10"/>
      <c r="I22" s="97">
        <f>IF(C78=0,E78*I7,C78)</f>
        <v>73310.88</v>
      </c>
      <c r="J22" s="62">
        <f>I22/$I$8</f>
        <v>0.02448879637565814</v>
      </c>
      <c r="K22" s="63"/>
      <c r="L22" s="10"/>
      <c r="M22" s="10"/>
      <c r="N22" s="65"/>
      <c r="O22" s="106"/>
    </row>
    <row r="23" ht="21" customHeight="1">
      <c r="A23" s="53"/>
      <c r="B23" t="s" s="124">
        <v>35</v>
      </c>
      <c r="C23" s="125">
        <f>10*2</f>
        <v>20</v>
      </c>
      <c r="D23" s="126"/>
      <c r="E23" s="57"/>
      <c r="F23" s="41"/>
      <c r="G23" s="41"/>
      <c r="H23" s="41"/>
      <c r="I23" s="41"/>
      <c r="J23" s="127"/>
      <c r="K23" s="64"/>
      <c r="L23" s="41"/>
      <c r="M23" s="41"/>
      <c r="N23" s="65"/>
      <c r="O23" s="39"/>
    </row>
    <row r="24" ht="18.75" customHeight="1">
      <c r="A24" s="53"/>
      <c r="B24" t="s" s="124">
        <v>36</v>
      </c>
      <c r="C24" s="125">
        <f>173/10*3.8</f>
        <v>65.73999999999999</v>
      </c>
      <c r="D24" s="126"/>
      <c r="E24" s="57"/>
      <c r="F24" t="s" s="128">
        <v>37</v>
      </c>
      <c r="G24" s="129"/>
      <c r="H24" s="129"/>
      <c r="I24" s="130">
        <f>I8-I10-I14</f>
        <v>380892.2392846793</v>
      </c>
      <c r="J24" s="131">
        <f>I24/$I$8</f>
        <v>0.1272333995842222</v>
      </c>
      <c r="K24" s="132"/>
      <c r="L24" s="130">
        <f>L8-L10-L14</f>
        <v>4570706.871416152</v>
      </c>
      <c r="M24" s="133">
        <f>L24/$L$8</f>
        <v>0.1272333995842223</v>
      </c>
      <c r="N24" s="65"/>
      <c r="O24" s="39"/>
    </row>
    <row r="25" ht="18" customHeight="1">
      <c r="A25" s="53"/>
      <c r="B25" t="s" s="124">
        <v>38</v>
      </c>
      <c r="C25" s="125">
        <f>0.4*32.5*3.8</f>
        <v>49.4</v>
      </c>
      <c r="D25" s="126"/>
      <c r="E25" s="57"/>
      <c r="F25" s="134"/>
      <c r="G25" s="134"/>
      <c r="H25" s="134"/>
      <c r="I25" s="134"/>
      <c r="J25" s="135"/>
      <c r="K25" s="64"/>
      <c r="L25" s="134"/>
      <c r="M25" s="134"/>
      <c r="N25" s="65"/>
      <c r="O25" s="39"/>
    </row>
    <row r="26" ht="18" customHeight="1">
      <c r="A26" s="53"/>
      <c r="B26" t="s" s="124">
        <v>39</v>
      </c>
      <c r="C26" s="125">
        <v>9.5</v>
      </c>
      <c r="D26" s="126"/>
      <c r="E26" s="57"/>
      <c r="F26" t="s" s="49">
        <v>40</v>
      </c>
      <c r="G26" s="136"/>
      <c r="H26" s="136"/>
      <c r="I26" s="137">
        <f>I24/C7</f>
        <v>406.501856226979</v>
      </c>
      <c r="J26" s="70"/>
      <c r="K26" s="64"/>
      <c r="L26" s="138"/>
      <c r="M26" s="10"/>
      <c r="N26" s="65"/>
      <c r="O26" s="39"/>
    </row>
    <row r="27" ht="18" customHeight="1">
      <c r="A27" s="53"/>
      <c r="B27" t="s" s="124">
        <v>41</v>
      </c>
      <c r="C27" s="125"/>
      <c r="D27" s="126"/>
      <c r="E27" s="57"/>
      <c r="F27" t="s" s="139">
        <v>42</v>
      </c>
      <c r="G27" s="140"/>
      <c r="H27" s="140"/>
      <c r="I27" s="141">
        <f>I26*C13</f>
        <v>5081.273202837237</v>
      </c>
      <c r="J27" s="70"/>
      <c r="K27" s="64"/>
      <c r="L27" s="97"/>
      <c r="M27" s="10"/>
      <c r="N27" s="65"/>
      <c r="O27" s="39"/>
    </row>
    <row r="28" ht="18" customHeight="1">
      <c r="A28" s="53"/>
      <c r="B28" t="s" s="124">
        <v>43</v>
      </c>
      <c r="C28" s="125">
        <v>20</v>
      </c>
      <c r="D28" s="126"/>
      <c r="E28" s="142"/>
      <c r="F28" s="143"/>
      <c r="G28" s="144"/>
      <c r="H28" s="144"/>
      <c r="I28" s="144"/>
      <c r="J28" s="145"/>
      <c r="K28" s="146"/>
      <c r="L28" s="144"/>
      <c r="M28" s="146"/>
      <c r="N28" s="147"/>
      <c r="O28" s="39"/>
    </row>
    <row r="29" ht="18" customHeight="1">
      <c r="A29" s="53"/>
      <c r="B29" t="s" s="148">
        <v>44</v>
      </c>
      <c r="C29" s="149">
        <v>35</v>
      </c>
      <c r="D29" s="150"/>
      <c r="E29" s="134"/>
      <c r="F29" s="134"/>
      <c r="G29" s="134"/>
      <c r="H29" s="134"/>
      <c r="I29" s="134"/>
      <c r="J29" s="135"/>
      <c r="K29" s="151"/>
      <c r="L29" s="134"/>
      <c r="M29" s="134"/>
      <c r="N29" s="134"/>
      <c r="O29" s="17"/>
    </row>
    <row r="30" ht="24" customHeight="1">
      <c r="A30" s="53"/>
      <c r="B30" t="s" s="117">
        <v>45</v>
      </c>
      <c r="C30" s="152">
        <f>SUM(C31:C34)</f>
        <v>196</v>
      </c>
      <c r="D30" s="153"/>
      <c r="E30" s="10"/>
      <c r="F30" s="10"/>
      <c r="G30" s="121"/>
      <c r="H30" s="121"/>
      <c r="I30" s="154"/>
      <c r="J30" s="155"/>
      <c r="K30" s="122"/>
      <c r="L30" s="121"/>
      <c r="M30" s="122"/>
      <c r="N30" s="10"/>
      <c r="O30" s="17"/>
    </row>
    <row r="31" ht="18" customHeight="1">
      <c r="A31" s="53"/>
      <c r="B31" t="s" s="124">
        <v>46</v>
      </c>
      <c r="C31" s="156">
        <v>100</v>
      </c>
      <c r="D31" s="157"/>
      <c r="E31" s="10"/>
      <c r="F31" s="10"/>
      <c r="G31" s="10"/>
      <c r="H31" s="10"/>
      <c r="I31" s="10"/>
      <c r="J31" s="70"/>
      <c r="K31" s="64"/>
      <c r="L31" s="10"/>
      <c r="M31" s="10"/>
      <c r="N31" s="10"/>
      <c r="O31" s="17"/>
    </row>
    <row r="32" ht="18" customHeight="1">
      <c r="A32" s="53"/>
      <c r="B32" t="s" s="124">
        <v>47</v>
      </c>
      <c r="C32" s="156"/>
      <c r="D32" s="157"/>
      <c r="E32" s="10"/>
      <c r="F32" s="10"/>
      <c r="G32" s="10"/>
      <c r="H32" s="10"/>
      <c r="I32" s="10"/>
      <c r="J32" s="70"/>
      <c r="K32" s="64"/>
      <c r="L32" s="10"/>
      <c r="M32" s="10"/>
      <c r="N32" s="10"/>
      <c r="O32" s="17"/>
    </row>
    <row r="33" ht="18" customHeight="1">
      <c r="A33" s="53"/>
      <c r="B33" t="s" s="124">
        <v>48</v>
      </c>
      <c r="C33" s="156"/>
      <c r="D33" s="157"/>
      <c r="E33" s="10"/>
      <c r="F33" s="10"/>
      <c r="G33" s="158"/>
      <c r="H33" s="10"/>
      <c r="I33" s="10"/>
      <c r="J33" s="70"/>
      <c r="K33" s="64"/>
      <c r="L33" s="10"/>
      <c r="M33" s="10"/>
      <c r="N33" s="10"/>
      <c r="O33" s="17"/>
    </row>
    <row r="34" ht="18" customHeight="1">
      <c r="A34" s="53"/>
      <c r="B34" t="s" s="148">
        <v>49</v>
      </c>
      <c r="C34" s="159">
        <v>96</v>
      </c>
      <c r="D34" s="157"/>
      <c r="E34" s="10"/>
      <c r="F34" s="10"/>
      <c r="G34" s="158"/>
      <c r="H34" s="10"/>
      <c r="I34" s="10"/>
      <c r="J34" s="70"/>
      <c r="K34" s="64"/>
      <c r="L34" s="10"/>
      <c r="M34" s="10"/>
      <c r="N34" s="10"/>
      <c r="O34" s="17"/>
    </row>
    <row r="35" ht="14.25" customHeight="1">
      <c r="A35" s="18"/>
      <c r="B35" s="160"/>
      <c r="C35" s="161"/>
      <c r="D35" s="162"/>
      <c r="E35" s="10"/>
      <c r="F35" s="10"/>
      <c r="G35" s="10"/>
      <c r="H35" s="10"/>
      <c r="I35" s="10"/>
      <c r="J35" s="70"/>
      <c r="K35" s="64"/>
      <c r="L35" s="10"/>
      <c r="M35" s="10"/>
      <c r="N35" s="10"/>
      <c r="O35" s="17"/>
    </row>
    <row r="36" ht="21" customHeight="1">
      <c r="A36" s="18"/>
      <c r="B36" t="s" s="163">
        <v>50</v>
      </c>
      <c r="C36" s="164">
        <f>SUM(C37:C40)</f>
        <v>12</v>
      </c>
      <c r="D36" s="165"/>
      <c r="E36" s="166"/>
      <c r="F36" s="166"/>
      <c r="G36" s="167"/>
      <c r="H36" s="167"/>
      <c r="I36" s="10"/>
      <c r="J36" s="70"/>
      <c r="K36" s="64"/>
      <c r="L36" s="10"/>
      <c r="M36" s="10"/>
      <c r="N36" s="10"/>
      <c r="O36" s="17"/>
    </row>
    <row r="37" ht="20.25" customHeight="1">
      <c r="A37" s="53"/>
      <c r="B37" t="s" s="168">
        <v>51</v>
      </c>
      <c r="C37" s="169"/>
      <c r="D37" s="157"/>
      <c r="E37" s="10"/>
      <c r="F37" s="10"/>
      <c r="G37" s="104"/>
      <c r="H37" s="104"/>
      <c r="I37" s="104"/>
      <c r="J37" s="70"/>
      <c r="K37" s="64"/>
      <c r="L37" s="104"/>
      <c r="M37" s="64"/>
      <c r="N37" s="10"/>
      <c r="O37" s="17"/>
    </row>
    <row r="38" ht="18" customHeight="1">
      <c r="A38" s="53"/>
      <c r="B38" t="s" s="124">
        <v>52</v>
      </c>
      <c r="C38" s="170">
        <v>12</v>
      </c>
      <c r="D38" s="171"/>
      <c r="E38" s="10"/>
      <c r="F38" s="10"/>
      <c r="G38" s="104"/>
      <c r="H38" s="104"/>
      <c r="I38" s="104"/>
      <c r="J38" s="70"/>
      <c r="K38" s="64"/>
      <c r="L38" s="104"/>
      <c r="M38" s="64"/>
      <c r="N38" s="10"/>
      <c r="O38" s="17"/>
    </row>
    <row r="39" ht="15.75" customHeight="1">
      <c r="A39" s="53"/>
      <c r="B39" t="s" s="124">
        <v>53</v>
      </c>
      <c r="C39" s="172"/>
      <c r="D39" s="171"/>
      <c r="E39" s="10"/>
      <c r="F39" s="10"/>
      <c r="G39" s="104"/>
      <c r="H39" s="104"/>
      <c r="I39" s="104"/>
      <c r="J39" s="70"/>
      <c r="K39" s="64"/>
      <c r="L39" s="104"/>
      <c r="M39" s="64"/>
      <c r="N39" s="10"/>
      <c r="O39" s="17"/>
    </row>
    <row r="40" ht="15.75" customHeight="1">
      <c r="A40" s="53"/>
      <c r="B40" t="s" s="148">
        <v>54</v>
      </c>
      <c r="C40" s="173"/>
      <c r="D40" s="171"/>
      <c r="E40" s="10"/>
      <c r="F40" s="10"/>
      <c r="G40" s="104"/>
      <c r="H40" s="104"/>
      <c r="I40" s="104"/>
      <c r="J40" s="70"/>
      <c r="K40" s="64"/>
      <c r="L40" s="104"/>
      <c r="M40" s="64"/>
      <c r="N40" s="10"/>
      <c r="O40" s="17"/>
    </row>
    <row r="41" ht="12.75" customHeight="1">
      <c r="A41" s="18"/>
      <c r="B41" s="99"/>
      <c r="C41" s="174"/>
      <c r="D41" s="10"/>
      <c r="E41" s="10"/>
      <c r="F41" s="10"/>
      <c r="G41" s="10"/>
      <c r="H41" s="10"/>
      <c r="I41" s="10"/>
      <c r="J41" s="70"/>
      <c r="K41" s="64"/>
      <c r="L41" s="10"/>
      <c r="M41" s="10"/>
      <c r="N41" s="10"/>
      <c r="O41" s="17"/>
    </row>
    <row r="42" ht="27.95" customHeight="1">
      <c r="A42" t="s" s="175">
        <v>20</v>
      </c>
      <c r="B42" s="176"/>
      <c r="C42" s="176"/>
      <c r="D42" s="10"/>
      <c r="E42" s="10"/>
      <c r="F42" s="10"/>
      <c r="G42" s="10"/>
      <c r="H42" s="10"/>
      <c r="I42" s="10"/>
      <c r="J42" s="70"/>
      <c r="K42" s="64"/>
      <c r="L42" s="10"/>
      <c r="M42" s="10"/>
      <c r="N42" s="10"/>
      <c r="O42" s="17"/>
    </row>
    <row r="43" ht="21.75" customHeight="1">
      <c r="A43" s="18"/>
      <c r="B43" t="s" s="107">
        <v>55</v>
      </c>
      <c r="C43" s="42"/>
      <c r="D43" s="10"/>
      <c r="E43" s="10"/>
      <c r="F43" s="10"/>
      <c r="G43" s="10"/>
      <c r="H43" s="10"/>
      <c r="I43" s="10"/>
      <c r="J43" s="70"/>
      <c r="K43" s="64"/>
      <c r="L43" s="10"/>
      <c r="M43" s="10"/>
      <c r="N43" s="10"/>
      <c r="O43" s="17"/>
    </row>
    <row r="44" ht="24" customHeight="1">
      <c r="A44" s="53"/>
      <c r="B44" t="s" s="177">
        <v>56</v>
      </c>
      <c r="C44" s="178">
        <f>200000*C11/60</f>
        <v>50000</v>
      </c>
      <c r="D44" s="157"/>
      <c r="E44" s="179"/>
      <c r="F44" s="10"/>
      <c r="G44" s="10"/>
      <c r="H44" s="10"/>
      <c r="I44" s="10"/>
      <c r="J44" s="70"/>
      <c r="K44" s="64"/>
      <c r="L44" s="10"/>
      <c r="M44" s="10"/>
      <c r="N44" s="10"/>
      <c r="O44" s="17"/>
    </row>
    <row r="45" ht="24" customHeight="1">
      <c r="A45" s="53"/>
      <c r="B45" t="s" s="180">
        <v>57</v>
      </c>
      <c r="C45" s="181">
        <f>C44*12</f>
        <v>600000</v>
      </c>
      <c r="D45" s="182"/>
      <c r="E45" s="179"/>
      <c r="F45" s="10"/>
      <c r="G45" s="10"/>
      <c r="H45" s="10"/>
      <c r="I45" s="10"/>
      <c r="J45" s="70"/>
      <c r="K45" s="64"/>
      <c r="L45" s="10"/>
      <c r="M45" s="10"/>
      <c r="N45" s="10"/>
      <c r="O45" s="17"/>
    </row>
    <row r="46" ht="24" customHeight="1">
      <c r="A46" s="53"/>
      <c r="B46" t="s" s="183">
        <v>58</v>
      </c>
      <c r="C46" s="178"/>
      <c r="D46" s="157"/>
      <c r="E46" s="63"/>
      <c r="F46" s="63"/>
      <c r="G46" s="167"/>
      <c r="H46" s="167"/>
      <c r="I46" s="10"/>
      <c r="J46" s="70"/>
      <c r="K46" s="64"/>
      <c r="L46" s="10"/>
      <c r="M46" s="10"/>
      <c r="N46" s="10"/>
      <c r="O46" s="17"/>
    </row>
    <row r="47" ht="24" customHeight="1">
      <c r="A47" s="53"/>
      <c r="B47" t="s" s="184">
        <v>59</v>
      </c>
      <c r="C47" s="185">
        <f>C46*12</f>
        <v>0</v>
      </c>
      <c r="D47" s="182"/>
      <c r="E47" s="63"/>
      <c r="F47" s="63"/>
      <c r="G47" s="167"/>
      <c r="H47" s="167"/>
      <c r="I47" s="10"/>
      <c r="J47" s="70"/>
      <c r="K47" s="64"/>
      <c r="L47" s="10"/>
      <c r="M47" s="10"/>
      <c r="N47" s="10"/>
      <c r="O47" s="17"/>
    </row>
    <row r="48" ht="10.5" customHeight="1">
      <c r="A48" s="18"/>
      <c r="B48" s="99"/>
      <c r="C48" s="9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7"/>
    </row>
    <row r="49" ht="23.25" customHeight="1">
      <c r="A49" s="18"/>
      <c r="B49" t="s" s="107">
        <v>60</v>
      </c>
      <c r="C49" s="186"/>
      <c r="D49" s="186"/>
      <c r="E49" s="41"/>
      <c r="F49" s="41"/>
      <c r="G49" s="41"/>
      <c r="H49" s="41"/>
      <c r="I49" s="41"/>
      <c r="J49" s="127"/>
      <c r="K49" s="187"/>
      <c r="L49" s="41"/>
      <c r="M49" s="10"/>
      <c r="N49" s="10"/>
      <c r="O49" s="17"/>
    </row>
    <row r="50" ht="18" customHeight="1">
      <c r="A50" s="53"/>
      <c r="B50" t="s" s="188">
        <v>61</v>
      </c>
      <c r="C50" t="s" s="189">
        <v>62</v>
      </c>
      <c r="D50" s="190"/>
      <c r="E50" t="s" s="191">
        <v>63</v>
      </c>
      <c r="F50" s="192"/>
      <c r="G50" t="s" s="193">
        <v>64</v>
      </c>
      <c r="H50" s="194"/>
      <c r="I50" t="s" s="193">
        <v>65</v>
      </c>
      <c r="J50" s="195"/>
      <c r="K50" s="192"/>
      <c r="L50" t="s" s="196">
        <v>66</v>
      </c>
      <c r="M50" s="197"/>
      <c r="N50" s="10"/>
      <c r="O50" s="17"/>
    </row>
    <row r="51" ht="20.1" customHeight="1">
      <c r="A51" s="53"/>
      <c r="B51" t="s" s="198">
        <v>67</v>
      </c>
      <c r="C51" s="199">
        <f>ROUND(C11/15,0)</f>
        <v>1</v>
      </c>
      <c r="D51" s="200"/>
      <c r="E51" s="199">
        <f>ROUNDDOWN(C7/100,0)</f>
        <v>9</v>
      </c>
      <c r="F51" s="200"/>
      <c r="G51" s="199">
        <v>1</v>
      </c>
      <c r="H51" s="200"/>
      <c r="I51" s="199">
        <v>1</v>
      </c>
      <c r="J51" s="201"/>
      <c r="K51" s="202"/>
      <c r="L51" s="203"/>
      <c r="M51" s="197"/>
      <c r="N51" s="10"/>
      <c r="O51" s="17"/>
    </row>
    <row r="52" ht="20.1" customHeight="1">
      <c r="A52" s="53"/>
      <c r="B52" t="s" s="198">
        <v>68</v>
      </c>
      <c r="C52" s="204">
        <v>250000</v>
      </c>
      <c r="D52" s="200"/>
      <c r="E52" s="204">
        <v>50000</v>
      </c>
      <c r="F52" s="200"/>
      <c r="G52" s="204">
        <v>40000</v>
      </c>
      <c r="H52" s="200"/>
      <c r="I52" s="204">
        <v>30000</v>
      </c>
      <c r="J52" s="201"/>
      <c r="K52" s="202"/>
      <c r="L52" s="203"/>
      <c r="M52" s="197"/>
      <c r="N52" s="10"/>
      <c r="O52" s="17"/>
    </row>
    <row r="53" ht="20.1" customHeight="1">
      <c r="A53" s="53"/>
      <c r="B53" t="s" s="198">
        <v>69</v>
      </c>
      <c r="C53" s="205">
        <v>12</v>
      </c>
      <c r="D53" s="200"/>
      <c r="E53" s="205">
        <v>13</v>
      </c>
      <c r="F53" s="200"/>
      <c r="G53" s="205">
        <v>13</v>
      </c>
      <c r="H53" s="200"/>
      <c r="I53" s="205">
        <v>13</v>
      </c>
      <c r="J53" s="201"/>
      <c r="K53" s="202"/>
      <c r="L53" s="203"/>
      <c r="M53" s="197"/>
      <c r="N53" s="10"/>
      <c r="O53" s="17"/>
    </row>
    <row r="54" ht="20.1" customHeight="1">
      <c r="A54" s="53"/>
      <c r="B54" t="s" s="206">
        <v>70</v>
      </c>
      <c r="C54" s="207">
        <f>C53*C52</f>
        <v>3000000</v>
      </c>
      <c r="D54" s="208"/>
      <c r="E54" s="207">
        <f>E53*E52</f>
        <v>650000</v>
      </c>
      <c r="F54" s="208"/>
      <c r="G54" s="207">
        <f>G53*G52</f>
        <v>520000</v>
      </c>
      <c r="H54" s="208"/>
      <c r="I54" s="207">
        <f>I53*I52</f>
        <v>390000</v>
      </c>
      <c r="J54" s="209"/>
      <c r="K54" s="202"/>
      <c r="L54" s="203"/>
      <c r="M54" s="197"/>
      <c r="N54" s="10"/>
      <c r="O54" s="17"/>
    </row>
    <row r="55" ht="20.1" customHeight="1">
      <c r="A55" s="53"/>
      <c r="B55" t="s" s="210">
        <v>71</v>
      </c>
      <c r="C55" s="211">
        <v>15</v>
      </c>
      <c r="D55" s="212"/>
      <c r="E55" s="211">
        <v>4</v>
      </c>
      <c r="F55" s="213"/>
      <c r="G55" s="214"/>
      <c r="H55" s="213"/>
      <c r="I55" s="214"/>
      <c r="J55" s="215"/>
      <c r="K55" s="216"/>
      <c r="L55" s="203"/>
      <c r="M55" s="197"/>
      <c r="N55" s="10"/>
      <c r="O55" s="17"/>
    </row>
    <row r="56" ht="20.1" customHeight="1">
      <c r="A56" s="53"/>
      <c r="B56" t="s" s="217">
        <v>72</v>
      </c>
      <c r="C56" s="218">
        <v>0.2</v>
      </c>
      <c r="D56" s="219"/>
      <c r="E56" s="218">
        <v>0.2</v>
      </c>
      <c r="F56" s="219"/>
      <c r="G56" s="218">
        <v>0.2</v>
      </c>
      <c r="H56" s="219"/>
      <c r="I56" s="218">
        <v>0.2</v>
      </c>
      <c r="J56" s="220"/>
      <c r="K56" s="221"/>
      <c r="L56" s="203"/>
      <c r="M56" s="197"/>
      <c r="N56" s="10"/>
      <c r="O56" s="17"/>
    </row>
    <row r="57" ht="20.1" customHeight="1">
      <c r="A57" s="53"/>
      <c r="B57" t="s" s="217">
        <v>73</v>
      </c>
      <c r="C57" s="222">
        <f>(C54*C51)*(1+C56)</f>
        <v>3600000</v>
      </c>
      <c r="D57" s="223"/>
      <c r="E57" s="222">
        <f>(E54*E51)*(1+E56)</f>
        <v>7020000</v>
      </c>
      <c r="F57" s="223"/>
      <c r="G57" s="222">
        <f>(G54*G51)*(1+G56)</f>
        <v>624000</v>
      </c>
      <c r="H57" s="223"/>
      <c r="I57" s="222">
        <f>(I54*I51)*(1+I56)</f>
        <v>468000</v>
      </c>
      <c r="J57" s="220"/>
      <c r="K57" s="221"/>
      <c r="L57" s="224">
        <f>SUM(C57,E57,G57,I57)</f>
        <v>11712000</v>
      </c>
      <c r="M57" s="197"/>
      <c r="N57" s="10"/>
      <c r="O57" s="17"/>
    </row>
    <row r="58" ht="20.1" customHeight="1">
      <c r="A58" s="53"/>
      <c r="B58" t="s" s="225">
        <v>74</v>
      </c>
      <c r="C58" s="207">
        <f>C57/12</f>
        <v>300000</v>
      </c>
      <c r="D58" s="226"/>
      <c r="E58" s="207">
        <f>E57/12</f>
        <v>585000</v>
      </c>
      <c r="F58" s="226"/>
      <c r="G58" s="207">
        <f>G57/12</f>
        <v>52000</v>
      </c>
      <c r="H58" s="226"/>
      <c r="I58" s="207">
        <f>I57/12</f>
        <v>39000</v>
      </c>
      <c r="J58" s="227"/>
      <c r="K58" s="221"/>
      <c r="L58" s="228">
        <f>C58*C60+E58+G58+I58</f>
        <v>937002.7855153204</v>
      </c>
      <c r="M58" s="197"/>
      <c r="N58" s="10"/>
      <c r="O58" s="17"/>
    </row>
    <row r="59" ht="8" customHeight="1">
      <c r="A59" s="53"/>
      <c r="B59" s="229"/>
      <c r="C59" s="230"/>
      <c r="D59" s="213"/>
      <c r="E59" s="213"/>
      <c r="F59" s="213"/>
      <c r="G59" s="213"/>
      <c r="H59" s="213"/>
      <c r="I59" s="213"/>
      <c r="J59" s="227"/>
      <c r="K59" s="221"/>
      <c r="L59" s="231"/>
      <c r="M59" s="197"/>
      <c r="N59" s="10"/>
      <c r="O59" s="17"/>
    </row>
    <row r="60" ht="20.1" customHeight="1">
      <c r="A60" s="53"/>
      <c r="B60" t="s" s="232">
        <v>75</v>
      </c>
      <c r="C60" s="233">
        <f>C7/(C7+'b.資料輸入_PD'!E1*4)</f>
        <v>0.8700092850510678</v>
      </c>
      <c r="D60" s="234"/>
      <c r="E60" s="235"/>
      <c r="F60" s="235"/>
      <c r="G60" s="235"/>
      <c r="H60" s="235"/>
      <c r="I60" s="235"/>
      <c r="J60" s="236"/>
      <c r="K60" s="237"/>
      <c r="L60" s="238"/>
      <c r="M60" s="197"/>
      <c r="N60" s="10"/>
      <c r="O60" s="17"/>
    </row>
    <row r="61" ht="21" customHeight="1">
      <c r="A61" s="53"/>
      <c r="B61" t="s" s="188">
        <v>76</v>
      </c>
      <c r="C61" s="239"/>
      <c r="D61" s="240"/>
      <c r="E61" s="240">
        <f>E58/C7*12.5</f>
        <v>7804.162219850587</v>
      </c>
      <c r="F61" s="240"/>
      <c r="G61" s="241"/>
      <c r="H61" s="241"/>
      <c r="I61" s="241"/>
      <c r="J61" s="99"/>
      <c r="K61" s="99"/>
      <c r="L61" s="242"/>
      <c r="M61" s="197"/>
      <c r="N61" s="10"/>
      <c r="O61" s="17"/>
    </row>
    <row r="62" ht="18" customHeight="1">
      <c r="A62" s="53"/>
      <c r="B62" t="s" s="243">
        <v>77</v>
      </c>
      <c r="C62" s="199">
        <v>250</v>
      </c>
      <c r="D62" s="244"/>
      <c r="E62" s="212"/>
      <c r="F62" s="212"/>
      <c r="G62" s="245"/>
      <c r="H62" s="245"/>
      <c r="I62" s="245"/>
      <c r="J62" s="10"/>
      <c r="K62" s="10"/>
      <c r="L62" s="246"/>
      <c r="M62" s="197"/>
      <c r="N62" s="10"/>
      <c r="O62" s="17"/>
    </row>
    <row r="63" ht="18" customHeight="1">
      <c r="A63" s="53"/>
      <c r="B63" t="s" s="243">
        <v>78</v>
      </c>
      <c r="C63" s="204">
        <v>0</v>
      </c>
      <c r="D63" s="244"/>
      <c r="E63" s="212"/>
      <c r="F63" s="212"/>
      <c r="G63" s="245"/>
      <c r="H63" s="245"/>
      <c r="I63" s="245"/>
      <c r="J63" s="10"/>
      <c r="K63" s="10"/>
      <c r="L63" s="246"/>
      <c r="M63" s="197"/>
      <c r="N63" s="10"/>
      <c r="O63" s="17"/>
    </row>
    <row r="64" ht="18" customHeight="1">
      <c r="A64" s="53"/>
      <c r="B64" t="s" s="217">
        <v>79</v>
      </c>
      <c r="C64" s="222">
        <f>(C62+C63)*C7</f>
        <v>234250</v>
      </c>
      <c r="D64" s="244"/>
      <c r="E64" s="212"/>
      <c r="F64" s="212"/>
      <c r="G64" s="245"/>
      <c r="H64" s="245"/>
      <c r="I64" s="245"/>
      <c r="J64" s="10"/>
      <c r="K64" s="10"/>
      <c r="L64" s="228">
        <f>SUM(C64,E64,G64,I64)</f>
        <v>234250</v>
      </c>
      <c r="M64" s="197"/>
      <c r="N64" s="10"/>
      <c r="O64" s="17"/>
    </row>
    <row r="65" ht="18" customHeight="1">
      <c r="A65" s="53"/>
      <c r="B65" t="s" s="247">
        <v>80</v>
      </c>
      <c r="C65" s="248">
        <f>C64*12</f>
        <v>2811000</v>
      </c>
      <c r="D65" s="249"/>
      <c r="E65" s="235"/>
      <c r="F65" s="235"/>
      <c r="G65" s="250"/>
      <c r="H65" s="250"/>
      <c r="I65" s="250"/>
      <c r="J65" s="127"/>
      <c r="K65" s="187"/>
      <c r="L65" s="251">
        <f>SUM(C65,E65,G65,I65)</f>
        <v>2811000</v>
      </c>
      <c r="M65" s="197"/>
      <c r="N65" s="10"/>
      <c r="O65" s="17"/>
    </row>
    <row r="66" ht="10.5" customHeight="1">
      <c r="A66" s="18"/>
      <c r="B66" s="99"/>
      <c r="C66" s="252"/>
      <c r="D66" s="252"/>
      <c r="E66" s="99"/>
      <c r="F66" s="99"/>
      <c r="G66" s="99"/>
      <c r="H66" s="99"/>
      <c r="I66" s="99"/>
      <c r="J66" s="99"/>
      <c r="K66" s="99"/>
      <c r="L66" s="99"/>
      <c r="M66" s="10"/>
      <c r="N66" s="10"/>
      <c r="O66" s="17"/>
    </row>
    <row r="67" ht="27" customHeight="1">
      <c r="A67" s="18"/>
      <c r="B67" t="s" s="107">
        <v>30</v>
      </c>
      <c r="C67" s="253"/>
      <c r="D67" s="254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7"/>
    </row>
    <row r="68" ht="18.75" customHeight="1">
      <c r="A68" s="53"/>
      <c r="B68" t="s" s="177">
        <v>81</v>
      </c>
      <c r="C68" s="255">
        <v>200</v>
      </c>
      <c r="D68" s="15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7"/>
    </row>
    <row r="69" ht="18.75" customHeight="1">
      <c r="A69" s="53"/>
      <c r="B69" t="s" s="243">
        <v>82</v>
      </c>
      <c r="C69" s="256">
        <v>2200</v>
      </c>
      <c r="D69" s="15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7"/>
    </row>
    <row r="70" ht="18.75" customHeight="1">
      <c r="A70" s="53"/>
      <c r="B70" t="s" s="243">
        <v>83</v>
      </c>
      <c r="C70" s="257">
        <f>C69*C68</f>
        <v>440000</v>
      </c>
      <c r="D70" s="157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7"/>
    </row>
    <row r="71" ht="18.75" customHeight="1">
      <c r="A71" s="53"/>
      <c r="B71" t="s" s="184">
        <v>84</v>
      </c>
      <c r="C71" s="258">
        <f>C70*12</f>
        <v>5280000</v>
      </c>
      <c r="D71" s="182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7"/>
    </row>
    <row r="72" ht="10.5" customHeight="1">
      <c r="A72" s="18"/>
      <c r="B72" s="99"/>
      <c r="C72" s="9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7"/>
    </row>
    <row r="73" ht="26.25" customHeight="1">
      <c r="A73" s="18"/>
      <c r="B73" t="s" s="107">
        <v>85</v>
      </c>
      <c r="C73" s="42"/>
      <c r="D73" s="41"/>
      <c r="E73" s="42"/>
      <c r="F73" s="41"/>
      <c r="G73" s="41"/>
      <c r="H73" s="41"/>
      <c r="I73" s="41"/>
      <c r="J73" s="10"/>
      <c r="K73" s="10"/>
      <c r="L73" s="10"/>
      <c r="M73" s="10"/>
      <c r="N73" s="10"/>
      <c r="O73" s="17"/>
    </row>
    <row r="74" ht="22.5" customHeight="1">
      <c r="A74" s="53"/>
      <c r="B74" t="s" s="177">
        <v>86</v>
      </c>
      <c r="C74" s="259"/>
      <c r="D74" s="260"/>
      <c r="E74" s="261">
        <v>0.05</v>
      </c>
      <c r="F74" s="262"/>
      <c r="G74" t="s" s="263">
        <v>87</v>
      </c>
      <c r="H74" s="264"/>
      <c r="I74" s="265"/>
      <c r="J74" s="197"/>
      <c r="K74" s="10"/>
      <c r="L74" s="10"/>
      <c r="M74" s="10"/>
      <c r="N74" s="10"/>
      <c r="O74" s="17"/>
    </row>
    <row r="75" ht="22.5" customHeight="1">
      <c r="A75" s="53"/>
      <c r="B75" t="s" s="184">
        <v>88</v>
      </c>
      <c r="C75" s="266">
        <f>C74*12</f>
        <v>0</v>
      </c>
      <c r="D75" s="267"/>
      <c r="E75" s="268"/>
      <c r="F75" s="269"/>
      <c r="G75" s="270"/>
      <c r="H75" s="270"/>
      <c r="I75" s="271"/>
      <c r="J75" s="197"/>
      <c r="K75" s="10"/>
      <c r="L75" s="10"/>
      <c r="M75" s="10"/>
      <c r="N75" s="10"/>
      <c r="O75" s="17"/>
    </row>
    <row r="76" ht="11.25" customHeight="1">
      <c r="A76" s="18"/>
      <c r="B76" s="99"/>
      <c r="C76" s="99"/>
      <c r="D76" s="99"/>
      <c r="E76" s="99"/>
      <c r="F76" s="99"/>
      <c r="G76" s="99"/>
      <c r="H76" s="99"/>
      <c r="I76" s="99"/>
      <c r="J76" s="10"/>
      <c r="K76" s="10"/>
      <c r="L76" s="10"/>
      <c r="M76" s="10"/>
      <c r="N76" s="10"/>
      <c r="O76" s="17"/>
    </row>
    <row r="77" ht="26.25" customHeight="1">
      <c r="A77" s="18"/>
      <c r="B77" t="s" s="107">
        <v>89</v>
      </c>
      <c r="C77" s="42"/>
      <c r="D77" s="41"/>
      <c r="E77" s="42"/>
      <c r="F77" s="41"/>
      <c r="G77" s="41"/>
      <c r="H77" s="41"/>
      <c r="I77" s="41"/>
      <c r="J77" s="10"/>
      <c r="K77" s="10"/>
      <c r="L77" s="10"/>
      <c r="M77" s="10"/>
      <c r="N77" s="10"/>
      <c r="O77" s="17"/>
    </row>
    <row r="78" ht="24" customHeight="1">
      <c r="A78" s="53"/>
      <c r="B78" t="s" s="177">
        <v>90</v>
      </c>
      <c r="C78" s="259"/>
      <c r="D78" s="272"/>
      <c r="E78" s="273">
        <v>0.02</v>
      </c>
      <c r="F78" s="274"/>
      <c r="G78" t="s" s="263">
        <v>87</v>
      </c>
      <c r="H78" s="264"/>
      <c r="I78" s="265"/>
      <c r="J78" s="197"/>
      <c r="K78" s="10"/>
      <c r="L78" s="10"/>
      <c r="M78" s="10"/>
      <c r="N78" s="10"/>
      <c r="O78" s="17"/>
    </row>
    <row r="79" ht="24" customHeight="1">
      <c r="A79" s="275"/>
      <c r="B79" t="s" s="184">
        <v>91</v>
      </c>
      <c r="C79" s="266">
        <f>C78*12</f>
        <v>0</v>
      </c>
      <c r="D79" s="276"/>
      <c r="E79" s="277"/>
      <c r="F79" s="276"/>
      <c r="G79" s="278"/>
      <c r="H79" s="278"/>
      <c r="I79" s="271"/>
      <c r="J79" s="279"/>
      <c r="K79" s="280"/>
      <c r="L79" s="280"/>
      <c r="M79" s="280"/>
      <c r="N79" s="280"/>
      <c r="O79" s="281"/>
    </row>
  </sheetData>
  <conditionalFormatting sqref="I18:I19 C51:I55 C57:I57 L57 C58 E58 G58 I58 L58:L59 D59:I59 E60:I60 C61:I65 L64:L65">
    <cfRule type="cellIs" dxfId="0" priority="1" operator="lessThan" stopIfTrue="1">
      <formula>0</formula>
    </cfRule>
  </conditionalFormatting>
  <pageMargins left="0" right="0" top="0" bottom="0" header="0.511811" footer="0.511811"/>
  <pageSetup firstPageNumber="1" fitToHeight="1" fitToWidth="1" scale="70" useFirstPageNumber="0" orientation="landscape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L101"/>
  <sheetViews>
    <sheetView workbookViewId="0" showGridLines="0" defaultGridColor="1"/>
  </sheetViews>
  <sheetFormatPr defaultColWidth="12.7143" defaultRowHeight="15" customHeight="1" outlineLevelRow="0" outlineLevelCol="0"/>
  <cols>
    <col min="1" max="1" width="4.44531" style="282" customWidth="1"/>
    <col min="2" max="2" width="8.86719" style="282" customWidth="1"/>
    <col min="3" max="3" width="13" style="282" customWidth="1"/>
    <col min="4" max="4" width="21.1562" style="282" customWidth="1"/>
    <col min="5" max="5" width="16.1562" style="282" customWidth="1"/>
    <col min="6" max="6" width="9.28906" style="282" customWidth="1"/>
    <col min="7" max="7" width="12.7344" style="282" customWidth="1"/>
    <col min="8" max="8" width="17" style="282" customWidth="1"/>
    <col min="9" max="9" width="16.2891" style="282" customWidth="1"/>
    <col min="10" max="10" width="12.7344" style="282" customWidth="1"/>
    <col min="11" max="11" width="5.15625" style="282" customWidth="1"/>
    <col min="12" max="12" width="12.7344" style="282" customWidth="1"/>
    <col min="13" max="256" width="12.7344" style="282" customWidth="1"/>
  </cols>
  <sheetData>
    <row r="1" ht="24.75" customHeight="1">
      <c r="A1" s="283"/>
      <c r="B1" s="3"/>
      <c r="C1" s="3"/>
      <c r="D1" s="284"/>
      <c r="E1" s="285">
        <v>35</v>
      </c>
      <c r="F1" t="s" s="286">
        <v>92</v>
      </c>
      <c r="G1" s="3"/>
      <c r="H1" s="3"/>
      <c r="I1" t="s" s="287">
        <v>93</v>
      </c>
      <c r="J1" s="3"/>
      <c r="K1" s="3"/>
      <c r="L1" s="8"/>
    </row>
    <row r="2" ht="8" customHeight="1" hidden="1">
      <c r="A2" s="288"/>
      <c r="B2" s="10"/>
      <c r="C2" s="10"/>
      <c r="D2" s="10"/>
      <c r="E2" s="174"/>
      <c r="F2" s="10"/>
      <c r="G2" s="10"/>
      <c r="H2" s="10"/>
      <c r="I2" s="10"/>
      <c r="J2" s="10"/>
      <c r="K2" s="10"/>
      <c r="L2" s="17"/>
    </row>
    <row r="3" ht="34.5" customHeight="1">
      <c r="A3" t="s" s="289">
        <v>94</v>
      </c>
      <c r="B3" s="10"/>
      <c r="C3" s="290"/>
      <c r="D3" s="291"/>
      <c r="E3" s="292"/>
      <c r="F3" s="10"/>
      <c r="G3" s="10"/>
      <c r="H3" s="10"/>
      <c r="I3" t="s" s="19">
        <v>2</v>
      </c>
      <c r="J3" t="s" s="20">
        <v>3</v>
      </c>
      <c r="K3" s="293"/>
      <c r="L3" s="17"/>
    </row>
    <row r="4" ht="24.95" customHeight="1">
      <c r="A4" t="s" s="294">
        <v>95</v>
      </c>
      <c r="B4" s="295"/>
      <c r="C4" s="290"/>
      <c r="D4" s="291"/>
      <c r="E4" s="296"/>
      <c r="F4" s="10"/>
      <c r="G4" s="10"/>
      <c r="H4" s="10"/>
      <c r="I4" s="10"/>
      <c r="J4" s="10"/>
      <c r="K4" s="10"/>
      <c r="L4" s="17"/>
    </row>
    <row r="5" ht="30" customHeight="1">
      <c r="A5" t="s" s="297">
        <v>4</v>
      </c>
      <c r="B5" s="176"/>
      <c r="C5" s="298"/>
      <c r="D5" s="176"/>
      <c r="E5" s="176"/>
      <c r="F5" s="176"/>
      <c r="G5" s="176"/>
      <c r="H5" s="176"/>
      <c r="I5" s="176"/>
      <c r="J5" s="10"/>
      <c r="K5" s="10"/>
      <c r="L5" s="17"/>
    </row>
    <row r="6" ht="16.5" customHeight="1">
      <c r="A6" s="18"/>
      <c r="B6" s="10"/>
      <c r="C6" s="299"/>
      <c r="D6" s="64"/>
      <c r="E6" s="64"/>
      <c r="F6" s="64"/>
      <c r="G6" t="s" s="300">
        <v>96</v>
      </c>
      <c r="H6" t="s" s="300">
        <v>97</v>
      </c>
      <c r="I6" t="s" s="300">
        <v>11</v>
      </c>
      <c r="J6" s="10"/>
      <c r="K6" s="10"/>
      <c r="L6" s="17"/>
    </row>
    <row r="7" ht="25.5" customHeight="1">
      <c r="A7" s="18"/>
      <c r="B7" t="s" s="301">
        <v>98</v>
      </c>
      <c r="C7" s="114"/>
      <c r="D7" s="10"/>
      <c r="E7" s="10"/>
      <c r="F7" s="10"/>
      <c r="G7" s="52"/>
      <c r="H7" s="302">
        <f>SUM(H8:H11)</f>
        <v>8675</v>
      </c>
      <c r="I7" s="303">
        <f>SUM(I8,I9,I10,I11)</f>
        <v>8675</v>
      </c>
      <c r="J7" s="10"/>
      <c r="K7" s="10"/>
      <c r="L7" s="17"/>
    </row>
    <row r="8" ht="16.5" customHeight="1">
      <c r="A8" s="18"/>
      <c r="B8" s="10"/>
      <c r="C8" t="s" s="304">
        <v>99</v>
      </c>
      <c r="D8" s="10"/>
      <c r="E8" s="10"/>
      <c r="F8" s="10"/>
      <c r="G8" s="162">
        <v>1</v>
      </c>
      <c r="H8" s="162">
        <f>3500+1735</f>
        <v>5235</v>
      </c>
      <c r="I8" s="162">
        <f>G8*H8*$I$13</f>
        <v>5235</v>
      </c>
      <c r="J8" s="10"/>
      <c r="K8" s="10"/>
      <c r="L8" s="17"/>
    </row>
    <row r="9" ht="16.5" customHeight="1">
      <c r="A9" s="18"/>
      <c r="B9" s="10"/>
      <c r="C9" t="s" s="304">
        <v>100</v>
      </c>
      <c r="D9" s="10"/>
      <c r="E9" s="10"/>
      <c r="F9" s="10"/>
      <c r="G9" s="162">
        <v>1</v>
      </c>
      <c r="H9" s="162">
        <v>440</v>
      </c>
      <c r="I9" s="162">
        <f>G9*H9*$I$13</f>
        <v>440</v>
      </c>
      <c r="J9" s="10"/>
      <c r="K9" s="10"/>
      <c r="L9" s="17"/>
    </row>
    <row r="10" ht="16.5" customHeight="1">
      <c r="A10" s="18"/>
      <c r="B10" s="10"/>
      <c r="C10" t="s" s="304">
        <v>101</v>
      </c>
      <c r="D10" s="10"/>
      <c r="E10" s="10"/>
      <c r="F10" s="10"/>
      <c r="G10" s="162">
        <v>1</v>
      </c>
      <c r="H10" s="162">
        <v>1500</v>
      </c>
      <c r="I10" s="162">
        <f>G10*H10*$I$13</f>
        <v>1500</v>
      </c>
      <c r="J10" s="10"/>
      <c r="K10" s="10"/>
      <c r="L10" s="17"/>
    </row>
    <row r="11" ht="16.5" customHeight="1">
      <c r="A11" s="18"/>
      <c r="B11" s="10"/>
      <c r="C11" t="s" s="304">
        <v>102</v>
      </c>
      <c r="D11" s="10"/>
      <c r="E11" s="10"/>
      <c r="F11" s="10"/>
      <c r="G11" s="162">
        <v>1</v>
      </c>
      <c r="H11" s="162">
        <v>1500</v>
      </c>
      <c r="I11" s="162">
        <f>G11*H11*$I$13</f>
        <v>1500</v>
      </c>
      <c r="J11" s="10"/>
      <c r="K11" s="10"/>
      <c r="L11" s="17"/>
    </row>
    <row r="12" ht="11.25" customHeight="1">
      <c r="A12" s="18"/>
      <c r="B12" s="10"/>
      <c r="C12" s="305"/>
      <c r="D12" s="10"/>
      <c r="E12" s="10"/>
      <c r="F12" s="10"/>
      <c r="G12" s="162"/>
      <c r="H12" s="162"/>
      <c r="I12" s="306"/>
      <c r="J12" s="10"/>
      <c r="K12" s="10"/>
      <c r="L12" s="17"/>
    </row>
    <row r="13" ht="18.75" customHeight="1">
      <c r="A13" s="307"/>
      <c r="B13" s="10"/>
      <c r="C13" s="305"/>
      <c r="D13" s="10"/>
      <c r="E13" s="10"/>
      <c r="F13" s="10"/>
      <c r="G13" s="227"/>
      <c r="H13" t="s" s="308">
        <v>103</v>
      </c>
      <c r="I13" s="309">
        <v>1</v>
      </c>
      <c r="J13" t="s" s="310">
        <v>104</v>
      </c>
      <c r="K13" s="311"/>
      <c r="L13" s="17"/>
    </row>
    <row r="14" ht="18.75" customHeight="1">
      <c r="A14" s="307"/>
      <c r="B14" s="10"/>
      <c r="C14" s="305"/>
      <c r="D14" s="10"/>
      <c r="E14" s="10"/>
      <c r="F14" s="10"/>
      <c r="G14" s="227"/>
      <c r="H14" s="312"/>
      <c r="I14" s="313"/>
      <c r="J14" s="311"/>
      <c r="K14" s="311"/>
      <c r="L14" s="17"/>
    </row>
    <row r="15" ht="10.5" customHeight="1">
      <c r="A15" s="18"/>
      <c r="B15" s="10"/>
      <c r="C15" s="305"/>
      <c r="D15" s="10"/>
      <c r="E15" s="10"/>
      <c r="F15" s="10"/>
      <c r="G15" s="162"/>
      <c r="H15" s="162"/>
      <c r="I15" s="162"/>
      <c r="J15" s="10"/>
      <c r="K15" s="10"/>
      <c r="L15" s="17"/>
    </row>
    <row r="16" ht="25.5" customHeight="1">
      <c r="A16" s="18"/>
      <c r="B16" t="s" s="314">
        <v>105</v>
      </c>
      <c r="C16" s="114"/>
      <c r="D16" s="10"/>
      <c r="E16" s="10"/>
      <c r="F16" s="10"/>
      <c r="G16" s="10"/>
      <c r="H16" s="52">
        <f>I18*D18+I24*D22+I25*D22+H26*G26*D22+H27*G27*D22+I32*D32</f>
        <v>26307.8</v>
      </c>
      <c r="I16" s="315">
        <f>I18*D18+I22*D22+I32*D32</f>
        <v>25668.4496</v>
      </c>
      <c r="J16" t="s" s="304">
        <v>106</v>
      </c>
      <c r="K16" s="10"/>
      <c r="L16" s="316"/>
    </row>
    <row r="17" ht="24" customHeight="1">
      <c r="A17" s="18"/>
      <c r="B17" s="317"/>
      <c r="C17" s="114"/>
      <c r="D17" t="s" s="318">
        <v>107</v>
      </c>
      <c r="E17" s="10"/>
      <c r="F17" s="10"/>
      <c r="G17" s="10"/>
      <c r="H17" s="10"/>
      <c r="I17" s="303"/>
      <c r="J17" s="319"/>
      <c r="K17" s="10"/>
      <c r="L17" s="17"/>
    </row>
    <row r="18" ht="20.25" customHeight="1">
      <c r="A18" s="18"/>
      <c r="B18" s="317"/>
      <c r="C18" t="s" s="320">
        <v>108</v>
      </c>
      <c r="D18" s="321">
        <f>1-D22</f>
        <v>0.6</v>
      </c>
      <c r="E18" s="10"/>
      <c r="F18" s="10"/>
      <c r="G18" s="10"/>
      <c r="H18" s="10"/>
      <c r="I18" s="322">
        <f>SUM(I20)</f>
        <v>21120</v>
      </c>
      <c r="J18" s="319"/>
      <c r="K18" s="10"/>
      <c r="L18" s="17"/>
    </row>
    <row r="19" ht="12" customHeight="1">
      <c r="A19" s="18"/>
      <c r="B19" s="317"/>
      <c r="C19" s="323"/>
      <c r="D19" s="10"/>
      <c r="E19" s="10"/>
      <c r="F19" s="10"/>
      <c r="G19" s="42"/>
      <c r="H19" s="10"/>
      <c r="I19" s="303"/>
      <c r="J19" s="319"/>
      <c r="K19" s="10"/>
      <c r="L19" s="17"/>
    </row>
    <row r="20" ht="19" customHeight="1">
      <c r="A20" s="18"/>
      <c r="B20" s="10"/>
      <c r="C20" s="10"/>
      <c r="D20" s="70"/>
      <c r="E20" t="s" s="324">
        <v>109</v>
      </c>
      <c r="F20" s="325"/>
      <c r="G20" s="326">
        <v>120</v>
      </c>
      <c r="H20" s="327">
        <v>176</v>
      </c>
      <c r="I20" s="328">
        <f>G20*H20</f>
        <v>21120</v>
      </c>
      <c r="J20" s="10"/>
      <c r="K20" s="10"/>
      <c r="L20" s="17"/>
    </row>
    <row r="21" ht="12" customHeight="1">
      <c r="A21" s="18"/>
      <c r="B21" s="10"/>
      <c r="C21" s="10"/>
      <c r="D21" s="329"/>
      <c r="E21" s="290"/>
      <c r="F21" s="290"/>
      <c r="G21" s="330"/>
      <c r="H21" s="10"/>
      <c r="I21" s="162"/>
      <c r="J21" s="10"/>
      <c r="K21" s="10"/>
      <c r="L21" s="17"/>
    </row>
    <row r="22" ht="21" customHeight="1">
      <c r="A22" s="18"/>
      <c r="B22" s="10"/>
      <c r="C22" t="s" s="331">
        <v>110</v>
      </c>
      <c r="D22" s="332">
        <v>0.4</v>
      </c>
      <c r="E22" s="327"/>
      <c r="F22" s="290"/>
      <c r="G22" s="162"/>
      <c r="H22" s="290"/>
      <c r="I22" s="322">
        <f>SUM(I24:I27)</f>
        <v>26921.624</v>
      </c>
      <c r="J22" s="10"/>
      <c r="K22" s="10"/>
      <c r="L22" s="17"/>
    </row>
    <row r="23" ht="10.5" customHeight="1">
      <c r="A23" s="18"/>
      <c r="B23" s="10"/>
      <c r="C23" s="323"/>
      <c r="D23" s="333"/>
      <c r="E23" s="290"/>
      <c r="F23" s="290"/>
      <c r="G23" s="306"/>
      <c r="H23" s="290"/>
      <c r="I23" s="162"/>
      <c r="J23" s="10"/>
      <c r="K23" s="10"/>
      <c r="L23" s="17"/>
    </row>
    <row r="24" ht="16.5" customHeight="1">
      <c r="A24" s="18"/>
      <c r="B24" s="10"/>
      <c r="C24" s="334"/>
      <c r="D24" s="70"/>
      <c r="E24" t="s" s="324">
        <v>111</v>
      </c>
      <c r="F24" s="335"/>
      <c r="G24" s="326">
        <v>60</v>
      </c>
      <c r="H24" s="336">
        <v>286</v>
      </c>
      <c r="I24" s="328">
        <f>H24*G24</f>
        <v>17160</v>
      </c>
      <c r="J24" s="10"/>
      <c r="K24" s="10"/>
      <c r="L24" s="17"/>
    </row>
    <row r="25" ht="16.5" customHeight="1">
      <c r="A25" s="18"/>
      <c r="B25" s="10"/>
      <c r="C25" s="334"/>
      <c r="D25" s="70"/>
      <c r="E25" t="s" s="337">
        <v>112</v>
      </c>
      <c r="F25" s="338">
        <v>0.5</v>
      </c>
      <c r="G25" s="339">
        <f>30*F25</f>
        <v>15</v>
      </c>
      <c r="H25" s="162">
        <f>H20</f>
        <v>176</v>
      </c>
      <c r="I25" s="328">
        <f>H25*G25</f>
        <v>2640</v>
      </c>
      <c r="J25" s="10"/>
      <c r="K25" s="10"/>
      <c r="L25" s="17"/>
    </row>
    <row r="26" ht="17.6" customHeight="1">
      <c r="A26" s="18"/>
      <c r="B26" s="10"/>
      <c r="C26" s="334"/>
      <c r="D26" s="70"/>
      <c r="E26" t="s" s="324">
        <v>113</v>
      </c>
      <c r="F26" s="333"/>
      <c r="G26" s="162">
        <v>30</v>
      </c>
      <c r="H26" s="162">
        <v>224</v>
      </c>
      <c r="I26" s="328">
        <f>H26*G26*I29</f>
        <v>5488.224</v>
      </c>
      <c r="J26" s="10"/>
      <c r="K26" s="10"/>
      <c r="L26" s="17"/>
    </row>
    <row r="27" ht="16.5" customHeight="1">
      <c r="A27" s="18"/>
      <c r="B27" s="10"/>
      <c r="C27" s="305"/>
      <c r="D27" s="10"/>
      <c r="E27" t="s" s="324">
        <v>114</v>
      </c>
      <c r="F27" s="10"/>
      <c r="G27" s="162">
        <v>1</v>
      </c>
      <c r="H27" s="162">
        <v>2000</v>
      </c>
      <c r="I27" s="328">
        <f>H27*I29</f>
        <v>1633.4</v>
      </c>
      <c r="J27" s="10"/>
      <c r="K27" s="10"/>
      <c r="L27" s="17"/>
    </row>
    <row r="28" ht="16.5" customHeight="1">
      <c r="A28" s="18"/>
      <c r="B28" s="10"/>
      <c r="C28" s="305"/>
      <c r="D28" s="10"/>
      <c r="E28" s="290"/>
      <c r="F28" s="10"/>
      <c r="G28" s="162"/>
      <c r="H28" s="162"/>
      <c r="I28" s="328"/>
      <c r="J28" s="10"/>
      <c r="K28" s="10"/>
      <c r="L28" s="17"/>
    </row>
    <row r="29" ht="16.5" customHeight="1">
      <c r="A29" s="18"/>
      <c r="B29" s="10"/>
      <c r="C29" s="305"/>
      <c r="D29" s="10"/>
      <c r="E29" s="290"/>
      <c r="F29" s="10"/>
      <c r="G29" s="162"/>
      <c r="H29" t="s" s="340">
        <v>115</v>
      </c>
      <c r="I29" s="341">
        <f>'a.資料輸入_HD現況'!C9</f>
        <v>0.8167</v>
      </c>
      <c r="J29" s="10"/>
      <c r="K29" s="10"/>
      <c r="L29" s="17"/>
    </row>
    <row r="30" ht="16.5" customHeight="1">
      <c r="A30" s="18"/>
      <c r="B30" s="10"/>
      <c r="C30" s="305"/>
      <c r="D30" s="10"/>
      <c r="E30" s="290"/>
      <c r="F30" s="10"/>
      <c r="G30" s="162"/>
      <c r="H30" s="162"/>
      <c r="I30" s="328"/>
      <c r="J30" s="10"/>
      <c r="K30" s="10"/>
      <c r="L30" s="17"/>
    </row>
    <row r="31" ht="20.25" customHeight="1">
      <c r="A31" s="18"/>
      <c r="B31" s="10"/>
      <c r="C31" s="305"/>
      <c r="D31" t="s" s="342">
        <v>116</v>
      </c>
      <c r="E31" s="290"/>
      <c r="F31" s="10"/>
      <c r="G31" s="162"/>
      <c r="H31" t="s" s="300">
        <v>117</v>
      </c>
      <c r="I31" s="328"/>
      <c r="J31" s="10"/>
      <c r="K31" s="10"/>
      <c r="L31" s="17"/>
    </row>
    <row r="32" ht="18" customHeight="1">
      <c r="A32" s="18"/>
      <c r="B32" s="10"/>
      <c r="C32" t="s" s="343">
        <v>118</v>
      </c>
      <c r="D32" s="332">
        <v>0.47</v>
      </c>
      <c r="E32" s="327"/>
      <c r="F32" s="10"/>
      <c r="G32" s="162">
        <v>30</v>
      </c>
      <c r="H32" s="162">
        <f>334-H20</f>
        <v>158</v>
      </c>
      <c r="I32" s="344">
        <f>H32*G32</f>
        <v>4740</v>
      </c>
      <c r="J32" s="10"/>
      <c r="K32" s="10"/>
      <c r="L32" s="17"/>
    </row>
    <row r="33" ht="16.5" customHeight="1">
      <c r="A33" s="18"/>
      <c r="B33" s="10"/>
      <c r="C33" s="305"/>
      <c r="D33" s="174"/>
      <c r="E33" s="10"/>
      <c r="F33" s="10"/>
      <c r="G33" s="162"/>
      <c r="H33" s="162"/>
      <c r="I33" s="162"/>
      <c r="J33" s="10"/>
      <c r="K33" s="10"/>
      <c r="L33" s="17"/>
    </row>
    <row r="34" ht="16.5" customHeight="1">
      <c r="A34" s="18"/>
      <c r="B34" s="10"/>
      <c r="C34" s="305"/>
      <c r="D34" s="10"/>
      <c r="E34" s="10"/>
      <c r="F34" s="10"/>
      <c r="G34" s="162"/>
      <c r="H34" s="162"/>
      <c r="I34" s="306"/>
      <c r="J34" s="10"/>
      <c r="K34" s="10"/>
      <c r="L34" s="17"/>
    </row>
    <row r="35" ht="25.5" customHeight="1">
      <c r="A35" s="18"/>
      <c r="B35" t="s" s="301">
        <v>119</v>
      </c>
      <c r="C35" s="114"/>
      <c r="D35" s="10"/>
      <c r="E35" s="10"/>
      <c r="F35" s="10"/>
      <c r="G35" s="42"/>
      <c r="H35" s="345"/>
      <c r="I35" s="346">
        <f>SUM(I36:I45)</f>
        <v>5613</v>
      </c>
      <c r="J35" t="s" s="310">
        <v>106</v>
      </c>
      <c r="K35" s="10"/>
      <c r="L35" s="17"/>
    </row>
    <row r="36" ht="16.5" customHeight="1">
      <c r="A36" s="18"/>
      <c r="B36" s="10"/>
      <c r="C36" t="s" s="347">
        <v>120</v>
      </c>
      <c r="D36" s="10"/>
      <c r="E36" t="s" s="324">
        <v>121</v>
      </c>
      <c r="F36" s="348"/>
      <c r="G36" s="349">
        <v>8</v>
      </c>
      <c r="H36" s="350">
        <v>396</v>
      </c>
      <c r="I36" s="351">
        <f>G36*H36</f>
        <v>3168</v>
      </c>
      <c r="J36" s="10"/>
      <c r="K36" s="10"/>
      <c r="L36" s="17"/>
    </row>
    <row r="37" ht="16.5" customHeight="1">
      <c r="A37" s="18"/>
      <c r="B37" s="10"/>
      <c r="C37" t="s" s="304">
        <v>122</v>
      </c>
      <c r="D37" s="10"/>
      <c r="E37" t="s" s="324">
        <v>123</v>
      </c>
      <c r="F37" s="348"/>
      <c r="G37" s="352">
        <v>30</v>
      </c>
      <c r="H37" s="350">
        <v>22</v>
      </c>
      <c r="I37" s="353">
        <f>G37*H37</f>
        <v>660</v>
      </c>
      <c r="J37" s="10"/>
      <c r="K37" s="10"/>
      <c r="L37" s="17"/>
    </row>
    <row r="38" ht="16.5" customHeight="1">
      <c r="A38" s="18"/>
      <c r="B38" s="10"/>
      <c r="C38" t="s" s="304">
        <v>124</v>
      </c>
      <c r="D38" s="10"/>
      <c r="E38" t="s" s="324">
        <v>123</v>
      </c>
      <c r="F38" s="348"/>
      <c r="G38" s="352">
        <v>60</v>
      </c>
      <c r="H38" s="350">
        <v>1</v>
      </c>
      <c r="I38" s="353">
        <f>G38*H38</f>
        <v>60</v>
      </c>
      <c r="J38" s="10"/>
      <c r="K38" s="10"/>
      <c r="L38" s="17"/>
    </row>
    <row r="39" ht="16.5" customHeight="1">
      <c r="A39" s="18"/>
      <c r="B39" s="10"/>
      <c r="C39" t="s" s="304">
        <v>125</v>
      </c>
      <c r="D39" s="10"/>
      <c r="E39" t="s" s="324">
        <v>123</v>
      </c>
      <c r="F39" s="348"/>
      <c r="G39" s="352">
        <v>30</v>
      </c>
      <c r="H39" s="350">
        <v>1</v>
      </c>
      <c r="I39" s="353">
        <f>G39*H39</f>
        <v>30</v>
      </c>
      <c r="J39" s="10"/>
      <c r="K39" s="10"/>
      <c r="L39" s="17"/>
    </row>
    <row r="40" ht="16.5" customHeight="1">
      <c r="A40" s="18"/>
      <c r="B40" s="10"/>
      <c r="C40" t="s" s="304">
        <v>126</v>
      </c>
      <c r="D40" s="10"/>
      <c r="E40" t="s" s="324">
        <v>123</v>
      </c>
      <c r="F40" s="348"/>
      <c r="G40" s="352">
        <v>30</v>
      </c>
      <c r="H40" s="350">
        <v>1</v>
      </c>
      <c r="I40" s="353">
        <f>G40*H40</f>
        <v>30</v>
      </c>
      <c r="J40" s="10"/>
      <c r="K40" s="10"/>
      <c r="L40" s="17"/>
    </row>
    <row r="41" ht="16.5" customHeight="1">
      <c r="A41" s="18"/>
      <c r="B41" s="10"/>
      <c r="C41" t="s" s="304">
        <v>127</v>
      </c>
      <c r="D41" s="10"/>
      <c r="E41" t="s" s="324">
        <v>123</v>
      </c>
      <c r="F41" s="348"/>
      <c r="G41" s="352">
        <v>30</v>
      </c>
      <c r="H41" s="350">
        <v>1</v>
      </c>
      <c r="I41" s="353">
        <f>G41*H41</f>
        <v>30</v>
      </c>
      <c r="J41" s="10"/>
      <c r="K41" s="10"/>
      <c r="L41" s="17"/>
    </row>
    <row r="42" ht="16.5" customHeight="1">
      <c r="A42" s="18"/>
      <c r="B42" s="10"/>
      <c r="C42" t="s" s="304">
        <v>128</v>
      </c>
      <c r="D42" s="10"/>
      <c r="E42" t="s" s="324">
        <v>123</v>
      </c>
      <c r="F42" s="348"/>
      <c r="G42" s="352">
        <v>30</v>
      </c>
      <c r="H42" s="350">
        <v>50</v>
      </c>
      <c r="I42" s="353">
        <f>G42*H42</f>
        <v>1500</v>
      </c>
      <c r="J42" s="10"/>
      <c r="K42" s="10"/>
      <c r="L42" s="17"/>
    </row>
    <row r="43" ht="16.5" customHeight="1">
      <c r="A43" s="18"/>
      <c r="B43" s="10"/>
      <c r="C43" t="s" s="304">
        <v>129</v>
      </c>
      <c r="D43" s="10"/>
      <c r="E43" t="s" s="324">
        <v>123</v>
      </c>
      <c r="F43" s="348"/>
      <c r="G43" s="352">
        <v>30</v>
      </c>
      <c r="H43" s="350">
        <v>3</v>
      </c>
      <c r="I43" s="353">
        <f>G43*H43</f>
        <v>90</v>
      </c>
      <c r="J43" s="10"/>
      <c r="K43" s="10"/>
      <c r="L43" s="17"/>
    </row>
    <row r="44" ht="16.5" customHeight="1">
      <c r="A44" s="18"/>
      <c r="B44" s="10"/>
      <c r="C44" t="s" s="304">
        <v>130</v>
      </c>
      <c r="D44" s="10"/>
      <c r="E44" t="s" s="324">
        <v>123</v>
      </c>
      <c r="F44" s="348"/>
      <c r="G44" s="352">
        <v>30</v>
      </c>
      <c r="H44" s="354">
        <v>1.5</v>
      </c>
      <c r="I44" s="353">
        <f>G44*H44</f>
        <v>45</v>
      </c>
      <c r="J44" s="10"/>
      <c r="K44" s="10"/>
      <c r="L44" s="17"/>
    </row>
    <row r="45" ht="16.5" customHeight="1">
      <c r="A45" s="18"/>
      <c r="B45" s="10"/>
      <c r="C45" t="s" s="304">
        <v>131</v>
      </c>
      <c r="D45" s="10"/>
      <c r="E45" t="s" s="324">
        <v>123</v>
      </c>
      <c r="F45" s="348"/>
      <c r="G45" s="355">
        <v>0</v>
      </c>
      <c r="H45" s="354">
        <v>1.5</v>
      </c>
      <c r="I45" s="356">
        <f>G45*H45</f>
        <v>0</v>
      </c>
      <c r="J45" s="10"/>
      <c r="K45" s="10"/>
      <c r="L45" s="17"/>
    </row>
    <row r="46" ht="16.5" customHeight="1">
      <c r="A46" s="18"/>
      <c r="B46" s="41"/>
      <c r="C46" s="357"/>
      <c r="D46" s="41"/>
      <c r="E46" s="41"/>
      <c r="F46" s="41"/>
      <c r="G46" s="266"/>
      <c r="H46" s="267"/>
      <c r="I46" s="267"/>
      <c r="J46" s="10"/>
      <c r="K46" s="10"/>
      <c r="L46" s="17"/>
    </row>
    <row r="47" ht="29.25" customHeight="1">
      <c r="A47" s="18"/>
      <c r="B47" t="s" s="358">
        <v>132</v>
      </c>
      <c r="C47" s="359"/>
      <c r="D47" s="360"/>
      <c r="E47" s="360"/>
      <c r="F47" s="360"/>
      <c r="G47" s="361"/>
      <c r="H47" s="361"/>
      <c r="I47" s="362">
        <f>I7+I16+I35</f>
        <v>39956.449600000007</v>
      </c>
      <c r="J47" s="10"/>
      <c r="K47" s="10"/>
      <c r="L47" s="17"/>
    </row>
    <row r="48" ht="39.75" customHeight="1">
      <c r="A48" s="18"/>
      <c r="B48" s="134"/>
      <c r="C48" s="363"/>
      <c r="D48" s="134"/>
      <c r="E48" s="134"/>
      <c r="F48" s="134"/>
      <c r="G48" s="364"/>
      <c r="H48" s="364"/>
      <c r="I48" s="364"/>
      <c r="J48" s="10"/>
      <c r="K48" s="10"/>
      <c r="L48" s="17"/>
    </row>
    <row r="49" ht="30" customHeight="1">
      <c r="A49" t="s" s="297">
        <v>133</v>
      </c>
      <c r="B49" s="176"/>
      <c r="C49" s="365"/>
      <c r="D49" s="176"/>
      <c r="E49" s="176"/>
      <c r="F49" s="176"/>
      <c r="G49" s="366"/>
      <c r="H49" s="366"/>
      <c r="I49" s="366"/>
      <c r="J49" s="10"/>
      <c r="K49" s="10"/>
      <c r="L49" s="17"/>
    </row>
    <row r="50" ht="19.5" customHeight="1">
      <c r="A50" s="18"/>
      <c r="B50" s="10"/>
      <c r="C50" s="305"/>
      <c r="D50" s="10"/>
      <c r="E50" s="10"/>
      <c r="F50" s="10"/>
      <c r="G50" t="s" s="318">
        <v>134</v>
      </c>
      <c r="H50" t="s" s="318">
        <v>135</v>
      </c>
      <c r="I50" t="s" s="318">
        <v>136</v>
      </c>
      <c r="J50" s="10"/>
      <c r="K50" s="10"/>
      <c r="L50" s="17"/>
    </row>
    <row r="51" ht="20.1" customHeight="1">
      <c r="A51" s="18"/>
      <c r="B51" t="s" s="301">
        <v>98</v>
      </c>
      <c r="C51" s="334"/>
      <c r="D51" s="10"/>
      <c r="E51" s="10"/>
      <c r="F51" s="10"/>
      <c r="G51" s="10"/>
      <c r="H51" s="10"/>
      <c r="I51" s="367">
        <f>SUM(I52,I55,I62)</f>
        <v>923.6666666666666</v>
      </c>
      <c r="J51" s="162"/>
      <c r="K51" s="10"/>
      <c r="L51" s="17"/>
    </row>
    <row r="52" ht="15" customHeight="1">
      <c r="A52" s="18"/>
      <c r="B52" s="10"/>
      <c r="C52" t="s" s="368">
        <v>100</v>
      </c>
      <c r="D52" s="10"/>
      <c r="E52" s="10"/>
      <c r="F52" s="10"/>
      <c r="G52" s="10"/>
      <c r="H52" s="42"/>
      <c r="I52" s="369">
        <f>SUM(I53:I54)</f>
        <v>149</v>
      </c>
      <c r="J52" s="10"/>
      <c r="K52" s="10"/>
      <c r="L52" s="17"/>
    </row>
    <row r="53" ht="15" customHeight="1">
      <c r="A53" s="18"/>
      <c r="B53" s="10"/>
      <c r="C53" s="370"/>
      <c r="D53" t="s" s="304">
        <v>137</v>
      </c>
      <c r="E53" t="s" s="304">
        <v>138</v>
      </c>
      <c r="F53" s="371"/>
      <c r="G53" s="372">
        <f t="shared" si="36" ref="G53:G54">1/6</f>
        <v>0.1666666666666667</v>
      </c>
      <c r="H53" s="349">
        <v>768</v>
      </c>
      <c r="I53" s="373">
        <f>SUM(G53*H53)</f>
        <v>128</v>
      </c>
      <c r="J53" s="10"/>
      <c r="K53" s="10"/>
      <c r="L53" s="17"/>
    </row>
    <row r="54" ht="15" customHeight="1">
      <c r="A54" s="18"/>
      <c r="B54" s="10"/>
      <c r="C54" s="370"/>
      <c r="D54" t="s" s="304">
        <v>139</v>
      </c>
      <c r="E54" t="s" s="304">
        <v>138</v>
      </c>
      <c r="F54" s="371"/>
      <c r="G54" s="372">
        <f t="shared" si="36"/>
        <v>0.1666666666666667</v>
      </c>
      <c r="H54" s="374">
        <v>126</v>
      </c>
      <c r="I54" s="373">
        <f>SUM(G54*H54)</f>
        <v>21</v>
      </c>
      <c r="J54" s="10"/>
      <c r="K54" s="10"/>
      <c r="L54" s="17"/>
    </row>
    <row r="55" ht="15" customHeight="1">
      <c r="A55" s="18"/>
      <c r="B55" s="10"/>
      <c r="C55" t="s" s="368">
        <v>101</v>
      </c>
      <c r="D55" s="319"/>
      <c r="E55" s="319"/>
      <c r="F55" s="319"/>
      <c r="G55" s="375"/>
      <c r="H55" s="376"/>
      <c r="I55" s="369">
        <f>SUM(I56:I61)</f>
        <v>308</v>
      </c>
      <c r="J55" s="10"/>
      <c r="K55" s="10"/>
      <c r="L55" s="17"/>
    </row>
    <row r="56" ht="15" customHeight="1">
      <c r="A56" s="18"/>
      <c r="B56" s="10"/>
      <c r="C56" s="370"/>
      <c r="D56" t="s" s="304">
        <v>140</v>
      </c>
      <c r="E56" t="s" s="324">
        <v>141</v>
      </c>
      <c r="F56" s="371"/>
      <c r="G56" s="377">
        <v>30</v>
      </c>
      <c r="H56" s="378">
        <v>2.5</v>
      </c>
      <c r="I56" s="373">
        <f>SUM(G56*H56)</f>
        <v>75</v>
      </c>
      <c r="J56" s="10"/>
      <c r="K56" s="10"/>
      <c r="L56" s="17"/>
    </row>
    <row r="57" ht="15" customHeight="1">
      <c r="A57" s="18"/>
      <c r="B57" s="10"/>
      <c r="C57" s="370"/>
      <c r="D57" t="s" s="304">
        <v>142</v>
      </c>
      <c r="E57" t="s" s="324">
        <v>143</v>
      </c>
      <c r="F57" s="371"/>
      <c r="G57" s="377">
        <v>30</v>
      </c>
      <c r="H57" s="352">
        <v>5</v>
      </c>
      <c r="I57" s="373">
        <f>SUM(G57*H57)</f>
        <v>150</v>
      </c>
      <c r="J57" s="10"/>
      <c r="K57" s="10"/>
      <c r="L57" s="17"/>
    </row>
    <row r="58" ht="15" customHeight="1">
      <c r="A58" s="18"/>
      <c r="B58" s="10"/>
      <c r="C58" s="370"/>
      <c r="D58" t="s" s="304">
        <v>144</v>
      </c>
      <c r="E58" t="s" s="324">
        <v>145</v>
      </c>
      <c r="F58" s="371"/>
      <c r="G58" s="377">
        <v>2</v>
      </c>
      <c r="H58" s="352">
        <v>14</v>
      </c>
      <c r="I58" s="373">
        <f>SUM(G58*H58)</f>
        <v>28</v>
      </c>
      <c r="J58" s="10"/>
      <c r="K58" s="10"/>
      <c r="L58" s="17"/>
    </row>
    <row r="59" ht="15" customHeight="1">
      <c r="A59" s="18"/>
      <c r="B59" s="10"/>
      <c r="C59" s="370"/>
      <c r="D59" t="s" s="304">
        <v>146</v>
      </c>
      <c r="E59" t="s" s="324">
        <v>147</v>
      </c>
      <c r="F59" s="371"/>
      <c r="G59" s="377">
        <v>200</v>
      </c>
      <c r="H59" s="379">
        <v>0.1</v>
      </c>
      <c r="I59" s="373">
        <f>SUM(G59*H59)</f>
        <v>20</v>
      </c>
      <c r="J59" s="10"/>
      <c r="K59" s="10"/>
      <c r="L59" s="17"/>
    </row>
    <row r="60" ht="15" customHeight="1">
      <c r="A60" s="18"/>
      <c r="B60" s="10"/>
      <c r="C60" s="370"/>
      <c r="D60" t="s" s="304">
        <v>148</v>
      </c>
      <c r="E60" t="s" s="324">
        <v>147</v>
      </c>
      <c r="F60" s="371"/>
      <c r="G60" s="377">
        <v>200</v>
      </c>
      <c r="H60" s="379">
        <v>0.1</v>
      </c>
      <c r="I60" s="373">
        <f>SUM(G60*H60)</f>
        <v>20</v>
      </c>
      <c r="J60" s="10"/>
      <c r="K60" s="10"/>
      <c r="L60" s="17"/>
    </row>
    <row r="61" ht="15" customHeight="1">
      <c r="A61" s="18"/>
      <c r="B61" s="10"/>
      <c r="C61" s="370"/>
      <c r="D61" t="s" s="304">
        <v>149</v>
      </c>
      <c r="E61" t="s" s="324">
        <v>147</v>
      </c>
      <c r="F61" s="371"/>
      <c r="G61" s="377">
        <v>500</v>
      </c>
      <c r="H61" s="380">
        <v>0.03</v>
      </c>
      <c r="I61" s="373">
        <f>SUM(G61*H61)</f>
        <v>15</v>
      </c>
      <c r="J61" s="10"/>
      <c r="K61" s="10"/>
      <c r="L61" s="17"/>
    </row>
    <row r="62" ht="15" customHeight="1">
      <c r="A62" s="18"/>
      <c r="B62" s="10"/>
      <c r="C62" t="s" s="368">
        <v>102</v>
      </c>
      <c r="D62" s="319"/>
      <c r="E62" s="305"/>
      <c r="F62" s="319"/>
      <c r="G62" s="344"/>
      <c r="H62" s="376"/>
      <c r="I62" s="369">
        <f>SUM(I63:I65)</f>
        <v>466.6666666666666</v>
      </c>
      <c r="J62" s="10"/>
      <c r="K62" s="10"/>
      <c r="L62" s="17"/>
    </row>
    <row r="63" ht="15" customHeight="1">
      <c r="A63" s="18"/>
      <c r="B63" s="10"/>
      <c r="C63" s="370"/>
      <c r="D63" t="s" s="304">
        <v>150</v>
      </c>
      <c r="E63" t="s" s="304">
        <v>151</v>
      </c>
      <c r="F63" s="371"/>
      <c r="G63" s="377">
        <v>1</v>
      </c>
      <c r="H63" s="349">
        <v>350</v>
      </c>
      <c r="I63" s="373">
        <f>SUM(G63*H63)</f>
        <v>350</v>
      </c>
      <c r="J63" s="10"/>
      <c r="K63" s="10"/>
      <c r="L63" s="17"/>
    </row>
    <row r="64" ht="15" customHeight="1">
      <c r="A64" s="18"/>
      <c r="B64" s="10"/>
      <c r="C64" s="370"/>
      <c r="D64" t="s" s="304">
        <v>152</v>
      </c>
      <c r="E64" t="s" s="304">
        <v>153</v>
      </c>
      <c r="F64" s="371"/>
      <c r="G64" s="372">
        <f t="shared" si="49" ref="G64:G65">1/12</f>
        <v>0.08333333333333333</v>
      </c>
      <c r="H64" s="352">
        <v>800</v>
      </c>
      <c r="I64" s="373">
        <f>SUM(G64*H64)</f>
        <v>66.66666666666666</v>
      </c>
      <c r="J64" s="10"/>
      <c r="K64" s="10"/>
      <c r="L64" s="17"/>
    </row>
    <row r="65" ht="15" customHeight="1">
      <c r="A65" s="18"/>
      <c r="B65" s="10"/>
      <c r="C65" s="370"/>
      <c r="D65" t="s" s="324">
        <v>154</v>
      </c>
      <c r="E65" t="s" s="304">
        <v>153</v>
      </c>
      <c r="F65" s="10"/>
      <c r="G65" s="372">
        <f t="shared" si="49"/>
        <v>0.08333333333333333</v>
      </c>
      <c r="H65" s="374">
        <v>600</v>
      </c>
      <c r="I65" s="373">
        <f>SUM(G65*H65)</f>
        <v>50</v>
      </c>
      <c r="J65" s="10"/>
      <c r="K65" s="10"/>
      <c r="L65" s="17"/>
    </row>
    <row r="66" ht="10.5" customHeight="1">
      <c r="A66" s="18"/>
      <c r="B66" s="10"/>
      <c r="C66" s="334"/>
      <c r="D66" s="290"/>
      <c r="E66" s="290"/>
      <c r="F66" s="290"/>
      <c r="G66" s="10"/>
      <c r="H66" s="174"/>
      <c r="I66" s="10"/>
      <c r="J66" s="10"/>
      <c r="K66" s="10"/>
      <c r="L66" s="17"/>
    </row>
    <row r="67" ht="25.5" customHeight="1">
      <c r="A67" s="18"/>
      <c r="B67" t="s" s="314">
        <v>105</v>
      </c>
      <c r="C67" s="334"/>
      <c r="D67" s="10"/>
      <c r="E67" s="10"/>
      <c r="F67" t="s" s="381">
        <v>155</v>
      </c>
      <c r="G67" s="10"/>
      <c r="H67" s="10"/>
      <c r="I67" s="367">
        <f>I68+I69+I70</f>
        <v>22166.337056</v>
      </c>
      <c r="J67" s="382"/>
      <c r="K67" s="334"/>
      <c r="L67" s="17"/>
    </row>
    <row r="68" ht="18" customHeight="1">
      <c r="A68" s="18"/>
      <c r="B68" s="10"/>
      <c r="C68" s="10"/>
      <c r="D68" t="s" s="304">
        <v>156</v>
      </c>
      <c r="E68" s="325"/>
      <c r="F68" s="383">
        <v>0.14</v>
      </c>
      <c r="G68" s="336"/>
      <c r="H68" s="10"/>
      <c r="I68" s="162">
        <f>(I18*D18+SUM(I24:I26)*D22)*(1-F68)</f>
        <v>19597.069056</v>
      </c>
      <c r="J68" s="10"/>
      <c r="K68" s="10"/>
      <c r="L68" s="17"/>
    </row>
    <row r="69" ht="18" customHeight="1">
      <c r="A69" s="18"/>
      <c r="B69" s="10"/>
      <c r="C69" s="10"/>
      <c r="D69" t="s" s="347">
        <v>157</v>
      </c>
      <c r="E69" s="325"/>
      <c r="F69" s="384">
        <v>0</v>
      </c>
      <c r="G69" s="336"/>
      <c r="H69" s="10"/>
      <c r="I69" s="162">
        <f>(H27*(1-F69))*D22*I29</f>
        <v>653.36</v>
      </c>
      <c r="J69" s="10"/>
      <c r="K69" s="10"/>
      <c r="L69" s="17"/>
    </row>
    <row r="70" ht="18" customHeight="1">
      <c r="A70" s="18"/>
      <c r="B70" s="10"/>
      <c r="C70" s="10"/>
      <c r="D70" t="s" s="347">
        <v>118</v>
      </c>
      <c r="E70" s="325"/>
      <c r="F70" s="385">
        <f>F68</f>
        <v>0.14</v>
      </c>
      <c r="G70" s="336"/>
      <c r="H70" s="10"/>
      <c r="I70" s="162">
        <f>I32*(1-F70)*D32</f>
        <v>1915.908</v>
      </c>
      <c r="J70" s="10"/>
      <c r="K70" s="10"/>
      <c r="L70" s="17"/>
    </row>
    <row r="71" ht="10.5" customHeight="1">
      <c r="A71" s="18"/>
      <c r="B71" s="10"/>
      <c r="C71" s="10"/>
      <c r="D71" s="10"/>
      <c r="E71" s="10"/>
      <c r="F71" s="174"/>
      <c r="G71" s="10"/>
      <c r="H71" s="10"/>
      <c r="I71" s="42"/>
      <c r="J71" s="10"/>
      <c r="K71" s="10"/>
      <c r="L71" s="17"/>
    </row>
    <row r="72" ht="21.75" customHeight="1">
      <c r="A72" s="18"/>
      <c r="B72" t="s" s="301">
        <v>119</v>
      </c>
      <c r="C72" s="114"/>
      <c r="D72" s="136"/>
      <c r="E72" s="10"/>
      <c r="F72" s="10"/>
      <c r="G72" s="10"/>
      <c r="H72" s="386"/>
      <c r="I72" s="387">
        <f>SUM(I73:I82)</f>
        <v>3224</v>
      </c>
      <c r="J72" s="336"/>
      <c r="K72" s="10"/>
      <c r="L72" s="17"/>
    </row>
    <row r="73" ht="15" customHeight="1">
      <c r="A73" s="18"/>
      <c r="B73" s="290"/>
      <c r="C73" t="s" s="347">
        <f>C36</f>
        <v>158</v>
      </c>
      <c r="D73" s="290"/>
      <c r="E73" t="s" s="324">
        <v>121</v>
      </c>
      <c r="F73" s="388"/>
      <c r="G73" s="377">
        <f>G36</f>
        <v>8</v>
      </c>
      <c r="H73" s="389">
        <v>250</v>
      </c>
      <c r="I73" s="390">
        <f>G73*H73</f>
        <v>2000</v>
      </c>
      <c r="J73" s="10"/>
      <c r="K73" s="10"/>
      <c r="L73" s="17"/>
    </row>
    <row r="74" ht="15" customHeight="1">
      <c r="A74" s="18"/>
      <c r="B74" s="290"/>
      <c r="C74" t="s" s="347">
        <f>C37</f>
        <v>159</v>
      </c>
      <c r="D74" s="290"/>
      <c r="E74" t="s" s="324">
        <v>123</v>
      </c>
      <c r="F74" s="388"/>
      <c r="G74" s="377">
        <f>G37</f>
        <v>30</v>
      </c>
      <c r="H74" s="391">
        <v>11</v>
      </c>
      <c r="I74" s="373">
        <f>G74*H74</f>
        <v>330</v>
      </c>
      <c r="J74" s="10"/>
      <c r="K74" s="10"/>
      <c r="L74" s="17"/>
    </row>
    <row r="75" ht="15" customHeight="1">
      <c r="A75" s="18"/>
      <c r="B75" s="290"/>
      <c r="C75" t="s" s="347">
        <f>C38</f>
        <v>160</v>
      </c>
      <c r="D75" s="290"/>
      <c r="E75" t="s" s="324">
        <v>123</v>
      </c>
      <c r="F75" s="388"/>
      <c r="G75" s="377">
        <f>G38</f>
        <v>60</v>
      </c>
      <c r="H75" s="392">
        <v>0.5</v>
      </c>
      <c r="I75" s="373">
        <f>G75*H75</f>
        <v>30</v>
      </c>
      <c r="J75" s="10"/>
      <c r="K75" s="10"/>
      <c r="L75" s="17"/>
    </row>
    <row r="76" ht="15" customHeight="1">
      <c r="A76" s="18"/>
      <c r="B76" s="290"/>
      <c r="C76" t="s" s="347">
        <f>C39</f>
        <v>161</v>
      </c>
      <c r="D76" s="290"/>
      <c r="E76" t="s" s="324">
        <v>123</v>
      </c>
      <c r="F76" s="388"/>
      <c r="G76" s="377">
        <f>G39</f>
        <v>30</v>
      </c>
      <c r="H76" s="392">
        <v>0.5</v>
      </c>
      <c r="I76" s="373">
        <f>G76*H76</f>
        <v>15</v>
      </c>
      <c r="J76" s="10"/>
      <c r="K76" s="10"/>
      <c r="L76" s="17"/>
    </row>
    <row r="77" ht="15" customHeight="1">
      <c r="A77" s="18"/>
      <c r="B77" s="290"/>
      <c r="C77" t="s" s="347">
        <f>C40</f>
        <v>162</v>
      </c>
      <c r="D77" s="290"/>
      <c r="E77" t="s" s="324">
        <v>123</v>
      </c>
      <c r="F77" s="388"/>
      <c r="G77" s="377">
        <f>G40</f>
        <v>30</v>
      </c>
      <c r="H77" s="392">
        <v>0.5</v>
      </c>
      <c r="I77" s="373">
        <f>G77*H77</f>
        <v>15</v>
      </c>
      <c r="J77" s="10"/>
      <c r="K77" s="10"/>
      <c r="L77" s="17"/>
    </row>
    <row r="78" ht="15" customHeight="1">
      <c r="A78" s="18"/>
      <c r="B78" s="290"/>
      <c r="C78" t="s" s="347">
        <f>C41</f>
        <v>163</v>
      </c>
      <c r="D78" s="290"/>
      <c r="E78" t="s" s="324">
        <v>123</v>
      </c>
      <c r="F78" s="388"/>
      <c r="G78" s="377">
        <f>G41</f>
        <v>30</v>
      </c>
      <c r="H78" s="392">
        <v>0.5</v>
      </c>
      <c r="I78" s="373">
        <f>G78*H78</f>
        <v>15</v>
      </c>
      <c r="J78" s="10"/>
      <c r="K78" s="10"/>
      <c r="L78" s="17"/>
    </row>
    <row r="79" ht="15" customHeight="1">
      <c r="A79" s="18"/>
      <c r="B79" s="290"/>
      <c r="C79" t="s" s="347">
        <f>C42</f>
        <v>164</v>
      </c>
      <c r="D79" s="290"/>
      <c r="E79" t="s" s="324">
        <v>123</v>
      </c>
      <c r="F79" s="388"/>
      <c r="G79" s="377">
        <f>G42</f>
        <v>30</v>
      </c>
      <c r="H79" s="391">
        <v>25</v>
      </c>
      <c r="I79" s="373">
        <f>G79*H79</f>
        <v>750</v>
      </c>
      <c r="J79" s="10"/>
      <c r="K79" s="10"/>
      <c r="L79" s="17"/>
    </row>
    <row r="80" ht="15" customHeight="1">
      <c r="A80" s="18"/>
      <c r="B80" s="290"/>
      <c r="C80" t="s" s="347">
        <f>C43</f>
        <v>165</v>
      </c>
      <c r="D80" s="290"/>
      <c r="E80" t="s" s="324">
        <v>123</v>
      </c>
      <c r="F80" s="388"/>
      <c r="G80" s="377">
        <f>G43</f>
        <v>30</v>
      </c>
      <c r="H80" s="392">
        <v>1.5</v>
      </c>
      <c r="I80" s="373">
        <f>G80*H80</f>
        <v>45</v>
      </c>
      <c r="J80" s="10"/>
      <c r="K80" s="10"/>
      <c r="L80" s="17"/>
    </row>
    <row r="81" ht="15" customHeight="1">
      <c r="A81" s="18"/>
      <c r="B81" s="290"/>
      <c r="C81" t="s" s="347">
        <f>C44</f>
        <v>166</v>
      </c>
      <c r="D81" s="290"/>
      <c r="E81" t="s" s="324">
        <v>123</v>
      </c>
      <c r="F81" s="388"/>
      <c r="G81" s="377">
        <f>G44</f>
        <v>30</v>
      </c>
      <c r="H81" s="392">
        <v>0.8</v>
      </c>
      <c r="I81" s="373">
        <f>G81*H81</f>
        <v>24</v>
      </c>
      <c r="J81" s="10"/>
      <c r="K81" s="10"/>
      <c r="L81" s="17"/>
    </row>
    <row r="82" ht="15" customHeight="1">
      <c r="A82" s="18"/>
      <c r="B82" s="290"/>
      <c r="C82" t="s" s="347">
        <f>C45</f>
        <v>167</v>
      </c>
      <c r="D82" s="290"/>
      <c r="E82" t="s" s="324">
        <v>123</v>
      </c>
      <c r="F82" s="388"/>
      <c r="G82" s="393">
        <f>G45</f>
        <v>0</v>
      </c>
      <c r="H82" s="394">
        <v>0.8</v>
      </c>
      <c r="I82" s="395">
        <f>G82*H82</f>
        <v>0</v>
      </c>
      <c r="J82" s="10"/>
      <c r="K82" s="10"/>
      <c r="L82" s="17"/>
    </row>
    <row r="83" ht="8.25" customHeight="1">
      <c r="A83" s="18"/>
      <c r="B83" s="41"/>
      <c r="C83" s="41"/>
      <c r="D83" s="41"/>
      <c r="E83" s="41"/>
      <c r="F83" s="41"/>
      <c r="G83" s="41"/>
      <c r="H83" s="396"/>
      <c r="I83" s="41"/>
      <c r="J83" s="10"/>
      <c r="K83" s="10"/>
      <c r="L83" s="17"/>
    </row>
    <row r="84" ht="22.5" customHeight="1">
      <c r="A84" s="18"/>
      <c r="B84" t="s" s="358">
        <v>168</v>
      </c>
      <c r="C84" s="359"/>
      <c r="D84" s="360"/>
      <c r="E84" s="360"/>
      <c r="F84" s="360"/>
      <c r="G84" s="360"/>
      <c r="H84" s="360"/>
      <c r="I84" s="362">
        <f>SUM(I51,I67,I72)</f>
        <v>26314.003722666672</v>
      </c>
      <c r="J84" s="10"/>
      <c r="K84" s="10"/>
      <c r="L84" s="17"/>
    </row>
    <row r="85" ht="8" customHeight="1">
      <c r="A85" s="18"/>
      <c r="B85" s="134"/>
      <c r="C85" s="134"/>
      <c r="D85" s="134"/>
      <c r="E85" s="134"/>
      <c r="F85" s="134"/>
      <c r="G85" s="134"/>
      <c r="H85" s="397"/>
      <c r="I85" s="398"/>
      <c r="J85" s="10"/>
      <c r="K85" s="10"/>
      <c r="L85" s="17"/>
    </row>
    <row r="86" ht="24.75" customHeight="1">
      <c r="A86" s="18"/>
      <c r="B86" s="10"/>
      <c r="C86" s="10"/>
      <c r="D86" s="10"/>
      <c r="E86" s="10"/>
      <c r="F86" s="10"/>
      <c r="G86" s="10"/>
      <c r="H86" t="s" s="399">
        <v>169</v>
      </c>
      <c r="I86" s="400">
        <f>I47-I84</f>
        <v>13642.445877333335</v>
      </c>
      <c r="J86" s="162"/>
      <c r="K86" s="10"/>
      <c r="L86" s="17"/>
    </row>
    <row r="87" ht="9" customHeight="1">
      <c r="A87" s="18"/>
      <c r="B87" s="10"/>
      <c r="C87" s="10"/>
      <c r="D87" s="10"/>
      <c r="E87" s="10"/>
      <c r="F87" s="10"/>
      <c r="G87" s="10"/>
      <c r="H87" s="134"/>
      <c r="I87" s="134"/>
      <c r="J87" s="10"/>
      <c r="K87" s="10"/>
      <c r="L87" s="17"/>
    </row>
    <row r="88" ht="25.5" customHeight="1">
      <c r="A88" t="s" s="401">
        <v>32</v>
      </c>
      <c r="B88" s="176"/>
      <c r="C88" s="298"/>
      <c r="D88" s="176"/>
      <c r="E88" s="176"/>
      <c r="F88" s="176"/>
      <c r="G88" s="176"/>
      <c r="H88" s="176"/>
      <c r="I88" s="176"/>
      <c r="J88" s="10"/>
      <c r="K88" s="10"/>
      <c r="L88" s="17"/>
    </row>
    <row r="89" ht="37.5" customHeight="1">
      <c r="A89" s="18"/>
      <c r="B89" s="402"/>
      <c r="C89" s="10"/>
      <c r="D89" s="403"/>
      <c r="E89" t="s" s="404">
        <v>170</v>
      </c>
      <c r="F89" s="405"/>
      <c r="G89" t="s" s="404">
        <v>171</v>
      </c>
      <c r="H89" s="406"/>
      <c r="I89" t="s" s="407">
        <v>172</v>
      </c>
      <c r="J89" s="10"/>
      <c r="K89" s="10"/>
      <c r="L89" s="17"/>
    </row>
    <row r="90" ht="18" customHeight="1">
      <c r="A90" s="18"/>
      <c r="B90" t="s" s="111">
        <v>63</v>
      </c>
      <c r="C90" s="10"/>
      <c r="D90" s="408"/>
      <c r="E90" s="409">
        <v>35</v>
      </c>
      <c r="F90" s="410"/>
      <c r="G90" s="411">
        <v>800000</v>
      </c>
      <c r="H90" s="412"/>
      <c r="I90" s="413">
        <f>G90/12/E90</f>
        <v>1904.761904761905</v>
      </c>
      <c r="J90" s="414"/>
      <c r="K90" s="10"/>
      <c r="L90" s="17"/>
    </row>
    <row r="91" ht="8" customHeight="1">
      <c r="A91" s="18"/>
      <c r="B91" s="415"/>
      <c r="C91" s="416"/>
      <c r="D91" s="10"/>
      <c r="E91" s="333"/>
      <c r="F91" s="290"/>
      <c r="G91" s="333"/>
      <c r="H91" s="162"/>
      <c r="I91" s="162"/>
      <c r="J91" s="10"/>
      <c r="K91" s="10"/>
      <c r="L91" s="17"/>
    </row>
    <row r="92" ht="15" customHeight="1">
      <c r="A92" s="18"/>
      <c r="B92" t="s" s="111">
        <v>62</v>
      </c>
      <c r="C92" s="416"/>
      <c r="D92" s="10"/>
      <c r="E92" s="290"/>
      <c r="F92" s="290"/>
      <c r="G92" s="290"/>
      <c r="H92" s="162"/>
      <c r="I92" s="162"/>
      <c r="J92" s="10"/>
      <c r="K92" s="10"/>
      <c r="L92" s="17"/>
    </row>
    <row r="93" ht="15" customHeight="1">
      <c r="A93" s="18"/>
      <c r="B93" t="s" s="417">
        <v>173</v>
      </c>
      <c r="C93" s="416"/>
      <c r="D93" s="10"/>
      <c r="E93" s="418">
        <f>1-'a.資料輸入_HD現況'!C60</f>
        <v>0.1299907149489322</v>
      </c>
      <c r="F93" s="290"/>
      <c r="G93" s="290"/>
      <c r="H93" s="162"/>
      <c r="I93" s="162"/>
      <c r="J93" s="10"/>
      <c r="K93" s="10"/>
      <c r="L93" s="17"/>
    </row>
    <row r="94" ht="18" customHeight="1">
      <c r="A94" s="18"/>
      <c r="B94" t="s" s="111">
        <v>174</v>
      </c>
      <c r="C94" s="416"/>
      <c r="D94" s="10"/>
      <c r="E94" s="419">
        <f>('a.資料輸入_HD現況'!C57)/12*E93</f>
        <v>38997.214484679665</v>
      </c>
      <c r="F94" s="290"/>
      <c r="G94" s="290"/>
      <c r="H94" s="162"/>
      <c r="I94" s="162">
        <f>IF(E1=0,0,E94/E1)</f>
        <v>1114.206128133705</v>
      </c>
      <c r="J94" s="10"/>
      <c r="K94" s="10"/>
      <c r="L94" s="17"/>
    </row>
    <row r="95" ht="15" customHeight="1">
      <c r="A95" s="18"/>
      <c r="B95" t="s" s="304">
        <v>175</v>
      </c>
      <c r="C95" s="305"/>
      <c r="D95" s="345"/>
      <c r="E95" s="411">
        <f>I8*0.25</f>
        <v>1308.75</v>
      </c>
      <c r="F95" s="420"/>
      <c r="G95" s="290"/>
      <c r="H95" s="10"/>
      <c r="I95" s="162">
        <f>E95</f>
        <v>1308.75</v>
      </c>
      <c r="J95" s="10"/>
      <c r="K95" s="10"/>
      <c r="L95" s="17"/>
    </row>
    <row r="96" ht="15" customHeight="1">
      <c r="A96" s="18"/>
      <c r="B96" s="319"/>
      <c r="C96" s="305"/>
      <c r="D96" s="10"/>
      <c r="E96" s="421"/>
      <c r="F96" s="422"/>
      <c r="G96" s="290"/>
      <c r="H96" s="10"/>
      <c r="I96" s="162"/>
      <c r="J96" s="10"/>
      <c r="K96" s="10"/>
      <c r="L96" s="17"/>
    </row>
    <row r="97" ht="15" customHeight="1">
      <c r="A97" s="18"/>
      <c r="B97" t="s" s="304">
        <v>34</v>
      </c>
      <c r="C97" s="305"/>
      <c r="D97" s="345"/>
      <c r="E97" s="423">
        <v>0.05</v>
      </c>
      <c r="F97" t="s" s="310">
        <v>176</v>
      </c>
      <c r="G97" s="290"/>
      <c r="H97" s="10"/>
      <c r="I97" s="162">
        <f>E97*I47</f>
        <v>1997.82248</v>
      </c>
      <c r="J97" s="10"/>
      <c r="K97" s="10"/>
      <c r="L97" s="17"/>
    </row>
    <row r="98" ht="8" customHeight="1">
      <c r="A98" s="18"/>
      <c r="B98" s="41"/>
      <c r="C98" s="41"/>
      <c r="D98" s="41"/>
      <c r="E98" s="396"/>
      <c r="F98" s="41"/>
      <c r="G98" s="41"/>
      <c r="H98" s="41"/>
      <c r="I98" s="41"/>
      <c r="J98" s="10"/>
      <c r="K98" s="10"/>
      <c r="L98" s="17"/>
    </row>
    <row r="99" ht="21.75" customHeight="1">
      <c r="A99" s="18"/>
      <c r="B99" t="s" s="358">
        <v>177</v>
      </c>
      <c r="C99" s="424"/>
      <c r="D99" s="425"/>
      <c r="E99" s="425"/>
      <c r="F99" s="425"/>
      <c r="G99" s="425"/>
      <c r="H99" s="425"/>
      <c r="I99" s="362">
        <f>SUM(I90,I94,I95,I97)</f>
        <v>6325.540512895610</v>
      </c>
      <c r="J99" s="10"/>
      <c r="K99" s="10"/>
      <c r="L99" s="17"/>
    </row>
    <row r="100" ht="8" customHeight="1">
      <c r="A100" s="18"/>
      <c r="B100" s="134"/>
      <c r="C100" s="134"/>
      <c r="D100" s="134"/>
      <c r="E100" s="134"/>
      <c r="F100" s="134"/>
      <c r="G100" s="134"/>
      <c r="H100" s="426"/>
      <c r="I100" s="426"/>
      <c r="J100" s="10"/>
      <c r="K100" s="10"/>
      <c r="L100" s="17"/>
    </row>
    <row r="101" ht="24.75" customHeight="1">
      <c r="A101" s="427"/>
      <c r="B101" s="280"/>
      <c r="C101" s="280"/>
      <c r="D101" s="280"/>
      <c r="E101" s="280"/>
      <c r="F101" s="280"/>
      <c r="G101" s="280"/>
      <c r="H101" t="s" s="428">
        <v>37</v>
      </c>
      <c r="I101" s="429">
        <f>I86-I99</f>
        <v>7316.905364437725</v>
      </c>
      <c r="J101" s="280"/>
      <c r="K101" s="280"/>
      <c r="L101" s="281"/>
    </row>
  </sheetData>
  <conditionalFormatting sqref="E90">
    <cfRule type="cellIs" dxfId="1" priority="1" operator="lessThan" stopIfTrue="1">
      <formula>0</formula>
    </cfRule>
  </conditionalFormatting>
  <pageMargins left="0" right="0" top="0" bottom="0" header="0.511811" footer="0.511811"/>
  <pageSetup firstPageNumber="1" fitToHeight="1" fitToWidth="1" scale="66" useFirstPageNumber="0" orientation="landscape" pageOrder="downThenOver"/>
  <headerFooter>
    <oddFooter>&amp;C&amp;"Helvetica,Regular"&amp;12&amp;K000000&amp;P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J27"/>
  <sheetViews>
    <sheetView workbookViewId="0" showGridLines="0" defaultGridColor="1"/>
  </sheetViews>
  <sheetFormatPr defaultColWidth="8.71429" defaultRowHeight="15" customHeight="1" outlineLevelRow="0" outlineLevelCol="0"/>
  <cols>
    <col min="1" max="1" width="30" style="430" customWidth="1"/>
    <col min="2" max="2" width="9.86719" style="430" customWidth="1"/>
    <col min="3" max="3" width="13.1562" style="430" customWidth="1"/>
    <col min="4" max="4" width="11.5781" style="430" customWidth="1"/>
    <col min="5" max="5" width="4.28906" style="430" customWidth="1"/>
    <col min="6" max="6" width="32.4453" style="430" customWidth="1"/>
    <col min="7" max="7" width="8.86719" style="430" customWidth="1"/>
    <col min="8" max="8" width="10.2891" style="430" customWidth="1"/>
    <col min="9" max="9" width="8" style="430" customWidth="1"/>
    <col min="10" max="10" width="2.28906" style="430" customWidth="1"/>
    <col min="11" max="256" width="8.73438" style="430" customWidth="1"/>
  </cols>
  <sheetData>
    <row r="1" ht="30" customHeight="1">
      <c r="A1" t="s" s="431">
        <v>178</v>
      </c>
      <c r="B1" s="432"/>
      <c r="C1" s="3"/>
      <c r="D1" s="3"/>
      <c r="E1" s="3"/>
      <c r="F1" s="3"/>
      <c r="G1" s="3"/>
      <c r="H1" t="s" s="433">
        <v>179</v>
      </c>
      <c r="I1" s="3"/>
      <c r="J1" s="8"/>
    </row>
    <row r="2" ht="19.5" customHeight="1">
      <c r="A2" t="s" s="434">
        <v>180</v>
      </c>
      <c r="B2" s="435"/>
      <c r="C2" s="10"/>
      <c r="D2" s="10"/>
      <c r="E2" s="10"/>
      <c r="F2" s="10"/>
      <c r="G2" s="10"/>
      <c r="H2" s="10"/>
      <c r="I2" s="10"/>
      <c r="J2" s="17"/>
    </row>
    <row r="3" ht="11.25" customHeight="1">
      <c r="A3" s="436"/>
      <c r="B3" s="23"/>
      <c r="C3" s="23"/>
      <c r="D3" s="23"/>
      <c r="E3" s="23"/>
      <c r="F3" s="23"/>
      <c r="G3" s="23"/>
      <c r="H3" s="23"/>
      <c r="I3" s="23"/>
      <c r="J3" s="437"/>
    </row>
    <row r="4" ht="23.25" customHeight="1">
      <c r="A4" t="s" s="438">
        <v>181</v>
      </c>
      <c r="B4" s="439"/>
      <c r="C4" s="439"/>
      <c r="D4" s="439"/>
      <c r="E4" s="440"/>
      <c r="F4" t="s" s="438">
        <v>182</v>
      </c>
      <c r="G4" s="439"/>
      <c r="H4" s="439"/>
      <c r="I4" s="439"/>
      <c r="J4" s="440"/>
    </row>
    <row r="5" ht="23.25" customHeight="1">
      <c r="A5" s="441"/>
      <c r="B5" s="442"/>
      <c r="C5" s="443"/>
      <c r="D5" s="443"/>
      <c r="E5" s="444"/>
      <c r="F5" s="445"/>
      <c r="G5" s="443"/>
      <c r="H5" s="443"/>
      <c r="I5" s="443"/>
      <c r="J5" s="446"/>
    </row>
    <row r="6" ht="22.5" customHeight="1">
      <c r="A6" s="447"/>
      <c r="B6" s="448"/>
      <c r="C6" s="449"/>
      <c r="D6" s="448"/>
      <c r="E6" s="450"/>
      <c r="F6" s="447"/>
      <c r="G6" s="448"/>
      <c r="H6" s="449"/>
      <c r="I6" s="448"/>
      <c r="J6" s="451"/>
    </row>
    <row r="7" ht="19.5" customHeight="1">
      <c r="A7" t="s" s="452">
        <v>183</v>
      </c>
      <c r="B7" s="453"/>
      <c r="C7" s="454">
        <f>'a.資料輸入_HD現況'!C9</f>
        <v>0.8167</v>
      </c>
      <c r="D7" s="171"/>
      <c r="E7" s="455"/>
      <c r="F7" t="s" s="452">
        <v>183</v>
      </c>
      <c r="G7" s="453"/>
      <c r="H7" s="456">
        <f>'b.資料輸入_PD'!I13</f>
        <v>1</v>
      </c>
      <c r="I7" s="327"/>
      <c r="J7" s="455"/>
    </row>
    <row r="8" ht="17.6" customHeight="1">
      <c r="A8" s="457"/>
      <c r="B8" s="415"/>
      <c r="C8" s="333"/>
      <c r="D8" s="64"/>
      <c r="E8" s="455"/>
      <c r="F8" s="57"/>
      <c r="G8" s="290"/>
      <c r="H8" s="333"/>
      <c r="I8" s="290"/>
      <c r="J8" s="455"/>
    </row>
    <row r="9" ht="19.5" customHeight="1">
      <c r="A9" t="s" s="458">
        <v>184</v>
      </c>
      <c r="B9" s="435"/>
      <c r="C9" s="459">
        <f>C10*C7*C12</f>
        <v>39936.63</v>
      </c>
      <c r="D9" s="460">
        <v>1</v>
      </c>
      <c r="E9" s="461"/>
      <c r="F9" t="s" s="458">
        <v>184</v>
      </c>
      <c r="G9" s="435"/>
      <c r="H9" s="462">
        <f>SUM(H10:H12)</f>
        <v>39956.449600000007</v>
      </c>
      <c r="I9" s="463">
        <v>1</v>
      </c>
      <c r="J9" s="461"/>
    </row>
    <row r="10" ht="18" customHeight="1">
      <c r="A10" t="s" s="464">
        <v>185</v>
      </c>
      <c r="B10" s="465"/>
      <c r="C10" s="466">
        <f>3912</f>
        <v>3912</v>
      </c>
      <c r="D10" s="467"/>
      <c r="E10" s="455"/>
      <c r="F10" t="s" s="464">
        <v>186</v>
      </c>
      <c r="G10" s="468">
        <f>'b.資料輸入_PD'!H7</f>
        <v>8675</v>
      </c>
      <c r="H10" s="469">
        <f>G10*H7</f>
        <v>8675</v>
      </c>
      <c r="I10" s="327"/>
      <c r="J10" s="455"/>
    </row>
    <row r="11" ht="18" customHeight="1">
      <c r="A11" t="s" s="464">
        <v>187</v>
      </c>
      <c r="B11" s="470"/>
      <c r="C11" s="330">
        <f>C7*C10</f>
        <v>3194.9304</v>
      </c>
      <c r="D11" s="64"/>
      <c r="E11" s="455"/>
      <c r="F11" t="s" s="464">
        <v>188</v>
      </c>
      <c r="G11" s="468">
        <f>'b.資料輸入_PD'!I16</f>
        <v>25668.4496</v>
      </c>
      <c r="H11" s="471">
        <f>G11</f>
        <v>25668.4496</v>
      </c>
      <c r="I11" s="327"/>
      <c r="J11" s="455"/>
    </row>
    <row r="12" ht="18" customHeight="1">
      <c r="A12" t="s" s="464">
        <v>18</v>
      </c>
      <c r="B12" s="472"/>
      <c r="C12" s="334">
        <v>12.5</v>
      </c>
      <c r="D12" s="64"/>
      <c r="E12" s="455"/>
      <c r="F12" t="s" s="464">
        <v>189</v>
      </c>
      <c r="G12" s="468">
        <f>'b.資料輸入_PD'!I35</f>
        <v>5613</v>
      </c>
      <c r="H12" s="473">
        <f>G12</f>
        <v>5613</v>
      </c>
      <c r="I12" s="327"/>
      <c r="J12" s="455"/>
    </row>
    <row r="13" ht="18" customHeight="1">
      <c r="A13" s="457"/>
      <c r="B13" s="415"/>
      <c r="C13" s="290"/>
      <c r="D13" s="64"/>
      <c r="E13" s="455"/>
      <c r="F13" s="57"/>
      <c r="G13" s="474"/>
      <c r="H13" s="330"/>
      <c r="I13" s="290"/>
      <c r="J13" s="455"/>
    </row>
    <row r="14" ht="18" customHeight="1">
      <c r="A14" t="s" s="458">
        <v>13</v>
      </c>
      <c r="B14" s="435"/>
      <c r="C14" s="462">
        <f>SUM(C15:C16)</f>
        <v>9385</v>
      </c>
      <c r="D14" s="460">
        <f>C14/C9</f>
        <v>0.2349972944637542</v>
      </c>
      <c r="E14" s="461"/>
      <c r="F14" t="s" s="458">
        <v>13</v>
      </c>
      <c r="G14" s="435"/>
      <c r="H14" s="462">
        <f>SUM(H15:H17)</f>
        <v>26314.003722666672</v>
      </c>
      <c r="I14" s="463">
        <f>H14/$H$9</f>
        <v>0.6585671145983568</v>
      </c>
      <c r="J14" s="461"/>
    </row>
    <row r="15" ht="18" customHeight="1">
      <c r="A15" t="s" s="475">
        <f>'a.資料輸入_HD現況'!G11</f>
        <v>190</v>
      </c>
      <c r="B15" s="465"/>
      <c r="C15" s="476">
        <f t="shared" si="17" ref="C15:C23">9185</f>
        <v>9185</v>
      </c>
      <c r="D15" s="477"/>
      <c r="E15" s="478"/>
      <c r="F15" t="s" s="464">
        <v>191</v>
      </c>
      <c r="G15" s="465"/>
      <c r="H15" s="469">
        <f>'b.資料輸入_PD'!I51</f>
        <v>923.6666666666666</v>
      </c>
      <c r="I15" s="479"/>
      <c r="J15" s="480"/>
    </row>
    <row r="16" ht="18" customHeight="1">
      <c r="A16" t="s" s="475">
        <f>'a.資料輸入_HD現況'!G12</f>
        <v>192</v>
      </c>
      <c r="B16" s="465"/>
      <c r="C16" s="481">
        <f>200</f>
        <v>200</v>
      </c>
      <c r="D16" s="477"/>
      <c r="E16" s="478"/>
      <c r="F16" t="s" s="464">
        <v>193</v>
      </c>
      <c r="G16" s="482">
        <f>'b.資料輸入_PD'!F68</f>
        <v>0.14</v>
      </c>
      <c r="H16" s="471">
        <f>'b.資料輸入_PD'!I67</f>
        <v>22166.337056</v>
      </c>
      <c r="I16" s="479"/>
      <c r="J16" s="480"/>
    </row>
    <row r="17" ht="18" customHeight="1">
      <c r="A17" s="483"/>
      <c r="B17" s="470"/>
      <c r="C17" s="333"/>
      <c r="D17" s="484"/>
      <c r="E17" s="480"/>
      <c r="F17" t="s" s="464">
        <v>119</v>
      </c>
      <c r="G17" s="465"/>
      <c r="H17" s="473">
        <f>'b.資料輸入_PD'!I72</f>
        <v>3224</v>
      </c>
      <c r="I17" s="479"/>
      <c r="J17" s="480"/>
    </row>
    <row r="18" ht="18" customHeight="1">
      <c r="A18" s="483"/>
      <c r="B18" s="470"/>
      <c r="C18" s="290"/>
      <c r="D18" s="484"/>
      <c r="E18" s="480"/>
      <c r="F18" s="485"/>
      <c r="G18" s="319"/>
      <c r="H18" s="330"/>
      <c r="I18" s="486"/>
      <c r="J18" s="480"/>
    </row>
    <row r="19" ht="18" customHeight="1">
      <c r="A19" t="s" s="458">
        <v>20</v>
      </c>
      <c r="B19" s="435"/>
      <c r="C19" s="462">
        <f>SUM(C20,C22,C25)</f>
        <v>17103</v>
      </c>
      <c r="D19" s="460">
        <f>C19/C9</f>
        <v>0.4282534605448682</v>
      </c>
      <c r="E19" s="461"/>
      <c r="F19" t="s" s="458">
        <v>20</v>
      </c>
      <c r="G19" s="435"/>
      <c r="H19" s="462">
        <f>SUM(H20,H22,H25)</f>
        <v>6325.540512895610</v>
      </c>
      <c r="I19" s="463">
        <f>H19/$H$9</f>
        <v>0.1583108753710592</v>
      </c>
      <c r="J19" s="461"/>
    </row>
    <row r="20" ht="18" customHeight="1">
      <c r="A20" t="s" s="475">
        <f>'a.資料輸入_HD現況'!G15</f>
        <v>194</v>
      </c>
      <c r="B20" s="465"/>
      <c r="C20" s="469">
        <f>799</f>
        <v>799</v>
      </c>
      <c r="D20" s="487"/>
      <c r="E20" s="478"/>
      <c r="F20" t="s" s="464">
        <f>'b.資料輸入_PD'!B90</f>
        <v>195</v>
      </c>
      <c r="G20" s="488"/>
      <c r="H20" s="466">
        <f>'b.資料輸入_PD'!I90</f>
        <v>1904.761904761905</v>
      </c>
      <c r="I20" s="479"/>
      <c r="J20" s="480"/>
    </row>
    <row r="21" ht="18" customHeight="1">
      <c r="A21" t="s" s="475">
        <f>'a.資料輸入_HD現況'!G16</f>
        <v>196</v>
      </c>
      <c r="B21" s="465"/>
      <c r="C21" s="489">
        <v>0</v>
      </c>
      <c r="D21" s="487"/>
      <c r="E21" s="478"/>
      <c r="F21" s="490">
        <f>'b.資料輸入_PD'!E90</f>
        <v>35</v>
      </c>
      <c r="G21" s="491">
        <f>'b.資料輸入_PD'!G90</f>
        <v>800000</v>
      </c>
      <c r="H21" s="161"/>
      <c r="I21" s="486"/>
      <c r="J21" s="480"/>
    </row>
    <row r="22" ht="18" customHeight="1">
      <c r="A22" t="s" s="475">
        <f>'a.資料輸入_HD現況'!G17</f>
        <v>197</v>
      </c>
      <c r="B22" s="465"/>
      <c r="C22" s="471">
        <f>SUM(C23:C24)</f>
        <v>12310</v>
      </c>
      <c r="D22" s="487"/>
      <c r="E22" s="478"/>
      <c r="F22" t="s" s="475">
        <f>'b.資料輸入_PD'!B92</f>
        <v>198</v>
      </c>
      <c r="G22" s="488"/>
      <c r="H22" s="469">
        <f>SUM(H23:H24)</f>
        <v>2422.956128133705</v>
      </c>
      <c r="I22" s="479"/>
      <c r="J22" s="480"/>
    </row>
    <row r="23" ht="18" customHeight="1">
      <c r="A23" t="s" s="492">
        <f>'a.資料輸入_HD現況'!G18</f>
        <v>199</v>
      </c>
      <c r="B23" s="493"/>
      <c r="C23" s="494">
        <f t="shared" si="17"/>
        <v>9185</v>
      </c>
      <c r="D23" s="487"/>
      <c r="E23" s="478"/>
      <c r="F23" t="s" s="492">
        <f>'b.資料輸入_PD'!B94</f>
        <v>200</v>
      </c>
      <c r="G23" s="495"/>
      <c r="H23" s="494">
        <f>'b.資料輸入_PD'!I94</f>
        <v>1114.206128133705</v>
      </c>
      <c r="I23" s="479"/>
      <c r="J23" s="480"/>
    </row>
    <row r="24" ht="18" customHeight="1">
      <c r="A24" t="s" s="496">
        <f>'a.資料輸入_HD現況'!G19</f>
        <v>201</v>
      </c>
      <c r="B24" s="497">
        <v>250</v>
      </c>
      <c r="C24" s="498">
        <f>B24*C12</f>
        <v>3125</v>
      </c>
      <c r="D24" s="487"/>
      <c r="E24" s="478"/>
      <c r="F24" t="s" s="492">
        <f>'b.資料輸入_PD'!B95</f>
        <v>202</v>
      </c>
      <c r="G24" s="495"/>
      <c r="H24" s="494">
        <f>'b.資料輸入_PD'!I95</f>
        <v>1308.75</v>
      </c>
      <c r="I24" s="479"/>
      <c r="J24" s="480"/>
    </row>
    <row r="25" ht="18" customHeight="1">
      <c r="A25" t="s" s="475">
        <f>'a.資料輸入_HD現況'!G21</f>
        <v>203</v>
      </c>
      <c r="B25" s="499"/>
      <c r="C25" s="473">
        <f>3994</f>
        <v>3994</v>
      </c>
      <c r="D25" s="487"/>
      <c r="E25" s="478"/>
      <c r="F25" t="s" s="475">
        <f>'b.資料輸入_PD'!B97</f>
        <v>204</v>
      </c>
      <c r="G25" s="488"/>
      <c r="H25" s="473">
        <f>'b.資料輸入_PD'!I97</f>
        <v>1997.82248</v>
      </c>
      <c r="I25" s="479"/>
      <c r="J25" s="480"/>
    </row>
    <row r="26" ht="13.5" customHeight="1">
      <c r="A26" s="500"/>
      <c r="B26" s="501"/>
      <c r="C26" s="277"/>
      <c r="D26" s="502"/>
      <c r="E26" s="503"/>
      <c r="F26" s="504"/>
      <c r="G26" s="505"/>
      <c r="H26" s="506"/>
      <c r="I26" s="505"/>
      <c r="J26" s="503"/>
    </row>
    <row r="27" ht="27" customHeight="1">
      <c r="A27" t="s" s="507">
        <v>205</v>
      </c>
      <c r="B27" s="508"/>
      <c r="C27" s="509">
        <f>C9-C14-C19</f>
        <v>13448.63</v>
      </c>
      <c r="D27" s="510">
        <f>C27/C9</f>
        <v>0.3367492449913775</v>
      </c>
      <c r="E27" s="511"/>
      <c r="F27" t="s" s="507">
        <v>205</v>
      </c>
      <c r="G27" s="508"/>
      <c r="H27" s="509">
        <f>H9-H14-H19</f>
        <v>7316.905364437725</v>
      </c>
      <c r="I27" s="512">
        <f>H27/$H$9</f>
        <v>0.183122010030584</v>
      </c>
      <c r="J27" s="511"/>
    </row>
  </sheetData>
  <mergeCells count="2">
    <mergeCell ref="A4:E4"/>
    <mergeCell ref="F4:J4"/>
  </mergeCells>
  <conditionalFormatting sqref="G10:G12 F23:G24">
    <cfRule type="cellIs" dxfId="2" priority="1" operator="lessThan" stopIfTrue="1">
      <formula>0</formula>
    </cfRule>
  </conditionalFormatting>
  <pageMargins left="0.787402" right="0.787402" top="0.590551" bottom="0.590551" header="0.511811" footer="0.511811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