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updateLinks="never" autoCompressPictures="0"/>
  <bookViews>
    <workbookView xWindow="0" yWindow="0" windowWidth="28023" windowHeight="16157" tabRatio="910"/>
  </bookViews>
  <sheets>
    <sheet name="Summary" sheetId="136" r:id="rId1"/>
    <sheet name="A vs. pure" sheetId="138" r:id="rId2"/>
    <sheet name="B vs. pure" sheetId="130" r:id="rId3"/>
    <sheet name="C vs. pure" sheetId="137" r:id="rId4"/>
    <sheet name="C vs. A" sheetId="139" r:id="rId5"/>
    <sheet name="Data" sheetId="131" r:id="rId6"/>
  </sheets>
  <externalReferences>
    <externalReference r:id="rId7"/>
  </externalReferences>
  <definedNames>
    <definedName name="__p1" localSheetId="1">'A vs. pure'!Sn</definedName>
    <definedName name="__p1" localSheetId="2">'B vs. pure'!Sn</definedName>
    <definedName name="__p1" localSheetId="4">'C vs. A'!Sn</definedName>
    <definedName name="__p1" localSheetId="3">'C vs. pure'!Sn</definedName>
    <definedName name="__p1" localSheetId="0">Summary!Sn</definedName>
    <definedName name="__p1">Sn</definedName>
    <definedName name="__p2" localSheetId="1">1-'A vs. pure'!Sp</definedName>
    <definedName name="__p2" localSheetId="2">1-'B vs. pure'!Sp</definedName>
    <definedName name="__p2" localSheetId="4">1-'C vs. A'!Sp</definedName>
    <definedName name="__p2" localSheetId="3">1-'C vs. pure'!Sp</definedName>
    <definedName name="__p2" localSheetId="0">1-Summary!Sp</definedName>
    <definedName name="__p2">1-Sp</definedName>
    <definedName name="aLR">'[1]two-level likelihood ratios'!$D$6</definedName>
    <definedName name="ax" localSheetId="1">'[1]two-level likelihood ratios'!#REF!/100</definedName>
    <definedName name="ax" localSheetId="2">'[1]two-level likelihood ratios'!#REF!/100</definedName>
    <definedName name="ax" localSheetId="4">'[1]two-level likelihood ratios'!#REF!/100</definedName>
    <definedName name="ax" localSheetId="3">'[1]two-level likelihood ratios'!#REF!/100</definedName>
    <definedName name="ax" localSheetId="0">'[1]two-level likelihood ratios'!#REF!/100</definedName>
    <definedName name="ax">'[1]two-level likelihood ratios'!#REF!/100</definedName>
    <definedName name="bLR">'[1]two-level likelihood ratios'!$E$6</definedName>
    <definedName name="CI2m">'[1]difference of 2 means'!$C$13</definedName>
    <definedName name="CI2p" localSheetId="1">#REF!</definedName>
    <definedName name="CI2p" localSheetId="2">#REF!</definedName>
    <definedName name="CI2p" localSheetId="4">#REF!</definedName>
    <definedName name="CI2p" localSheetId="3">#REF!</definedName>
    <definedName name="CI2p" localSheetId="0">#REF!</definedName>
    <definedName name="CI2p">#REF!</definedName>
    <definedName name="CILR">'[1]two-level likelihood ratios'!$C$9</definedName>
    <definedName name="CIm">'[1]a mean'!$B$9</definedName>
    <definedName name="CIp">'[1]a proportion or odds'!$C$7</definedName>
    <definedName name="cLR">'[1]two-level likelihood ratios'!$D$7</definedName>
    <definedName name="dfm">'[1]a mean'!$B$7-1</definedName>
    <definedName name="dLR">'[1]two-level likelihood ratios'!$E$7</definedName>
    <definedName name="Epsilon" localSheetId="1">#REF!</definedName>
    <definedName name="Epsilon" localSheetId="4">#REF!</definedName>
    <definedName name="Epsilon" localSheetId="3">#REF!</definedName>
    <definedName name="Epsilon" localSheetId="0">#REF!</definedName>
    <definedName name="Epsilon">#REF!</definedName>
    <definedName name="h" localSheetId="1">'[1]two-level likelihood ratios'!#REF!/100</definedName>
    <definedName name="h" localSheetId="2">'[1]two-level likelihood ratios'!#REF!/100</definedName>
    <definedName name="h" localSheetId="4">'[1]two-level likelihood ratios'!#REF!/100</definedName>
    <definedName name="h" localSheetId="3">'[1]two-level likelihood ratios'!#REF!/100</definedName>
    <definedName name="h" localSheetId="0">'[1]two-level likelihood ratios'!#REF!/100</definedName>
    <definedName name="h">'[1]two-level likelihood ratios'!#REF!/100</definedName>
    <definedName name="L12p" localSheetId="1">#REF!</definedName>
    <definedName name="L12p" localSheetId="2">#REF!</definedName>
    <definedName name="L12p" localSheetId="4">#REF!</definedName>
    <definedName name="L12p" localSheetId="3">#REF!</definedName>
    <definedName name="L12p" localSheetId="0">#REF!</definedName>
    <definedName name="L12p">#REF!</definedName>
    <definedName name="L22p" localSheetId="1">#REF!</definedName>
    <definedName name="L22p" localSheetId="2">#REF!</definedName>
    <definedName name="L22p" localSheetId="4">#REF!</definedName>
    <definedName name="L22p" localSheetId="3">#REF!</definedName>
    <definedName name="L22p" localSheetId="0">#REF!</definedName>
    <definedName name="L22p">#REF!</definedName>
    <definedName name="mean12m">'[1]difference of 2 means'!$C$5</definedName>
    <definedName name="mean22m">'[1]difference of 2 means'!$C$9</definedName>
    <definedName name="meanm">'[1]a mean'!$B$5</definedName>
    <definedName name="n" localSheetId="1">'A vs. pure'!Sn</definedName>
    <definedName name="n" localSheetId="2">'B vs. pure'!Sn</definedName>
    <definedName name="n" localSheetId="4">'C vs. A'!Sn</definedName>
    <definedName name="n" localSheetId="3">'C vs. pure'!Sn</definedName>
    <definedName name="n" localSheetId="0">Summary!Sn</definedName>
    <definedName name="n">Sn</definedName>
    <definedName name="n12m">'[1]difference of 2 means'!$C$7</definedName>
    <definedName name="n12p" localSheetId="1">#REF!</definedName>
    <definedName name="n12p" localSheetId="2">#REF!</definedName>
    <definedName name="n12p" localSheetId="4">#REF!</definedName>
    <definedName name="n12p" localSheetId="3">#REF!</definedName>
    <definedName name="n12p" localSheetId="0">#REF!</definedName>
    <definedName name="n12p">#REF!</definedName>
    <definedName name="n22m">'[1]difference of 2 means'!$C$11</definedName>
    <definedName name="n22p" localSheetId="1">#REF!</definedName>
    <definedName name="n22p" localSheetId="2">#REF!</definedName>
    <definedName name="n22p" localSheetId="4">#REF!</definedName>
    <definedName name="n22p" localSheetId="3">#REF!</definedName>
    <definedName name="n22p" localSheetId="0">#REF!</definedName>
    <definedName name="n22p">#REF!</definedName>
    <definedName name="nLR" localSheetId="0">aLR + bLR + cLR + dLR</definedName>
    <definedName name="nLR">aLR + bLR + cLR + dLR</definedName>
    <definedName name="NLRLR">'[1]two-level likelihood ratios'!$C$15</definedName>
    <definedName name="nm">'[1]a mean'!$B$7</definedName>
    <definedName name="np">'[1]a proportion or odds'!$C$5</definedName>
    <definedName name="ORLR">'[1]two-level likelihood ratios'!$C$16</definedName>
    <definedName name="p12p" localSheetId="1">'A vs. pure'!x12p/'A vs. pure'!n12p</definedName>
    <definedName name="p12p" localSheetId="2">'B vs. pure'!x12p/'B vs. pure'!n12p</definedName>
    <definedName name="p12p" localSheetId="4">'C vs. A'!x12p/'C vs. A'!n12p</definedName>
    <definedName name="p12p" localSheetId="3">'C vs. pure'!x12p/'C vs. pure'!n12p</definedName>
    <definedName name="p12p" localSheetId="0">Summary!x12p/Summary!n12p</definedName>
    <definedName name="p12p">x12p/n12p</definedName>
    <definedName name="p22p" localSheetId="1">'A vs. pure'!x22p/'A vs. pure'!n22p</definedName>
    <definedName name="p22p" localSheetId="2">'B vs. pure'!x22p/'B vs. pure'!n22p</definedName>
    <definedName name="p22p" localSheetId="4">'C vs. A'!x22p/'C vs. A'!n22p</definedName>
    <definedName name="p22p" localSheetId="3">'C vs. pure'!x22p/'C vs. pure'!n22p</definedName>
    <definedName name="p22p" localSheetId="0">Summary!x22p/Summary!n22p</definedName>
    <definedName name="p22p">x22p/n22p</definedName>
    <definedName name="PLRLR">'[1]two-level likelihood ratios'!$C$14</definedName>
    <definedName name="pp" localSheetId="0">xp/np</definedName>
    <definedName name="pp">xp/np</definedName>
    <definedName name="_xlnm.Print_Area" localSheetId="1">'A vs. pure'!$B$6:$K$48</definedName>
    <definedName name="_xlnm.Print_Area" localSheetId="2">'B vs. pure'!$B$6:$K$48</definedName>
    <definedName name="_xlnm.Print_Area" localSheetId="4">'C vs. A'!$B$6:$K$48</definedName>
    <definedName name="_xlnm.Print_Area" localSheetId="3">'C vs. pure'!$B$6:$K$48</definedName>
    <definedName name="_xlnm.Print_Area" localSheetId="0">Summary!$B$2:$G$19</definedName>
    <definedName name="q12p" localSheetId="1">1-'A vs. pure'!p12p</definedName>
    <definedName name="q12p" localSheetId="2">1-'B vs. pure'!p12p</definedName>
    <definedName name="q12p" localSheetId="4">1-'C vs. A'!p12p</definedName>
    <definedName name="q12p" localSheetId="3">1-'C vs. pure'!p12p</definedName>
    <definedName name="q12p" localSheetId="0">1-Summary!p12p</definedName>
    <definedName name="q12p">1-p12p</definedName>
    <definedName name="q22p" localSheetId="1">1-'A vs. pure'!p22p</definedName>
    <definedName name="q22p" localSheetId="2">1-'B vs. pure'!p22p</definedName>
    <definedName name="q22p" localSheetId="4">1-'C vs. A'!p22p</definedName>
    <definedName name="q22p" localSheetId="3">1-'C vs. pure'!p22p</definedName>
    <definedName name="q22p" localSheetId="0">1-Summary!p22p</definedName>
    <definedName name="q22p">1-p22p</definedName>
    <definedName name="qp" localSheetId="0">1-Summary!pp</definedName>
    <definedName name="qp">1-pp</definedName>
    <definedName name="S" localSheetId="1">'[1]two-level likelihood ratios'!#REF!/100</definedName>
    <definedName name="S" localSheetId="2">'[1]two-level likelihood ratios'!#REF!/100</definedName>
    <definedName name="S" localSheetId="4">'[1]two-level likelihood ratios'!#REF!/100</definedName>
    <definedName name="S" localSheetId="3">'[1]two-level likelihood ratios'!#REF!/100</definedName>
    <definedName name="S" localSheetId="0">'[1]two-level likelihood ratios'!#REF!/100</definedName>
    <definedName name="S">'[1]two-level likelihood ratios'!#REF!/100</definedName>
    <definedName name="SD12m">'[1]difference of 2 means'!$C$6</definedName>
    <definedName name="SD22m">'[1]difference of 2 means'!$C$10</definedName>
    <definedName name="SDm">'[1]a mean'!$B$6</definedName>
    <definedName name="SElnOR2p" localSheetId="1">SQRT(1/'A vs. pure'!x12p + 1/('A vs. pure'!n12p-'A vs. pure'!x12p) + 1/'A vs. pure'!x22p + 1/('A vs. pure'!n22p-'A vs. pure'!x22p))</definedName>
    <definedName name="SElnOR2p" localSheetId="2">SQRT(1/'B vs. pure'!x12p + 1/('B vs. pure'!n12p-'B vs. pure'!x12p) + 1/'B vs. pure'!x22p + 1/('B vs. pure'!n22p-'B vs. pure'!x22p))</definedName>
    <definedName name="SElnOR2p" localSheetId="4">SQRT(1/'C vs. A'!x12p + 1/('C vs. A'!n12p-'C vs. A'!x12p) + 1/'C vs. A'!x22p + 1/('C vs. A'!n22p-'C vs. A'!x22p))</definedName>
    <definedName name="SElnOR2p" localSheetId="3">SQRT(1/'C vs. pure'!x12p + 1/('C vs. pure'!n12p-'C vs. pure'!x12p) + 1/'C vs. pure'!x22p + 1/('C vs. pure'!n22p-'C vs. pure'!x22p))</definedName>
    <definedName name="SElnOR2p" localSheetId="0">SQRT(1/Summary!x12p + 1/(Summary!n12p-Summary!x12p) + 1/Summary!x22p + 1/(Summary!n22p-Summary!x22p))</definedName>
    <definedName name="SElnOR2p">SQRT(1/x12p + 1/(n12p-x12p) + 1/x22p + 1/(n22p-x22p))</definedName>
    <definedName name="SElnORLR" localSheetId="0">SQRT(1/aLR + 1/bLR + 1/cLR + 1/dLR)</definedName>
    <definedName name="SElnORLR">SQRT(1/aLR + 1/bLR + 1/cLR + 1/dLR)</definedName>
    <definedName name="SElnRR2p" localSheetId="1">SQRT(1/'A vs. pure'!x12p - 1/'A vs. pure'!n12p + 1/'A vs. pure'!x22p - 1/'A vs. pure'!n22p)</definedName>
    <definedName name="SElnRR2p" localSheetId="2">SQRT(1/'B vs. pure'!x12p - 1/'B vs. pure'!n12p + 1/'B vs. pure'!x22p - 1/'B vs. pure'!n22p)</definedName>
    <definedName name="SElnRR2p" localSheetId="4">SQRT(1/'C vs. A'!x12p - 1/'C vs. A'!n12p + 1/'C vs. A'!x22p - 1/'C vs. A'!n22p)</definedName>
    <definedName name="SElnRR2p" localSheetId="3">SQRT(1/'C vs. pure'!x12p - 1/'C vs. pure'!n12p + 1/'C vs. pure'!x22p - 1/'C vs. pure'!n22p)</definedName>
    <definedName name="SElnRR2p" localSheetId="0">SQRT(1/Summary!x12p - 1/Summary!n12p + 1/Summary!x22p - 1/Summary!n22p)</definedName>
    <definedName name="SElnRR2p">SQRT(1/x12p - 1/n12p + 1/x22p - 1/n22p)</definedName>
    <definedName name="SEm" localSheetId="0">SDm/SQRT(nm)</definedName>
    <definedName name="SEm">SDm/SQRT(nm)</definedName>
    <definedName name="Sn" localSheetId="1">'[1]two-level likelihood ratios'!#REF!/100</definedName>
    <definedName name="Sn" localSheetId="2">'[1]two-level likelihood ratios'!#REF!/100</definedName>
    <definedName name="Sn" localSheetId="4">'[1]two-level likelihood ratios'!#REF!/100</definedName>
    <definedName name="Sn" localSheetId="3">'[1]two-level likelihood ratios'!#REF!/100</definedName>
    <definedName name="Sn" localSheetId="0">'[1]two-level likelihood ratios'!#REF!/100</definedName>
    <definedName name="Sn">'[1]two-level likelihood ratios'!#REF!/100</definedName>
    <definedName name="SnLR">'[1]two-level likelihood ratios'!$C$12</definedName>
    <definedName name="Sp" localSheetId="1">'[1]two-level likelihood ratios'!#REF!/100</definedName>
    <definedName name="Sp" localSheetId="2">'[1]two-level likelihood ratios'!#REF!/100</definedName>
    <definedName name="Sp" localSheetId="4">'[1]two-level likelihood ratios'!#REF!/100</definedName>
    <definedName name="Sp" localSheetId="3">'[1]two-level likelihood ratios'!#REF!/100</definedName>
    <definedName name="Sp" localSheetId="0">'[1]two-level likelihood ratios'!#REF!/100</definedName>
    <definedName name="Sp">'[1]two-level likelihood ratios'!#REF!/100</definedName>
    <definedName name="SpLR">'[1]two-level likelihood ratios'!$C$13</definedName>
    <definedName name="t2m" localSheetId="0">TINV(1-CI2m/100,n12m + n22m -2)</definedName>
    <definedName name="t2m">TINV(1-CI2m/100,n12m + n22m -2)</definedName>
    <definedName name="tm" localSheetId="0">TINV(1-CIm/100,dfm)</definedName>
    <definedName name="tm">TINV(1-CIm/100,dfm)</definedName>
    <definedName name="trueNLR" localSheetId="0">bLR+dLR</definedName>
    <definedName name="trueNLR">bLR+dLR</definedName>
    <definedName name="truePLR" localSheetId="0">aLR+cLR</definedName>
    <definedName name="truePLR">aLR+cLR</definedName>
    <definedName name="U12p" localSheetId="1">#REF!</definedName>
    <definedName name="U12p" localSheetId="2">#REF!</definedName>
    <definedName name="U12p" localSheetId="4">#REF!</definedName>
    <definedName name="U12p" localSheetId="3">#REF!</definedName>
    <definedName name="U12p" localSheetId="0">#REF!</definedName>
    <definedName name="U12p">#REF!</definedName>
    <definedName name="U22p" localSheetId="1">#REF!</definedName>
    <definedName name="U22p" localSheetId="2">#REF!</definedName>
    <definedName name="U22p" localSheetId="4">#REF!</definedName>
    <definedName name="U22p" localSheetId="3">#REF!</definedName>
    <definedName name="U22p" localSheetId="0">#REF!</definedName>
    <definedName name="U22p">#REF!</definedName>
    <definedName name="x" localSheetId="1">'[1]two-level likelihood ratios'!#REF!/100</definedName>
    <definedName name="x" localSheetId="2">'[1]two-level likelihood ratios'!#REF!/100</definedName>
    <definedName name="x" localSheetId="4">'[1]two-level likelihood ratios'!#REF!/100</definedName>
    <definedName name="x" localSheetId="3">'[1]two-level likelihood ratios'!#REF!/100</definedName>
    <definedName name="x" localSheetId="0">'[1]two-level likelihood ratios'!#REF!/100</definedName>
    <definedName name="x">'[1]two-level likelihood ratios'!#REF!/100</definedName>
    <definedName name="x12p" localSheetId="1">#REF!</definedName>
    <definedName name="x12p" localSheetId="2">#REF!</definedName>
    <definedName name="x12p" localSheetId="4">#REF!</definedName>
    <definedName name="x12p" localSheetId="3">#REF!</definedName>
    <definedName name="x12p" localSheetId="0">#REF!</definedName>
    <definedName name="x12p">#REF!</definedName>
    <definedName name="x22p" localSheetId="1">#REF!</definedName>
    <definedName name="x22p" localSheetId="2">#REF!</definedName>
    <definedName name="x22p" localSheetId="4">#REF!</definedName>
    <definedName name="x22p" localSheetId="3">#REF!</definedName>
    <definedName name="x22p" localSheetId="0">#REF!</definedName>
    <definedName name="x22p">#REF!</definedName>
    <definedName name="xp">'[1]a proportion or odds'!$C$4</definedName>
    <definedName name="xu" localSheetId="1">'[1]two-level likelihood ratios'!#REF!/100</definedName>
    <definedName name="xu" localSheetId="2">'[1]two-level likelihood ratios'!#REF!/100</definedName>
    <definedName name="xu" localSheetId="4">'[1]two-level likelihood ratios'!#REF!/100</definedName>
    <definedName name="xu" localSheetId="3">'[1]two-level likelihood ratios'!#REF!/100</definedName>
    <definedName name="xu" localSheetId="0">'[1]two-level likelihood ratios'!#REF!/100</definedName>
    <definedName name="xu">'[1]two-level likelihood ratios'!#REF!/100</definedName>
    <definedName name="Z" localSheetId="1">'A vs. pure'!$O$8</definedName>
    <definedName name="Z" localSheetId="2">'B vs. pure'!$O$8</definedName>
    <definedName name="Z" localSheetId="4">'C vs. A'!$O$8</definedName>
    <definedName name="Z" localSheetId="3">'C vs. pure'!$O$8</definedName>
    <definedName name="Z" localSheetId="0">#REF!</definedName>
    <definedName name="Z">#REF!</definedName>
    <definedName name="z2p" localSheetId="1">-NORMSINV((1 - 'A vs. pure'!CI2p/100)/2)</definedName>
    <definedName name="z2p" localSheetId="2">-NORMSINV((1 - 'B vs. pure'!CI2p/100)/2)</definedName>
    <definedName name="z2p" localSheetId="4">-NORMSINV((1 - 'C vs. A'!CI2p/100)/2)</definedName>
    <definedName name="z2p" localSheetId="3">-NORMSINV((1 - 'C vs. pure'!CI2p/100)/2)</definedName>
    <definedName name="z2p" localSheetId="0">-NORMSINV((1 - Summary!CI2p/100)/2)</definedName>
    <definedName name="z2p">-NORMSINV((1 - CI2p/100)/2)</definedName>
    <definedName name="zLR" localSheetId="0">-NORMSINV((1 - CILR/100)/2)</definedName>
    <definedName name="zLR">-NORMSINV((1 - CILR/100)/2)</definedName>
    <definedName name="zp" localSheetId="0">-NORMSINV((1 - CIp/100)/2)</definedName>
    <definedName name="zp">-NORMSINV((1 - CIp/100)/2)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139" l="1"/>
  <c r="B33" i="139"/>
  <c r="B9" i="139"/>
  <c r="O8" i="139"/>
  <c r="B6" i="139"/>
  <c r="B40" i="138" l="1"/>
  <c r="B33" i="138"/>
  <c r="B9" i="138"/>
  <c r="O8" i="138"/>
  <c r="B6" i="138"/>
  <c r="B40" i="137"/>
  <c r="B33" i="137"/>
  <c r="B9" i="137"/>
  <c r="O8" i="137"/>
  <c r="B6" i="137"/>
  <c r="E18" i="130" l="1"/>
  <c r="E20" i="130"/>
  <c r="E16" i="130"/>
  <c r="E14" i="130"/>
  <c r="D24" i="130"/>
  <c r="E13" i="130"/>
  <c r="D25" i="130" l="1"/>
  <c r="E13" i="139"/>
  <c r="D27" i="139" s="1"/>
  <c r="E13" i="137"/>
  <c r="D27" i="137" s="1"/>
  <c r="D24" i="139"/>
  <c r="D24" i="137"/>
  <c r="E14" i="139"/>
  <c r="E14" i="137"/>
  <c r="E16" i="139"/>
  <c r="E16" i="137"/>
  <c r="E20" i="139"/>
  <c r="E20" i="137"/>
  <c r="E18" i="139"/>
  <c r="E18" i="137"/>
  <c r="N19" i="137" l="1"/>
  <c r="E19" i="137"/>
  <c r="M19" i="137"/>
  <c r="N19" i="139"/>
  <c r="E19" i="139"/>
  <c r="M19" i="139"/>
  <c r="N21" i="137"/>
  <c r="M21" i="137"/>
  <c r="E21" i="137"/>
  <c r="N21" i="139"/>
  <c r="M21" i="139"/>
  <c r="E21" i="139"/>
  <c r="N17" i="137"/>
  <c r="E17" i="137"/>
  <c r="M17" i="137"/>
  <c r="N17" i="139"/>
  <c r="E17" i="139"/>
  <c r="M17" i="139"/>
  <c r="N15" i="137"/>
  <c r="E15" i="137"/>
  <c r="M15" i="137"/>
  <c r="N15" i="139"/>
  <c r="E15" i="139"/>
  <c r="M15" i="139"/>
  <c r="D25" i="137"/>
  <c r="E24" i="137"/>
  <c r="F24" i="137" s="1"/>
  <c r="E24" i="139"/>
  <c r="F24" i="139" s="1"/>
  <c r="F27" i="137"/>
  <c r="E27" i="137"/>
  <c r="F27" i="139"/>
  <c r="E27" i="139"/>
  <c r="D24" i="138"/>
  <c r="D25" i="139"/>
  <c r="B5" i="136"/>
  <c r="B9" i="130"/>
  <c r="B40" i="130"/>
  <c r="B33" i="130"/>
  <c r="D26" i="130"/>
  <c r="E15" i="130"/>
  <c r="D14" i="130"/>
  <c r="D13" i="130"/>
  <c r="D15" i="130"/>
  <c r="F15" i="130"/>
  <c r="O8" i="130"/>
  <c r="N14" i="130"/>
  <c r="M15" i="130"/>
  <c r="P14" i="130"/>
  <c r="P15" i="130"/>
  <c r="M14" i="130"/>
  <c r="N15" i="130"/>
  <c r="O14" i="130"/>
  <c r="O15" i="130"/>
  <c r="H15" i="130"/>
  <c r="I15" i="130"/>
  <c r="D29" i="130"/>
  <c r="D28" i="130"/>
  <c r="D27" i="130"/>
  <c r="D30" i="130"/>
  <c r="D38" i="130"/>
  <c r="D36" i="130"/>
  <c r="D37" i="130"/>
  <c r="D39" i="130"/>
  <c r="D45" i="130"/>
  <c r="E38" i="130"/>
  <c r="E36" i="130"/>
  <c r="E29" i="130"/>
  <c r="E28" i="130"/>
  <c r="E27" i="130"/>
  <c r="E30" i="130"/>
  <c r="E37" i="130"/>
  <c r="E39" i="130"/>
  <c r="E45" i="130"/>
  <c r="E26" i="130"/>
  <c r="E25" i="130"/>
  <c r="D20" i="130"/>
  <c r="D18" i="130"/>
  <c r="D16" i="130"/>
  <c r="E24" i="130"/>
  <c r="F24" i="130"/>
  <c r="F26" i="130"/>
  <c r="F25" i="130"/>
  <c r="J15" i="130"/>
  <c r="F29" i="130"/>
  <c r="F28" i="130"/>
  <c r="F27" i="130"/>
  <c r="F30" i="130"/>
  <c r="F38" i="130"/>
  <c r="F36" i="130"/>
  <c r="F37" i="130"/>
  <c r="F39" i="130"/>
  <c r="F45" i="130"/>
  <c r="E19" i="130"/>
  <c r="D19" i="130"/>
  <c r="F19" i="130"/>
  <c r="N18" i="130"/>
  <c r="M19" i="130"/>
  <c r="P18" i="130"/>
  <c r="P19" i="130"/>
  <c r="M18" i="130"/>
  <c r="N19" i="130"/>
  <c r="O18" i="130"/>
  <c r="O19" i="130"/>
  <c r="H19" i="130"/>
  <c r="J19" i="130"/>
  <c r="I19" i="130"/>
  <c r="K15" i="130"/>
  <c r="K2" i="130"/>
  <c r="E17" i="130"/>
  <c r="D17" i="130"/>
  <c r="M16" i="130"/>
  <c r="N17" i="130"/>
  <c r="O16" i="130"/>
  <c r="O17" i="130"/>
  <c r="N16" i="130"/>
  <c r="M17" i="130"/>
  <c r="P16" i="130"/>
  <c r="P17" i="130"/>
  <c r="K17" i="130"/>
  <c r="K3" i="130"/>
  <c r="K19" i="130"/>
  <c r="L2" i="130"/>
  <c r="E21" i="130"/>
  <c r="D21" i="130"/>
  <c r="M20" i="130"/>
  <c r="N21" i="130"/>
  <c r="O20" i="130"/>
  <c r="O21" i="130"/>
  <c r="N20" i="130"/>
  <c r="M21" i="130"/>
  <c r="P20" i="130"/>
  <c r="P21" i="130"/>
  <c r="K21" i="130"/>
  <c r="L3" i="130"/>
  <c r="C4" i="130"/>
  <c r="F21" i="130"/>
  <c r="H21" i="130"/>
  <c r="J21" i="130"/>
  <c r="I21" i="130"/>
  <c r="G21" i="130"/>
  <c r="G19" i="130"/>
  <c r="F17" i="130"/>
  <c r="H17" i="130"/>
  <c r="J17" i="130"/>
  <c r="I17" i="130"/>
  <c r="G17" i="130"/>
  <c r="G15" i="130"/>
  <c r="B6" i="130"/>
  <c r="D26" i="139" l="1"/>
  <c r="E26" i="139" s="1"/>
  <c r="F26" i="139" s="1"/>
  <c r="E25" i="139"/>
  <c r="F25" i="139" s="1"/>
  <c r="D13" i="138"/>
  <c r="D13" i="137"/>
  <c r="D13" i="139"/>
  <c r="E13" i="138"/>
  <c r="D27" i="138" s="1"/>
  <c r="D25" i="138"/>
  <c r="E24" i="138"/>
  <c r="F24" i="138" s="1"/>
  <c r="D14" i="139"/>
  <c r="E14" i="138"/>
  <c r="D16" i="139"/>
  <c r="E16" i="138"/>
  <c r="D20" i="139"/>
  <c r="E20" i="138"/>
  <c r="D18" i="139"/>
  <c r="E18" i="138"/>
  <c r="D31" i="139"/>
  <c r="D38" i="139"/>
  <c r="E38" i="139" s="1"/>
  <c r="F38" i="139" s="1"/>
  <c r="D36" i="139"/>
  <c r="D43" i="139"/>
  <c r="D45" i="139"/>
  <c r="D14" i="138"/>
  <c r="D14" i="137"/>
  <c r="D16" i="138"/>
  <c r="D16" i="137"/>
  <c r="D20" i="138"/>
  <c r="D20" i="137"/>
  <c r="D18" i="138"/>
  <c r="D18" i="137"/>
  <c r="D31" i="138"/>
  <c r="D31" i="137"/>
  <c r="D31" i="130"/>
  <c r="D38" i="138"/>
  <c r="E38" i="138" s="1"/>
  <c r="F38" i="138" s="1"/>
  <c r="D38" i="137"/>
  <c r="E38" i="137" s="1"/>
  <c r="F38" i="137" s="1"/>
  <c r="D36" i="138"/>
  <c r="D36" i="137"/>
  <c r="D43" i="138"/>
  <c r="D43" i="137"/>
  <c r="D43" i="130"/>
  <c r="D45" i="138"/>
  <c r="D45" i="137"/>
  <c r="D26" i="137"/>
  <c r="E26" i="137" s="1"/>
  <c r="E25" i="137"/>
  <c r="E12" i="136"/>
  <c r="F25" i="137" l="1"/>
  <c r="E9" i="136"/>
  <c r="E10" i="136"/>
  <c r="F26" i="137"/>
  <c r="E45" i="137"/>
  <c r="F45" i="137"/>
  <c r="E45" i="138"/>
  <c r="F45" i="138"/>
  <c r="D44" i="130"/>
  <c r="D46" i="130" s="1"/>
  <c r="E43" i="130"/>
  <c r="E44" i="130" s="1"/>
  <c r="E46" i="130" s="1"/>
  <c r="F43" i="130"/>
  <c r="F44" i="130" s="1"/>
  <c r="F46" i="130" s="1"/>
  <c r="E43" i="137"/>
  <c r="F43" i="137"/>
  <c r="E43" i="138"/>
  <c r="F43" i="138"/>
  <c r="E36" i="137"/>
  <c r="F36" i="137"/>
  <c r="E36" i="138"/>
  <c r="F36" i="138"/>
  <c r="D32" i="130"/>
  <c r="E31" i="130"/>
  <c r="E32" i="130" s="1"/>
  <c r="F31" i="130"/>
  <c r="F32" i="130" s="1"/>
  <c r="E31" i="137"/>
  <c r="F31" i="137"/>
  <c r="E31" i="138"/>
  <c r="F31" i="138"/>
  <c r="D19" i="137"/>
  <c r="M18" i="137"/>
  <c r="O18" i="137" s="1"/>
  <c r="N18" i="137"/>
  <c r="P18" i="137" s="1"/>
  <c r="D19" i="138"/>
  <c r="M18" i="138"/>
  <c r="N18" i="138"/>
  <c r="D21" i="137"/>
  <c r="N20" i="137"/>
  <c r="P20" i="137" s="1"/>
  <c r="M20" i="137"/>
  <c r="O20" i="137" s="1"/>
  <c r="D21" i="138"/>
  <c r="N20" i="138"/>
  <c r="M20" i="138"/>
  <c r="D17" i="137"/>
  <c r="M16" i="137"/>
  <c r="O16" i="137" s="1"/>
  <c r="N16" i="137"/>
  <c r="P16" i="137" s="1"/>
  <c r="D17" i="138"/>
  <c r="M16" i="138"/>
  <c r="N16" i="138"/>
  <c r="D15" i="137"/>
  <c r="M14" i="137"/>
  <c r="O14" i="137" s="1"/>
  <c r="N14" i="137"/>
  <c r="P14" i="137" s="1"/>
  <c r="D15" i="138"/>
  <c r="M14" i="138"/>
  <c r="N14" i="138"/>
  <c r="E45" i="139"/>
  <c r="F45" i="139"/>
  <c r="E43" i="139"/>
  <c r="F43" i="139"/>
  <c r="E36" i="139"/>
  <c r="F36" i="139"/>
  <c r="E31" i="139"/>
  <c r="F31" i="139"/>
  <c r="N19" i="138"/>
  <c r="E19" i="138"/>
  <c r="M19" i="138"/>
  <c r="P18" i="138" s="1"/>
  <c r="D19" i="139"/>
  <c r="M18" i="139"/>
  <c r="O18" i="139" s="1"/>
  <c r="N18" i="139"/>
  <c r="P18" i="139" s="1"/>
  <c r="N21" i="138"/>
  <c r="M21" i="138"/>
  <c r="E21" i="138"/>
  <c r="D21" i="139"/>
  <c r="N20" i="139"/>
  <c r="P20" i="139" s="1"/>
  <c r="M20" i="139"/>
  <c r="O20" i="139" s="1"/>
  <c r="N17" i="138"/>
  <c r="E17" i="138"/>
  <c r="M17" i="138"/>
  <c r="P16" i="138" s="1"/>
  <c r="D17" i="139"/>
  <c r="M16" i="139"/>
  <c r="O16" i="139" s="1"/>
  <c r="N16" i="139"/>
  <c r="P16" i="139" s="1"/>
  <c r="N15" i="138"/>
  <c r="E15" i="138"/>
  <c r="M15" i="138"/>
  <c r="P14" i="138" s="1"/>
  <c r="D15" i="139"/>
  <c r="M14" i="139"/>
  <c r="O14" i="139" s="1"/>
  <c r="N14" i="139"/>
  <c r="P14" i="139" s="1"/>
  <c r="D26" i="138"/>
  <c r="E26" i="138" s="1"/>
  <c r="E25" i="138"/>
  <c r="F27" i="138"/>
  <c r="E27" i="138"/>
  <c r="F25" i="138" l="1"/>
  <c r="D9" i="136"/>
  <c r="D10" i="136"/>
  <c r="F26" i="138"/>
  <c r="D28" i="139"/>
  <c r="E28" i="139" s="1"/>
  <c r="F28" i="139" s="1"/>
  <c r="P15" i="139"/>
  <c r="O15" i="139"/>
  <c r="K15" i="139" s="1"/>
  <c r="K2" i="139" s="1"/>
  <c r="G15" i="139"/>
  <c r="F15" i="139"/>
  <c r="D12" i="136"/>
  <c r="P15" i="138"/>
  <c r="G15" i="138"/>
  <c r="F15" i="138"/>
  <c r="P17" i="139"/>
  <c r="O17" i="139"/>
  <c r="K17" i="139" s="1"/>
  <c r="K3" i="139" s="1"/>
  <c r="G17" i="139"/>
  <c r="F17" i="139"/>
  <c r="P17" i="138"/>
  <c r="G17" i="138"/>
  <c r="F17" i="138"/>
  <c r="P21" i="139"/>
  <c r="O21" i="139"/>
  <c r="K21" i="139" s="1"/>
  <c r="L3" i="139" s="1"/>
  <c r="G21" i="139"/>
  <c r="F21" i="139"/>
  <c r="G21" i="138"/>
  <c r="F21" i="138"/>
  <c r="P19" i="139"/>
  <c r="O19" i="139"/>
  <c r="K19" i="139" s="1"/>
  <c r="L2" i="139" s="1"/>
  <c r="G19" i="139"/>
  <c r="F19" i="139"/>
  <c r="P19" i="138"/>
  <c r="G19" i="138"/>
  <c r="F19" i="138"/>
  <c r="O14" i="138"/>
  <c r="O15" i="138" s="1"/>
  <c r="K15" i="138" s="1"/>
  <c r="K2" i="138" s="1"/>
  <c r="D28" i="138"/>
  <c r="E28" i="138" s="1"/>
  <c r="F28" i="138" s="1"/>
  <c r="C12" i="136"/>
  <c r="D28" i="137"/>
  <c r="E28" i="137" s="1"/>
  <c r="F28" i="137" s="1"/>
  <c r="P15" i="137"/>
  <c r="O15" i="137"/>
  <c r="K15" i="137" s="1"/>
  <c r="K2" i="137" s="1"/>
  <c r="G15" i="137"/>
  <c r="F15" i="137"/>
  <c r="O16" i="138"/>
  <c r="O17" i="138" s="1"/>
  <c r="K17" i="138" s="1"/>
  <c r="K3" i="138" s="1"/>
  <c r="P17" i="137"/>
  <c r="O17" i="137"/>
  <c r="K17" i="137" s="1"/>
  <c r="K3" i="137" s="1"/>
  <c r="G17" i="137"/>
  <c r="F17" i="137"/>
  <c r="O20" i="138"/>
  <c r="O21" i="138" s="1"/>
  <c r="P20" i="138"/>
  <c r="P21" i="138" s="1"/>
  <c r="H21" i="138" s="1"/>
  <c r="J21" i="138" s="1"/>
  <c r="P21" i="137"/>
  <c r="O21" i="137"/>
  <c r="K21" i="137" s="1"/>
  <c r="L3" i="137" s="1"/>
  <c r="G21" i="137"/>
  <c r="F21" i="137"/>
  <c r="O18" i="138"/>
  <c r="O19" i="138" s="1"/>
  <c r="K19" i="138" s="1"/>
  <c r="L2" i="138" s="1"/>
  <c r="P19" i="137"/>
  <c r="O19" i="137"/>
  <c r="K19" i="137" s="1"/>
  <c r="L2" i="137" s="1"/>
  <c r="G19" i="137"/>
  <c r="F19" i="137"/>
  <c r="F33" i="130"/>
  <c r="F50" i="130"/>
  <c r="F49" i="130"/>
  <c r="F41" i="130"/>
  <c r="F34" i="130"/>
  <c r="E33" i="130"/>
  <c r="E50" i="130"/>
  <c r="E49" i="130"/>
  <c r="E41" i="130"/>
  <c r="E34" i="130"/>
  <c r="D33" i="130"/>
  <c r="D50" i="130"/>
  <c r="D49" i="130"/>
  <c r="D41" i="130"/>
  <c r="D34" i="130"/>
  <c r="E22" i="136"/>
  <c r="G10" i="136"/>
  <c r="F10" i="136"/>
  <c r="G9" i="136"/>
  <c r="F9" i="136"/>
  <c r="K21" i="138" l="1"/>
  <c r="L3" i="138" s="1"/>
  <c r="C4" i="138"/>
  <c r="D40" i="130"/>
  <c r="D48" i="130" s="1"/>
  <c r="D47" i="130"/>
  <c r="E40" i="130"/>
  <c r="E48" i="130" s="1"/>
  <c r="E47" i="130"/>
  <c r="F40" i="130"/>
  <c r="F48" i="130" s="1"/>
  <c r="F47" i="130"/>
  <c r="H19" i="137"/>
  <c r="J19" i="137" s="1"/>
  <c r="H21" i="137"/>
  <c r="J21" i="137" s="1"/>
  <c r="H17" i="137"/>
  <c r="J17" i="137" s="1"/>
  <c r="E13" i="136"/>
  <c r="E29" i="137"/>
  <c r="E30" i="137" s="1"/>
  <c r="C4" i="137"/>
  <c r="H15" i="137"/>
  <c r="J15" i="137" s="1"/>
  <c r="F29" i="137" s="1"/>
  <c r="F30" i="137" s="1"/>
  <c r="H19" i="138"/>
  <c r="J19" i="138" s="1"/>
  <c r="H19" i="139"/>
  <c r="J19" i="139" s="1"/>
  <c r="I21" i="138"/>
  <c r="H21" i="139"/>
  <c r="J21" i="139" s="1"/>
  <c r="H17" i="138"/>
  <c r="J17" i="138" s="1"/>
  <c r="H17" i="139"/>
  <c r="J17" i="139" s="1"/>
  <c r="D13" i="136"/>
  <c r="E29" i="138"/>
  <c r="E30" i="138" s="1"/>
  <c r="H15" i="138"/>
  <c r="J15" i="138" s="1"/>
  <c r="F29" i="138" s="1"/>
  <c r="F30" i="138" s="1"/>
  <c r="G12" i="136"/>
  <c r="F12" i="136"/>
  <c r="E29" i="139"/>
  <c r="E30" i="139" s="1"/>
  <c r="C4" i="139"/>
  <c r="H15" i="139"/>
  <c r="J15" i="139" s="1"/>
  <c r="F29" i="139" s="1"/>
  <c r="F30" i="139" s="1"/>
  <c r="D22" i="136"/>
  <c r="F22" i="136" s="1"/>
  <c r="F32" i="139" l="1"/>
  <c r="F37" i="139"/>
  <c r="F39" i="139" s="1"/>
  <c r="F44" i="139"/>
  <c r="F46" i="139" s="1"/>
  <c r="I15" i="139"/>
  <c r="D29" i="139" s="1"/>
  <c r="D30" i="139" s="1"/>
  <c r="E32" i="139"/>
  <c r="E37" i="139"/>
  <c r="E39" i="139" s="1"/>
  <c r="E44" i="139"/>
  <c r="E46" i="139" s="1"/>
  <c r="F32" i="138"/>
  <c r="F37" i="138"/>
  <c r="F39" i="138" s="1"/>
  <c r="F44" i="138"/>
  <c r="F46" i="138" s="1"/>
  <c r="I15" i="138"/>
  <c r="D29" i="138" s="1"/>
  <c r="D30" i="138" s="1"/>
  <c r="E32" i="138"/>
  <c r="E37" i="138"/>
  <c r="E39" i="138" s="1"/>
  <c r="E44" i="138"/>
  <c r="E46" i="138" s="1"/>
  <c r="I17" i="139"/>
  <c r="I17" i="138"/>
  <c r="I21" i="139"/>
  <c r="I19" i="139"/>
  <c r="I19" i="138"/>
  <c r="F32" i="137"/>
  <c r="F37" i="137"/>
  <c r="F39" i="137" s="1"/>
  <c r="F44" i="137"/>
  <c r="F46" i="137" s="1"/>
  <c r="I15" i="137"/>
  <c r="D29" i="137" s="1"/>
  <c r="D30" i="137" s="1"/>
  <c r="E32" i="137"/>
  <c r="E37" i="137"/>
  <c r="E39" i="137" s="1"/>
  <c r="E44" i="137"/>
  <c r="E46" i="137" s="1"/>
  <c r="F13" i="136"/>
  <c r="G13" i="136" s="1"/>
  <c r="I17" i="137"/>
  <c r="I21" i="137"/>
  <c r="I19" i="137"/>
  <c r="E15" i="136" l="1"/>
  <c r="E14" i="136"/>
  <c r="E50" i="137"/>
  <c r="E49" i="137"/>
  <c r="E41" i="137"/>
  <c r="E34" i="137"/>
  <c r="E33" i="137"/>
  <c r="D32" i="137"/>
  <c r="D37" i="137"/>
  <c r="D39" i="137" s="1"/>
  <c r="D44" i="137"/>
  <c r="D46" i="137" s="1"/>
  <c r="F50" i="137"/>
  <c r="F49" i="137"/>
  <c r="F41" i="137"/>
  <c r="F34" i="137"/>
  <c r="F33" i="137"/>
  <c r="D15" i="136"/>
  <c r="D14" i="136"/>
  <c r="D16" i="136" s="1"/>
  <c r="D18" i="136" s="1"/>
  <c r="E50" i="138"/>
  <c r="E49" i="138"/>
  <c r="E41" i="138"/>
  <c r="E34" i="138"/>
  <c r="E33" i="138"/>
  <c r="D32" i="138"/>
  <c r="D37" i="138"/>
  <c r="D39" i="138" s="1"/>
  <c r="D44" i="138"/>
  <c r="D46" i="138" s="1"/>
  <c r="F50" i="138"/>
  <c r="F49" i="138"/>
  <c r="F41" i="138"/>
  <c r="F34" i="138"/>
  <c r="F33" i="138"/>
  <c r="E50" i="139"/>
  <c r="E49" i="139"/>
  <c r="E41" i="139"/>
  <c r="E34" i="139"/>
  <c r="E33" i="139"/>
  <c r="D32" i="139"/>
  <c r="D37" i="139"/>
  <c r="D39" i="139" s="1"/>
  <c r="D44" i="139"/>
  <c r="D46" i="139" s="1"/>
  <c r="F50" i="139"/>
  <c r="F49" i="139"/>
  <c r="F41" i="139"/>
  <c r="F34" i="139"/>
  <c r="F33" i="139"/>
  <c r="F47" i="139" l="1"/>
  <c r="F40" i="139"/>
  <c r="F48" i="139" s="1"/>
  <c r="D50" i="139"/>
  <c r="D49" i="139"/>
  <c r="D41" i="139"/>
  <c r="D34" i="139"/>
  <c r="D33" i="139"/>
  <c r="E47" i="139"/>
  <c r="E40" i="139"/>
  <c r="E48" i="139" s="1"/>
  <c r="F47" i="138"/>
  <c r="F40" i="138"/>
  <c r="F48" i="138" s="1"/>
  <c r="D50" i="138"/>
  <c r="D49" i="138"/>
  <c r="D41" i="138"/>
  <c r="D34" i="138"/>
  <c r="D33" i="138"/>
  <c r="E47" i="138"/>
  <c r="E40" i="138"/>
  <c r="E48" i="138" s="1"/>
  <c r="F47" i="137"/>
  <c r="F40" i="137"/>
  <c r="F48" i="137" s="1"/>
  <c r="D50" i="137"/>
  <c r="D49" i="137"/>
  <c r="D41" i="137"/>
  <c r="D34" i="137"/>
  <c r="D33" i="137"/>
  <c r="E47" i="137"/>
  <c r="E40" i="137"/>
  <c r="E48" i="137" s="1"/>
  <c r="E16" i="136"/>
  <c r="G14" i="136"/>
  <c r="F14" i="136"/>
  <c r="G15" i="136"/>
  <c r="F15" i="136"/>
  <c r="G16" i="136" l="1"/>
  <c r="F16" i="136"/>
  <c r="E18" i="136"/>
  <c r="D47" i="137"/>
  <c r="D40" i="137"/>
  <c r="D48" i="137" s="1"/>
  <c r="E19" i="136" s="1"/>
  <c r="D47" i="138"/>
  <c r="D40" i="138"/>
  <c r="D48" i="138" s="1"/>
  <c r="D19" i="136" s="1"/>
  <c r="D47" i="139"/>
  <c r="D40" i="139"/>
  <c r="D48" i="139" s="1"/>
  <c r="G19" i="136" l="1"/>
  <c r="F19" i="136"/>
  <c r="F18" i="136"/>
  <c r="F23" i="136" s="1"/>
  <c r="G18" i="136"/>
</calcChain>
</file>

<file path=xl/sharedStrings.xml><?xml version="1.0" encoding="utf-8"?>
<sst xmlns="http://schemas.openxmlformats.org/spreadsheetml/2006/main" count="461" uniqueCount="147">
  <si>
    <t>CARS</t>
  </si>
  <si>
    <t>PACKAGES</t>
  </si>
  <si>
    <t>HOTELS</t>
  </si>
  <si>
    <t>LOW_CONVERTING</t>
  </si>
  <si>
    <t>FLIGHTS</t>
  </si>
  <si>
    <t>pure_group_type</t>
  </si>
  <si>
    <t>Booking Rate</t>
  </si>
  <si>
    <t>UV Booking Rate % Delta</t>
  </si>
  <si>
    <t>% Delta</t>
  </si>
  <si>
    <t>Bps</t>
  </si>
  <si>
    <t>CI % +/-</t>
  </si>
  <si>
    <t>CI % Low</t>
  </si>
  <si>
    <t>CI % High</t>
  </si>
  <si>
    <t>Sig?</t>
  </si>
  <si>
    <t>UVs Booked</t>
  </si>
  <si>
    <t>Lower CI</t>
  </si>
  <si>
    <t>Mean</t>
  </si>
  <si>
    <t>Upper CI</t>
  </si>
  <si>
    <t>Media</t>
  </si>
  <si>
    <t>Non-Pure Unique Visitors</t>
  </si>
  <si>
    <t>Pure UV Booking Rate</t>
  </si>
  <si>
    <t>Non-Pure UV Bookings Lost</t>
  </si>
  <si>
    <t>Gross Profit / Booking</t>
  </si>
  <si>
    <t>Hotel Attach Rate %</t>
  </si>
  <si>
    <t>Attached Hotel Bookings Lost</t>
  </si>
  <si>
    <t>Gross Profit / Transaction</t>
  </si>
  <si>
    <t>Expedia</t>
  </si>
  <si>
    <t>Ads for Travel Media &amp; Transaction Performance</t>
  </si>
  <si>
    <t>Dates:</t>
  </si>
  <si>
    <t>Significant Products:</t>
  </si>
  <si>
    <t>Publisher:</t>
  </si>
  <si>
    <t>Higher CI</t>
  </si>
  <si>
    <t>Confidence Interval</t>
  </si>
  <si>
    <t>CI Low</t>
  </si>
  <si>
    <t>CI High</t>
  </si>
  <si>
    <t>Significant?</t>
  </si>
  <si>
    <t>Hotel attach impact</t>
  </si>
  <si>
    <t>Flights impact</t>
  </si>
  <si>
    <t>Ads for Travel P&amp;L</t>
  </si>
  <si>
    <t>P&amp;L Statement</t>
  </si>
  <si>
    <t>EXPEDIA</t>
  </si>
  <si>
    <t>Z-Value</t>
  </si>
  <si>
    <t>Insuarance attach impact</t>
  </si>
  <si>
    <t>Insurance Attach rate %</t>
  </si>
  <si>
    <t>MM - FLIGHTS + HOTEL ATTACH ONLY</t>
  </si>
  <si>
    <t xml:space="preserve"> </t>
  </si>
  <si>
    <t>Incremental MM - FLIGHTS ONLY</t>
  </si>
  <si>
    <t>Incremental MM - FLIGHTS + INSURANCE ATTACH ONLY</t>
  </si>
  <si>
    <t>Incremental MM - FLIGHTS + HOTEL + INSURANCE</t>
  </si>
  <si>
    <t>Pure</t>
  </si>
  <si>
    <t>HIGH_CONVERTING</t>
  </si>
  <si>
    <t>DIRTY</t>
  </si>
  <si>
    <t>experiment_name</t>
  </si>
  <si>
    <t>publisher_type</t>
  </si>
  <si>
    <t>data_start_date_inclusive</t>
  </si>
  <si>
    <t>data_end_date_inclusive</t>
  </si>
  <si>
    <t>mvt_value</t>
  </si>
  <si>
    <t>user_segmentation_type</t>
  </si>
  <si>
    <t>number_users_total</t>
  </si>
  <si>
    <t>number_ad_calls_flights</t>
  </si>
  <si>
    <t>net_media_revenue</t>
  </si>
  <si>
    <t>number_served_ad_calls_flights</t>
  </si>
  <si>
    <t>has_conversion_flights</t>
  </si>
  <si>
    <t>has_conversion_hotels</t>
  </si>
  <si>
    <t>has_conversion_cars</t>
  </si>
  <si>
    <t>has_conversion_packages</t>
  </si>
  <si>
    <t>has_conversion_total</t>
  </si>
  <si>
    <t>number_conversions_flights</t>
  </si>
  <si>
    <t>number_conversions_hotels</t>
  </si>
  <si>
    <t>number_conversions_cars</t>
  </si>
  <si>
    <t>number_conversions_packages</t>
  </si>
  <si>
    <t>number_conversions_total</t>
  </si>
  <si>
    <t>net_value_conversions_flights</t>
  </si>
  <si>
    <t>net_value_conversions_hotels</t>
  </si>
  <si>
    <t>net_value_conversions_cars</t>
  </si>
  <si>
    <t>net_value_conversions_packages</t>
  </si>
  <si>
    <t>net_value_conversions_total</t>
  </si>
  <si>
    <t>number_flight_attach_conversions_flights</t>
  </si>
  <si>
    <t>number_flight_attach_conversions_hotels</t>
  </si>
  <si>
    <t>number_flight_attach_conversions_cars</t>
  </si>
  <si>
    <t>number_flight_attach_conversions_packages</t>
  </si>
  <si>
    <t>number_flight_attach_conversions_total</t>
  </si>
  <si>
    <t>number_hotel_attach_conversions_flights</t>
  </si>
  <si>
    <t>number_hotel_attach_conversions_hotels</t>
  </si>
  <si>
    <t>number_hotel_attach_conversions_cars</t>
  </si>
  <si>
    <t>number_hotel_attach_conversions_packages</t>
  </si>
  <si>
    <t>number_hotel_attach_conversions_total</t>
  </si>
  <si>
    <t>has_insurance_conversion_flights</t>
  </si>
  <si>
    <t>has_insurance_conversion_hotels</t>
  </si>
  <si>
    <t>has_insurance_conversion_cars</t>
  </si>
  <si>
    <t>has_insurance_conversion_packages</t>
  </si>
  <si>
    <t>has_insurance_conversion_total</t>
  </si>
  <si>
    <t>number_insurance_conversions_flights</t>
  </si>
  <si>
    <t>number_insurance_conversions_hotels</t>
  </si>
  <si>
    <t>number_insurance_conversions_cars</t>
  </si>
  <si>
    <t>number_insurance_conversions_packages</t>
  </si>
  <si>
    <t>number_insurance_conversions_total</t>
  </si>
  <si>
    <t>net_value_insurance_conversions_flights</t>
  </si>
  <si>
    <t>net_value_insurance_conversions_hotels</t>
  </si>
  <si>
    <t>net_value_insurance_conversions_cars</t>
  </si>
  <si>
    <t>net_value_insurance_conversions_packages</t>
  </si>
  <si>
    <t>net_value_insurance_conversions_total</t>
  </si>
  <si>
    <t>PURE</t>
  </si>
  <si>
    <t>NOT_PURE</t>
  </si>
  <si>
    <t>Net eCPM</t>
  </si>
  <si>
    <t>Pages served</t>
  </si>
  <si>
    <t>Net Media Contribution</t>
  </si>
  <si>
    <t>[NULL]</t>
  </si>
  <si>
    <t>Incremental Delta</t>
  </si>
  <si>
    <t>Net Served eCPM</t>
  </si>
  <si>
    <t>Media GP</t>
  </si>
  <si>
    <t>Flight Booking Rate</t>
  </si>
  <si>
    <t>Flights Booking Rate Delta</t>
  </si>
  <si>
    <t>Flights Transaction GP Impact</t>
  </si>
  <si>
    <t>Hotel &amp; Insurance Attach GP Impact</t>
  </si>
  <si>
    <t>Total Transaction GP Impact</t>
  </si>
  <si>
    <t>Mean Expedia Net Profit</t>
  </si>
  <si>
    <t>Lower CI Expedia Net Profit</t>
  </si>
  <si>
    <t>IM Rev Share</t>
  </si>
  <si>
    <t>IM Net Profit</t>
  </si>
  <si>
    <t>Expedia Net Profit Impact w/ Flight + Insurance</t>
  </si>
  <si>
    <t>Expedia Net Profit Impact w/ Flight + Hotel + Insurance</t>
  </si>
  <si>
    <t>Attached Insurance Txn Lost</t>
  </si>
  <si>
    <t>Unique Visitors</t>
  </si>
  <si>
    <t>Txn Gross Profit  Impact</t>
  </si>
  <si>
    <t>Txn Gross Profit Impact</t>
  </si>
  <si>
    <t>Gross Profit per Insurance Txn</t>
  </si>
  <si>
    <t>Total Gross Profit Impact</t>
  </si>
  <si>
    <t>Expedia Ads for Travel</t>
  </si>
  <si>
    <t>A</t>
  </si>
  <si>
    <t>B</t>
  </si>
  <si>
    <t>C</t>
  </si>
  <si>
    <t>Summary</t>
  </si>
  <si>
    <t>MVT 44: bake-off vs. pure</t>
  </si>
  <si>
    <t>Bake-off B</t>
  </si>
  <si>
    <t>Bake-off B vs. pure</t>
  </si>
  <si>
    <t>Bake-off C vs. pure</t>
  </si>
  <si>
    <t>Bake-off A vs. pure</t>
  </si>
  <si>
    <t>Control group</t>
  </si>
  <si>
    <t>New settings</t>
  </si>
  <si>
    <t>Bake-off</t>
  </si>
  <si>
    <t>Bake-off C</t>
  </si>
  <si>
    <t>Bake-off A</t>
  </si>
  <si>
    <t>Bake-off C vs. Bake-off A</t>
  </si>
  <si>
    <t>Incremental Net Media Contribution</t>
  </si>
  <si>
    <t>Incremental Net eCPM</t>
  </si>
  <si>
    <t>December 12, 2013 - January 14,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</si>
</sst>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"/>
    <numFmt numFmtId="167" formatCode="_(* #,##0_);_(* \(#,##0\);_(* &quot;-&quot;?_);_(@_)"/>
    <numFmt numFmtId="168" formatCode="0.000%"/>
    <numFmt numFmtId="169" formatCode="0.00000%"/>
    <numFmt numFmtId="170" formatCode="&quot;$&quot;#,##0"/>
    <numFmt numFmtId="171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color rgb="FF0000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21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5">
    <xf numFmtId="0" fontId="0" fillId="0" borderId="0" xfId="0"/>
    <xf numFmtId="3" fontId="0" fillId="0" borderId="0" xfId="0" applyNumberFormat="1"/>
    <xf numFmtId="0" fontId="5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10" fontId="0" fillId="0" borderId="0" xfId="2" applyNumberFormat="1" applyFont="1"/>
    <xf numFmtId="0" fontId="5" fillId="0" borderId="8" xfId="0" applyFont="1" applyBorder="1"/>
    <xf numFmtId="3" fontId="0" fillId="0" borderId="0" xfId="0" applyNumberFormat="1" applyBorder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0" fontId="0" fillId="0" borderId="12" xfId="0" applyNumberFormat="1" applyBorder="1"/>
    <xf numFmtId="10" fontId="0" fillId="0" borderId="0" xfId="2" applyNumberFormat="1" applyFont="1" applyBorder="1"/>
    <xf numFmtId="166" fontId="0" fillId="0" borderId="0" xfId="0" applyNumberFormat="1" applyBorder="1"/>
    <xf numFmtId="0" fontId="0" fillId="0" borderId="13" xfId="0" applyBorder="1" applyAlignment="1">
      <alignment horizontal="center"/>
    </xf>
    <xf numFmtId="0" fontId="5" fillId="0" borderId="15" xfId="0" applyFont="1" applyBorder="1"/>
    <xf numFmtId="0" fontId="0" fillId="0" borderId="16" xfId="0" applyBorder="1"/>
    <xf numFmtId="10" fontId="0" fillId="0" borderId="16" xfId="2" applyNumberFormat="1" applyFont="1" applyBorder="1"/>
    <xf numFmtId="166" fontId="0" fillId="0" borderId="16" xfId="0" applyNumberFormat="1" applyBorder="1"/>
    <xf numFmtId="10" fontId="0" fillId="0" borderId="16" xfId="0" applyNumberFormat="1" applyBorder="1"/>
    <xf numFmtId="0" fontId="0" fillId="0" borderId="19" xfId="0" applyBorder="1" applyAlignment="1">
      <alignment horizontal="center"/>
    </xf>
    <xf numFmtId="0" fontId="0" fillId="0" borderId="5" xfId="0" applyBorder="1"/>
    <xf numFmtId="165" fontId="0" fillId="0" borderId="13" xfId="0" applyNumberFormat="1" applyBorder="1" applyAlignment="1">
      <alignment horizontal="center"/>
    </xf>
    <xf numFmtId="164" fontId="8" fillId="0" borderId="12" xfId="0" applyNumberFormat="1" applyFont="1" applyFill="1" applyBorder="1"/>
    <xf numFmtId="164" fontId="8" fillId="0" borderId="0" xfId="0" applyNumberFormat="1" applyFont="1" applyFill="1" applyBorder="1"/>
    <xf numFmtId="164" fontId="0" fillId="0" borderId="13" xfId="0" applyNumberFormat="1" applyBorder="1"/>
    <xf numFmtId="0" fontId="5" fillId="0" borderId="21" xfId="0" applyFon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0" fontId="0" fillId="0" borderId="12" xfId="2" applyNumberFormat="1" applyFont="1" applyBorder="1"/>
    <xf numFmtId="10" fontId="0" fillId="0" borderId="13" xfId="2" applyNumberFormat="1" applyFont="1" applyBorder="1"/>
    <xf numFmtId="167" fontId="0" fillId="0" borderId="12" xfId="0" applyNumberFormat="1" applyBorder="1"/>
    <xf numFmtId="167" fontId="0" fillId="0" borderId="0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6" fontId="0" fillId="0" borderId="0" xfId="0" applyNumberFormat="1" applyBorder="1"/>
    <xf numFmtId="6" fontId="0" fillId="0" borderId="13" xfId="0" applyNumberFormat="1" applyBorder="1"/>
    <xf numFmtId="43" fontId="5" fillId="0" borderId="0" xfId="1" applyFont="1"/>
    <xf numFmtId="0" fontId="5" fillId="0" borderId="27" xfId="0" applyFont="1" applyBorder="1"/>
    <xf numFmtId="10" fontId="8" fillId="0" borderId="5" xfId="2" applyNumberFormat="1" applyFont="1" applyFill="1" applyBorder="1"/>
    <xf numFmtId="10" fontId="8" fillId="0" borderId="7" xfId="2" applyNumberFormat="1" applyFont="1" applyFill="1" applyBorder="1"/>
    <xf numFmtId="165" fontId="8" fillId="0" borderId="12" xfId="1" applyNumberFormat="1" applyFont="1" applyFill="1" applyBorder="1"/>
    <xf numFmtId="165" fontId="8" fillId="0" borderId="0" xfId="1" applyNumberFormat="1" applyFont="1" applyFill="1" applyBorder="1"/>
    <xf numFmtId="165" fontId="8" fillId="0" borderId="13" xfId="1" applyNumberFormat="1" applyFont="1" applyFill="1" applyBorder="1"/>
    <xf numFmtId="164" fontId="8" fillId="0" borderId="13" xfId="0" applyNumberFormat="1" applyFont="1" applyFill="1" applyBorder="1"/>
    <xf numFmtId="43" fontId="5" fillId="0" borderId="0" xfId="1" applyNumberFormat="1" applyFont="1"/>
    <xf numFmtId="165" fontId="0" fillId="0" borderId="12" xfId="0" applyNumberFormat="1" applyBorder="1" applyAlignment="1">
      <alignment horizontal="center"/>
    </xf>
    <xf numFmtId="0" fontId="0" fillId="0" borderId="0" xfId="0" applyFill="1"/>
    <xf numFmtId="0" fontId="5" fillId="2" borderId="0" xfId="0" applyFont="1" applyFill="1"/>
    <xf numFmtId="0" fontId="5" fillId="0" borderId="0" xfId="0" applyFont="1" applyAlignment="1">
      <alignment horizontal="left"/>
    </xf>
    <xf numFmtId="10" fontId="0" fillId="0" borderId="0" xfId="0" applyNumberFormat="1"/>
    <xf numFmtId="3" fontId="0" fillId="0" borderId="9" xfId="0" applyNumberFormat="1" applyFill="1" applyBorder="1"/>
    <xf numFmtId="165" fontId="0" fillId="0" borderId="28" xfId="0" applyNumberFormat="1" applyFill="1" applyBorder="1"/>
    <xf numFmtId="3" fontId="0" fillId="0" borderId="12" xfId="0" applyNumberFormat="1" applyFill="1" applyBorder="1"/>
    <xf numFmtId="165" fontId="0" fillId="0" borderId="14" xfId="0" applyNumberFormat="1" applyFill="1" applyBorder="1"/>
    <xf numFmtId="10" fontId="0" fillId="0" borderId="14" xfId="2" applyNumberFormat="1" applyFont="1" applyBorder="1"/>
    <xf numFmtId="10" fontId="0" fillId="0" borderId="17" xfId="2" applyNumberFormat="1" applyFont="1" applyBorder="1"/>
    <xf numFmtId="0" fontId="5" fillId="0" borderId="1" xfId="0" applyFont="1" applyBorder="1" applyAlignment="1">
      <alignment horizontal="center"/>
    </xf>
    <xf numFmtId="0" fontId="11" fillId="0" borderId="0" xfId="0" applyFont="1" applyFill="1"/>
    <xf numFmtId="0" fontId="0" fillId="0" borderId="0" xfId="0" applyAlignment="1"/>
    <xf numFmtId="0" fontId="8" fillId="0" borderId="0" xfId="0" applyFont="1"/>
    <xf numFmtId="0" fontId="9" fillId="0" borderId="0" xfId="0" applyFont="1"/>
    <xf numFmtId="10" fontId="8" fillId="0" borderId="6" xfId="2" applyNumberFormat="1" applyFont="1" applyFill="1" applyBorder="1"/>
    <xf numFmtId="0" fontId="0" fillId="0" borderId="0" xfId="0" applyFill="1" applyAlignment="1">
      <alignment horizontal="center"/>
    </xf>
    <xf numFmtId="6" fontId="8" fillId="0" borderId="17" xfId="0" applyNumberFormat="1" applyFont="1" applyFill="1" applyBorder="1"/>
    <xf numFmtId="6" fontId="8" fillId="0" borderId="16" xfId="0" applyNumberFormat="1" applyFont="1" applyFill="1" applyBorder="1"/>
    <xf numFmtId="6" fontId="8" fillId="0" borderId="19" xfId="0" applyNumberFormat="1" applyFont="1" applyFill="1" applyBorder="1"/>
    <xf numFmtId="9" fontId="0" fillId="0" borderId="0" xfId="2" applyFont="1"/>
    <xf numFmtId="6" fontId="0" fillId="0" borderId="12" xfId="0" applyNumberFormat="1" applyBorder="1"/>
    <xf numFmtId="0" fontId="12" fillId="3" borderId="2" xfId="0" applyFont="1" applyFill="1" applyBorder="1"/>
    <xf numFmtId="0" fontId="12" fillId="3" borderId="3" xfId="0" applyFont="1" applyFill="1" applyBorder="1"/>
    <xf numFmtId="0" fontId="12" fillId="3" borderId="4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3" fillId="3" borderId="3" xfId="0" applyFont="1" applyFill="1" applyBorder="1"/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4" fillId="0" borderId="0" xfId="0" applyFont="1"/>
    <xf numFmtId="0" fontId="15" fillId="2" borderId="0" xfId="0" applyFont="1" applyFill="1"/>
    <xf numFmtId="168" fontId="0" fillId="0" borderId="17" xfId="2" applyNumberFormat="1" applyFont="1" applyBorder="1"/>
    <xf numFmtId="168" fontId="0" fillId="0" borderId="18" xfId="2" applyNumberFormat="1" applyFont="1" applyBorder="1"/>
    <xf numFmtId="43" fontId="0" fillId="0" borderId="0" xfId="1" applyFont="1"/>
    <xf numFmtId="43" fontId="0" fillId="0" borderId="0" xfId="0" applyNumberFormat="1"/>
    <xf numFmtId="6" fontId="5" fillId="0" borderId="16" xfId="1" applyNumberFormat="1" applyFont="1" applyBorder="1"/>
    <xf numFmtId="6" fontId="5" fillId="0" borderId="19" xfId="1" applyNumberFormat="1" applyFont="1" applyBorder="1"/>
    <xf numFmtId="6" fontId="5" fillId="0" borderId="17" xfId="1" applyNumberFormat="1" applyFont="1" applyBorder="1"/>
    <xf numFmtId="6" fontId="5" fillId="0" borderId="17" xfId="0" applyNumberFormat="1" applyFont="1" applyBorder="1"/>
    <xf numFmtId="6" fontId="5" fillId="0" borderId="16" xfId="0" applyNumberFormat="1" applyFont="1" applyBorder="1"/>
    <xf numFmtId="6" fontId="5" fillId="0" borderId="19" xfId="0" applyNumberFormat="1" applyFont="1" applyBorder="1"/>
    <xf numFmtId="6" fontId="5" fillId="0" borderId="24" xfId="0" applyNumberFormat="1" applyFont="1" applyBorder="1"/>
    <xf numFmtId="6" fontId="5" fillId="0" borderId="25" xfId="0" applyNumberFormat="1" applyFont="1" applyBorder="1"/>
    <xf numFmtId="6" fontId="5" fillId="0" borderId="26" xfId="0" applyNumberFormat="1" applyFont="1" applyBorder="1"/>
    <xf numFmtId="0" fontId="5" fillId="0" borderId="1" xfId="0" applyFont="1" applyBorder="1"/>
    <xf numFmtId="6" fontId="5" fillId="0" borderId="22" xfId="0" applyNumberFormat="1" applyFont="1" applyBorder="1"/>
    <xf numFmtId="6" fontId="5" fillId="0" borderId="23" xfId="0" applyNumberFormat="1" applyFont="1" applyBorder="1"/>
    <xf numFmtId="6" fontId="9" fillId="0" borderId="17" xfId="0" applyNumberFormat="1" applyFont="1" applyFill="1" applyBorder="1"/>
    <xf numFmtId="6" fontId="9" fillId="0" borderId="19" xfId="0" applyNumberFormat="1" applyFont="1" applyFill="1" applyBorder="1"/>
    <xf numFmtId="6" fontId="9" fillId="0" borderId="16" xfId="0" applyNumberFormat="1" applyFont="1" applyFill="1" applyBorder="1"/>
    <xf numFmtId="0" fontId="0" fillId="0" borderId="29" xfId="0" applyBorder="1"/>
    <xf numFmtId="0" fontId="0" fillId="0" borderId="14" xfId="0" applyBorder="1"/>
    <xf numFmtId="0" fontId="0" fillId="0" borderId="18" xfId="0" applyBorder="1"/>
    <xf numFmtId="10" fontId="2" fillId="0" borderId="5" xfId="1" applyNumberFormat="1" applyFont="1" applyBorder="1"/>
    <xf numFmtId="10" fontId="2" fillId="0" borderId="7" xfId="1" applyNumberFormat="1" applyFont="1" applyBorder="1"/>
    <xf numFmtId="165" fontId="2" fillId="0" borderId="0" xfId="1" applyNumberFormat="1" applyFont="1" applyBorder="1"/>
    <xf numFmtId="165" fontId="2" fillId="0" borderId="13" xfId="1" applyNumberFormat="1" applyFont="1" applyBorder="1"/>
    <xf numFmtId="8" fontId="0" fillId="0" borderId="0" xfId="0" applyNumberFormat="1"/>
    <xf numFmtId="165" fontId="8" fillId="0" borderId="0" xfId="1" applyNumberFormat="1" applyFont="1"/>
    <xf numFmtId="168" fontId="0" fillId="0" borderId="0" xfId="2" applyNumberFormat="1" applyFont="1"/>
    <xf numFmtId="164" fontId="2" fillId="0" borderId="0" xfId="1" applyNumberFormat="1" applyFont="1" applyFill="1" applyBorder="1"/>
    <xf numFmtId="164" fontId="2" fillId="0" borderId="13" xfId="1" applyNumberFormat="1" applyFont="1" applyFill="1" applyBorder="1"/>
    <xf numFmtId="43" fontId="0" fillId="0" borderId="0" xfId="0" applyNumberFormat="1" applyAlignment="1"/>
    <xf numFmtId="168" fontId="0" fillId="0" borderId="0" xfId="0" applyNumberFormat="1"/>
    <xf numFmtId="169" fontId="0" fillId="0" borderId="0" xfId="0" applyNumberFormat="1"/>
    <xf numFmtId="165" fontId="16" fillId="0" borderId="0" xfId="1" applyNumberFormat="1" applyFont="1" applyFill="1" applyBorder="1" applyAlignment="1">
      <alignment horizontal="center"/>
    </xf>
    <xf numFmtId="164" fontId="16" fillId="0" borderId="0" xfId="0" applyNumberFormat="1" applyFont="1" applyFill="1" applyBorder="1"/>
    <xf numFmtId="6" fontId="17" fillId="0" borderId="30" xfId="0" applyNumberFormat="1" applyFont="1" applyFill="1" applyBorder="1"/>
    <xf numFmtId="14" fontId="0" fillId="0" borderId="0" xfId="0" applyNumberFormat="1"/>
    <xf numFmtId="4" fontId="0" fillId="0" borderId="0" xfId="0" applyNumberFormat="1"/>
    <xf numFmtId="0" fontId="0" fillId="3" borderId="2" xfId="0" applyFill="1" applyBorder="1" applyAlignment="1">
      <alignment wrapText="1"/>
    </xf>
    <xf numFmtId="0" fontId="12" fillId="3" borderId="3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10" fontId="0" fillId="0" borderId="0" xfId="0" applyNumberFormat="1" applyBorder="1"/>
    <xf numFmtId="164" fontId="0" fillId="0" borderId="0" xfId="0" applyNumberFormat="1" applyBorder="1"/>
    <xf numFmtId="9" fontId="18" fillId="0" borderId="13" xfId="1513" applyFont="1" applyBorder="1" applyAlignment="1">
      <alignment horizontal="center"/>
    </xf>
    <xf numFmtId="10" fontId="5" fillId="0" borderId="0" xfId="0" applyNumberFormat="1" applyFont="1" applyBorder="1"/>
    <xf numFmtId="6" fontId="5" fillId="0" borderId="12" xfId="0" applyNumberFormat="1" applyFont="1" applyBorder="1"/>
    <xf numFmtId="6" fontId="5" fillId="0" borderId="0" xfId="0" applyNumberFormat="1" applyFont="1" applyBorder="1"/>
    <xf numFmtId="0" fontId="18" fillId="0" borderId="13" xfId="0" applyFont="1" applyBorder="1" applyAlignment="1">
      <alignment horizontal="center"/>
    </xf>
    <xf numFmtId="10" fontId="19" fillId="0" borderId="0" xfId="0" applyNumberFormat="1" applyFont="1" applyBorder="1"/>
    <xf numFmtId="10" fontId="19" fillId="0" borderId="12" xfId="0" applyNumberFormat="1" applyFont="1" applyBorder="1"/>
    <xf numFmtId="171" fontId="18" fillId="0" borderId="13" xfId="1513" applyNumberFormat="1" applyFont="1" applyBorder="1" applyAlignment="1">
      <alignment horizontal="center"/>
    </xf>
    <xf numFmtId="6" fontId="0" fillId="0" borderId="0" xfId="0" applyNumberFormat="1"/>
    <xf numFmtId="0" fontId="0" fillId="0" borderId="21" xfId="0" applyBorder="1"/>
    <xf numFmtId="0" fontId="0" fillId="0" borderId="31" xfId="0" applyBorder="1"/>
    <xf numFmtId="6" fontId="0" fillId="0" borderId="22" xfId="0" applyNumberFormat="1" applyBorder="1"/>
    <xf numFmtId="6" fontId="0" fillId="0" borderId="30" xfId="0" applyNumberFormat="1" applyBorder="1"/>
    <xf numFmtId="9" fontId="18" fillId="0" borderId="23" xfId="1513" applyFont="1" applyBorder="1" applyAlignment="1">
      <alignment horizontal="center"/>
    </xf>
    <xf numFmtId="0" fontId="5" fillId="0" borderId="0" xfId="0" applyFont="1" applyBorder="1"/>
    <xf numFmtId="9" fontId="20" fillId="0" borderId="13" xfId="1513" applyFont="1" applyBorder="1" applyAlignment="1">
      <alignment horizontal="center"/>
    </xf>
    <xf numFmtId="0" fontId="5" fillId="0" borderId="16" xfId="0" applyFont="1" applyBorder="1"/>
    <xf numFmtId="9" fontId="18" fillId="0" borderId="19" xfId="1513" applyFont="1" applyBorder="1" applyAlignment="1">
      <alignment horizontal="center"/>
    </xf>
    <xf numFmtId="0" fontId="0" fillId="0" borderId="0" xfId="0" applyFont="1" applyBorder="1"/>
    <xf numFmtId="170" fontId="5" fillId="0" borderId="0" xfId="1514" applyNumberFormat="1" applyFont="1"/>
    <xf numFmtId="170" fontId="5" fillId="0" borderId="0" xfId="0" applyNumberFormat="1" applyFont="1"/>
    <xf numFmtId="0" fontId="12" fillId="3" borderId="5" xfId="0" applyFont="1" applyFill="1" applyBorder="1" applyAlignment="1">
      <alignment horizontal="center" wrapText="1"/>
    </xf>
    <xf numFmtId="0" fontId="20" fillId="0" borderId="0" xfId="0" applyFont="1"/>
  </cellXfs>
  <cellStyles count="1521">
    <cellStyle name="Comma" xfId="1" builtinId="3"/>
    <cellStyle name="Comma 2" xfId="37"/>
    <cellStyle name="Comma 3" xfId="1120"/>
    <cellStyle name="Comma 4" xfId="1514"/>
    <cellStyle name="Currency 2" xfId="38"/>
    <cellStyle name="Currency 2 2" xfId="112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5" builtinId="8" hidden="1"/>
    <cellStyle name="Hyperlink" xfId="1517" builtinId="8" hidden="1"/>
    <cellStyle name="Hyperlink" xfId="1519" builtinId="8" hidden="1"/>
    <cellStyle name="Normal" xfId="0" builtinId="0"/>
    <cellStyle name="Normal 2" xfId="39"/>
    <cellStyle name="Percent" xfId="2" builtinId="5"/>
    <cellStyle name="Percent 2" xfId="40"/>
    <cellStyle name="Percent 3" xfId="41"/>
    <cellStyle name="Percent 4" xfId="1121"/>
    <cellStyle name="Percent 5" xfId="1513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olyn.starrett/Documents/CIcalcul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 mean"/>
      <sheetName val="difference of 2 means"/>
      <sheetName val="a proportion or odds"/>
      <sheetName val="compare 2 proportions or odds"/>
      <sheetName val="two-level likelihood ratios"/>
    </sheetNames>
    <sheetDataSet>
      <sheetData sheetId="0" refreshError="1"/>
      <sheetData sheetId="1" refreshError="1">
        <row r="9">
          <cell r="B9">
            <v>95</v>
          </cell>
        </row>
      </sheetData>
      <sheetData sheetId="2" refreshError="1">
        <row r="13">
          <cell r="C13">
            <v>95</v>
          </cell>
        </row>
      </sheetData>
      <sheetData sheetId="3" refreshError="1">
        <row r="7">
          <cell r="C7">
            <v>95</v>
          </cell>
        </row>
      </sheetData>
      <sheetData sheetId="4" refreshError="1"/>
      <sheetData sheetId="5" refreshError="1">
        <row r="9">
          <cell r="C9">
            <v>95</v>
          </cell>
        </row>
        <row r="12">
          <cell r="C12" t="str">
            <v/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B2:H23"/>
  <sheetViews>
    <sheetView showGridLines="0" tabSelected="1" workbookViewId="0"/>
  </sheetViews>
  <sheetFormatPr defaultColWidth="11" defaultRowHeight="15.85" x14ac:dyDescent="0.5"/>
  <cols>
    <col min="1" max="1" width="4.375" customWidth="1"/>
    <col min="2" max="2" width="31" customWidth="1"/>
    <col min="3" max="3" width="10.5" customWidth="1"/>
    <col min="4" max="6" width="15.125" customWidth="1"/>
    <col min="7" max="7" width="11.875" customWidth="1"/>
    <col min="8" max="9" width="9" customWidth="1"/>
    <col min="10" max="10" width="10" customWidth="1"/>
    <col min="11" max="11" width="8.875" customWidth="1"/>
  </cols>
  <sheetData>
    <row r="2" spans="2:8" ht="18.100000000000001" x14ac:dyDescent="0.55000000000000004">
      <c r="B2" s="83" t="s">
        <v>128</v>
      </c>
    </row>
    <row r="3" spans="2:8" ht="18.100000000000001" x14ac:dyDescent="0.55000000000000004">
      <c r="B3" s="83" t="s">
        <v>39</v>
      </c>
    </row>
    <row r="4" spans="2:8" x14ac:dyDescent="0.5">
      <c r="B4" s="65" t="s">
        <v>140</v>
      </c>
    </row>
    <row r="5" spans="2:8" x14ac:dyDescent="0.5">
      <c r="B5" t="str">
        <f>'B vs. pure'!C3</f>
        <v>December 12, 2013 - January 14, 2014</v>
      </c>
    </row>
    <row r="7" spans="2:8" ht="16.25" thickBot="1" x14ac:dyDescent="0.55000000000000004"/>
    <row r="8" spans="2:8" s="128" customFormat="1" ht="38.1" customHeight="1" x14ac:dyDescent="0.5">
      <c r="B8" s="124"/>
      <c r="C8" s="125" t="s">
        <v>49</v>
      </c>
      <c r="D8" s="126" t="s">
        <v>138</v>
      </c>
      <c r="E8" s="125" t="s">
        <v>139</v>
      </c>
      <c r="F8" s="126" t="s">
        <v>108</v>
      </c>
      <c r="G8" s="127" t="s">
        <v>8</v>
      </c>
    </row>
    <row r="9" spans="2:8" x14ac:dyDescent="0.5">
      <c r="B9" s="129" t="s">
        <v>109</v>
      </c>
      <c r="C9" s="130"/>
      <c r="D9" s="39">
        <f>'A vs. pure'!E25</f>
        <v>9.5394120366466719</v>
      </c>
      <c r="E9" s="131">
        <f>'C vs. pure'!E25</f>
        <v>14.689113094912864</v>
      </c>
      <c r="F9" s="39">
        <f>E9-D9</f>
        <v>5.1497010582661922</v>
      </c>
      <c r="G9" s="132">
        <f>(E9-D9)/D9</f>
        <v>0.53983422023108596</v>
      </c>
      <c r="H9" s="128"/>
    </row>
    <row r="10" spans="2:8" s="2" customFormat="1" x14ac:dyDescent="0.5">
      <c r="B10" s="8" t="s">
        <v>110</v>
      </c>
      <c r="C10" s="133"/>
      <c r="D10" s="134">
        <f>'A vs. pure'!E26</f>
        <v>65618.372000000003</v>
      </c>
      <c r="E10" s="135">
        <f>'C vs. pure'!E26</f>
        <v>201093.78199999998</v>
      </c>
      <c r="F10" s="134">
        <f>E10-D10</f>
        <v>135475.40999999997</v>
      </c>
      <c r="G10" s="132">
        <f>(E10-D10)/D10</f>
        <v>2.0645957202351801</v>
      </c>
      <c r="H10" s="128"/>
    </row>
    <row r="11" spans="2:8" x14ac:dyDescent="0.5">
      <c r="B11" s="129"/>
      <c r="C11" s="6"/>
      <c r="D11" s="13"/>
      <c r="E11" s="6"/>
      <c r="F11" s="13"/>
      <c r="G11" s="136"/>
      <c r="H11" s="128"/>
    </row>
    <row r="12" spans="2:8" x14ac:dyDescent="0.5">
      <c r="B12" s="129" t="s">
        <v>111</v>
      </c>
      <c r="C12" s="137">
        <f>'A vs. pure'!D15</f>
        <v>4.8245127818548658E-2</v>
      </c>
      <c r="D12" s="138">
        <f>'A vs. pure'!E15</f>
        <v>4.737514710423419E-2</v>
      </c>
      <c r="E12" s="130">
        <f>'C vs. pure'!E15</f>
        <v>4.6924306245419677E-2</v>
      </c>
      <c r="F12" s="15">
        <f>E12-D12</f>
        <v>-4.5084085881451352E-4</v>
      </c>
      <c r="G12" s="139">
        <f>(E12-D12)/D12</f>
        <v>-9.5164001881108511E-3</v>
      </c>
      <c r="H12" s="128"/>
    </row>
    <row r="13" spans="2:8" x14ac:dyDescent="0.5">
      <c r="B13" s="129" t="s">
        <v>112</v>
      </c>
      <c r="C13" s="6"/>
      <c r="D13" s="15">
        <f>'A vs. pure'!F15</f>
        <v>-1.8032509263660592E-2</v>
      </c>
      <c r="E13" s="130">
        <f>'C vs. pure'!F15</f>
        <v>-2.7377304877222633E-2</v>
      </c>
      <c r="F13" s="15">
        <f>E13-D13</f>
        <v>-9.3447956135620409E-3</v>
      </c>
      <c r="G13" s="139">
        <f>F13/D13</f>
        <v>0.51821937129924711</v>
      </c>
      <c r="H13" s="128"/>
    </row>
    <row r="14" spans="2:8" x14ac:dyDescent="0.5">
      <c r="B14" s="129" t="s">
        <v>113</v>
      </c>
      <c r="C14" s="6"/>
      <c r="D14" s="73">
        <f>'A vs. pure'!E32</f>
        <v>-19453.846820303053</v>
      </c>
      <c r="E14" s="140">
        <f>'C vs. pure'!E32</f>
        <v>-59073.963494313983</v>
      </c>
      <c r="F14" s="73">
        <f t="shared" ref="F14:F19" si="0">E14-D14</f>
        <v>-39620.116674010933</v>
      </c>
      <c r="G14" s="132">
        <f t="shared" ref="G14:G16" si="1">(E14-D14)/D14</f>
        <v>2.0366211906563025</v>
      </c>
      <c r="H14" s="128"/>
    </row>
    <row r="15" spans="2:8" x14ac:dyDescent="0.5">
      <c r="B15" s="141" t="s">
        <v>114</v>
      </c>
      <c r="C15" s="142"/>
      <c r="D15" s="143">
        <f>'A vs. pure'!E39+'A vs. pure'!E46</f>
        <v>-13276.87815842278</v>
      </c>
      <c r="E15" s="144">
        <f>'C vs. pure'!E39+'C vs. pure'!E46</f>
        <v>-40316.849561628434</v>
      </c>
      <c r="F15" s="143">
        <f t="shared" si="0"/>
        <v>-27039.971403205654</v>
      </c>
      <c r="G15" s="145">
        <f t="shared" si="1"/>
        <v>2.0366211906563021</v>
      </c>
      <c r="H15" s="128"/>
    </row>
    <row r="16" spans="2:8" x14ac:dyDescent="0.5">
      <c r="B16" s="8" t="s">
        <v>115</v>
      </c>
      <c r="C16" s="146"/>
      <c r="D16" s="134">
        <f>SUM(D14:D15)</f>
        <v>-32730.724978725833</v>
      </c>
      <c r="E16" s="135">
        <f>SUM(E14:E15)</f>
        <v>-99390.813055942417</v>
      </c>
      <c r="F16" s="134">
        <f t="shared" si="0"/>
        <v>-66660.088077216584</v>
      </c>
      <c r="G16" s="147">
        <f t="shared" si="1"/>
        <v>2.0366211906563025</v>
      </c>
      <c r="H16" s="128"/>
    </row>
    <row r="17" spans="2:8" x14ac:dyDescent="0.5">
      <c r="B17" s="129"/>
      <c r="C17" s="6"/>
      <c r="D17" s="13"/>
      <c r="E17" s="6"/>
      <c r="F17" s="13"/>
      <c r="G17" s="136"/>
      <c r="H17" s="128"/>
    </row>
    <row r="18" spans="2:8" x14ac:dyDescent="0.5">
      <c r="B18" s="8" t="s">
        <v>116</v>
      </c>
      <c r="C18" s="146"/>
      <c r="D18" s="134">
        <f>D10+D16</f>
        <v>32887.64702127417</v>
      </c>
      <c r="E18" s="135">
        <f>E10+E16</f>
        <v>101702.96894405756</v>
      </c>
      <c r="F18" s="134">
        <f t="shared" si="0"/>
        <v>68815.321922783391</v>
      </c>
      <c r="G18" s="132">
        <f>(E18-D18)/D18</f>
        <v>2.0924367705074349</v>
      </c>
      <c r="H18" s="128"/>
    </row>
    <row r="19" spans="2:8" ht="16.25" thickBot="1" x14ac:dyDescent="0.55000000000000004">
      <c r="B19" s="19" t="s">
        <v>117</v>
      </c>
      <c r="C19" s="148"/>
      <c r="D19" s="92">
        <f>'A vs. pure'!D48</f>
        <v>9421.6868286033623</v>
      </c>
      <c r="E19" s="93">
        <f>'C vs. pure'!D48</f>
        <v>56971.985768053702</v>
      </c>
      <c r="F19" s="92">
        <f t="shared" si="0"/>
        <v>47550.298939450338</v>
      </c>
      <c r="G19" s="149">
        <f>(E19-D19)/D19</f>
        <v>5.0468986928213395</v>
      </c>
      <c r="H19" s="128"/>
    </row>
    <row r="20" spans="2:8" x14ac:dyDescent="0.5">
      <c r="B20" s="6"/>
      <c r="C20" s="6"/>
      <c r="D20" s="6"/>
      <c r="E20" s="6"/>
      <c r="F20" s="6"/>
      <c r="G20" s="150"/>
      <c r="H20" s="128"/>
    </row>
    <row r="21" spans="2:8" x14ac:dyDescent="0.5">
      <c r="H21" s="128"/>
    </row>
    <row r="22" spans="2:8" x14ac:dyDescent="0.5">
      <c r="B22" s="2" t="s">
        <v>118</v>
      </c>
      <c r="C22" s="2"/>
      <c r="D22" s="151">
        <f>D10/(0.7*0.94)-D10</f>
        <v>34105.597604863229</v>
      </c>
      <c r="E22" s="151">
        <f>E10/(0.7*0.94)-E10</f>
        <v>104519.86845592709</v>
      </c>
      <c r="F22" s="152">
        <f>E22-D22</f>
        <v>70414.270851063862</v>
      </c>
      <c r="G22" s="2"/>
    </row>
    <row r="23" spans="2:8" x14ac:dyDescent="0.5">
      <c r="B23" s="2" t="s">
        <v>119</v>
      </c>
      <c r="C23" s="2"/>
      <c r="D23" s="2"/>
      <c r="E23" s="2"/>
      <c r="F23" s="152">
        <f>F22+F18</f>
        <v>139229.59277384725</v>
      </c>
      <c r="G23" s="2"/>
    </row>
  </sheetData>
  <phoneticPr fontId="21" type="noConversion"/>
  <pageMargins left="0.7" right="0.5" top="1" bottom="1" header="1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6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72"/>
  <sheetViews>
    <sheetView showGridLines="0" zoomScale="90" zoomScaleNormal="90" zoomScalePageLayoutView="90" workbookViewId="0">
      <pane ySplit="5" topLeftCell="A6" activePane="bottomLeft" state="frozen"/>
      <selection activeCell="H1" sqref="H1:I1048576"/>
      <selection pane="bottomLeft"/>
    </sheetView>
  </sheetViews>
  <sheetFormatPr defaultColWidth="11" defaultRowHeight="15.85" outlineLevelRow="1" outlineLevelCol="1" x14ac:dyDescent="0.5"/>
  <cols>
    <col min="1" max="1" width="6.375" customWidth="1"/>
    <col min="2" max="2" width="21.625" customWidth="1"/>
    <col min="3" max="3" width="27.625" customWidth="1"/>
    <col min="4" max="6" width="12.5" bestFit="1" customWidth="1"/>
    <col min="7" max="7" width="7.5" customWidth="1"/>
    <col min="8" max="9" width="9" customWidth="1"/>
    <col min="10" max="10" width="10" customWidth="1"/>
    <col min="11" max="11" width="8.875" customWidth="1"/>
    <col min="13" max="14" width="10.875" hidden="1" customWidth="1" outlineLevel="1"/>
    <col min="15" max="15" width="11.5" hidden="1" customWidth="1" outlineLevel="1"/>
    <col min="16" max="16" width="10.875" hidden="1" customWidth="1" outlineLevel="1"/>
    <col min="17" max="17" width="11" collapsed="1"/>
  </cols>
  <sheetData>
    <row r="1" spans="1:17" ht="18.100000000000001" x14ac:dyDescent="0.55000000000000004">
      <c r="B1" s="84" t="s">
        <v>27</v>
      </c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7" x14ac:dyDescent="0.5">
      <c r="B2" s="2" t="s">
        <v>30</v>
      </c>
      <c r="C2" s="2" t="s">
        <v>26</v>
      </c>
      <c r="J2" s="66" t="s">
        <v>35</v>
      </c>
      <c r="K2" s="65" t="str">
        <f xml:space="preserve"> IF($K15="Yes", $B14, "")</f>
        <v>FLIGHTS</v>
      </c>
      <c r="L2" s="65" t="str">
        <f xml:space="preserve"> IF($K19="Yes", $B18, "")</f>
        <v/>
      </c>
    </row>
    <row r="3" spans="1:17" x14ac:dyDescent="0.5">
      <c r="B3" s="2" t="s">
        <v>28</v>
      </c>
      <c r="C3" s="54" t="s">
        <v>146</v>
      </c>
      <c r="K3" s="65" t="str">
        <f xml:space="preserve"> IF($K17="Yes", $B16, "")</f>
        <v/>
      </c>
      <c r="L3" s="65" t="str">
        <f xml:space="preserve"> IF($K21="Yes", $B20, "")</f>
        <v/>
      </c>
    </row>
    <row r="4" spans="1:17" x14ac:dyDescent="0.5">
      <c r="B4" s="2" t="s">
        <v>29</v>
      </c>
      <c r="C4" s="2" t="str">
        <f>CONCATENATE(K2, "-",K3, "-",L2,"-",L3)</f>
        <v>FLIGHTS---</v>
      </c>
    </row>
    <row r="6" spans="1:17" ht="18.100000000000001" x14ac:dyDescent="0.55000000000000004">
      <c r="A6" s="4"/>
      <c r="B6" s="83" t="str">
        <f>CONCATENATE(C2, " Ads for Travel")</f>
        <v>Expedia Ads for Travel</v>
      </c>
      <c r="F6" s="88"/>
      <c r="G6" s="65"/>
      <c r="H6" s="65"/>
      <c r="I6" s="113"/>
      <c r="K6" s="65"/>
      <c r="M6" s="54"/>
      <c r="O6" s="63"/>
    </row>
    <row r="7" spans="1:17" ht="18.100000000000001" x14ac:dyDescent="0.55000000000000004">
      <c r="B7" s="83" t="s">
        <v>39</v>
      </c>
      <c r="C7" s="65"/>
      <c r="G7" s="112"/>
      <c r="H7" s="65"/>
      <c r="K7" s="65"/>
      <c r="M7" s="54"/>
      <c r="O7" s="63"/>
    </row>
    <row r="8" spans="1:17" x14ac:dyDescent="0.5">
      <c r="B8" s="65" t="s">
        <v>137</v>
      </c>
      <c r="E8" s="72"/>
      <c r="G8" s="65"/>
      <c r="H8" s="65"/>
      <c r="K8" s="65"/>
      <c r="M8" s="54" t="s">
        <v>41</v>
      </c>
      <c r="O8" s="63">
        <f>-NORMSINV((1-O10/100)/2)</f>
        <v>1.9599639845400536</v>
      </c>
    </row>
    <row r="9" spans="1:17" x14ac:dyDescent="0.5">
      <c r="B9" t="str">
        <f>C3</f>
        <v>December 12, 2013 - January 14, 2014</v>
      </c>
      <c r="E9" s="72"/>
      <c r="G9" s="65"/>
      <c r="H9" s="65"/>
      <c r="K9" s="65"/>
      <c r="M9" s="54"/>
      <c r="O9" s="63"/>
    </row>
    <row r="10" spans="1:17" x14ac:dyDescent="0.5">
      <c r="E10" s="3"/>
      <c r="G10" s="112"/>
      <c r="H10" s="65"/>
      <c r="K10" s="65"/>
      <c r="M10" s="54" t="s">
        <v>32</v>
      </c>
      <c r="O10" s="63">
        <v>95</v>
      </c>
    </row>
    <row r="11" spans="1:17" ht="16.25" thickBot="1" x14ac:dyDescent="0.55000000000000004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"/>
      <c r="Q11" s="4"/>
    </row>
    <row r="12" spans="1:17" x14ac:dyDescent="0.5">
      <c r="B12" s="74" t="s">
        <v>7</v>
      </c>
      <c r="C12" s="79"/>
      <c r="D12" s="76" t="s">
        <v>49</v>
      </c>
      <c r="E12" s="153" t="s">
        <v>142</v>
      </c>
      <c r="F12" s="81" t="s">
        <v>8</v>
      </c>
      <c r="G12" s="80" t="s">
        <v>9</v>
      </c>
      <c r="H12" s="80" t="s">
        <v>10</v>
      </c>
      <c r="I12" s="80" t="s">
        <v>11</v>
      </c>
      <c r="J12" s="80" t="s">
        <v>12</v>
      </c>
      <c r="K12" s="82" t="s">
        <v>13</v>
      </c>
      <c r="L12" s="5"/>
      <c r="M12" s="62" t="s">
        <v>15</v>
      </c>
      <c r="N12" s="62" t="s">
        <v>31</v>
      </c>
      <c r="O12" s="62" t="s">
        <v>33</v>
      </c>
      <c r="P12" s="62" t="s">
        <v>34</v>
      </c>
    </row>
    <row r="13" spans="1:17" x14ac:dyDescent="0.5">
      <c r="B13" s="8" t="s">
        <v>123</v>
      </c>
      <c r="C13" s="9"/>
      <c r="D13" s="56">
        <f>SUMIFS(Data!$H$4:$H$21,Data!$E$4:$E$21,"PURE")</f>
        <v>541236</v>
      </c>
      <c r="E13" s="57">
        <f>SUMIFS(Data!$H$4:$H$21,Data!$E$4:$E$21,"NOT_PURE",Data!$F$4:$F$21,"A")</f>
        <v>2571306</v>
      </c>
      <c r="F13" s="10"/>
      <c r="G13" s="11"/>
      <c r="H13" s="11"/>
      <c r="I13" s="11"/>
      <c r="J13" s="11"/>
      <c r="K13" s="12"/>
    </row>
    <row r="14" spans="1:17" x14ac:dyDescent="0.5">
      <c r="B14" s="8" t="s">
        <v>4</v>
      </c>
      <c r="C14" s="9" t="s">
        <v>14</v>
      </c>
      <c r="D14" s="58">
        <f>SUMIFS(Data!$L$4:$L$21,Data!$E$4:$E$21,"PURE")</f>
        <v>26112</v>
      </c>
      <c r="E14" s="59">
        <f>SUMIFS(Data!$L$4:$L$21,Data!$E$4:$E$21,"NOT_PURE",Data!$F$4:$F$21,"A")</f>
        <v>121816</v>
      </c>
      <c r="F14" s="13"/>
      <c r="G14" s="6"/>
      <c r="H14" s="6"/>
      <c r="I14" s="6"/>
      <c r="J14" s="6"/>
      <c r="K14" s="14"/>
      <c r="M14" s="7">
        <f>((2*D$14+Z^2)-(Z*(SQRT(Z^2+4*D$14*(1-(D$14/$D$13))))))/(2*($D$13+Z^2))</f>
        <v>4.7677448216761162E-2</v>
      </c>
      <c r="N14" s="7">
        <f>((2*$D$14+Z^2)+(Z*(SQRT(Z^2+4*$D$14*(1-($D$14/$D$13))))))/(2*($D$13+Z^2))</f>
        <v>4.8819220095847445E-2</v>
      </c>
      <c r="O14" s="87">
        <f>Z*SQRT((M14*(1-M14)/$D$13)+(N15*(1-N15)/$E$13))</f>
        <v>6.2452876216628869E-4</v>
      </c>
      <c r="P14" s="88">
        <f>Z*SQRT((N14*(1-N14)/$E$13)+(M15*(1-M15)/$D$13))</f>
        <v>6.2291887755228299E-4</v>
      </c>
    </row>
    <row r="15" spans="1:17" x14ac:dyDescent="0.5">
      <c r="B15" s="8"/>
      <c r="C15" s="6" t="s">
        <v>6</v>
      </c>
      <c r="D15" s="34">
        <f>D14/D$13</f>
        <v>4.8245127818548658E-2</v>
      </c>
      <c r="E15" s="60">
        <f>E14/E$13</f>
        <v>4.737514710423419E-2</v>
      </c>
      <c r="F15" s="16">
        <f>(E15-D15)/D15</f>
        <v>-1.8032509263660592E-2</v>
      </c>
      <c r="G15" s="17">
        <f>10000*(E15-D15)</f>
        <v>-8.69980714314468</v>
      </c>
      <c r="H15" s="7">
        <f>(P15-O15)/2</f>
        <v>1.2928224010621953E-2</v>
      </c>
      <c r="I15" s="55">
        <f>F15-H15</f>
        <v>-3.0960733274282545E-2</v>
      </c>
      <c r="J15" s="55">
        <f>F15+H15</f>
        <v>-5.1042852530386387E-3</v>
      </c>
      <c r="K15" s="18" t="str">
        <f>IF(OR((O15*P15)&lt;0, (O15*P15)=0), "No", "Yes")</f>
        <v>Yes</v>
      </c>
      <c r="M15" s="7">
        <f>((2*E$14+Z^2)-(Z*(SQRT(Z^2+4*E$14*(1-(E$14/$E$13))))))/(2*($E$13+Z^2))</f>
        <v>4.7116161192839297E-2</v>
      </c>
      <c r="N15" s="7">
        <f>((2*E$14+Z^2)+(Z*(SQRT(Z^2+4*E$14*(1-(E$14/$E$13))))))/(2*($E$13+Z^2))</f>
        <v>4.7635485431199998E-2</v>
      </c>
      <c r="O15" s="7">
        <f>((E15-D15)-O14)/D15</f>
        <v>-3.0977417701154215E-2</v>
      </c>
      <c r="P15" s="7">
        <f>((E15-D15)+P14)/D15</f>
        <v>-5.120969679910309E-3</v>
      </c>
    </row>
    <row r="16" spans="1:17" x14ac:dyDescent="0.5">
      <c r="B16" s="8" t="s">
        <v>2</v>
      </c>
      <c r="C16" s="9" t="s">
        <v>14</v>
      </c>
      <c r="D16" s="58">
        <f>SUMIFS(Data!$M$4:$M$21,Data!$E$4:$E$21,"PURE")</f>
        <v>4254</v>
      </c>
      <c r="E16" s="59">
        <f>SUMIFS(Data!$M$4:$M$21,Data!$E$4:$E$21,"NOT_PURE",Data!$F$4:$F$21,"A")</f>
        <v>19874</v>
      </c>
      <c r="F16" s="15"/>
      <c r="G16" s="6"/>
      <c r="H16" s="6"/>
      <c r="I16" s="6"/>
      <c r="J16" s="6"/>
      <c r="K16" s="14"/>
      <c r="M16" s="7">
        <f>((2*D16+Z^2)-(Z*(SQRT(Z^2+4*D16*(1-(D16/$D$13))))))/(2*($D$13+Z^2))</f>
        <v>7.6279962391530122E-3</v>
      </c>
      <c r="N16" s="7">
        <f>((2*$D16+Z^2)+(Z*(SQRT(Z^2+4*$D16*(1-($D16/$D$13))))))/(2*($D$13+Z^2))</f>
        <v>8.0985649021673694E-3</v>
      </c>
      <c r="O16" s="87">
        <f>Z*SQRT((M16*(1-M16)/$D$13)+(N17*(1-N17)/$E$13))</f>
        <v>2.5562398973213204E-4</v>
      </c>
      <c r="P16" s="88">
        <f>Z*SQRT((N16*(1-N16)/$E$13)+(M17*(1-M17)/$D$13))</f>
        <v>2.5630494037776855E-4</v>
      </c>
    </row>
    <row r="17" spans="1:18" x14ac:dyDescent="0.5">
      <c r="B17" s="8"/>
      <c r="C17" s="6" t="s">
        <v>6</v>
      </c>
      <c r="D17" s="34">
        <f>D16/D$13</f>
        <v>7.8597875972773422E-3</v>
      </c>
      <c r="E17" s="60">
        <f>E16/E$13</f>
        <v>7.729146200413331E-3</v>
      </c>
      <c r="F17" s="16">
        <f>(E17-D17)/D17</f>
        <v>-1.66214920247038E-2</v>
      </c>
      <c r="G17" s="17">
        <f>10000*(E17-D17)</f>
        <v>-1.3064139686401119</v>
      </c>
      <c r="H17" s="7">
        <f>(P17-O17)/2</f>
        <v>3.2566333617414456E-2</v>
      </c>
      <c r="I17" s="55">
        <f>F17-H17</f>
        <v>-4.9187825642118252E-2</v>
      </c>
      <c r="J17" s="55">
        <f>F17+H17</f>
        <v>1.5944841592710656E-2</v>
      </c>
      <c r="K17" s="18" t="str">
        <f>IF(OR((O17*P17)&lt;0, (O17*P17)=0), "No", "Yes")</f>
        <v>No</v>
      </c>
      <c r="M17" s="7">
        <f>((2*E16+Z^2)-(Z*(SQRT(Z^2+4*E16*(1-(E16/$E$13))))))/(2*($E$13+Z^2))</f>
        <v>7.6228377159039198E-3</v>
      </c>
      <c r="N17" s="7">
        <f>((2*E16+Z^2)+(Z*(SQRT(Z^2+4*E16*(1-(E16/$E$13))))))/(2*($E$13+Z^2))</f>
        <v>7.8369255603365166E-3</v>
      </c>
      <c r="O17" s="7">
        <f>((E17-D17)-O16)/D17</f>
        <v>-4.9144507000411425E-2</v>
      </c>
      <c r="P17" s="7">
        <f>((E17-D17)+P16)/D17</f>
        <v>1.5988160234417487E-2</v>
      </c>
      <c r="Q17" s="55"/>
    </row>
    <row r="18" spans="1:18" x14ac:dyDescent="0.5">
      <c r="B18" s="8" t="s">
        <v>1</v>
      </c>
      <c r="C18" s="9" t="s">
        <v>14</v>
      </c>
      <c r="D18" s="58">
        <f>SUMIFS(Data!$O$4:$O$21,Data!$E$4:$E$21,"PURE")</f>
        <v>2285</v>
      </c>
      <c r="E18" s="59">
        <f>SUMIFS(Data!$O$4:$O$21,Data!$E$4:$E$21,"NOT_PURE",Data!$F$4:$F$21,"A")</f>
        <v>10535</v>
      </c>
      <c r="F18" s="15"/>
      <c r="G18" s="6"/>
      <c r="H18" s="6"/>
      <c r="I18" s="6"/>
      <c r="J18" s="6"/>
      <c r="K18" s="14"/>
      <c r="M18" s="7">
        <f>((2*D18+Z^2)-(Z*(SQRT(Z^2+4*D18*(1-(D18/$D$13))))))/(2*($D$13+Z^2))</f>
        <v>4.052564600744055E-3</v>
      </c>
      <c r="N18" s="7">
        <f>((2*$D18+Z^2)+(Z*(SQRT(Z^2+4*$D18*(1-($D18/$D$13))))))/(2*($D$13+Z^2))</f>
        <v>4.3981094045041098E-3</v>
      </c>
      <c r="O18" s="7">
        <f>Z*SQRT((M18*(1-M18)/$D$13)+(N19*(1-N19)/$E$13))</f>
        <v>1.8670698562000897E-4</v>
      </c>
      <c r="P18" s="7">
        <f>Z*SQRT((N18*(1-N18)/$E$13)+(M19*(1-M19)/$D$13))</f>
        <v>1.8697023885820154E-4</v>
      </c>
      <c r="Q18" t="s">
        <v>45</v>
      </c>
    </row>
    <row r="19" spans="1:18" x14ac:dyDescent="0.5">
      <c r="B19" s="8"/>
      <c r="C19" s="6" t="s">
        <v>6</v>
      </c>
      <c r="D19" s="34">
        <f>D18/D$13</f>
        <v>4.2218182086926964E-3</v>
      </c>
      <c r="E19" s="60">
        <f>E18/E$13</f>
        <v>4.0971397414387867E-3</v>
      </c>
      <c r="F19" s="16">
        <f>(E19-D19)/D19</f>
        <v>-2.9531936500059971E-2</v>
      </c>
      <c r="G19" s="17">
        <f>10000*(E19-D19)</f>
        <v>-1.2467846725390963</v>
      </c>
      <c r="H19" s="7">
        <f>(P19-O19)/2</f>
        <v>4.4255484960106943E-2</v>
      </c>
      <c r="I19" s="55">
        <f>F19-H19</f>
        <v>-7.378742146016691E-2</v>
      </c>
      <c r="J19" s="55">
        <f>F19+H19</f>
        <v>1.4723548460046972E-2</v>
      </c>
      <c r="K19" s="18" t="str">
        <f>IF(OR((O19*P19)&lt;0, (O19*P19)=0), "No", "Yes")</f>
        <v>No</v>
      </c>
      <c r="M19" s="7">
        <f>((2*E18+Z^2)-(Z*(SQRT(Z^2+4*E18*(1-(E18/$E$13))))))/(2*($E$13+Z^2))</f>
        <v>4.0198006934070588E-3</v>
      </c>
      <c r="N19" s="7">
        <f>((2*E18+Z^2)+(Z*(SQRT(Z^2+4*E18*(1-(E18/$E$13))))))/(2*($E$13+Z^2))</f>
        <v>4.1759605170990028E-3</v>
      </c>
      <c r="O19" s="7">
        <f>((E19-D19)-O18)/D19</f>
        <v>-7.3756243751277109E-2</v>
      </c>
      <c r="P19" s="7">
        <f>((E19-D19)+P18)/D19</f>
        <v>1.4754726168936774E-2</v>
      </c>
    </row>
    <row r="20" spans="1:18" x14ac:dyDescent="0.5">
      <c r="B20" s="8" t="s">
        <v>0</v>
      </c>
      <c r="C20" s="9" t="s">
        <v>14</v>
      </c>
      <c r="D20" s="58">
        <f>SUMIFS(Data!$N$4:$N$21,Data!$E$4:$E$21,"PURE")</f>
        <v>1473</v>
      </c>
      <c r="E20" s="59">
        <f>SUMIFS(Data!$N$4:$N$21,Data!$E$4:$E$21,"NOT_PURE",Data!$F$4:$F$21,"A")</f>
        <v>7184</v>
      </c>
      <c r="F20" s="15"/>
      <c r="G20" s="6"/>
      <c r="H20" s="6"/>
      <c r="I20" s="6"/>
      <c r="J20" s="6"/>
      <c r="K20" s="14"/>
      <c r="M20" s="7">
        <f>((2*D20+Z^2)-(Z*(SQRT(Z^2+4*D20*(1-(D20/$D$13))))))/(2*($D$13+Z^2))</f>
        <v>2.5862394214336399E-3</v>
      </c>
      <c r="N20" s="7">
        <f>((2*$D20+Z^2)+(Z*(SQRT(Z^2+4*$D20*(1-($D20/$D$13))))))/(2*($D$13+Z^2))</f>
        <v>2.8639163743220718E-3</v>
      </c>
      <c r="O20" s="7">
        <f>Z*SQRT((M20*(1-M20)/$D$13)+(N21*(1-N21)/$E$13))</f>
        <v>1.5022598907381195E-4</v>
      </c>
      <c r="P20" s="7">
        <f>Z*SQRT((N20*(1-N20)/$E$13)+(M21*(1-M21)/$D$13))</f>
        <v>1.5359283047297503E-4</v>
      </c>
    </row>
    <row r="21" spans="1:18" ht="16.25" thickBot="1" x14ac:dyDescent="0.55000000000000004">
      <c r="B21" s="19"/>
      <c r="C21" s="20" t="s">
        <v>6</v>
      </c>
      <c r="D21" s="85">
        <f>D20/D$13</f>
        <v>2.7215484557568232E-3</v>
      </c>
      <c r="E21" s="86">
        <f>E20/E$13</f>
        <v>2.793910954199928E-3</v>
      </c>
      <c r="F21" s="61">
        <f>(E21-D21)/D21</f>
        <v>2.65887231550253E-2</v>
      </c>
      <c r="G21" s="22">
        <f>10000*(E21-D21)</f>
        <v>0.72362498443104795</v>
      </c>
      <c r="H21" s="21">
        <f>(P21-O21)/2</f>
        <v>5.5817271763823763E-2</v>
      </c>
      <c r="I21" s="23">
        <f>F21-H21</f>
        <v>-2.9228548608798463E-2</v>
      </c>
      <c r="J21" s="23">
        <f>F21+H21</f>
        <v>8.2405994918849063E-2</v>
      </c>
      <c r="K21" s="24" t="str">
        <f>IF(OR((O21*P21)&lt;0, (O21*P21)=0), "No", "Yes")</f>
        <v>No</v>
      </c>
      <c r="M21" s="7">
        <f>((2*E20+Z^2)-(Z*(SQRT(Z^2+4*E20*(1-(E20/$E$13))))))/(2*($E$13+Z^2))</f>
        <v>2.730133163200448E-3</v>
      </c>
      <c r="N21" s="7">
        <f>((2*E20+Z^2)+(Z*(SQRT(Z^2+4*E20*(1-(E20/$E$13))))))/(2*($E$13+Z^2))</f>
        <v>2.8591743667963636E-3</v>
      </c>
      <c r="O21" s="7">
        <f>((E21-D21)-O20)/D21</f>
        <v>-2.8609996072641836E-2</v>
      </c>
      <c r="P21" s="7">
        <f>((E21-D21)+P20)/D21</f>
        <v>8.302454745500569E-2</v>
      </c>
    </row>
    <row r="22" spans="1:18" ht="16.25" thickBot="1" x14ac:dyDescent="0.55000000000000004">
      <c r="M22" s="7"/>
      <c r="N22" s="7"/>
      <c r="O22" s="7"/>
      <c r="P22" s="7"/>
      <c r="R22" s="5"/>
    </row>
    <row r="23" spans="1:18" s="64" customFormat="1" x14ac:dyDescent="0.5">
      <c r="A23"/>
      <c r="B23" s="74" t="s">
        <v>38</v>
      </c>
      <c r="C23" s="75"/>
      <c r="D23" s="76" t="s">
        <v>15</v>
      </c>
      <c r="E23" s="77" t="s">
        <v>16</v>
      </c>
      <c r="F23" s="78" t="s">
        <v>17</v>
      </c>
      <c r="G23"/>
      <c r="H23"/>
      <c r="I23"/>
      <c r="J23"/>
      <c r="K23"/>
      <c r="L23"/>
      <c r="M23"/>
      <c r="N23"/>
      <c r="O23"/>
      <c r="P23"/>
      <c r="Q23"/>
    </row>
    <row r="24" spans="1:18" x14ac:dyDescent="0.5">
      <c r="A24" s="64"/>
      <c r="B24" s="8" t="s">
        <v>18</v>
      </c>
      <c r="C24" s="6" t="s">
        <v>105</v>
      </c>
      <c r="D24" s="51">
        <f>SUMIFS(Data!$K$4:$K$21,Data!$E$4:$E$21,"NOT_PURE",Data!$F$4:$F$21,"A")</f>
        <v>6878660</v>
      </c>
      <c r="E24" s="119">
        <f t="shared" ref="E24:F26" si="0">D24</f>
        <v>6878660</v>
      </c>
      <c r="F24" s="26">
        <f t="shared" si="0"/>
        <v>6878660</v>
      </c>
      <c r="I24" s="118"/>
    </row>
    <row r="25" spans="1:18" x14ac:dyDescent="0.5">
      <c r="B25" s="8"/>
      <c r="C25" s="6" t="s">
        <v>104</v>
      </c>
      <c r="D25" s="39">
        <f>(SUMIFS(Data!$J$4:$J$21,Data!$E$4:$E$21,"NOT_PURE",Data!$F$4:$F$21,"A")/D24)*1000</f>
        <v>9.5394120366466719</v>
      </c>
      <c r="E25" s="120">
        <f t="shared" si="0"/>
        <v>9.5394120366466719</v>
      </c>
      <c r="F25" s="29">
        <f t="shared" si="0"/>
        <v>9.5394120366466719</v>
      </c>
      <c r="G25" s="3"/>
    </row>
    <row r="26" spans="1:18" x14ac:dyDescent="0.5">
      <c r="B26" s="30"/>
      <c r="C26" s="98" t="s">
        <v>106</v>
      </c>
      <c r="D26" s="99">
        <f>(D25/1000)*D24</f>
        <v>65618.372000000003</v>
      </c>
      <c r="E26" s="121">
        <f t="shared" si="0"/>
        <v>65618.372000000003</v>
      </c>
      <c r="F26" s="100">
        <f t="shared" si="0"/>
        <v>65618.372000000003</v>
      </c>
      <c r="I26" s="117"/>
    </row>
    <row r="27" spans="1:18" x14ac:dyDescent="0.5">
      <c r="B27" s="8" t="s">
        <v>37</v>
      </c>
      <c r="C27" s="6" t="s">
        <v>19</v>
      </c>
      <c r="D27" s="31">
        <f>E13</f>
        <v>2571306</v>
      </c>
      <c r="E27" s="32">
        <f>D27</f>
        <v>2571306</v>
      </c>
      <c r="F27" s="33">
        <f>D27</f>
        <v>2571306</v>
      </c>
      <c r="L27" s="5"/>
      <c r="M27" s="5"/>
      <c r="N27" s="5"/>
      <c r="Q27" s="5"/>
    </row>
    <row r="28" spans="1:18" x14ac:dyDescent="0.5">
      <c r="B28" s="8"/>
      <c r="C28" s="6" t="s">
        <v>20</v>
      </c>
      <c r="D28" s="34">
        <f>D15</f>
        <v>4.8245127818548658E-2</v>
      </c>
      <c r="E28" s="16">
        <f>D28</f>
        <v>4.8245127818548658E-2</v>
      </c>
      <c r="F28" s="35">
        <f>E28</f>
        <v>4.8245127818548658E-2</v>
      </c>
      <c r="K28" s="116"/>
      <c r="L28" s="64"/>
      <c r="M28" s="64"/>
      <c r="N28" s="64"/>
      <c r="O28" s="4"/>
      <c r="P28" s="4"/>
      <c r="Q28" s="64"/>
    </row>
    <row r="29" spans="1:18" x14ac:dyDescent="0.5">
      <c r="B29" s="8"/>
      <c r="C29" s="6" t="s">
        <v>7</v>
      </c>
      <c r="D29" s="34">
        <f>I15</f>
        <v>-3.0960733274282545E-2</v>
      </c>
      <c r="E29" s="16">
        <f>F15</f>
        <v>-1.8032509263660592E-2</v>
      </c>
      <c r="F29" s="35">
        <f>J15</f>
        <v>-5.1042852530386387E-3</v>
      </c>
    </row>
    <row r="30" spans="1:18" x14ac:dyDescent="0.5">
      <c r="B30" s="8"/>
      <c r="C30" s="6" t="s">
        <v>21</v>
      </c>
      <c r="D30" s="36">
        <f>D29*D28*D27</f>
        <v>-3840.7714309481785</v>
      </c>
      <c r="E30" s="37">
        <f>E29*E28*E27</f>
        <v>-2236.9866306010776</v>
      </c>
      <c r="F30" s="38">
        <f>F29*F28*F27</f>
        <v>-633.20183025397648</v>
      </c>
    </row>
    <row r="31" spans="1:18" x14ac:dyDescent="0.5">
      <c r="B31" s="8"/>
      <c r="C31" s="6" t="s">
        <v>22</v>
      </c>
      <c r="D31" s="39">
        <f>(SUMIFS(Data!$V$4:$V$21,Data!$E$4:$E$21,"PURE",Data!$G$4:$G$21,"DIRTY")+SUMIFS(Data!$V$4:$V$21,Data!$E$4:$E$21,"PURE",Data!$G$4:$G$21,"LOW_CONVERTING"))/(SUMIFS(Data!$L$4:$L$21,Data!$E$4:$E$21,"PURE",Data!$G$4:$G$21,"DIRTY")+SUMIFS(Data!$L$4:$L$21,Data!$E$4:$E$21,"PURE",Data!$G$4:$G$21,"LOW_CONVERTING"))</f>
        <v>8.6964519832985374</v>
      </c>
      <c r="E31" s="28">
        <f>D31</f>
        <v>8.6964519832985374</v>
      </c>
      <c r="F31" s="29">
        <f>D31</f>
        <v>8.6964519832985374</v>
      </c>
    </row>
    <row r="32" spans="1:18" x14ac:dyDescent="0.5">
      <c r="B32" s="8"/>
      <c r="C32" s="6" t="s">
        <v>125</v>
      </c>
      <c r="D32" s="73">
        <f>D31*D30</f>
        <v>-33401.084328065648</v>
      </c>
      <c r="E32" s="40">
        <f>E31*E30</f>
        <v>-19453.846820303053</v>
      </c>
      <c r="F32" s="41">
        <f>F31*F30</f>
        <v>-5506.6093125404577</v>
      </c>
    </row>
    <row r="33" spans="1:18" ht="16.25" thickBot="1" x14ac:dyDescent="0.55000000000000004">
      <c r="B33" s="19" t="str">
        <f>CONCATENATE(C2, " Net Profit Impact - Flights only")</f>
        <v>Expedia Net Profit Impact - Flights only</v>
      </c>
      <c r="C33" s="20"/>
      <c r="D33" s="92">
        <f>D26+D32</f>
        <v>32217.287671934355</v>
      </c>
      <c r="E33" s="93">
        <f>E26+E32</f>
        <v>46164.525179696953</v>
      </c>
      <c r="F33" s="94">
        <f>F26+F32</f>
        <v>60111.762687459544</v>
      </c>
    </row>
    <row r="34" spans="1:18" hidden="1" outlineLevel="1" x14ac:dyDescent="0.5">
      <c r="B34" s="2" t="s">
        <v>46</v>
      </c>
      <c r="D34" s="42">
        <f>-D$26/D32</f>
        <v>1.9645581369603442</v>
      </c>
      <c r="E34" s="42">
        <f>-E$26/E32</f>
        <v>3.3730281011320207</v>
      </c>
      <c r="F34" s="42">
        <f>-F$26/F32</f>
        <v>11.916293362335372</v>
      </c>
    </row>
    <row r="35" spans="1:18" ht="16.25" collapsed="1" thickBot="1" x14ac:dyDescent="0.55000000000000004"/>
    <row r="36" spans="1:18" x14ac:dyDescent="0.5">
      <c r="A36" s="4"/>
      <c r="B36" s="43" t="s">
        <v>36</v>
      </c>
      <c r="C36" s="25" t="s">
        <v>23</v>
      </c>
      <c r="D36" s="67">
        <f>(SUMIFS(Data!$AB$4:$AB$21,Data!$E$4:$E$21,"PURE",Data!$G$4:$G$21,"DIRTY")+SUMIFS(Data!$AB$4:$AB$21,Data!$E$4:$E$21,"PURE",Data!$G$4:$G$21,"LOW_CONVERTING"))/(SUMIFS(Data!$L$4:$L$21,Data!$E$4:$E$21,"PURE",Data!$G$4:$G$21,"DIRTY")+SUMIFS(Data!$L$4:$L$21,Data!$E$4:$E$21,"PURE",Data!$G$4:$G$21,"LOW_CONVERTING"))</f>
        <v>4.3945720250521923E-2</v>
      </c>
      <c r="E36" s="44">
        <f>D36</f>
        <v>4.3945720250521923E-2</v>
      </c>
      <c r="F36" s="45">
        <f>D36</f>
        <v>4.3945720250521923E-2</v>
      </c>
    </row>
    <row r="37" spans="1:18" x14ac:dyDescent="0.5">
      <c r="B37" s="8"/>
      <c r="C37" s="6" t="s">
        <v>24</v>
      </c>
      <c r="D37" s="46">
        <f>D36*D$30</f>
        <v>-168.78546685064543</v>
      </c>
      <c r="E37" s="47">
        <f>E36*E$30</f>
        <v>-98.305988672552587</v>
      </c>
      <c r="F37" s="48">
        <f>F36*F$30</f>
        <v>-27.826510494459718</v>
      </c>
    </row>
    <row r="38" spans="1:18" x14ac:dyDescent="0.5">
      <c r="B38" s="8"/>
      <c r="C38" s="6" t="s">
        <v>25</v>
      </c>
      <c r="D38" s="27">
        <f>(SUMIFS(Data!$W$4:$W$21,Data!$E$4:$E$21,"PURE",Data!$G$4:$G$21,"DIRTY")+SUMIFS(Data!$W$4:$W$21,Data!$E$4:$E$21,"PURE",Data!$G$4:$G$21,"LOW_CONVERTING"))/(SUMIFS(Data!$R$4:$R$21,Data!$E$4:$E$21,"PURE",Data!$G$4:$G$21,"DIRTY")+SUMIFS(Data!$R$4:$R$21,Data!$E$4:$E$21,"PURE",Data!$G$4:$G$21,"LOW_CONVERTING"))</f>
        <v>55.59684355638165</v>
      </c>
      <c r="E38" s="28">
        <f>D38</f>
        <v>55.59684355638165</v>
      </c>
      <c r="F38" s="49">
        <f>E38</f>
        <v>55.59684355638165</v>
      </c>
      <c r="R38" s="4"/>
    </row>
    <row r="39" spans="1:18" ht="16.25" thickBot="1" x14ac:dyDescent="0.55000000000000004">
      <c r="B39" s="19"/>
      <c r="C39" s="20" t="s">
        <v>124</v>
      </c>
      <c r="D39" s="69">
        <f>D38*D37</f>
        <v>-9383.9391950861755</v>
      </c>
      <c r="E39" s="70">
        <f>E38*E37</f>
        <v>-5465.5026728833327</v>
      </c>
      <c r="F39" s="71">
        <f>F38*F37</f>
        <v>-1547.066150680489</v>
      </c>
    </row>
    <row r="40" spans="1:18" s="64" customFormat="1" ht="16.25" thickBot="1" x14ac:dyDescent="0.55000000000000004">
      <c r="A40"/>
      <c r="B40" s="19" t="str">
        <f>CONCATENATE(C2," Net Profit Impact w/ Hotel Attach")</f>
        <v>Expedia Net Profit Impact w/ Hotel Attach</v>
      </c>
      <c r="C40" s="20"/>
      <c r="D40" s="95">
        <f>D33+D39</f>
        <v>22833.348476848179</v>
      </c>
      <c r="E40" s="96">
        <f>E33+E39</f>
        <v>40699.022506813621</v>
      </c>
      <c r="F40" s="97">
        <f>F33+F39</f>
        <v>58564.696536779054</v>
      </c>
      <c r="G40"/>
      <c r="H40"/>
      <c r="I40"/>
      <c r="J40"/>
      <c r="K40"/>
      <c r="L40"/>
      <c r="M40"/>
      <c r="N40"/>
      <c r="O40"/>
      <c r="P40"/>
      <c r="Q40"/>
    </row>
    <row r="41" spans="1:18" hidden="1" outlineLevel="1" x14ac:dyDescent="0.5">
      <c r="B41" s="2" t="s">
        <v>44</v>
      </c>
      <c r="D41" s="50">
        <f>-D$26/SUM(D32,D39)</f>
        <v>1.5336761931308183</v>
      </c>
      <c r="E41" s="50">
        <f>-E$26/SUM(E32,E39)</f>
        <v>2.6332297324993101</v>
      </c>
      <c r="F41" s="50">
        <f>-F$26/SUM(F32,F39)</f>
        <v>9.3027205946949589</v>
      </c>
    </row>
    <row r="42" spans="1:18" ht="16.25" collapsed="1" thickBot="1" x14ac:dyDescent="0.55000000000000004">
      <c r="B42" s="2"/>
      <c r="D42" s="50"/>
      <c r="E42" s="50"/>
      <c r="F42" s="50"/>
    </row>
    <row r="43" spans="1:18" x14ac:dyDescent="0.5">
      <c r="B43" s="43" t="s">
        <v>42</v>
      </c>
      <c r="C43" s="104" t="s">
        <v>43</v>
      </c>
      <c r="D43" s="107">
        <f>(SUMIFS(Data!$AO$4:$AO$21,Data!$E$4:$E$21,"PURE",Data!$G$4:$G$21,"DIRTY")+SUMIFS(Data!$AO$4:$AO$21,Data!$E$4:$E$21,"PURE",Data!$G$4:$G$21,"LOW_CONVERTING"))/(SUMIFS(Data!$L$4:$L$21,Data!$E$4:$E$21,"PURE",Data!$G$4:$G$21,"DIRTY")+SUMIFS(Data!$L$4:$L$21,Data!$E$4:$E$21,"PURE",Data!$G$4:$G$21,"LOW_CONVERTING"))</f>
        <v>0.10036534446764092</v>
      </c>
      <c r="E43" s="107">
        <f>D43</f>
        <v>0.10036534446764092</v>
      </c>
      <c r="F43" s="108">
        <f>D43</f>
        <v>0.10036534446764092</v>
      </c>
    </row>
    <row r="44" spans="1:18" x14ac:dyDescent="0.5">
      <c r="B44" s="8"/>
      <c r="C44" s="105" t="s">
        <v>122</v>
      </c>
      <c r="D44" s="109">
        <f>D$43*D30</f>
        <v>-385.4803476885881</v>
      </c>
      <c r="E44" s="109">
        <f>E$43*E30</f>
        <v>-224.51593374978458</v>
      </c>
      <c r="F44" s="110">
        <f>F$43*F30</f>
        <v>-63.551519810981041</v>
      </c>
    </row>
    <row r="45" spans="1:18" x14ac:dyDescent="0.5">
      <c r="B45" s="8"/>
      <c r="C45" s="105" t="s">
        <v>126</v>
      </c>
      <c r="D45" s="114">
        <f>(SUMIFS(Data!$AY$4:$AY$21,Data!$E$4:$E$21,"PURE",Data!$G$4:$G$21,"DIRTY")+SUMIFS(Data!$AY$4:$AY$21,Data!$E$4:$E$21,"PURE",Data!$G$4:$G$21,"LOW_CONVERTING"))/(SUMIFS(Data!$AT$4:$AT$21,Data!$E$4:$E$21,"PURE",Data!$G$4:$G$21,"DIRTY")+SUMIFS(Data!$AT$4:$AT$21,Data!$E$4:$E$21,"PURE",Data!$G$4:$G$21,"LOW_CONVERTING"))</f>
        <v>34.792076246334311</v>
      </c>
      <c r="E45" s="114">
        <f>D45</f>
        <v>34.792076246334311</v>
      </c>
      <c r="F45" s="115">
        <f>D45</f>
        <v>34.792076246334311</v>
      </c>
    </row>
    <row r="46" spans="1:18" ht="16.25" thickBot="1" x14ac:dyDescent="0.55000000000000004">
      <c r="B46" s="19"/>
      <c r="C46" s="106" t="s">
        <v>127</v>
      </c>
      <c r="D46" s="70">
        <f>D45*D44</f>
        <v>-13411.661648244817</v>
      </c>
      <c r="E46" s="70">
        <f>E45*E44</f>
        <v>-7811.3754855394482</v>
      </c>
      <c r="F46" s="71">
        <f>F45*F44</f>
        <v>-2211.0893228340778</v>
      </c>
    </row>
    <row r="47" spans="1:18" ht="16.25" outlineLevel="1" thickBot="1" x14ac:dyDescent="0.55000000000000004">
      <c r="B47" s="19" t="s">
        <v>120</v>
      </c>
      <c r="C47" s="20"/>
      <c r="D47" s="101">
        <f>D33+D46</f>
        <v>18805.62602368954</v>
      </c>
      <c r="E47" s="103">
        <f>E33+E46</f>
        <v>38353.149694157502</v>
      </c>
      <c r="F47" s="102">
        <f>F33+F46</f>
        <v>57900.673364625465</v>
      </c>
    </row>
    <row r="48" spans="1:18" ht="16.25" thickBot="1" x14ac:dyDescent="0.55000000000000004">
      <c r="B48" s="19" t="s">
        <v>121</v>
      </c>
      <c r="C48" s="20"/>
      <c r="D48" s="91">
        <f>D40+D46</f>
        <v>9421.6868286033623</v>
      </c>
      <c r="E48" s="89">
        <f>E40+E46</f>
        <v>32887.64702127417</v>
      </c>
      <c r="F48" s="90">
        <f>F40+F46</f>
        <v>56353.607213944975</v>
      </c>
    </row>
    <row r="49" spans="1:17" x14ac:dyDescent="0.5">
      <c r="B49" s="2" t="s">
        <v>47</v>
      </c>
      <c r="D49" s="50">
        <f>-D$26/SUM(D$32,D$46)</f>
        <v>1.4017202074239803</v>
      </c>
      <c r="E49" s="50">
        <f>-E$26/SUM(E$32,E$46)</f>
        <v>2.4066692456763517</v>
      </c>
      <c r="F49" s="50">
        <f>-F$26/SUM(F$32,F$46)</f>
        <v>8.5023236977969372</v>
      </c>
      <c r="Q49" s="4"/>
    </row>
    <row r="50" spans="1:17" x14ac:dyDescent="0.5">
      <c r="B50" s="2" t="s">
        <v>48</v>
      </c>
      <c r="D50" s="50">
        <f>-D$26/SUM(D$32,D$39,D$46)</f>
        <v>1.1676555618871072</v>
      </c>
      <c r="E50" s="50">
        <f>-E$26/SUM(E$32,E$39,E$46)</f>
        <v>2.0047943344563963</v>
      </c>
      <c r="F50" s="50">
        <f>-F$26/SUM(F$32,F$39,F$46)</f>
        <v>7.0825729001524476</v>
      </c>
      <c r="G50" s="111"/>
      <c r="Q50" s="4"/>
    </row>
    <row r="51" spans="1:17" x14ac:dyDescent="0.5">
      <c r="P51" s="4"/>
    </row>
    <row r="52" spans="1:17" x14ac:dyDescent="0.5">
      <c r="P52" s="64"/>
      <c r="Q52" s="64"/>
    </row>
    <row r="53" spans="1:17" x14ac:dyDescent="0.5">
      <c r="A53" s="52"/>
    </row>
    <row r="54" spans="1:17" x14ac:dyDescent="0.5">
      <c r="A54" s="52"/>
    </row>
    <row r="55" spans="1:17" x14ac:dyDescent="0.5">
      <c r="A55" s="52"/>
    </row>
    <row r="56" spans="1:17" x14ac:dyDescent="0.5">
      <c r="A56" s="52"/>
    </row>
    <row r="57" spans="1:17" x14ac:dyDescent="0.5">
      <c r="A57" s="68"/>
    </row>
    <row r="58" spans="1:17" x14ac:dyDescent="0.5">
      <c r="A58" s="68"/>
    </row>
    <row r="65" spans="1:1" ht="15.75" customHeight="1" x14ac:dyDescent="0.5"/>
    <row r="72" spans="1:1" x14ac:dyDescent="0.5">
      <c r="A72" s="52"/>
    </row>
  </sheetData>
  <conditionalFormatting sqref="K17">
    <cfRule type="cellIs" dxfId="11" priority="3" operator="equal">
      <formula>"Yes"</formula>
    </cfRule>
  </conditionalFormatting>
  <conditionalFormatting sqref="K19">
    <cfRule type="cellIs" dxfId="10" priority="2" operator="equal">
      <formula>"Yes"</formula>
    </cfRule>
  </conditionalFormatting>
  <conditionalFormatting sqref="K21">
    <cfRule type="cellIs" dxfId="9" priority="1" operator="equal">
      <formula>"Yes"</formula>
    </cfRule>
  </conditionalFormatting>
  <pageMargins left="0.7" right="0.5" top="1" bottom="1" header="1" footer="0.5"/>
  <pageSetup scale="65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R72"/>
  <sheetViews>
    <sheetView showGridLines="0" zoomScale="90" zoomScaleNormal="90" zoomScalePageLayoutView="90" workbookViewId="0">
      <pane ySplit="5" topLeftCell="A6" activePane="bottomLeft" state="frozen"/>
      <selection activeCell="I1" sqref="H1:I1048576"/>
      <selection pane="bottomLeft"/>
    </sheetView>
  </sheetViews>
  <sheetFormatPr defaultColWidth="11" defaultRowHeight="15.85" outlineLevelRow="1" outlineLevelCol="1" x14ac:dyDescent="0.5"/>
  <cols>
    <col min="1" max="1" width="6.375" customWidth="1"/>
    <col min="2" max="2" width="21.625" customWidth="1"/>
    <col min="3" max="3" width="27.625" customWidth="1"/>
    <col min="4" max="6" width="12.5" bestFit="1" customWidth="1"/>
    <col min="7" max="7" width="7.5" customWidth="1"/>
    <col min="8" max="9" width="9" customWidth="1"/>
    <col min="10" max="10" width="10" customWidth="1"/>
    <col min="11" max="11" width="8.875" customWidth="1"/>
    <col min="13" max="14" width="10.875" hidden="1" customWidth="1" outlineLevel="1"/>
    <col min="15" max="15" width="11.5" hidden="1" customWidth="1" outlineLevel="1"/>
    <col min="16" max="16" width="10.875" hidden="1" customWidth="1" outlineLevel="1"/>
    <col min="17" max="17" width="11" collapsed="1"/>
  </cols>
  <sheetData>
    <row r="1" spans="1:17" ht="18.100000000000001" x14ac:dyDescent="0.55000000000000004">
      <c r="B1" s="84" t="s">
        <v>27</v>
      </c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7" x14ac:dyDescent="0.5">
      <c r="B2" s="2" t="s">
        <v>30</v>
      </c>
      <c r="C2" s="2" t="s">
        <v>26</v>
      </c>
      <c r="J2" s="66" t="s">
        <v>35</v>
      </c>
      <c r="K2" s="65" t="str">
        <f xml:space="preserve"> IF($K15="Yes", $B14, "")</f>
        <v>FLIGHTS</v>
      </c>
      <c r="L2" s="65" t="str">
        <f xml:space="preserve"> IF($K19="Yes", $B18, "")</f>
        <v/>
      </c>
    </row>
    <row r="3" spans="1:17" x14ac:dyDescent="0.5">
      <c r="B3" s="2" t="s">
        <v>28</v>
      </c>
      <c r="C3" s="54" t="s">
        <v>146</v>
      </c>
      <c r="K3" s="65" t="str">
        <f xml:space="preserve"> IF($K17="Yes", $B16, "")</f>
        <v/>
      </c>
      <c r="L3" s="65" t="str">
        <f xml:space="preserve"> IF($K21="Yes", $B20, "")</f>
        <v/>
      </c>
    </row>
    <row r="4" spans="1:17" x14ac:dyDescent="0.5">
      <c r="B4" s="2" t="s">
        <v>29</v>
      </c>
      <c r="C4" s="2" t="str">
        <f>CONCATENATE(K2, "-",K3, "-",L2,"-",L3)</f>
        <v>FLIGHTS---</v>
      </c>
    </row>
    <row r="6" spans="1:17" ht="18.100000000000001" x14ac:dyDescent="0.55000000000000004">
      <c r="A6" s="4"/>
      <c r="B6" s="83" t="str">
        <f>CONCATENATE(C2, " Ads for Travel")</f>
        <v>Expedia Ads for Travel</v>
      </c>
      <c r="F6" s="88"/>
      <c r="G6" s="65"/>
      <c r="H6" s="65"/>
      <c r="I6" s="113"/>
      <c r="K6" s="65"/>
      <c r="M6" s="54"/>
      <c r="O6" s="63"/>
    </row>
    <row r="7" spans="1:17" ht="18.100000000000001" x14ac:dyDescent="0.55000000000000004">
      <c r="B7" s="83" t="s">
        <v>39</v>
      </c>
      <c r="C7" s="65"/>
      <c r="G7" s="112"/>
      <c r="H7" s="65"/>
      <c r="K7" s="65"/>
      <c r="M7" s="54"/>
      <c r="O7" s="63"/>
    </row>
    <row r="8" spans="1:17" x14ac:dyDescent="0.5">
      <c r="B8" s="65" t="s">
        <v>135</v>
      </c>
      <c r="E8" s="72"/>
      <c r="G8" s="65"/>
      <c r="H8" s="65"/>
      <c r="K8" s="65"/>
      <c r="M8" s="54" t="s">
        <v>41</v>
      </c>
      <c r="O8" s="63">
        <f>-NORMSINV((1-O10/100)/2)</f>
        <v>1.9599639845400536</v>
      </c>
    </row>
    <row r="9" spans="1:17" x14ac:dyDescent="0.5">
      <c r="B9" t="str">
        <f>C3</f>
        <v>December 12, 2013 - January 14, 2014</v>
      </c>
      <c r="E9" s="72"/>
      <c r="G9" s="65"/>
      <c r="H9" s="65"/>
      <c r="K9" s="65"/>
      <c r="M9" s="54"/>
      <c r="O9" s="63"/>
    </row>
    <row r="10" spans="1:17" x14ac:dyDescent="0.5">
      <c r="E10" s="3"/>
      <c r="G10" s="112"/>
      <c r="H10" s="65"/>
      <c r="K10" s="65"/>
      <c r="M10" s="54" t="s">
        <v>32</v>
      </c>
      <c r="O10" s="63">
        <v>95</v>
      </c>
    </row>
    <row r="11" spans="1:17" ht="16.25" thickBot="1" x14ac:dyDescent="0.55000000000000004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"/>
      <c r="Q11" s="4"/>
    </row>
    <row r="12" spans="1:17" x14ac:dyDescent="0.5">
      <c r="B12" s="74" t="s">
        <v>7</v>
      </c>
      <c r="C12" s="79"/>
      <c r="D12" s="76" t="s">
        <v>49</v>
      </c>
      <c r="E12" s="153" t="s">
        <v>134</v>
      </c>
      <c r="F12" s="81" t="s">
        <v>8</v>
      </c>
      <c r="G12" s="80" t="s">
        <v>9</v>
      </c>
      <c r="H12" s="80" t="s">
        <v>10</v>
      </c>
      <c r="I12" s="80" t="s">
        <v>11</v>
      </c>
      <c r="J12" s="80" t="s">
        <v>12</v>
      </c>
      <c r="K12" s="82" t="s">
        <v>13</v>
      </c>
      <c r="L12" s="5"/>
      <c r="M12" s="62" t="s">
        <v>15</v>
      </c>
      <c r="N12" s="62" t="s">
        <v>31</v>
      </c>
      <c r="O12" s="62" t="s">
        <v>33</v>
      </c>
      <c r="P12" s="62" t="s">
        <v>34</v>
      </c>
    </row>
    <row r="13" spans="1:17" x14ac:dyDescent="0.5">
      <c r="B13" s="8" t="s">
        <v>123</v>
      </c>
      <c r="C13" s="9"/>
      <c r="D13" s="56">
        <f>SUMIFS(Data!$H$4:$H$21,Data!$E$4:$E$21,"PURE")</f>
        <v>541236</v>
      </c>
      <c r="E13" s="57">
        <f>SUMIFS(Data!$H$4:$H$21,Data!$E$4:$E$21,"NOT_PURE",Data!$F$4:$F$21,"B")</f>
        <v>2570567</v>
      </c>
      <c r="F13" s="10"/>
      <c r="G13" s="11"/>
      <c r="H13" s="11"/>
      <c r="I13" s="11"/>
      <c r="J13" s="11"/>
      <c r="K13" s="12"/>
    </row>
    <row r="14" spans="1:17" x14ac:dyDescent="0.5">
      <c r="B14" s="8" t="s">
        <v>4</v>
      </c>
      <c r="C14" s="9" t="s">
        <v>14</v>
      </c>
      <c r="D14" s="58">
        <f>SUMIFS(Data!$L$4:$L$21,Data!$E$4:$E$21,"PURE")</f>
        <v>26112</v>
      </c>
      <c r="E14" s="59">
        <f>SUMIFS(Data!$L$4:$L$21,Data!$E$4:$E$21,"NOT_PURE",Data!$F$4:$F$21,"B")</f>
        <v>121477</v>
      </c>
      <c r="F14" s="13"/>
      <c r="G14" s="6"/>
      <c r="H14" s="6"/>
      <c r="I14" s="6"/>
      <c r="J14" s="6"/>
      <c r="K14" s="14"/>
      <c r="M14" s="7">
        <f>((2*D$14+Z^2)-(Z*(SQRT(Z^2+4*D$14*(1-(D$14/$D$13))))))/(2*($D$13+Z^2))</f>
        <v>4.7677448216761162E-2</v>
      </c>
      <c r="N14" s="7">
        <f>((2*$D$14+Z^2)+(Z*(SQRT(Z^2+4*$D$14*(1-($D$14/$D$13))))))/(2*($D$13+Z^2))</f>
        <v>4.8819220095847445E-2</v>
      </c>
      <c r="O14" s="87">
        <f>Z*SQRT((M14*(1-M14)/$D$13)+(N15*(1-N15)/$E$13))</f>
        <v>6.2441603489388903E-4</v>
      </c>
      <c r="P14" s="88">
        <f>Z*SQRT((N14*(1-N14)/$E$13)+(M15*(1-M15)/$D$13))</f>
        <v>6.2232569230647134E-4</v>
      </c>
    </row>
    <row r="15" spans="1:17" x14ac:dyDescent="0.5">
      <c r="B15" s="8"/>
      <c r="C15" s="6" t="s">
        <v>6</v>
      </c>
      <c r="D15" s="34">
        <f>D14/D$13</f>
        <v>4.8245127818548658E-2</v>
      </c>
      <c r="E15" s="60">
        <f>E14/E$13</f>
        <v>4.7256889238833304E-2</v>
      </c>
      <c r="F15" s="16">
        <f>(E15-D15)/D15</f>
        <v>-2.0483696994899648E-2</v>
      </c>
      <c r="G15" s="17">
        <f>10000*(E15-D15)</f>
        <v>-9.8823857971535443</v>
      </c>
      <c r="H15" s="7">
        <f>(P15-O15)/2</f>
        <v>1.2920908116249505E-2</v>
      </c>
      <c r="I15" s="55">
        <f>F15-H15</f>
        <v>-3.3404605111149149E-2</v>
      </c>
      <c r="J15" s="55">
        <f>F15+H15</f>
        <v>-7.5627888786501431E-3</v>
      </c>
      <c r="K15" s="18" t="str">
        <f>IF(OR((O15*P15)&lt;0, (O15*P15)=0), "No", "Yes")</f>
        <v>Yes</v>
      </c>
      <c r="M15" s="7">
        <f>((2*E$14+Z^2)-(Z*(SQRT(Z^2+4*E$14*(1-(E$14/$E$13))))))/(2*($E$13+Z^2))</f>
        <v>4.6998174608667787E-2</v>
      </c>
      <c r="N15" s="7">
        <f>((2*E$14+Z^2)+(Z*(SQRT(Z^2+4*E$14*(1-(E$14/$E$13))))))/(2*($E$13+Z^2))</f>
        <v>4.7516957026817519E-2</v>
      </c>
      <c r="O15" s="7">
        <f>((E15-D15)-O14)/D15</f>
        <v>-3.3426268879926793E-2</v>
      </c>
      <c r="P15" s="7">
        <f>((E15-D15)+P14)/D15</f>
        <v>-7.5844526474277835E-3</v>
      </c>
    </row>
    <row r="16" spans="1:17" x14ac:dyDescent="0.5">
      <c r="B16" s="8" t="s">
        <v>2</v>
      </c>
      <c r="C16" s="9" t="s">
        <v>14</v>
      </c>
      <c r="D16" s="58">
        <f>SUMIFS(Data!$M$4:$M$21,Data!$E$4:$E$21,"PURE")</f>
        <v>4254</v>
      </c>
      <c r="E16" s="59">
        <f>SUMIFS(Data!$M$4:$M$21,Data!$E$4:$E$21,"NOT_PURE",Data!$F$4:$F$21,"B")</f>
        <v>19755</v>
      </c>
      <c r="F16" s="15"/>
      <c r="G16" s="6"/>
      <c r="H16" s="6"/>
      <c r="I16" s="6"/>
      <c r="J16" s="6"/>
      <c r="K16" s="14"/>
      <c r="M16" s="7">
        <f>((2*D16+Z^2)-(Z*(SQRT(Z^2+4*D16*(1-(D16/$D$13))))))/(2*($D$13+Z^2))</f>
        <v>7.6279962391530122E-3</v>
      </c>
      <c r="N16" s="7">
        <f>((2*$D16+Z^2)+(Z*(SQRT(Z^2+4*$D16*(1-($D16/$D$13))))))/(2*($D$13+Z^2))</f>
        <v>8.0985649021673694E-3</v>
      </c>
      <c r="O16" s="87">
        <f>Z*SQRT((M16*(1-M16)/$D$13)+(N17*(1-N17)/$E$13))</f>
        <v>2.5550285667380064E-4</v>
      </c>
      <c r="P16" s="88">
        <f>Z*SQRT((N16*(1-N16)/$E$13)+(M17*(1-M17)/$D$13))</f>
        <v>2.5571398687248512E-4</v>
      </c>
    </row>
    <row r="17" spans="1:18" x14ac:dyDescent="0.5">
      <c r="B17" s="8"/>
      <c r="C17" s="6" t="s">
        <v>6</v>
      </c>
      <c r="D17" s="34">
        <f>D16/D$13</f>
        <v>7.8597875972773422E-3</v>
      </c>
      <c r="E17" s="60">
        <f>E16/E$13</f>
        <v>7.6850749270491684E-3</v>
      </c>
      <c r="F17" s="16">
        <f>(E17-D17)/D17</f>
        <v>-2.2228675783642661E-2</v>
      </c>
      <c r="G17" s="17">
        <f>10000*(E17-D17)</f>
        <v>-1.7471267022817378</v>
      </c>
      <c r="H17" s="7">
        <f>(P17-O17)/2</f>
        <v>3.2521034265822465E-2</v>
      </c>
      <c r="I17" s="55">
        <f>F17-H17</f>
        <v>-5.4749710049465126E-2</v>
      </c>
      <c r="J17" s="55">
        <f>F17+H17</f>
        <v>1.0292358482179804E-2</v>
      </c>
      <c r="K17" s="18" t="str">
        <f>IF(OR((O17*P17)&lt;0, (O17*P17)=0), "No", "Yes")</f>
        <v>No</v>
      </c>
      <c r="M17" s="7">
        <f>((2*E16+Z^2)-(Z*(SQRT(Z^2+4*E16*(1-(E16/$E$13))))))/(2*($E$13+Z^2))</f>
        <v>7.579054608203576E-3</v>
      </c>
      <c r="N17" s="7">
        <f>((2*E16+Z^2)+(Z*(SQRT(Z^2+4*E16*(1-(E16/$E$13))))))/(2*($E$13+Z^2))</f>
        <v>7.7925666758829788E-3</v>
      </c>
      <c r="O17" s="7">
        <f>((E17-D17)-O16)/D17</f>
        <v>-5.4736279012298321E-2</v>
      </c>
      <c r="P17" s="7">
        <f>((E17-D17)+P16)/D17</f>
        <v>1.0305789519346614E-2</v>
      </c>
      <c r="Q17" s="55"/>
    </row>
    <row r="18" spans="1:18" x14ac:dyDescent="0.5">
      <c r="B18" s="8" t="s">
        <v>1</v>
      </c>
      <c r="C18" s="9" t="s">
        <v>14</v>
      </c>
      <c r="D18" s="58">
        <f>SUMIFS(Data!$O$4:$O$21,Data!$E$4:$E$21,"PURE")</f>
        <v>2285</v>
      </c>
      <c r="E18" s="59">
        <f>SUMIFS(Data!$O$4:$O$21,Data!$E$4:$E$21,"NOT_PURE",Data!$F$4:$F$21,"B")</f>
        <v>10392</v>
      </c>
      <c r="F18" s="15"/>
      <c r="G18" s="6"/>
      <c r="H18" s="6"/>
      <c r="I18" s="6"/>
      <c r="J18" s="6"/>
      <c r="K18" s="14"/>
      <c r="M18" s="7">
        <f>((2*D18+Z^2)-(Z*(SQRT(Z^2+4*D18*(1-(D18/$D$13))))))/(2*($D$13+Z^2))</f>
        <v>4.052564600744055E-3</v>
      </c>
      <c r="N18" s="7">
        <f>((2*$D18+Z^2)+(Z*(SQRT(Z^2+4*$D18*(1-($D18/$D$13))))))/(2*($D$13+Z^2))</f>
        <v>4.3981094045041098E-3</v>
      </c>
      <c r="O18" s="7">
        <f>Z*SQRT((M18*(1-M18)/$D$13)+(N19*(1-N19)/$E$13))</f>
        <v>1.8649352639449191E-4</v>
      </c>
      <c r="P18" s="7">
        <f>Z*SQRT((N18*(1-N18)/$E$13)+(M19*(1-M19)/$D$13))</f>
        <v>1.8595680933158085E-4</v>
      </c>
      <c r="Q18" t="s">
        <v>45</v>
      </c>
    </row>
    <row r="19" spans="1:18" x14ac:dyDescent="0.5">
      <c r="B19" s="8"/>
      <c r="C19" s="6" t="s">
        <v>6</v>
      </c>
      <c r="D19" s="34">
        <f>D18/D$13</f>
        <v>4.2218182086926964E-3</v>
      </c>
      <c r="E19" s="60">
        <f>E18/E$13</f>
        <v>4.0426878583596539E-3</v>
      </c>
      <c r="F19" s="16">
        <f>(E19-D19)/D19</f>
        <v>-4.242966927477225E-2</v>
      </c>
      <c r="G19" s="17">
        <f>10000*(E19-D19)</f>
        <v>-1.7913035033304252</v>
      </c>
      <c r="H19" s="7">
        <f>(P19-O19)/2</f>
        <v>4.4110181598913938E-2</v>
      </c>
      <c r="I19" s="55">
        <f>F19-H19</f>
        <v>-8.653985087368618E-2</v>
      </c>
      <c r="J19" s="55">
        <f>F19+H19</f>
        <v>1.6805123241416878E-3</v>
      </c>
      <c r="K19" s="18" t="str">
        <f>IF(OR((O19*P19)&lt;0, (O19*P19)=0), "No", "Yes")</f>
        <v>No</v>
      </c>
      <c r="M19" s="7">
        <f>((2*E18+Z^2)-(Z*(SQRT(Z^2+4*E18*(1-(E18/$E$13))))))/(2*($E$13+Z^2))</f>
        <v>3.9658563727097322E-3</v>
      </c>
      <c r="N19" s="7">
        <f>((2*E18+Z^2)+(Z*(SQRT(Z^2+4*E18*(1-(E18/$E$13))))))/(2*($E$13+Z^2))</f>
        <v>4.1210016603579029E-3</v>
      </c>
      <c r="O19" s="7">
        <f>((E19-D19)-O18)/D19</f>
        <v>-8.6603415555581542E-2</v>
      </c>
      <c r="P19" s="7">
        <f>((E19-D19)+P18)/D19</f>
        <v>1.6169476422463395E-3</v>
      </c>
    </row>
    <row r="20" spans="1:18" x14ac:dyDescent="0.5">
      <c r="B20" s="8" t="s">
        <v>0</v>
      </c>
      <c r="C20" s="9" t="s">
        <v>14</v>
      </c>
      <c r="D20" s="58">
        <f>SUMIFS(Data!$N$4:$N$21,Data!$E$4:$E$21,"PURE")</f>
        <v>1473</v>
      </c>
      <c r="E20" s="59">
        <f>SUMIFS(Data!$N$4:$N$21,Data!$E$4:$E$21,"NOT_PURE",Data!$F$4:$F$21,"B")</f>
        <v>7166</v>
      </c>
      <c r="F20" s="15"/>
      <c r="G20" s="6"/>
      <c r="H20" s="6"/>
      <c r="I20" s="6"/>
      <c r="J20" s="6"/>
      <c r="K20" s="14"/>
      <c r="M20" s="7">
        <f>((2*D20+Z^2)-(Z*(SQRT(Z^2+4*D20*(1-(D20/$D$13))))))/(2*($D$13+Z^2))</f>
        <v>2.5862394214336399E-3</v>
      </c>
      <c r="N20" s="7">
        <f>((2*$D20+Z^2)+(Z*(SQRT(Z^2+4*$D20*(1-($D20/$D$13))))))/(2*($D$13+Z^2))</f>
        <v>2.8639163743220718E-3</v>
      </c>
      <c r="O20" s="7">
        <f>Z*SQRT((M20*(1-M20)/$D$13)+(N21*(1-N21)/$E$13))</f>
        <v>1.5019909850557249E-4</v>
      </c>
      <c r="P20" s="7">
        <f>Z*SQRT((N20*(1-N20)/$E$13)+(M21*(1-M21)/$D$13))</f>
        <v>1.5345574445235711E-4</v>
      </c>
    </row>
    <row r="21" spans="1:18" ht="16.25" thickBot="1" x14ac:dyDescent="0.55000000000000004">
      <c r="B21" s="19"/>
      <c r="C21" s="20" t="s">
        <v>6</v>
      </c>
      <c r="D21" s="85">
        <f>D20/D$13</f>
        <v>2.7215484557568232E-3</v>
      </c>
      <c r="E21" s="86">
        <f>E20/E$13</f>
        <v>2.7877118161090532E-3</v>
      </c>
      <c r="F21" s="61">
        <f>(E21-D21)/D21</f>
        <v>2.4310924985471521E-2</v>
      </c>
      <c r="G21" s="22">
        <f>10000*(E21-D21)</f>
        <v>0.66163360352229983</v>
      </c>
      <c r="H21" s="21">
        <f>(P21-O21)/2</f>
        <v>5.578714615858045E-2</v>
      </c>
      <c r="I21" s="23">
        <f>F21-H21</f>
        <v>-3.1476221173108929E-2</v>
      </c>
      <c r="J21" s="23">
        <f>F21+H21</f>
        <v>8.0098071144051972E-2</v>
      </c>
      <c r="K21" s="24" t="str">
        <f>IF(OR((O21*P21)&lt;0, (O21*P21)=0), "No", "Yes")</f>
        <v>No</v>
      </c>
      <c r="M21" s="7">
        <f>((2*E20+Z^2)-(Z*(SQRT(Z^2+4*E20*(1-(E20/$E$13))))))/(2*($E$13+Z^2))</f>
        <v>2.7239963923751968E-3</v>
      </c>
      <c r="N21" s="7">
        <f>((2*E20+Z^2)+(Z*(SQRT(Z^2+4*E20*(1-(E20/$E$13))))))/(2*($E$13+Z^2))</f>
        <v>2.85291330706144E-3</v>
      </c>
      <c r="O21" s="7">
        <f>((E21-D21)-O20)/D21</f>
        <v>-3.0877913628759326E-2</v>
      </c>
      <c r="P21" s="7">
        <f>((E21-D21)+P20)/D21</f>
        <v>8.0696378688401571E-2</v>
      </c>
    </row>
    <row r="22" spans="1:18" ht="16.25" thickBot="1" x14ac:dyDescent="0.55000000000000004">
      <c r="M22" s="7"/>
      <c r="N22" s="7"/>
      <c r="O22" s="7"/>
      <c r="P22" s="7"/>
      <c r="R22" s="5"/>
    </row>
    <row r="23" spans="1:18" s="64" customFormat="1" x14ac:dyDescent="0.5">
      <c r="A23"/>
      <c r="B23" s="74" t="s">
        <v>38</v>
      </c>
      <c r="C23" s="75"/>
      <c r="D23" s="76" t="s">
        <v>15</v>
      </c>
      <c r="E23" s="77" t="s">
        <v>16</v>
      </c>
      <c r="F23" s="78" t="s">
        <v>17</v>
      </c>
      <c r="G23"/>
      <c r="H23"/>
      <c r="I23"/>
      <c r="J23"/>
      <c r="K23"/>
      <c r="L23"/>
      <c r="M23"/>
      <c r="N23"/>
      <c r="O23"/>
      <c r="P23"/>
      <c r="Q23"/>
    </row>
    <row r="24" spans="1:18" x14ac:dyDescent="0.5">
      <c r="A24" s="64"/>
      <c r="B24" s="8" t="s">
        <v>18</v>
      </c>
      <c r="C24" s="6" t="s">
        <v>105</v>
      </c>
      <c r="D24" s="51">
        <f>SUMIFS(Data!$K$4:$K$21,Data!$E$4:$E$21,"NOT_PURE",Data!$F$4:$F$21,"B")</f>
        <v>6852345</v>
      </c>
      <c r="E24" s="119">
        <f t="shared" ref="E24:F26" si="0">D24</f>
        <v>6852345</v>
      </c>
      <c r="F24" s="26">
        <f t="shared" si="0"/>
        <v>6852345</v>
      </c>
      <c r="I24" s="118"/>
    </row>
    <row r="25" spans="1:18" x14ac:dyDescent="0.5">
      <c r="B25" s="8"/>
      <c r="C25" s="6" t="s">
        <v>104</v>
      </c>
      <c r="D25" s="39">
        <f>(SUMIFS(Data!$J$4:$J$21,Data!$E$4:$E$21,"NOT_PURE",Data!$F$4:$F$21,"B")/D24)*1000</f>
        <v>11.932542217299334</v>
      </c>
      <c r="E25" s="120">
        <f t="shared" si="0"/>
        <v>11.932542217299334</v>
      </c>
      <c r="F25" s="29">
        <f t="shared" si="0"/>
        <v>11.932542217299334</v>
      </c>
      <c r="G25" s="3"/>
    </row>
    <row r="26" spans="1:18" x14ac:dyDescent="0.5">
      <c r="B26" s="30"/>
      <c r="C26" s="98" t="s">
        <v>106</v>
      </c>
      <c r="D26" s="99">
        <f>(D25/1000)*D24</f>
        <v>81765.896000000008</v>
      </c>
      <c r="E26" s="121">
        <f t="shared" si="0"/>
        <v>81765.896000000008</v>
      </c>
      <c r="F26" s="100">
        <f t="shared" si="0"/>
        <v>81765.896000000008</v>
      </c>
      <c r="I26" s="117"/>
    </row>
    <row r="27" spans="1:18" x14ac:dyDescent="0.5">
      <c r="B27" s="8" t="s">
        <v>37</v>
      </c>
      <c r="C27" s="6" t="s">
        <v>19</v>
      </c>
      <c r="D27" s="31">
        <f>E13</f>
        <v>2570567</v>
      </c>
      <c r="E27" s="32">
        <f>D27</f>
        <v>2570567</v>
      </c>
      <c r="F27" s="33">
        <f>D27</f>
        <v>2570567</v>
      </c>
      <c r="L27" s="5"/>
      <c r="M27" s="5"/>
      <c r="N27" s="5"/>
      <c r="Q27" s="5"/>
    </row>
    <row r="28" spans="1:18" x14ac:dyDescent="0.5">
      <c r="B28" s="8"/>
      <c r="C28" s="6" t="s">
        <v>20</v>
      </c>
      <c r="D28" s="34">
        <f>D15</f>
        <v>4.8245127818548658E-2</v>
      </c>
      <c r="E28" s="16">
        <f>D28</f>
        <v>4.8245127818548658E-2</v>
      </c>
      <c r="F28" s="35">
        <f>E28</f>
        <v>4.8245127818548658E-2</v>
      </c>
      <c r="K28" s="116"/>
      <c r="L28" s="64"/>
      <c r="M28" s="64"/>
      <c r="N28" s="64"/>
      <c r="O28" s="4"/>
      <c r="P28" s="4"/>
      <c r="Q28" s="64"/>
    </row>
    <row r="29" spans="1:18" x14ac:dyDescent="0.5">
      <c r="B29" s="8"/>
      <c r="C29" s="6" t="s">
        <v>7</v>
      </c>
      <c r="D29" s="34">
        <f>I15</f>
        <v>-3.3404605111149149E-2</v>
      </c>
      <c r="E29" s="16">
        <f>F15</f>
        <v>-2.0483696994899648E-2</v>
      </c>
      <c r="F29" s="35">
        <f>J15</f>
        <v>-7.5627888786501431E-3</v>
      </c>
    </row>
    <row r="30" spans="1:18" x14ac:dyDescent="0.5">
      <c r="B30" s="8"/>
      <c r="C30" s="6" t="s">
        <v>21</v>
      </c>
      <c r="D30" s="36">
        <f>D29*D28*D27</f>
        <v>-4142.7500518752831</v>
      </c>
      <c r="E30" s="37">
        <f>E29*E28*E27</f>
        <v>-2540.3334811431596</v>
      </c>
      <c r="F30" s="38">
        <f>F29*F28*F27</f>
        <v>-937.91691041103559</v>
      </c>
    </row>
    <row r="31" spans="1:18" x14ac:dyDescent="0.5">
      <c r="B31" s="8"/>
      <c r="C31" s="6" t="s">
        <v>22</v>
      </c>
      <c r="D31" s="39">
        <f>(SUMIFS(Data!$V$4:$V$21,Data!$E$4:$E$21,"PURE",Data!$G$4:$G$21,"DIRTY")+SUMIFS(Data!$V$4:$V$21,Data!$E$4:$E$21,"PURE",Data!$G$4:$G$21,"LOW_CONVERTING"))/(SUMIFS(Data!$L$4:$L$21,Data!$E$4:$E$21,"PURE",Data!$G$4:$G$21,"DIRTY")+SUMIFS(Data!$L$4:$L$21,Data!$E$4:$E$21,"PURE",Data!$G$4:$G$21,"LOW_CONVERTING"))</f>
        <v>8.6964519832985374</v>
      </c>
      <c r="E31" s="28">
        <f>D31</f>
        <v>8.6964519832985374</v>
      </c>
      <c r="F31" s="29">
        <f>D31</f>
        <v>8.6964519832985374</v>
      </c>
    </row>
    <row r="32" spans="1:18" x14ac:dyDescent="0.5">
      <c r="B32" s="8"/>
      <c r="C32" s="6" t="s">
        <v>125</v>
      </c>
      <c r="D32" s="73">
        <f>D31*D30</f>
        <v>-36027.226904940922</v>
      </c>
      <c r="E32" s="40">
        <f>E31*E30</f>
        <v>-22091.888140327108</v>
      </c>
      <c r="F32" s="41">
        <f>F31*F30</f>
        <v>-8156.5493757132872</v>
      </c>
    </row>
    <row r="33" spans="1:18" ht="16.25" thickBot="1" x14ac:dyDescent="0.55000000000000004">
      <c r="B33" s="19" t="str">
        <f>CONCATENATE(C2, " Net Profit Impact - Flights only")</f>
        <v>Expedia Net Profit Impact - Flights only</v>
      </c>
      <c r="C33" s="20"/>
      <c r="D33" s="92">
        <f>D26+D32</f>
        <v>45738.669095059086</v>
      </c>
      <c r="E33" s="93">
        <f>E26+E32</f>
        <v>59674.0078596729</v>
      </c>
      <c r="F33" s="94">
        <f>F26+F32</f>
        <v>73609.346624286714</v>
      </c>
    </row>
    <row r="34" spans="1:18" hidden="1" outlineLevel="1" x14ac:dyDescent="0.5">
      <c r="B34" s="2" t="s">
        <v>46</v>
      </c>
      <c r="D34" s="42">
        <f>-D$26/D32</f>
        <v>2.2695584152436195</v>
      </c>
      <c r="E34" s="42">
        <f>-E$26/E32</f>
        <v>3.7011728232836019</v>
      </c>
      <c r="F34" s="42">
        <f>-F$26/F32</f>
        <v>10.024569488105332</v>
      </c>
    </row>
    <row r="35" spans="1:18" ht="16.25" collapsed="1" thickBot="1" x14ac:dyDescent="0.55000000000000004"/>
    <row r="36" spans="1:18" x14ac:dyDescent="0.5">
      <c r="A36" s="4"/>
      <c r="B36" s="43" t="s">
        <v>36</v>
      </c>
      <c r="C36" s="25" t="s">
        <v>23</v>
      </c>
      <c r="D36" s="67">
        <f>(SUMIFS(Data!$AB$4:$AB$21,Data!$E$4:$E$21,"PURE",Data!$G$4:$G$21,"DIRTY")+SUMIFS(Data!$AB$4:$AB$21,Data!$E$4:$E$21,"PURE",Data!$G$4:$G$21,"LOW_CONVERTING"))/(SUMIFS(Data!$L$4:$L$21,Data!$E$4:$E$21,"PURE",Data!$G$4:$G$21,"DIRTY")+SUMIFS(Data!$L$4:$L$21,Data!$E$4:$E$21,"PURE",Data!$G$4:$G$21,"LOW_CONVERTING"))</f>
        <v>4.3945720250521923E-2</v>
      </c>
      <c r="E36" s="44">
        <f>D36</f>
        <v>4.3945720250521923E-2</v>
      </c>
      <c r="F36" s="45">
        <f>D36</f>
        <v>4.3945720250521923E-2</v>
      </c>
    </row>
    <row r="37" spans="1:18" x14ac:dyDescent="0.5">
      <c r="B37" s="8"/>
      <c r="C37" s="6" t="s">
        <v>24</v>
      </c>
      <c r="D37" s="46">
        <f>D36*D$30</f>
        <v>-182.05613484754639</v>
      </c>
      <c r="E37" s="47">
        <f>E36*E$30</f>
        <v>-111.6367845053518</v>
      </c>
      <c r="F37" s="48">
        <f>F36*F$30</f>
        <v>-41.217434163157201</v>
      </c>
    </row>
    <row r="38" spans="1:18" x14ac:dyDescent="0.5">
      <c r="B38" s="8"/>
      <c r="C38" s="6" t="s">
        <v>25</v>
      </c>
      <c r="D38" s="27">
        <f>(SUMIFS(Data!$W$4:$W$21,Data!$E$4:$E$21,"PURE",Data!$G$4:$G$21,"DIRTY")+SUMIFS(Data!$W$4:$W$21,Data!$E$4:$E$21,"PURE",Data!$G$4:$G$21,"LOW_CONVERTING"))/(SUMIFS(Data!$R$4:$R$21,Data!$E$4:$E$21,"PURE",Data!$G$4:$G$21,"DIRTY")+SUMIFS(Data!$R$4:$R$21,Data!$E$4:$E$21,"PURE",Data!$G$4:$G$21,"LOW_CONVERTING"))</f>
        <v>55.59684355638165</v>
      </c>
      <c r="E38" s="28">
        <f>D38</f>
        <v>55.59684355638165</v>
      </c>
      <c r="F38" s="49">
        <f>E38</f>
        <v>55.59684355638165</v>
      </c>
      <c r="R38" s="4"/>
    </row>
    <row r="39" spans="1:18" ht="16.25" thickBot="1" x14ac:dyDescent="0.55000000000000004">
      <c r="B39" s="19"/>
      <c r="C39" s="20" t="s">
        <v>124</v>
      </c>
      <c r="D39" s="69">
        <f>D38*D37</f>
        <v>-10121.746447598558</v>
      </c>
      <c r="E39" s="70">
        <f>E38*E37</f>
        <v>-6206.6528432815348</v>
      </c>
      <c r="F39" s="71">
        <f>F38*F37</f>
        <v>-2291.5592389645112</v>
      </c>
    </row>
    <row r="40" spans="1:18" s="64" customFormat="1" ht="16.25" thickBot="1" x14ac:dyDescent="0.55000000000000004">
      <c r="A40"/>
      <c r="B40" s="19" t="str">
        <f>CONCATENATE(C2," Net Profit Impact w/ Hotel Attach")</f>
        <v>Expedia Net Profit Impact w/ Hotel Attach</v>
      </c>
      <c r="C40" s="20"/>
      <c r="D40" s="95">
        <f>D33+D39</f>
        <v>35616.922647460524</v>
      </c>
      <c r="E40" s="96">
        <f>E33+E39</f>
        <v>53467.355016391368</v>
      </c>
      <c r="F40" s="97">
        <f>F33+F39</f>
        <v>71317.787385322197</v>
      </c>
      <c r="G40"/>
      <c r="H40"/>
      <c r="I40"/>
      <c r="J40"/>
      <c r="K40"/>
      <c r="L40"/>
      <c r="M40"/>
      <c r="N40"/>
      <c r="O40"/>
      <c r="P40"/>
      <c r="Q40"/>
    </row>
    <row r="41" spans="1:18" hidden="1" outlineLevel="1" x14ac:dyDescent="0.5">
      <c r="B41" s="2" t="s">
        <v>44</v>
      </c>
      <c r="D41" s="50">
        <f>-D$26/SUM(D32,D39)</f>
        <v>1.7717814733467001</v>
      </c>
      <c r="E41" s="50">
        <f>-E$26/SUM(E32,E39)</f>
        <v>2.8894032398123013</v>
      </c>
      <c r="F41" s="50">
        <f>-F$26/SUM(F32,F39)</f>
        <v>7.8259040957071377</v>
      </c>
    </row>
    <row r="42" spans="1:18" ht="16.25" collapsed="1" thickBot="1" x14ac:dyDescent="0.55000000000000004">
      <c r="B42" s="2"/>
      <c r="D42" s="50"/>
      <c r="E42" s="50"/>
      <c r="F42" s="50"/>
    </row>
    <row r="43" spans="1:18" x14ac:dyDescent="0.5">
      <c r="B43" s="43" t="s">
        <v>42</v>
      </c>
      <c r="C43" s="104" t="s">
        <v>43</v>
      </c>
      <c r="D43" s="107">
        <f>(SUMIFS(Data!$AO$4:$AO$21,Data!$E$4:$E$21,"PURE",Data!$G$4:$G$21,"DIRTY")+SUMIFS(Data!$AO$4:$AO$21,Data!$E$4:$E$21,"PURE",Data!$G$4:$G$21,"LOW_CONVERTING"))/(SUMIFS(Data!$L$4:$L$21,Data!$E$4:$E$21,"PURE",Data!$G$4:$G$21,"DIRTY")+SUMIFS(Data!$L$4:$L$21,Data!$E$4:$E$21,"PURE",Data!$G$4:$G$21,"LOW_CONVERTING"))</f>
        <v>0.10036534446764092</v>
      </c>
      <c r="E43" s="107">
        <f>D43</f>
        <v>0.10036534446764092</v>
      </c>
      <c r="F43" s="108">
        <f>D43</f>
        <v>0.10036534446764092</v>
      </c>
    </row>
    <row r="44" spans="1:18" x14ac:dyDescent="0.5">
      <c r="B44" s="8"/>
      <c r="C44" s="105" t="s">
        <v>122</v>
      </c>
      <c r="D44" s="109">
        <f>D$43*D30</f>
        <v>-415.7885359998001</v>
      </c>
      <c r="E44" s="109">
        <f>E$43*E30</f>
        <v>-254.96144489761463</v>
      </c>
      <c r="F44" s="110">
        <f>F$43*F30</f>
        <v>-94.134353795429092</v>
      </c>
    </row>
    <row r="45" spans="1:18" x14ac:dyDescent="0.5">
      <c r="B45" s="8"/>
      <c r="C45" s="105" t="s">
        <v>126</v>
      </c>
      <c r="D45" s="114">
        <f>(SUMIFS(Data!$AY$4:$AY$21,Data!$E$4:$E$21,"PURE",Data!$G$4:$G$21,"DIRTY")+SUMIFS(Data!$AY$4:$AY$21,Data!$E$4:$E$21,"PURE",Data!$G$4:$G$21,"LOW_CONVERTING"))/(SUMIFS(Data!$AT$4:$AT$21,Data!$E$4:$E$21,"PURE",Data!$G$4:$G$21,"DIRTY")+SUMIFS(Data!$AT$4:$AT$21,Data!$E$4:$E$21,"PURE",Data!$G$4:$G$21,"LOW_CONVERTING"))</f>
        <v>34.792076246334311</v>
      </c>
      <c r="E45" s="114">
        <f>D45</f>
        <v>34.792076246334311</v>
      </c>
      <c r="F45" s="115">
        <f>D45</f>
        <v>34.792076246334311</v>
      </c>
    </row>
    <row r="46" spans="1:18" ht="16.25" thickBot="1" x14ac:dyDescent="0.55000000000000004">
      <c r="B46" s="19"/>
      <c r="C46" s="106" t="s">
        <v>127</v>
      </c>
      <c r="D46" s="70">
        <f>D45*D44</f>
        <v>-14466.146446856763</v>
      </c>
      <c r="E46" s="70">
        <f>E45*E44</f>
        <v>-8870.6380307533727</v>
      </c>
      <c r="F46" s="71">
        <f>F45*F44</f>
        <v>-3275.1296146499785</v>
      </c>
    </row>
    <row r="47" spans="1:18" ht="16.25" outlineLevel="1" thickBot="1" x14ac:dyDescent="0.55000000000000004">
      <c r="B47" s="19" t="s">
        <v>120</v>
      </c>
      <c r="C47" s="20"/>
      <c r="D47" s="101">
        <f>D33+D46</f>
        <v>31272.522648202321</v>
      </c>
      <c r="E47" s="103">
        <f>E33+E46</f>
        <v>50803.369828919531</v>
      </c>
      <c r="F47" s="102">
        <f>F33+F46</f>
        <v>70334.217009636734</v>
      </c>
    </row>
    <row r="48" spans="1:18" ht="16.25" thickBot="1" x14ac:dyDescent="0.55000000000000004">
      <c r="B48" s="19" t="s">
        <v>121</v>
      </c>
      <c r="C48" s="20"/>
      <c r="D48" s="91">
        <f>D40+D46</f>
        <v>21150.776200603759</v>
      </c>
      <c r="E48" s="89">
        <f>E40+E46</f>
        <v>44596.716985637991</v>
      </c>
      <c r="F48" s="90">
        <f>F40+F46</f>
        <v>68042.657770672216</v>
      </c>
    </row>
    <row r="49" spans="1:17" x14ac:dyDescent="0.5">
      <c r="B49" s="2" t="s">
        <v>47</v>
      </c>
      <c r="D49" s="50">
        <f>-D$26/SUM(D$32,D$46)</f>
        <v>1.6193391443728713</v>
      </c>
      <c r="E49" s="50">
        <f>-E$26/SUM(E$32,E$46)</f>
        <v>2.6408018372987514</v>
      </c>
      <c r="F49" s="50">
        <f>-F$26/SUM(F$32,F$46)</f>
        <v>7.1525710325602594</v>
      </c>
      <c r="Q49" s="4"/>
    </row>
    <row r="50" spans="1:17" x14ac:dyDescent="0.5">
      <c r="B50" s="2" t="s">
        <v>48</v>
      </c>
      <c r="D50" s="50">
        <f>-D$26/SUM(D$32,D$39,D$46)</f>
        <v>1.348935649564029</v>
      </c>
      <c r="E50" s="50">
        <f>-E$26/SUM(E$32,E$39,E$46)</f>
        <v>2.1998305630696335</v>
      </c>
      <c r="F50" s="50">
        <f>-F$26/SUM(F$32,F$39,F$46)</f>
        <v>5.9582071398614245</v>
      </c>
      <c r="G50" s="111"/>
      <c r="Q50" s="4"/>
    </row>
    <row r="51" spans="1:17" x14ac:dyDescent="0.5">
      <c r="P51" s="4"/>
    </row>
    <row r="52" spans="1:17" x14ac:dyDescent="0.5">
      <c r="P52" s="64"/>
      <c r="Q52" s="64"/>
    </row>
    <row r="53" spans="1:17" x14ac:dyDescent="0.5">
      <c r="A53" s="52"/>
    </row>
    <row r="54" spans="1:17" x14ac:dyDescent="0.5">
      <c r="A54" s="52"/>
    </row>
    <row r="55" spans="1:17" x14ac:dyDescent="0.5">
      <c r="A55" s="52"/>
    </row>
    <row r="56" spans="1:17" x14ac:dyDescent="0.5">
      <c r="A56" s="52"/>
    </row>
    <row r="57" spans="1:17" x14ac:dyDescent="0.5">
      <c r="A57" s="68"/>
    </row>
    <row r="58" spans="1:17" x14ac:dyDescent="0.5">
      <c r="A58" s="68"/>
    </row>
    <row r="65" spans="1:1" ht="15.75" customHeight="1" x14ac:dyDescent="0.5"/>
    <row r="72" spans="1:1" x14ac:dyDescent="0.5">
      <c r="A72" s="52"/>
    </row>
  </sheetData>
  <phoneticPr fontId="21" type="noConversion"/>
  <conditionalFormatting sqref="K17">
    <cfRule type="cellIs" dxfId="8" priority="4" operator="equal">
      <formula>"Yes"</formula>
    </cfRule>
  </conditionalFormatting>
  <conditionalFormatting sqref="K19">
    <cfRule type="cellIs" dxfId="7" priority="3" operator="equal">
      <formula>"Yes"</formula>
    </cfRule>
  </conditionalFormatting>
  <conditionalFormatting sqref="K21">
    <cfRule type="cellIs" dxfId="6" priority="2" operator="equal">
      <formula>"Yes"</formula>
    </cfRule>
  </conditionalFormatting>
  <pageMargins left="0.7" right="0.5" top="1" bottom="1" header="1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72"/>
  <sheetViews>
    <sheetView showGridLines="0" zoomScale="90" zoomScaleNormal="90" zoomScalePageLayoutView="90" workbookViewId="0">
      <pane ySplit="5" topLeftCell="A6" activePane="bottomLeft" state="frozen"/>
      <selection activeCell="H1" sqref="H1:I1048576"/>
      <selection pane="bottomLeft"/>
    </sheetView>
  </sheetViews>
  <sheetFormatPr defaultColWidth="11" defaultRowHeight="15.85" outlineLevelRow="1" outlineLevelCol="1" x14ac:dyDescent="0.5"/>
  <cols>
    <col min="1" max="1" width="6.375" customWidth="1"/>
    <col min="2" max="2" width="21.625" customWidth="1"/>
    <col min="3" max="3" width="27.625" customWidth="1"/>
    <col min="4" max="6" width="12.5" bestFit="1" customWidth="1"/>
    <col min="7" max="7" width="7.5" customWidth="1"/>
    <col min="8" max="9" width="9" customWidth="1"/>
    <col min="10" max="10" width="10" customWidth="1"/>
    <col min="11" max="11" width="8.875" customWidth="1"/>
    <col min="13" max="14" width="10.875" hidden="1" customWidth="1" outlineLevel="1"/>
    <col min="15" max="15" width="11.5" hidden="1" customWidth="1" outlineLevel="1"/>
    <col min="16" max="16" width="10.875" hidden="1" customWidth="1" outlineLevel="1"/>
    <col min="17" max="17" width="11" collapsed="1"/>
  </cols>
  <sheetData>
    <row r="1" spans="1:17" ht="18.100000000000001" x14ac:dyDescent="0.55000000000000004">
      <c r="B1" s="84" t="s">
        <v>27</v>
      </c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7" x14ac:dyDescent="0.5">
      <c r="B2" s="2" t="s">
        <v>30</v>
      </c>
      <c r="C2" s="2" t="s">
        <v>26</v>
      </c>
      <c r="J2" s="66" t="s">
        <v>35</v>
      </c>
      <c r="K2" s="65" t="str">
        <f xml:space="preserve"> IF($K15="Yes", $B14, "")</f>
        <v>FLIGHTS</v>
      </c>
      <c r="L2" s="65" t="str">
        <f xml:space="preserve"> IF($K19="Yes", $B18, "")</f>
        <v/>
      </c>
    </row>
    <row r="3" spans="1:17" x14ac:dyDescent="0.5">
      <c r="B3" s="2" t="s">
        <v>28</v>
      </c>
      <c r="C3" s="54" t="s">
        <v>146</v>
      </c>
      <c r="K3" s="65" t="str">
        <f xml:space="preserve"> IF($K17="Yes", $B16, "")</f>
        <v/>
      </c>
      <c r="L3" s="65" t="str">
        <f xml:space="preserve"> IF($K21="Yes", $B20, "")</f>
        <v/>
      </c>
    </row>
    <row r="4" spans="1:17" x14ac:dyDescent="0.5">
      <c r="B4" s="2" t="s">
        <v>29</v>
      </c>
      <c r="C4" s="2" t="str">
        <f>CONCATENATE(K2, "-",K3, "-",L2,"-",L3)</f>
        <v>FLIGHTS---</v>
      </c>
    </row>
    <row r="6" spans="1:17" ht="18.100000000000001" x14ac:dyDescent="0.55000000000000004">
      <c r="A6" s="4"/>
      <c r="B6" s="83" t="str">
        <f>CONCATENATE(C2, " Ads for Travel")</f>
        <v>Expedia Ads for Travel</v>
      </c>
      <c r="F6" s="88"/>
      <c r="G6" s="65"/>
      <c r="H6" s="65"/>
      <c r="I6" s="113"/>
      <c r="K6" s="65"/>
      <c r="M6" s="54"/>
      <c r="O6" s="63"/>
    </row>
    <row r="7" spans="1:17" ht="18.100000000000001" x14ac:dyDescent="0.55000000000000004">
      <c r="B7" s="83" t="s">
        <v>39</v>
      </c>
      <c r="C7" s="65"/>
      <c r="G7" s="112"/>
      <c r="H7" s="65"/>
      <c r="K7" s="65"/>
      <c r="M7" s="54"/>
      <c r="O7" s="63"/>
    </row>
    <row r="8" spans="1:17" x14ac:dyDescent="0.5">
      <c r="B8" s="65" t="s">
        <v>136</v>
      </c>
      <c r="E8" s="72"/>
      <c r="G8" s="65"/>
      <c r="H8" s="65"/>
      <c r="K8" s="65"/>
      <c r="M8" s="54" t="s">
        <v>41</v>
      </c>
      <c r="O8" s="63">
        <f>-NORMSINV((1-O10/100)/2)</f>
        <v>1.9599639845400536</v>
      </c>
    </row>
    <row r="9" spans="1:17" x14ac:dyDescent="0.5">
      <c r="B9" t="str">
        <f>C3</f>
        <v>December 12, 2013 - January 14, 2014</v>
      </c>
      <c r="E9" s="72"/>
      <c r="G9" s="65"/>
      <c r="H9" s="65"/>
      <c r="K9" s="65"/>
      <c r="M9" s="54"/>
      <c r="O9" s="63"/>
    </row>
    <row r="10" spans="1:17" x14ac:dyDescent="0.5">
      <c r="E10" s="3"/>
      <c r="G10" s="112"/>
      <c r="H10" s="65"/>
      <c r="K10" s="65"/>
      <c r="M10" s="54" t="s">
        <v>32</v>
      </c>
      <c r="O10" s="63">
        <v>95</v>
      </c>
    </row>
    <row r="11" spans="1:17" ht="16.25" thickBot="1" x14ac:dyDescent="0.55000000000000004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"/>
      <c r="Q11" s="4"/>
    </row>
    <row r="12" spans="1:17" x14ac:dyDescent="0.5">
      <c r="B12" s="74" t="s">
        <v>7</v>
      </c>
      <c r="C12" s="79"/>
      <c r="D12" s="76" t="s">
        <v>49</v>
      </c>
      <c r="E12" s="153" t="s">
        <v>141</v>
      </c>
      <c r="F12" s="81" t="s">
        <v>8</v>
      </c>
      <c r="G12" s="80" t="s">
        <v>9</v>
      </c>
      <c r="H12" s="80" t="s">
        <v>10</v>
      </c>
      <c r="I12" s="80" t="s">
        <v>11</v>
      </c>
      <c r="J12" s="80" t="s">
        <v>12</v>
      </c>
      <c r="K12" s="82" t="s">
        <v>13</v>
      </c>
      <c r="L12" s="5"/>
      <c r="M12" s="62" t="s">
        <v>15</v>
      </c>
      <c r="N12" s="62" t="s">
        <v>31</v>
      </c>
      <c r="O12" s="62" t="s">
        <v>33</v>
      </c>
      <c r="P12" s="62" t="s">
        <v>34</v>
      </c>
    </row>
    <row r="13" spans="1:17" x14ac:dyDescent="0.5">
      <c r="B13" s="8" t="s">
        <v>123</v>
      </c>
      <c r="C13" s="9"/>
      <c r="D13" s="56">
        <f>SUMIFS(Data!$H$4:$H$21,Data!$E$4:$E$21,"PURE")</f>
        <v>541236</v>
      </c>
      <c r="E13" s="57">
        <f>SUMIFS(Data!$H$4:$H$21,Data!$E$4:$E$21,"NOT_PURE",Data!$F$4:$F$21,"C")</f>
        <v>5142921</v>
      </c>
      <c r="F13" s="10"/>
      <c r="G13" s="11"/>
      <c r="H13" s="11"/>
      <c r="I13" s="11"/>
      <c r="J13" s="11"/>
      <c r="K13" s="12"/>
    </row>
    <row r="14" spans="1:17" x14ac:dyDescent="0.5">
      <c r="B14" s="8" t="s">
        <v>4</v>
      </c>
      <c r="C14" s="9" t="s">
        <v>14</v>
      </c>
      <c r="D14" s="58">
        <f>SUMIFS(Data!$L$4:$L$21,Data!$E$4:$E$21,"PURE")</f>
        <v>26112</v>
      </c>
      <c r="E14" s="59">
        <f>SUMIFS(Data!$L$4:$L$21,Data!$E$4:$E$21,"NOT_PURE",Data!$F$4:$F$21,"C")</f>
        <v>241328</v>
      </c>
      <c r="F14" s="13"/>
      <c r="G14" s="6"/>
      <c r="H14" s="6"/>
      <c r="I14" s="6"/>
      <c r="J14" s="6"/>
      <c r="K14" s="14"/>
      <c r="M14" s="7">
        <f>((2*D$14+Z^2)-(Z*(SQRT(Z^2+4*D$14*(1-(D$14/$D$13))))))/(2*($D$13+Z^2))</f>
        <v>4.7677448216761162E-2</v>
      </c>
      <c r="N14" s="7">
        <f>((2*$D$14+Z^2)+(Z*(SQRT(Z^2+4*$D$14*(1-($D$14/$D$13))))))/(2*($D$13+Z^2))</f>
        <v>4.8819220095847445E-2</v>
      </c>
      <c r="O14" s="87">
        <f>Z*SQRT((M14*(1-M14)/$D$13)+(N15*(1-N15)/$E$13))</f>
        <v>5.9648055232964636E-4</v>
      </c>
      <c r="P14" s="88">
        <f>Z*SQRT((N14*(1-N14)/$E$13)+(M15*(1-M15)/$D$13))</f>
        <v>5.9239487286445334E-4</v>
      </c>
    </row>
    <row r="15" spans="1:17" x14ac:dyDescent="0.5">
      <c r="B15" s="8"/>
      <c r="C15" s="6" t="s">
        <v>6</v>
      </c>
      <c r="D15" s="34">
        <f>D14/D$13</f>
        <v>4.8245127818548658E-2</v>
      </c>
      <c r="E15" s="60">
        <f>E14/E$13</f>
        <v>4.6924306245419677E-2</v>
      </c>
      <c r="F15" s="16">
        <f>(E15-D15)/D15</f>
        <v>-2.7377304877222633E-2</v>
      </c>
      <c r="G15" s="17">
        <f>10000*(E15-D15)</f>
        <v>-13.208215731289815</v>
      </c>
      <c r="H15" s="7">
        <f>(P15-O15)/2</f>
        <v>1.2321196760691516E-2</v>
      </c>
      <c r="I15" s="55">
        <f>F15-H15</f>
        <v>-3.9698501637914149E-2</v>
      </c>
      <c r="J15" s="55">
        <f>F15+H15</f>
        <v>-1.5056108116531117E-2</v>
      </c>
      <c r="K15" s="18" t="str">
        <f>IF(OR((O15*P15)&lt;0, (O15*P15)=0), "No", "Yes")</f>
        <v>Yes</v>
      </c>
      <c r="M15" s="7">
        <f>((2*E$14+Z^2)-(Z*(SQRT(Z^2+4*E$14*(1-(E$14/$E$13))))))/(2*($E$13+Z^2))</f>
        <v>4.6741874050701855E-2</v>
      </c>
      <c r="N15" s="7">
        <f>((2*E$14+Z^2)+(Z*(SQRT(Z^2+4*E$14*(1-(E$14/$E$13))))))/(2*($E$13+Z^2))</f>
        <v>4.7107415281302342E-2</v>
      </c>
      <c r="O15" s="7">
        <f>((E15-D15)-O14)/D15</f>
        <v>-3.9740844560919343E-2</v>
      </c>
      <c r="P15" s="7">
        <f>((E15-D15)+P14)/D15</f>
        <v>-1.5098451039536312E-2</v>
      </c>
    </row>
    <row r="16" spans="1:17" x14ac:dyDescent="0.5">
      <c r="B16" s="8" t="s">
        <v>2</v>
      </c>
      <c r="C16" s="9" t="s">
        <v>14</v>
      </c>
      <c r="D16" s="58">
        <f>SUMIFS(Data!$M$4:$M$21,Data!$E$4:$E$21,"PURE")</f>
        <v>4254</v>
      </c>
      <c r="E16" s="59">
        <f>SUMIFS(Data!$M$4:$M$21,Data!$E$4:$E$21,"NOT_PURE",Data!$F$4:$F$21,"C")</f>
        <v>39881</v>
      </c>
      <c r="F16" s="15"/>
      <c r="G16" s="6"/>
      <c r="H16" s="6"/>
      <c r="I16" s="6"/>
      <c r="J16" s="6"/>
      <c r="K16" s="14"/>
      <c r="M16" s="7">
        <f>((2*D16+Z^2)-(Z*(SQRT(Z^2+4*D16*(1-(D16/$D$13))))))/(2*($D$13+Z^2))</f>
        <v>7.6279962391530122E-3</v>
      </c>
      <c r="N16" s="7">
        <f>((2*$D16+Z^2)+(Z*(SQRT(Z^2+4*$D16*(1-($D16/$D$13))))))/(2*($D$13+Z^2))</f>
        <v>8.0985649021673694E-3</v>
      </c>
      <c r="O16" s="87">
        <f>Z*SQRT((M16*(1-M16)/$D$13)+(N17*(1-N17)/$E$13))</f>
        <v>2.4398876771954822E-4</v>
      </c>
      <c r="P16" s="88">
        <f>Z*SQRT((N16*(1-N16)/$E$13)+(M17*(1-M17)/$D$13))</f>
        <v>2.4512149193496195E-4</v>
      </c>
    </row>
    <row r="17" spans="1:18" x14ac:dyDescent="0.5">
      <c r="B17" s="8"/>
      <c r="C17" s="6" t="s">
        <v>6</v>
      </c>
      <c r="D17" s="34">
        <f>D16/D$13</f>
        <v>7.8597875972773422E-3</v>
      </c>
      <c r="E17" s="60">
        <f>E16/E$13</f>
        <v>7.754542603318231E-3</v>
      </c>
      <c r="F17" s="16">
        <f>(E17-D17)/D17</f>
        <v>-1.3390310190515635E-2</v>
      </c>
      <c r="G17" s="17">
        <f>10000*(E17-D17)</f>
        <v>-1.052449939591112</v>
      </c>
      <c r="H17" s="7">
        <f>(P17-O17)/2</f>
        <v>3.1114725022845381E-2</v>
      </c>
      <c r="I17" s="55">
        <f>F17-H17</f>
        <v>-4.4505035213361015E-2</v>
      </c>
      <c r="J17" s="55">
        <f>F17+H17</f>
        <v>1.7724414832329748E-2</v>
      </c>
      <c r="K17" s="18" t="str">
        <f>IF(OR((O17*P17)&lt;0, (O17*P17)=0), "No", "Yes")</f>
        <v>No</v>
      </c>
      <c r="M17" s="7">
        <f>((2*E16+Z^2)-(Z*(SQRT(Z^2+4*E16*(1-(E16/$E$13))))))/(2*($E$13+Z^2))</f>
        <v>7.6790986638871983E-3</v>
      </c>
      <c r="N17" s="7">
        <f>((2*E16+Z^2)+(Z*(SQRT(Z^2+4*E16*(1-(E16/$E$13))))))/(2*($E$13+Z^2))</f>
        <v>7.8307218988793083E-3</v>
      </c>
      <c r="O17" s="7">
        <f>((E17-D17)-O16)/D17</f>
        <v>-4.4432977018314744E-2</v>
      </c>
      <c r="P17" s="7">
        <f>((E17-D17)+P16)/D17</f>
        <v>1.7796473027376015E-2</v>
      </c>
      <c r="Q17" s="55"/>
    </row>
    <row r="18" spans="1:18" x14ac:dyDescent="0.5">
      <c r="B18" s="8" t="s">
        <v>1</v>
      </c>
      <c r="C18" s="9" t="s">
        <v>14</v>
      </c>
      <c r="D18" s="58">
        <f>SUMIFS(Data!$O$4:$O$21,Data!$E$4:$E$21,"PURE")</f>
        <v>2285</v>
      </c>
      <c r="E18" s="59">
        <f>SUMIFS(Data!$O$4:$O$21,Data!$E$4:$E$21,"NOT_PURE",Data!$F$4:$F$21,"C")</f>
        <v>21020</v>
      </c>
      <c r="F18" s="15"/>
      <c r="G18" s="6"/>
      <c r="H18" s="6"/>
      <c r="I18" s="6"/>
      <c r="J18" s="6"/>
      <c r="K18" s="14"/>
      <c r="M18" s="7">
        <f>((2*D18+Z^2)-(Z*(SQRT(Z^2+4*D18*(1-(D18/$D$13))))))/(2*($D$13+Z^2))</f>
        <v>4.052564600744055E-3</v>
      </c>
      <c r="N18" s="7">
        <f>((2*$D18+Z^2)+(Z*(SQRT(Z^2+4*$D18*(1-($D18/$D$13))))))/(2*($D$13+Z^2))</f>
        <v>4.3981094045041098E-3</v>
      </c>
      <c r="O18" s="7">
        <f>Z*SQRT((M18*(1-M18)/$D$13)+(N19*(1-N19)/$E$13))</f>
        <v>1.7812440841711408E-4</v>
      </c>
      <c r="P18" s="7">
        <f>Z*SQRT((N18*(1-N18)/$E$13)+(M19*(1-M19)/$D$13))</f>
        <v>1.7825685811365645E-4</v>
      </c>
      <c r="Q18" t="s">
        <v>45</v>
      </c>
    </row>
    <row r="19" spans="1:18" x14ac:dyDescent="0.5">
      <c r="B19" s="8"/>
      <c r="C19" s="6" t="s">
        <v>6</v>
      </c>
      <c r="D19" s="34">
        <f>D18/D$13</f>
        <v>4.2218182086926964E-3</v>
      </c>
      <c r="E19" s="60">
        <f>E18/E$13</f>
        <v>4.08717147317643E-3</v>
      </c>
      <c r="F19" s="16">
        <f>(E19-D19)/D19</f>
        <v>-3.1893068071720758E-2</v>
      </c>
      <c r="G19" s="17">
        <f>10000*(E19-D19)</f>
        <v>-1.3464673551626636</v>
      </c>
      <c r="H19" s="7">
        <f>(P19-O19)/2</f>
        <v>4.2207083407450351E-2</v>
      </c>
      <c r="I19" s="55">
        <f>F19-H19</f>
        <v>-7.4100151479171109E-2</v>
      </c>
      <c r="J19" s="55">
        <f>F19+H19</f>
        <v>1.0314015335729593E-2</v>
      </c>
      <c r="K19" s="18" t="str">
        <f>IF(OR((O19*P19)&lt;0, (O19*P19)=0), "No", "Yes")</f>
        <v>No</v>
      </c>
      <c r="M19" s="7">
        <f>((2*E18+Z^2)-(Z*(SQRT(Z^2+4*E18*(1-(E18/$E$13))))))/(2*($E$13+Z^2))</f>
        <v>4.0324008580196477E-3</v>
      </c>
      <c r="N19" s="7">
        <f>((2*E18+Z^2)+(Z*(SQRT(Z^2+4*E18*(1-(E18/$E$13))))))/(2*($E$13+Z^2))</f>
        <v>4.142682923079264E-3</v>
      </c>
      <c r="O19" s="7">
        <f>((E19-D19)-O18)/D19</f>
        <v>-7.4084465145701134E-2</v>
      </c>
      <c r="P19" s="7">
        <f>((E19-D19)+P18)/D19</f>
        <v>1.0329701669199569E-2</v>
      </c>
    </row>
    <row r="20" spans="1:18" x14ac:dyDescent="0.5">
      <c r="B20" s="8" t="s">
        <v>0</v>
      </c>
      <c r="C20" s="9" t="s">
        <v>14</v>
      </c>
      <c r="D20" s="58">
        <f>SUMIFS(Data!$N$4:$N$21,Data!$E$4:$E$21,"PURE")</f>
        <v>1473</v>
      </c>
      <c r="E20" s="59">
        <f>SUMIFS(Data!$N$4:$N$21,Data!$E$4:$E$21,"NOT_PURE",Data!$F$4:$F$21,"C")</f>
        <v>14195</v>
      </c>
      <c r="F20" s="15"/>
      <c r="G20" s="6"/>
      <c r="H20" s="6"/>
      <c r="I20" s="6"/>
      <c r="J20" s="6"/>
      <c r="K20" s="14"/>
      <c r="M20" s="7">
        <f>((2*D20+Z^2)-(Z*(SQRT(Z^2+4*D20*(1-(D20/$D$13))))))/(2*($D$13+Z^2))</f>
        <v>2.5862394214336399E-3</v>
      </c>
      <c r="N20" s="7">
        <f>((2*$D20+Z^2)+(Z*(SQRT(Z^2+4*$D20*(1-($D20/$D$13))))))/(2*($D$13+Z^2))</f>
        <v>2.8639163743220718E-3</v>
      </c>
      <c r="O20" s="7">
        <f>Z*SQRT((M20*(1-M20)/$D$13)+(N21*(1-N21)/$E$13))</f>
        <v>1.4282309536403615E-4</v>
      </c>
      <c r="P20" s="7">
        <f>Z*SQRT((N20*(1-N20)/$E$13)+(M21*(1-M21)/$D$13))</f>
        <v>1.461217262932971E-4</v>
      </c>
    </row>
    <row r="21" spans="1:18" ht="16.25" thickBot="1" x14ac:dyDescent="0.55000000000000004">
      <c r="B21" s="19"/>
      <c r="C21" s="20" t="s">
        <v>6</v>
      </c>
      <c r="D21" s="85">
        <f>D20/D$13</f>
        <v>2.7215484557568232E-3</v>
      </c>
      <c r="E21" s="86">
        <f>E20/E$13</f>
        <v>2.760104617589887E-3</v>
      </c>
      <c r="F21" s="61">
        <f>(E21-D21)/D21</f>
        <v>1.4166994437121602E-2</v>
      </c>
      <c r="G21" s="22">
        <f>10000*(E21-D21)</f>
        <v>0.38556161833063796</v>
      </c>
      <c r="H21" s="21">
        <f>(P21-O21)/2</f>
        <v>5.3084636624076184E-2</v>
      </c>
      <c r="I21" s="23">
        <f>F21-H21</f>
        <v>-3.8917642186954579E-2</v>
      </c>
      <c r="J21" s="23">
        <f>F21+H21</f>
        <v>6.7251631061197789E-2</v>
      </c>
      <c r="K21" s="24" t="str">
        <f>IF(OR((O21*P21)&lt;0, (O21*P21)=0), "No", "Yes")</f>
        <v>No</v>
      </c>
      <c r="M21" s="7">
        <f>((2*E20+Z^2)-(Z*(SQRT(Z^2+4*E20*(1-(E20/$E$13))))))/(2*($E$13+Z^2))</f>
        <v>2.7151319910370883E-3</v>
      </c>
      <c r="N21" s="7">
        <f>((2*E20+Z^2)+(Z*(SQRT(Z^2+4*E20*(1-(E20/$E$13))))))/(2*($E$13+Z^2))</f>
        <v>2.8058200613686815E-3</v>
      </c>
      <c r="O21" s="7">
        <f>((E21-D21)-O20)/D21</f>
        <v>-3.8311621206089178E-2</v>
      </c>
      <c r="P21" s="7">
        <f>((E21-D21)+P20)/D21</f>
        <v>6.7857652042063191E-2</v>
      </c>
    </row>
    <row r="22" spans="1:18" ht="16.25" thickBot="1" x14ac:dyDescent="0.55000000000000004">
      <c r="M22" s="7"/>
      <c r="N22" s="7"/>
      <c r="O22" s="7"/>
      <c r="P22" s="7"/>
      <c r="R22" s="5"/>
    </row>
    <row r="23" spans="1:18" s="64" customFormat="1" x14ac:dyDescent="0.5">
      <c r="A23"/>
      <c r="B23" s="74" t="s">
        <v>38</v>
      </c>
      <c r="C23" s="75"/>
      <c r="D23" s="76" t="s">
        <v>15</v>
      </c>
      <c r="E23" s="77" t="s">
        <v>16</v>
      </c>
      <c r="F23" s="78" t="s">
        <v>17</v>
      </c>
      <c r="G23"/>
      <c r="H23"/>
      <c r="I23"/>
      <c r="J23"/>
      <c r="K23"/>
      <c r="L23"/>
      <c r="M23"/>
      <c r="N23"/>
      <c r="O23"/>
      <c r="P23"/>
      <c r="Q23"/>
    </row>
    <row r="24" spans="1:18" x14ac:dyDescent="0.5">
      <c r="A24" s="64"/>
      <c r="B24" s="8" t="s">
        <v>18</v>
      </c>
      <c r="C24" s="6" t="s">
        <v>105</v>
      </c>
      <c r="D24" s="51">
        <f>SUMIFS(Data!$K$4:$K$21,Data!$E$4:$E$21,"NOT_PURE",Data!$F$4:$F$21,"C")</f>
        <v>13689988</v>
      </c>
      <c r="E24" s="119">
        <f t="shared" ref="E24:F26" si="0">D24</f>
        <v>13689988</v>
      </c>
      <c r="F24" s="26">
        <f t="shared" si="0"/>
        <v>13689988</v>
      </c>
      <c r="I24" s="118"/>
    </row>
    <row r="25" spans="1:18" x14ac:dyDescent="0.5">
      <c r="B25" s="8"/>
      <c r="C25" s="6" t="s">
        <v>104</v>
      </c>
      <c r="D25" s="39">
        <f>(SUMIFS(Data!$J$4:$J$21,Data!$E$4:$E$21,"NOT_PURE",Data!$F$4:$F$21,"C")/D24)*1000</f>
        <v>14.689113094912864</v>
      </c>
      <c r="E25" s="120">
        <f t="shared" si="0"/>
        <v>14.689113094912864</v>
      </c>
      <c r="F25" s="29">
        <f t="shared" si="0"/>
        <v>14.689113094912864</v>
      </c>
      <c r="G25" s="3"/>
    </row>
    <row r="26" spans="1:18" x14ac:dyDescent="0.5">
      <c r="B26" s="30"/>
      <c r="C26" s="98" t="s">
        <v>106</v>
      </c>
      <c r="D26" s="99">
        <f>(D25/1000)*D24</f>
        <v>201093.78199999998</v>
      </c>
      <c r="E26" s="121">
        <f t="shared" si="0"/>
        <v>201093.78199999998</v>
      </c>
      <c r="F26" s="100">
        <f t="shared" si="0"/>
        <v>201093.78199999998</v>
      </c>
      <c r="I26" s="117"/>
    </row>
    <row r="27" spans="1:18" x14ac:dyDescent="0.5">
      <c r="B27" s="8" t="s">
        <v>37</v>
      </c>
      <c r="C27" s="6" t="s">
        <v>19</v>
      </c>
      <c r="D27" s="31">
        <f>E13</f>
        <v>5142921</v>
      </c>
      <c r="E27" s="32">
        <f>D27</f>
        <v>5142921</v>
      </c>
      <c r="F27" s="33">
        <f>D27</f>
        <v>5142921</v>
      </c>
      <c r="L27" s="5"/>
      <c r="M27" s="5"/>
      <c r="N27" s="5"/>
      <c r="Q27" s="5"/>
    </row>
    <row r="28" spans="1:18" x14ac:dyDescent="0.5">
      <c r="B28" s="8"/>
      <c r="C28" s="6" t="s">
        <v>20</v>
      </c>
      <c r="D28" s="34">
        <f>D15</f>
        <v>4.8245127818548658E-2</v>
      </c>
      <c r="E28" s="16">
        <f>D28</f>
        <v>4.8245127818548658E-2</v>
      </c>
      <c r="F28" s="35">
        <f>E28</f>
        <v>4.8245127818548658E-2</v>
      </c>
      <c r="K28" s="116"/>
      <c r="L28" s="64"/>
      <c r="M28" s="64"/>
      <c r="N28" s="64"/>
      <c r="O28" s="4"/>
      <c r="P28" s="4"/>
      <c r="Q28" s="64"/>
    </row>
    <row r="29" spans="1:18" x14ac:dyDescent="0.5">
      <c r="B29" s="8"/>
      <c r="C29" s="6" t="s">
        <v>7</v>
      </c>
      <c r="D29" s="34">
        <f>I15</f>
        <v>-3.9698501637914149E-2</v>
      </c>
      <c r="E29" s="16">
        <f>F15</f>
        <v>-2.7377304877222633E-2</v>
      </c>
      <c r="F29" s="35">
        <f>J15</f>
        <v>-1.5056108116531117E-2</v>
      </c>
    </row>
    <row r="30" spans="1:18" x14ac:dyDescent="0.5">
      <c r="B30" s="8"/>
      <c r="C30" s="6" t="s">
        <v>21</v>
      </c>
      <c r="D30" s="36">
        <f>D29*D28*D27</f>
        <v>-9850.0272010054068</v>
      </c>
      <c r="E30" s="37">
        <f>E29*E28*E27</f>
        <v>-6792.8810056980747</v>
      </c>
      <c r="F30" s="38">
        <f>F29*F28*F27</f>
        <v>-3735.7348103907425</v>
      </c>
    </row>
    <row r="31" spans="1:18" x14ac:dyDescent="0.5">
      <c r="B31" s="8"/>
      <c r="C31" s="6" t="s">
        <v>22</v>
      </c>
      <c r="D31" s="39">
        <f>(SUMIFS(Data!$V$4:$V$21,Data!$E$4:$E$21,"PURE",Data!$G$4:$G$21,"DIRTY")+SUMIFS(Data!$V$4:$V$21,Data!$E$4:$E$21,"PURE",Data!$G$4:$G$21,"LOW_CONVERTING"))/(SUMIFS(Data!$L$4:$L$21,Data!$E$4:$E$21,"PURE",Data!$G$4:$G$21,"DIRTY")+SUMIFS(Data!$L$4:$L$21,Data!$E$4:$E$21,"PURE",Data!$G$4:$G$21,"LOW_CONVERTING"))</f>
        <v>8.6964519832985374</v>
      </c>
      <c r="E31" s="28">
        <f>D31</f>
        <v>8.6964519832985374</v>
      </c>
      <c r="F31" s="29">
        <f>D31</f>
        <v>8.6964519832985374</v>
      </c>
    </row>
    <row r="32" spans="1:18" x14ac:dyDescent="0.5">
      <c r="B32" s="8"/>
      <c r="C32" s="6" t="s">
        <v>125</v>
      </c>
      <c r="D32" s="73">
        <f>D31*D30</f>
        <v>-85660.288587728006</v>
      </c>
      <c r="E32" s="40">
        <f>E31*E30</f>
        <v>-59073.963494313983</v>
      </c>
      <c r="F32" s="41">
        <f>F31*F30</f>
        <v>-32487.638400899959</v>
      </c>
    </row>
    <row r="33" spans="1:18" ht="16.25" thickBot="1" x14ac:dyDescent="0.55000000000000004">
      <c r="B33" s="19" t="str">
        <f>CONCATENATE(C2, " Net Profit Impact - Flights only")</f>
        <v>Expedia Net Profit Impact - Flights only</v>
      </c>
      <c r="C33" s="20"/>
      <c r="D33" s="92">
        <f>D26+D32</f>
        <v>115433.49341227197</v>
      </c>
      <c r="E33" s="93">
        <f>E26+E32</f>
        <v>142019.81850568601</v>
      </c>
      <c r="F33" s="94">
        <f>F26+F32</f>
        <v>168606.1435991</v>
      </c>
    </row>
    <row r="34" spans="1:18" hidden="1" outlineLevel="1" x14ac:dyDescent="0.5">
      <c r="B34" s="2" t="s">
        <v>46</v>
      </c>
      <c r="D34" s="42">
        <f>-D$26/D32</f>
        <v>2.3475730156343344</v>
      </c>
      <c r="E34" s="42">
        <f>-E$26/E32</f>
        <v>3.4041017413594696</v>
      </c>
      <c r="F34" s="42">
        <f>-F$26/F32</f>
        <v>6.1898553387749278</v>
      </c>
    </row>
    <row r="35" spans="1:18" ht="16.25" collapsed="1" thickBot="1" x14ac:dyDescent="0.55000000000000004"/>
    <row r="36" spans="1:18" x14ac:dyDescent="0.5">
      <c r="A36" s="4"/>
      <c r="B36" s="43" t="s">
        <v>36</v>
      </c>
      <c r="C36" s="25" t="s">
        <v>23</v>
      </c>
      <c r="D36" s="67">
        <f>(SUMIFS(Data!$AB$4:$AB$21,Data!$E$4:$E$21,"PURE",Data!$G$4:$G$21,"DIRTY")+SUMIFS(Data!$AB$4:$AB$21,Data!$E$4:$E$21,"PURE",Data!$G$4:$G$21,"LOW_CONVERTING"))/(SUMIFS(Data!$L$4:$L$21,Data!$E$4:$E$21,"PURE",Data!$G$4:$G$21,"DIRTY")+SUMIFS(Data!$L$4:$L$21,Data!$E$4:$E$21,"PURE",Data!$G$4:$G$21,"LOW_CONVERTING"))</f>
        <v>4.3945720250521923E-2</v>
      </c>
      <c r="E36" s="44">
        <f>D36</f>
        <v>4.3945720250521923E-2</v>
      </c>
      <c r="F36" s="45">
        <f>D36</f>
        <v>4.3945720250521923E-2</v>
      </c>
    </row>
    <row r="37" spans="1:18" x14ac:dyDescent="0.5">
      <c r="B37" s="8"/>
      <c r="C37" s="6" t="s">
        <v>24</v>
      </c>
      <c r="D37" s="46">
        <f>D36*D$30</f>
        <v>-432.8665398354151</v>
      </c>
      <c r="E37" s="47">
        <f>E36*E$30</f>
        <v>-298.5180483714916</v>
      </c>
      <c r="F37" s="48">
        <f>F36*F$30</f>
        <v>-164.16955690756814</v>
      </c>
    </row>
    <row r="38" spans="1:18" x14ac:dyDescent="0.5">
      <c r="B38" s="8"/>
      <c r="C38" s="6" t="s">
        <v>25</v>
      </c>
      <c r="D38" s="27">
        <f>(SUMIFS(Data!$W$4:$W$21,Data!$E$4:$E$21,"PURE",Data!$G$4:$G$21,"DIRTY")+SUMIFS(Data!$W$4:$W$21,Data!$E$4:$E$21,"PURE",Data!$G$4:$G$21,"LOW_CONVERTING"))/(SUMIFS(Data!$R$4:$R$21,Data!$E$4:$E$21,"PURE",Data!$G$4:$G$21,"DIRTY")+SUMIFS(Data!$R$4:$R$21,Data!$E$4:$E$21,"PURE",Data!$G$4:$G$21,"LOW_CONVERTING"))</f>
        <v>55.59684355638165</v>
      </c>
      <c r="E38" s="28">
        <f>D38</f>
        <v>55.59684355638165</v>
      </c>
      <c r="F38" s="49">
        <f>E38</f>
        <v>55.59684355638165</v>
      </c>
      <c r="R38" s="4"/>
    </row>
    <row r="39" spans="1:18" ht="16.25" thickBot="1" x14ac:dyDescent="0.55000000000000004">
      <c r="B39" s="19"/>
      <c r="C39" s="20" t="s">
        <v>124</v>
      </c>
      <c r="D39" s="69">
        <f>D38*D37</f>
        <v>-24066.013296021818</v>
      </c>
      <c r="E39" s="70">
        <f>E38*E37</f>
        <v>-16596.661234066189</v>
      </c>
      <c r="F39" s="71">
        <f>F38*F37</f>
        <v>-9127.3091721105593</v>
      </c>
    </row>
    <row r="40" spans="1:18" s="64" customFormat="1" ht="16.25" thickBot="1" x14ac:dyDescent="0.55000000000000004">
      <c r="A40"/>
      <c r="B40" s="19" t="str">
        <f>CONCATENATE(C2," Net Profit Impact w/ Hotel Attach")</f>
        <v>Expedia Net Profit Impact w/ Hotel Attach</v>
      </c>
      <c r="C40" s="20"/>
      <c r="D40" s="95">
        <f>D33+D39</f>
        <v>91367.480116250154</v>
      </c>
      <c r="E40" s="96">
        <f>E33+E39</f>
        <v>125423.15727161983</v>
      </c>
      <c r="F40" s="97">
        <f>F33+F39</f>
        <v>159478.83442698943</v>
      </c>
      <c r="G40"/>
      <c r="H40"/>
      <c r="I40"/>
      <c r="J40"/>
      <c r="K40"/>
      <c r="L40"/>
      <c r="M40"/>
      <c r="N40"/>
      <c r="O40"/>
      <c r="P40"/>
      <c r="Q40"/>
    </row>
    <row r="41" spans="1:18" hidden="1" outlineLevel="1" x14ac:dyDescent="0.5">
      <c r="B41" s="2" t="s">
        <v>44</v>
      </c>
      <c r="D41" s="50">
        <f>-D$26/SUM(D32,D39)</f>
        <v>1.8326853138006052</v>
      </c>
      <c r="E41" s="50">
        <f>-E$26/SUM(E32,E39)</f>
        <v>2.6574880638533962</v>
      </c>
      <c r="F41" s="50">
        <f>-F$26/SUM(F32,F39)</f>
        <v>4.8322488367237515</v>
      </c>
    </row>
    <row r="42" spans="1:18" ht="16.25" collapsed="1" thickBot="1" x14ac:dyDescent="0.55000000000000004">
      <c r="B42" s="2"/>
      <c r="D42" s="50"/>
      <c r="E42" s="50"/>
      <c r="F42" s="50"/>
    </row>
    <row r="43" spans="1:18" x14ac:dyDescent="0.5">
      <c r="B43" s="43" t="s">
        <v>42</v>
      </c>
      <c r="C43" s="104" t="s">
        <v>43</v>
      </c>
      <c r="D43" s="107">
        <f>(SUMIFS(Data!$AO$4:$AO$21,Data!$E$4:$E$21,"PURE",Data!$G$4:$G$21,"DIRTY")+SUMIFS(Data!$AO$4:$AO$21,Data!$E$4:$E$21,"PURE",Data!$G$4:$G$21,"LOW_CONVERTING"))/(SUMIFS(Data!$L$4:$L$21,Data!$E$4:$E$21,"PURE",Data!$G$4:$G$21,"DIRTY")+SUMIFS(Data!$L$4:$L$21,Data!$E$4:$E$21,"PURE",Data!$G$4:$G$21,"LOW_CONVERTING"))</f>
        <v>0.10036534446764092</v>
      </c>
      <c r="E43" s="107">
        <f>D43</f>
        <v>0.10036534446764092</v>
      </c>
      <c r="F43" s="108">
        <f>D43</f>
        <v>0.10036534446764092</v>
      </c>
    </row>
    <row r="44" spans="1:18" x14ac:dyDescent="0.5">
      <c r="B44" s="8"/>
      <c r="C44" s="105" t="s">
        <v>122</v>
      </c>
      <c r="D44" s="109">
        <f>D$43*D30</f>
        <v>-988.60137304454065</v>
      </c>
      <c r="E44" s="109">
        <f>E$43*E30</f>
        <v>-681.76984206458235</v>
      </c>
      <c r="F44" s="110">
        <f>F$43*F30</f>
        <v>-374.9383110846241</v>
      </c>
    </row>
    <row r="45" spans="1:18" x14ac:dyDescent="0.5">
      <c r="B45" s="8"/>
      <c r="C45" s="105" t="s">
        <v>126</v>
      </c>
      <c r="D45" s="114">
        <f>(SUMIFS(Data!$AY$4:$AY$21,Data!$E$4:$E$21,"PURE",Data!$G$4:$G$21,"DIRTY")+SUMIFS(Data!$AY$4:$AY$21,Data!$E$4:$E$21,"PURE",Data!$G$4:$G$21,"LOW_CONVERTING"))/(SUMIFS(Data!$AT$4:$AT$21,Data!$E$4:$E$21,"PURE",Data!$G$4:$G$21,"DIRTY")+SUMIFS(Data!$AT$4:$AT$21,Data!$E$4:$E$21,"PURE",Data!$G$4:$G$21,"LOW_CONVERTING"))</f>
        <v>34.792076246334311</v>
      </c>
      <c r="E45" s="114">
        <f>D45</f>
        <v>34.792076246334311</v>
      </c>
      <c r="F45" s="115">
        <f>D45</f>
        <v>34.792076246334311</v>
      </c>
    </row>
    <row r="46" spans="1:18" ht="16.25" thickBot="1" x14ac:dyDescent="0.55000000000000004">
      <c r="B46" s="19"/>
      <c r="C46" s="106" t="s">
        <v>127</v>
      </c>
      <c r="D46" s="70">
        <f>D45*D44</f>
        <v>-34395.494348196451</v>
      </c>
      <c r="E46" s="70">
        <f>E45*E44</f>
        <v>-23720.188327562249</v>
      </c>
      <c r="F46" s="71">
        <f>F45*F44</f>
        <v>-13044.882306928055</v>
      </c>
    </row>
    <row r="47" spans="1:18" ht="16.25" outlineLevel="1" thickBot="1" x14ac:dyDescent="0.55000000000000004">
      <c r="B47" s="19" t="s">
        <v>120</v>
      </c>
      <c r="C47" s="20"/>
      <c r="D47" s="101">
        <f>D33+D46</f>
        <v>81037.999064075528</v>
      </c>
      <c r="E47" s="103">
        <f>E33+E46</f>
        <v>118299.63017812376</v>
      </c>
      <c r="F47" s="102">
        <f>F33+F46</f>
        <v>155561.26129217196</v>
      </c>
    </row>
    <row r="48" spans="1:18" ht="16.25" thickBot="1" x14ac:dyDescent="0.55000000000000004">
      <c r="B48" s="19" t="s">
        <v>121</v>
      </c>
      <c r="C48" s="20"/>
      <c r="D48" s="91">
        <f>D40+D46</f>
        <v>56971.985768053702</v>
      </c>
      <c r="E48" s="89">
        <f>E40+E46</f>
        <v>101702.96894405757</v>
      </c>
      <c r="F48" s="90">
        <f>F40+F46</f>
        <v>146433.95212006138</v>
      </c>
    </row>
    <row r="49" spans="1:17" x14ac:dyDescent="0.5">
      <c r="B49" s="2" t="s">
        <v>47</v>
      </c>
      <c r="D49" s="50">
        <f>-D$26/SUM(D$32,D$46)</f>
        <v>1.6750028785146212</v>
      </c>
      <c r="E49" s="50">
        <f>-E$26/SUM(E$32,E$46)</f>
        <v>2.4288404141470545</v>
      </c>
      <c r="F49" s="50">
        <f>-F$26/SUM(F$32,F$46)</f>
        <v>4.4164869169087675</v>
      </c>
      <c r="Q49" s="4"/>
    </row>
    <row r="50" spans="1:17" x14ac:dyDescent="0.5">
      <c r="B50" s="2" t="s">
        <v>48</v>
      </c>
      <c r="D50" s="50">
        <f>-D$26/SUM(D$32,D$39,D$46)</f>
        <v>1.3953044387287841</v>
      </c>
      <c r="E50" s="50">
        <f>-E$26/SUM(E$32,E$39,E$46)</f>
        <v>2.0232632757195952</v>
      </c>
      <c r="F50" s="50">
        <f>-F$26/SUM(F$32,F$39,F$46)</f>
        <v>3.6790049007050798</v>
      </c>
      <c r="G50" s="111"/>
      <c r="Q50" s="4"/>
    </row>
    <row r="51" spans="1:17" x14ac:dyDescent="0.5">
      <c r="P51" s="4"/>
    </row>
    <row r="52" spans="1:17" x14ac:dyDescent="0.5">
      <c r="P52" s="64"/>
      <c r="Q52" s="64"/>
    </row>
    <row r="53" spans="1:17" x14ac:dyDescent="0.5">
      <c r="A53" s="52"/>
    </row>
    <row r="54" spans="1:17" x14ac:dyDescent="0.5">
      <c r="A54" s="52"/>
    </row>
    <row r="55" spans="1:17" x14ac:dyDescent="0.5">
      <c r="A55" s="52"/>
    </row>
    <row r="56" spans="1:17" x14ac:dyDescent="0.5">
      <c r="A56" s="52"/>
    </row>
    <row r="57" spans="1:17" x14ac:dyDescent="0.5">
      <c r="A57" s="68"/>
    </row>
    <row r="58" spans="1:17" x14ac:dyDescent="0.5">
      <c r="A58" s="68"/>
    </row>
    <row r="65" spans="1:1" ht="15.75" customHeight="1" x14ac:dyDescent="0.5"/>
    <row r="72" spans="1:1" x14ac:dyDescent="0.5">
      <c r="A72" s="52"/>
    </row>
  </sheetData>
  <conditionalFormatting sqref="K17">
    <cfRule type="cellIs" dxfId="5" priority="3" operator="equal">
      <formula>"Yes"</formula>
    </cfRule>
  </conditionalFormatting>
  <conditionalFormatting sqref="K19">
    <cfRule type="cellIs" dxfId="4" priority="2" operator="equal">
      <formula>"Yes"</formula>
    </cfRule>
  </conditionalFormatting>
  <conditionalFormatting sqref="K21">
    <cfRule type="cellIs" dxfId="3" priority="1" operator="equal">
      <formula>"Yes"</formula>
    </cfRule>
  </conditionalFormatting>
  <pageMargins left="0.7" right="0.5" top="1" bottom="1" header="1" footer="0.5"/>
  <pageSetup scale="65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72"/>
  <sheetViews>
    <sheetView showGridLines="0" zoomScale="90" zoomScaleNormal="90" zoomScalePageLayoutView="90" workbookViewId="0">
      <pane ySplit="5" topLeftCell="A6" activePane="bottomLeft" state="frozen"/>
      <selection activeCell="H1" sqref="H1:I1048576"/>
      <selection pane="bottomLeft"/>
    </sheetView>
  </sheetViews>
  <sheetFormatPr defaultColWidth="11" defaultRowHeight="15.85" outlineLevelRow="1" outlineLevelCol="1" x14ac:dyDescent="0.5"/>
  <cols>
    <col min="1" max="1" width="6.375" customWidth="1"/>
    <col min="2" max="2" width="21.625" customWidth="1"/>
    <col min="3" max="3" width="31" customWidth="1"/>
    <col min="4" max="6" width="12.5" bestFit="1" customWidth="1"/>
    <col min="7" max="7" width="7.5" customWidth="1"/>
    <col min="8" max="9" width="9" customWidth="1"/>
    <col min="10" max="10" width="10" customWidth="1"/>
    <col min="11" max="11" width="8.875" customWidth="1"/>
    <col min="13" max="14" width="10.875" hidden="1" customWidth="1" outlineLevel="1"/>
    <col min="15" max="15" width="11.5" hidden="1" customWidth="1" outlineLevel="1"/>
    <col min="16" max="16" width="10.875" hidden="1" customWidth="1" outlineLevel="1"/>
    <col min="17" max="17" width="11" collapsed="1"/>
  </cols>
  <sheetData>
    <row r="1" spans="1:17" ht="18.100000000000001" x14ac:dyDescent="0.55000000000000004">
      <c r="B1" s="84" t="s">
        <v>27</v>
      </c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7" x14ac:dyDescent="0.5">
      <c r="B2" s="2" t="s">
        <v>30</v>
      </c>
      <c r="C2" s="2" t="s">
        <v>26</v>
      </c>
      <c r="J2" s="66" t="s">
        <v>35</v>
      </c>
      <c r="K2" s="65" t="str">
        <f xml:space="preserve"> IF($K15="Yes", $B14, "")</f>
        <v>FLIGHTS</v>
      </c>
      <c r="L2" s="65" t="str">
        <f xml:space="preserve"> IF($K19="Yes", $B18, "")</f>
        <v/>
      </c>
    </row>
    <row r="3" spans="1:17" x14ac:dyDescent="0.5">
      <c r="B3" s="2" t="s">
        <v>28</v>
      </c>
      <c r="C3" s="54" t="s">
        <v>146</v>
      </c>
      <c r="K3" s="65" t="str">
        <f xml:space="preserve"> IF($K17="Yes", $B16, "")</f>
        <v/>
      </c>
      <c r="L3" s="65" t="str">
        <f xml:space="preserve"> IF($K21="Yes", $B20, "")</f>
        <v/>
      </c>
    </row>
    <row r="4" spans="1:17" x14ac:dyDescent="0.5">
      <c r="B4" s="2" t="s">
        <v>29</v>
      </c>
      <c r="C4" s="2" t="str">
        <f>CONCATENATE(K2, "-",K3, "-",L2,"-",L3)</f>
        <v>FLIGHTS---</v>
      </c>
    </row>
    <row r="6" spans="1:17" ht="18.100000000000001" x14ac:dyDescent="0.55000000000000004">
      <c r="A6" s="4"/>
      <c r="B6" s="83" t="str">
        <f>CONCATENATE(C2, " Ads for Travel")</f>
        <v>Expedia Ads for Travel</v>
      </c>
      <c r="F6" s="88"/>
      <c r="G6" s="65"/>
      <c r="H6" s="65"/>
      <c r="I6" s="113"/>
      <c r="K6" s="65"/>
      <c r="M6" s="54"/>
      <c r="O6" s="63"/>
    </row>
    <row r="7" spans="1:17" ht="18.100000000000001" x14ac:dyDescent="0.55000000000000004">
      <c r="B7" s="83" t="s">
        <v>39</v>
      </c>
      <c r="C7" s="65"/>
      <c r="G7" s="112"/>
      <c r="H7" s="65"/>
      <c r="K7" s="65"/>
      <c r="M7" s="54"/>
      <c r="O7" s="63"/>
    </row>
    <row r="8" spans="1:17" x14ac:dyDescent="0.5">
      <c r="B8" s="65" t="s">
        <v>143</v>
      </c>
      <c r="E8" s="72"/>
      <c r="G8" s="65"/>
      <c r="H8" s="65"/>
      <c r="K8" s="65"/>
      <c r="M8" s="54" t="s">
        <v>41</v>
      </c>
      <c r="O8" s="63">
        <f>-NORMSINV((1-O10/100)/2)</f>
        <v>1.9599639845400536</v>
      </c>
    </row>
    <row r="9" spans="1:17" x14ac:dyDescent="0.5">
      <c r="B9" t="str">
        <f>C3</f>
        <v>December 12, 2013 - January 14, 2014</v>
      </c>
      <c r="E9" s="72"/>
      <c r="G9" s="65"/>
      <c r="H9" s="65"/>
      <c r="K9" s="65"/>
      <c r="M9" s="54"/>
      <c r="O9" s="63"/>
    </row>
    <row r="10" spans="1:17" x14ac:dyDescent="0.5">
      <c r="E10" s="3"/>
      <c r="G10" s="112"/>
      <c r="H10" s="65"/>
      <c r="K10" s="65"/>
      <c r="M10" s="54" t="s">
        <v>32</v>
      </c>
      <c r="O10" s="63">
        <v>95</v>
      </c>
    </row>
    <row r="11" spans="1:17" ht="16.25" thickBot="1" x14ac:dyDescent="0.55000000000000004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"/>
      <c r="Q11" s="4"/>
    </row>
    <row r="12" spans="1:17" x14ac:dyDescent="0.5">
      <c r="B12" s="74" t="s">
        <v>7</v>
      </c>
      <c r="C12" s="79"/>
      <c r="D12" s="76" t="s">
        <v>142</v>
      </c>
      <c r="E12" s="153" t="s">
        <v>141</v>
      </c>
      <c r="F12" s="81" t="s">
        <v>8</v>
      </c>
      <c r="G12" s="80" t="s">
        <v>9</v>
      </c>
      <c r="H12" s="80" t="s">
        <v>10</v>
      </c>
      <c r="I12" s="80" t="s">
        <v>11</v>
      </c>
      <c r="J12" s="80" t="s">
        <v>12</v>
      </c>
      <c r="K12" s="82" t="s">
        <v>13</v>
      </c>
      <c r="L12" s="5"/>
      <c r="M12" s="62" t="s">
        <v>15</v>
      </c>
      <c r="N12" s="62" t="s">
        <v>31</v>
      </c>
      <c r="O12" s="62" t="s">
        <v>33</v>
      </c>
      <c r="P12" s="62" t="s">
        <v>34</v>
      </c>
    </row>
    <row r="13" spans="1:17" x14ac:dyDescent="0.5">
      <c r="B13" s="8" t="s">
        <v>123</v>
      </c>
      <c r="C13" s="9"/>
      <c r="D13" s="56">
        <f>SUMIFS(Data!$H$4:$H$21,Data!$E$4:$E$21,"NOT_PURE",Data!$F$4:$F$21,"A")</f>
        <v>2571306</v>
      </c>
      <c r="E13" s="57">
        <f>SUMIFS(Data!$H$4:$H$21,Data!$E$4:$E$21,"NOT_PURE",Data!$F$4:$F$21,"C")</f>
        <v>5142921</v>
      </c>
      <c r="F13" s="10"/>
      <c r="G13" s="11"/>
      <c r="H13" s="11"/>
      <c r="I13" s="11"/>
      <c r="J13" s="11"/>
      <c r="K13" s="12"/>
    </row>
    <row r="14" spans="1:17" x14ac:dyDescent="0.5">
      <c r="B14" s="8" t="s">
        <v>4</v>
      </c>
      <c r="C14" s="9" t="s">
        <v>14</v>
      </c>
      <c r="D14" s="58">
        <f>SUMIFS(Data!$L$4:$L$21,Data!$E$4:$E$21,"NOT_PURE",Data!$F$4:$F$21,"A")</f>
        <v>121816</v>
      </c>
      <c r="E14" s="59">
        <f>SUMIFS(Data!$L$4:$L$21,Data!$E$4:$E$21,"NOT_PURE",Data!$F$4:$F$21,"C")</f>
        <v>241328</v>
      </c>
      <c r="F14" s="13"/>
      <c r="G14" s="6"/>
      <c r="H14" s="6"/>
      <c r="I14" s="6"/>
      <c r="J14" s="6"/>
      <c r="K14" s="14"/>
      <c r="M14" s="7">
        <f>((2*D$14+Z^2)-(Z*(SQRT(Z^2+4*D$14*(1-(D$14/$D$13))))))/(2*($D$13+Z^2))</f>
        <v>4.7116161192839297E-2</v>
      </c>
      <c r="N14" s="7">
        <f>((2*$D$14+Z^2)+(Z*(SQRT(Z^2+4*$D$14*(1-($D$14/$D$13))))))/(2*($D$13+Z^2))</f>
        <v>4.7635485431199998E-2</v>
      </c>
      <c r="O14" s="87">
        <f>Z*SQRT((M14*(1-M14)/$D$13)+(N15*(1-N15)/$E$13))</f>
        <v>3.1717916281326375E-4</v>
      </c>
      <c r="P14" s="88">
        <f>Z*SQRT((N14*(1-N14)/$E$13)+(M15*(1-M15)/$D$13))</f>
        <v>3.1694320787955702E-4</v>
      </c>
    </row>
    <row r="15" spans="1:17" x14ac:dyDescent="0.5">
      <c r="B15" s="8"/>
      <c r="C15" s="6" t="s">
        <v>6</v>
      </c>
      <c r="D15" s="34">
        <f>D14/D$13</f>
        <v>4.737514710423419E-2</v>
      </c>
      <c r="E15" s="60">
        <f>E14/E$13</f>
        <v>4.6924306245419677E-2</v>
      </c>
      <c r="F15" s="16">
        <f>(E15-D15)/D15</f>
        <v>-9.5164001881108511E-3</v>
      </c>
      <c r="G15" s="17">
        <f>10000*(E15-D15)</f>
        <v>-4.5084085881451355</v>
      </c>
      <c r="H15" s="7">
        <f>(P15-O15)/2</f>
        <v>6.6925636061628789E-3</v>
      </c>
      <c r="I15" s="55">
        <f>F15-H15</f>
        <v>-1.620896379427373E-2</v>
      </c>
      <c r="J15" s="55">
        <f>F15+H15</f>
        <v>-2.8238365819479722E-3</v>
      </c>
      <c r="K15" s="18" t="str">
        <f>IF(OR((O15*P15)&lt;0, (O15*P15)=0), "No", "Yes")</f>
        <v>Yes</v>
      </c>
      <c r="M15" s="7">
        <f>((2*E$14+Z^2)-(Z*(SQRT(Z^2+4*E$14*(1-(E$14/$E$13))))))/(2*($E$13+Z^2))</f>
        <v>4.6741874050701855E-2</v>
      </c>
      <c r="N15" s="7">
        <f>((2*E$14+Z^2)+(Z*(SQRT(Z^2+4*E$14*(1-(E$14/$E$13))))))/(2*($E$13+Z^2))</f>
        <v>4.7107415281302342E-2</v>
      </c>
      <c r="O15" s="7">
        <f>((E15-D15)-O14)/D15</f>
        <v>-1.6211454076078952E-2</v>
      </c>
      <c r="P15" s="7">
        <f>((E15-D15)+P14)/D15</f>
        <v>-2.8263268637531954E-3</v>
      </c>
    </row>
    <row r="16" spans="1:17" x14ac:dyDescent="0.5">
      <c r="B16" s="8" t="s">
        <v>2</v>
      </c>
      <c r="C16" s="9" t="s">
        <v>14</v>
      </c>
      <c r="D16" s="58">
        <f>SUMIFS(Data!$M$4:$M$21,Data!$E$4:$E$21,"NOT_PURE",Data!$F$4:$F$21,"A")</f>
        <v>19874</v>
      </c>
      <c r="E16" s="59">
        <f>SUMIFS(Data!$M$4:$M$21,Data!$E$4:$E$21,"NOT_PURE",Data!$F$4:$F$21,"C")</f>
        <v>39881</v>
      </c>
      <c r="F16" s="15"/>
      <c r="G16" s="6"/>
      <c r="H16" s="6"/>
      <c r="I16" s="6"/>
      <c r="J16" s="6"/>
      <c r="K16" s="14"/>
      <c r="M16" s="7">
        <f>((2*D16+Z^2)-(Z*(SQRT(Z^2+4*D16*(1-(D16/$D$13))))))/(2*($D$13+Z^2))</f>
        <v>7.6228377159039198E-3</v>
      </c>
      <c r="N16" s="7">
        <f>((2*$D16+Z^2)+(Z*(SQRT(Z^2+4*$D16*(1-($D16/$D$13))))))/(2*($D$13+Z^2))</f>
        <v>7.8369255603365166E-3</v>
      </c>
      <c r="O16" s="87">
        <f>Z*SQRT((M16*(1-M16)/$D$13)+(N17*(1-N17)/$E$13))</f>
        <v>1.3078523980506891E-4</v>
      </c>
      <c r="P16" s="88">
        <f>Z*SQRT((N16*(1-N16)/$E$13)+(M17*(1-M17)/$D$13))</f>
        <v>1.3111867231966207E-4</v>
      </c>
    </row>
    <row r="17" spans="1:18" x14ac:dyDescent="0.5">
      <c r="B17" s="8"/>
      <c r="C17" s="6" t="s">
        <v>6</v>
      </c>
      <c r="D17" s="34">
        <f>D16/D$13</f>
        <v>7.729146200413331E-3</v>
      </c>
      <c r="E17" s="60">
        <f>E16/E$13</f>
        <v>7.754542603318231E-3</v>
      </c>
      <c r="F17" s="16">
        <f>(E17-D17)/D17</f>
        <v>3.2857966774573204E-3</v>
      </c>
      <c r="G17" s="17">
        <f>10000*(E17-D17)</f>
        <v>0.25396402904899995</v>
      </c>
      <c r="H17" s="7">
        <f>(P17-O17)/2</f>
        <v>1.6942615997529272E-2</v>
      </c>
      <c r="I17" s="55">
        <f>F17-H17</f>
        <v>-1.3656819320071952E-2</v>
      </c>
      <c r="J17" s="55">
        <f>F17+H17</f>
        <v>2.0228412674986592E-2</v>
      </c>
      <c r="K17" s="18" t="str">
        <f>IF(OR((O17*P17)&lt;0, (O17*P17)=0), "No", "Yes")</f>
        <v>No</v>
      </c>
      <c r="M17" s="7">
        <f>((2*E16+Z^2)-(Z*(SQRT(Z^2+4*E16*(1-(E16/$E$13))))))/(2*($E$13+Z^2))</f>
        <v>7.6790986638871983E-3</v>
      </c>
      <c r="N17" s="7">
        <f>((2*E16+Z^2)+(Z*(SQRT(Z^2+4*E16*(1-(E16/$E$13))))))/(2*($E$13+Z^2))</f>
        <v>7.8307218988793083E-3</v>
      </c>
      <c r="O17" s="7">
        <f>((E17-D17)-O16)/D17</f>
        <v>-1.3635249504600268E-2</v>
      </c>
      <c r="P17" s="7">
        <f>((E17-D17)+P16)/D17</f>
        <v>2.0249982490458278E-2</v>
      </c>
      <c r="Q17" s="55"/>
    </row>
    <row r="18" spans="1:18" x14ac:dyDescent="0.5">
      <c r="B18" s="8" t="s">
        <v>1</v>
      </c>
      <c r="C18" s="9" t="s">
        <v>14</v>
      </c>
      <c r="D18" s="58">
        <f>SUMIFS(Data!$O$4:$O$21,Data!$E$4:$E$21,"NOT_PURE",Data!$F$4:$F$21,"A")</f>
        <v>10535</v>
      </c>
      <c r="E18" s="59">
        <f>SUMIFS(Data!$O$4:$O$21,Data!$E$4:$E$21,"NOT_PURE",Data!$F$4:$F$21,"C")</f>
        <v>21020</v>
      </c>
      <c r="F18" s="15"/>
      <c r="G18" s="6"/>
      <c r="H18" s="6"/>
      <c r="I18" s="6"/>
      <c r="J18" s="6"/>
      <c r="K18" s="14"/>
      <c r="M18" s="7">
        <f>((2*D18+Z^2)-(Z*(SQRT(Z^2+4*D18*(1-(D18/$D$13))))))/(2*($D$13+Z^2))</f>
        <v>4.0198006934070588E-3</v>
      </c>
      <c r="N18" s="7">
        <f>((2*$D18+Z^2)+(Z*(SQRT(Z^2+4*$D18*(1-($D18/$D$13))))))/(2*($D$13+Z^2))</f>
        <v>4.1759605170990028E-3</v>
      </c>
      <c r="O18" s="7">
        <f>Z*SQRT((M18*(1-M18)/$D$13)+(N19*(1-N19)/$E$13))</f>
        <v>9.5198999053396725E-5</v>
      </c>
      <c r="P18" s="7">
        <f>Z*SQRT((N18*(1-N18)/$E$13)+(M19*(1-M19)/$D$13))</f>
        <v>9.542626349567396E-5</v>
      </c>
      <c r="Q18" t="s">
        <v>45</v>
      </c>
    </row>
    <row r="19" spans="1:18" x14ac:dyDescent="0.5">
      <c r="B19" s="8"/>
      <c r="C19" s="6" t="s">
        <v>6</v>
      </c>
      <c r="D19" s="34">
        <f>D18/D$13</f>
        <v>4.0971397414387867E-3</v>
      </c>
      <c r="E19" s="60">
        <f>E18/E$13</f>
        <v>4.08717147317643E-3</v>
      </c>
      <c r="F19" s="16">
        <f>(E19-D19)/D19</f>
        <v>-2.4329822489423283E-3</v>
      </c>
      <c r="G19" s="17">
        <f>10000*(E19-D19)</f>
        <v>-9.968268262356729E-2</v>
      </c>
      <c r="H19" s="7">
        <f>(P19-O19)/2</f>
        <v>2.3263212213763679E-2</v>
      </c>
      <c r="I19" s="55">
        <f>F19-H19</f>
        <v>-2.5696194462706008E-2</v>
      </c>
      <c r="J19" s="55">
        <f>F19+H19</f>
        <v>2.083022996482135E-2</v>
      </c>
      <c r="K19" s="18" t="str">
        <f>IF(OR((O19*P19)&lt;0, (O19*P19)=0), "No", "Yes")</f>
        <v>No</v>
      </c>
      <c r="M19" s="7">
        <f>((2*E18+Z^2)-(Z*(SQRT(Z^2+4*E18*(1-(E18/$E$13))))))/(2*($E$13+Z^2))</f>
        <v>4.0324008580196477E-3</v>
      </c>
      <c r="N19" s="7">
        <f>((2*E18+Z^2)+(Z*(SQRT(Z^2+4*E18*(1-(E18/$E$13))))))/(2*($E$13+Z^2))</f>
        <v>4.142682923079264E-3</v>
      </c>
      <c r="O19" s="7">
        <f>((E19-D19)-O18)/D19</f>
        <v>-2.5668459938547768E-2</v>
      </c>
      <c r="P19" s="7">
        <f>((E19-D19)+P18)/D19</f>
        <v>2.0857964488979589E-2</v>
      </c>
    </row>
    <row r="20" spans="1:18" x14ac:dyDescent="0.5">
      <c r="B20" s="8" t="s">
        <v>0</v>
      </c>
      <c r="C20" s="9" t="s">
        <v>14</v>
      </c>
      <c r="D20" s="58">
        <f>SUMIFS(Data!$N$4:$N$21,Data!$E$4:$E$21,"NOT_PURE",Data!$F$4:$F$21,"A")</f>
        <v>7184</v>
      </c>
      <c r="E20" s="59">
        <f>SUMIFS(Data!$N$4:$N$21,Data!$E$4:$E$21,"NOT_PURE",Data!$F$4:$F$21,"C")</f>
        <v>14195</v>
      </c>
      <c r="F20" s="15"/>
      <c r="G20" s="6"/>
      <c r="H20" s="6"/>
      <c r="I20" s="6"/>
      <c r="J20" s="6"/>
      <c r="K20" s="14"/>
      <c r="M20" s="7">
        <f>((2*D20+Z^2)-(Z*(SQRT(Z^2+4*D20*(1-(D20/$D$13))))))/(2*($D$13+Z^2))</f>
        <v>2.730133163200448E-3</v>
      </c>
      <c r="N20" s="7">
        <f>((2*$D20+Z^2)+(Z*(SQRT(Z^2+4*$D20*(1-($D20/$D$13))))))/(2*($D$13+Z^2))</f>
        <v>2.8591743667963636E-3</v>
      </c>
      <c r="O20" s="7">
        <f>Z*SQRT((M20*(1-M20)/$D$13)+(N21*(1-N21)/$E$13))</f>
        <v>7.8469793071381458E-5</v>
      </c>
      <c r="P20" s="7">
        <f>Z*SQRT((N20*(1-N20)/$E$13)+(M21*(1-M21)/$D$13))</f>
        <v>7.8580187629196275E-5</v>
      </c>
    </row>
    <row r="21" spans="1:18" ht="16.25" thickBot="1" x14ac:dyDescent="0.55000000000000004">
      <c r="B21" s="19"/>
      <c r="C21" s="20" t="s">
        <v>6</v>
      </c>
      <c r="D21" s="85">
        <f>D20/D$13</f>
        <v>2.793910954199928E-3</v>
      </c>
      <c r="E21" s="86">
        <f>E20/E$13</f>
        <v>2.760104617589887E-3</v>
      </c>
      <c r="F21" s="61">
        <f>(E21-D21)/D21</f>
        <v>-1.2100005033883362E-2</v>
      </c>
      <c r="G21" s="22">
        <f>10000*(E21-D21)</f>
        <v>-0.33806336610040999</v>
      </c>
      <c r="H21" s="21">
        <f>(P21-O21)/2</f>
        <v>2.8105759860473256E-2</v>
      </c>
      <c r="I21" s="23">
        <f>F21-H21</f>
        <v>-4.0205764894356621E-2</v>
      </c>
      <c r="J21" s="23">
        <f>F21+H21</f>
        <v>1.6005754826589894E-2</v>
      </c>
      <c r="K21" s="24" t="str">
        <f>IF(OR((O21*P21)&lt;0, (O21*P21)=0), "No", "Yes")</f>
        <v>No</v>
      </c>
      <c r="M21" s="7">
        <f>((2*E20+Z^2)-(Z*(SQRT(Z^2+4*E20*(1-(E20/$E$13))))))/(2*($E$13+Z^2))</f>
        <v>2.7151319910370883E-3</v>
      </c>
      <c r="N21" s="7">
        <f>((2*E20+Z^2)+(Z*(SQRT(Z^2+4*E20*(1-(E20/$E$13))))))/(2*($E$13+Z^2))</f>
        <v>2.8058200613686815E-3</v>
      </c>
      <c r="O21" s="7">
        <f>((E21-D21)-O20)/D21</f>
        <v>-4.0186008617291151E-2</v>
      </c>
      <c r="P21" s="7">
        <f>((E21-D21)+P20)/D21</f>
        <v>1.6025511103655358E-2</v>
      </c>
    </row>
    <row r="22" spans="1:18" ht="16.25" thickBot="1" x14ac:dyDescent="0.55000000000000004">
      <c r="M22" s="7"/>
      <c r="N22" s="7"/>
      <c r="O22" s="7"/>
      <c r="P22" s="7"/>
      <c r="R22" s="5"/>
    </row>
    <row r="23" spans="1:18" s="64" customFormat="1" x14ac:dyDescent="0.5">
      <c r="A23"/>
      <c r="B23" s="74" t="s">
        <v>38</v>
      </c>
      <c r="C23" s="75"/>
      <c r="D23" s="76" t="s">
        <v>15</v>
      </c>
      <c r="E23" s="77" t="s">
        <v>16</v>
      </c>
      <c r="F23" s="78" t="s">
        <v>17</v>
      </c>
      <c r="G23"/>
      <c r="H23"/>
      <c r="I23"/>
      <c r="J23"/>
      <c r="K23"/>
      <c r="L23"/>
      <c r="M23"/>
      <c r="N23"/>
      <c r="O23"/>
      <c r="P23"/>
      <c r="Q23"/>
    </row>
    <row r="24" spans="1:18" x14ac:dyDescent="0.5">
      <c r="A24" s="64"/>
      <c r="B24" s="8" t="s">
        <v>18</v>
      </c>
      <c r="C24" s="6" t="s">
        <v>105</v>
      </c>
      <c r="D24" s="51">
        <f>SUMIFS(Data!$K$4:$K$21,Data!$E$4:$E$21,"NOT_PURE",Data!$F$4:$F$21,"C")</f>
        <v>13689988</v>
      </c>
      <c r="E24" s="119">
        <f t="shared" ref="E24:F26" si="0">D24</f>
        <v>13689988</v>
      </c>
      <c r="F24" s="26">
        <f t="shared" si="0"/>
        <v>13689988</v>
      </c>
      <c r="I24" s="118"/>
    </row>
    <row r="25" spans="1:18" x14ac:dyDescent="0.5">
      <c r="B25" s="8"/>
      <c r="C25" s="6" t="s">
        <v>145</v>
      </c>
      <c r="D25" s="39">
        <f>((SUMIFS(Data!$J$4:$J$21,Data!$E$4:$E$21,"NOT_PURE",Data!$F$4:$F$21,"C")/D24)-(SUMIFS(Data!$J$4:$J$21,Data!$E$4:$E$21,"NOT_PURE",Data!$F$4:$F$21,"A")/SUMIFS(Data!$K$4:$K$21,Data!$E$4:$E$21,"NOT_PURE",Data!$F$4:$F$21,"A")))*1000</f>
        <v>5.1497010582661922</v>
      </c>
      <c r="E25" s="120">
        <f t="shared" si="0"/>
        <v>5.1497010582661922</v>
      </c>
      <c r="F25" s="29">
        <f t="shared" si="0"/>
        <v>5.1497010582661922</v>
      </c>
      <c r="G25" s="3"/>
    </row>
    <row r="26" spans="1:18" x14ac:dyDescent="0.5">
      <c r="B26" s="30"/>
      <c r="C26" s="98" t="s">
        <v>144</v>
      </c>
      <c r="D26" s="99">
        <f>(D25/1000)*D24</f>
        <v>70499.345691251467</v>
      </c>
      <c r="E26" s="121">
        <f t="shared" si="0"/>
        <v>70499.345691251467</v>
      </c>
      <c r="F26" s="100">
        <f t="shared" si="0"/>
        <v>70499.345691251467</v>
      </c>
      <c r="I26" s="117"/>
    </row>
    <row r="27" spans="1:18" x14ac:dyDescent="0.5">
      <c r="B27" s="8" t="s">
        <v>37</v>
      </c>
      <c r="C27" s="6" t="s">
        <v>19</v>
      </c>
      <c r="D27" s="31">
        <f>E13</f>
        <v>5142921</v>
      </c>
      <c r="E27" s="32">
        <f>D27</f>
        <v>5142921</v>
      </c>
      <c r="F27" s="33">
        <f>D27</f>
        <v>5142921</v>
      </c>
      <c r="L27" s="5"/>
      <c r="M27" s="5"/>
      <c r="N27" s="5"/>
      <c r="Q27" s="5"/>
    </row>
    <row r="28" spans="1:18" x14ac:dyDescent="0.5">
      <c r="B28" s="8"/>
      <c r="C28" s="6" t="s">
        <v>20</v>
      </c>
      <c r="D28" s="34">
        <f>D15</f>
        <v>4.737514710423419E-2</v>
      </c>
      <c r="E28" s="16">
        <f>D28</f>
        <v>4.737514710423419E-2</v>
      </c>
      <c r="F28" s="35">
        <f>E28</f>
        <v>4.737514710423419E-2</v>
      </c>
      <c r="K28" s="116"/>
      <c r="L28" s="64"/>
      <c r="M28" s="64"/>
      <c r="N28" s="64"/>
      <c r="O28" s="4"/>
      <c r="P28" s="4"/>
      <c r="Q28" s="64"/>
    </row>
    <row r="29" spans="1:18" x14ac:dyDescent="0.5">
      <c r="B29" s="8"/>
      <c r="C29" s="6" t="s">
        <v>7</v>
      </c>
      <c r="D29" s="34">
        <f>I15</f>
        <v>-1.620896379427373E-2</v>
      </c>
      <c r="E29" s="16">
        <f>F15</f>
        <v>-9.5164001881108511E-3</v>
      </c>
      <c r="F29" s="35">
        <f>J15</f>
        <v>-2.8238365819479722E-3</v>
      </c>
    </row>
    <row r="30" spans="1:18" x14ac:dyDescent="0.5">
      <c r="B30" s="8"/>
      <c r="C30" s="6" t="s">
        <v>21</v>
      </c>
      <c r="D30" s="36">
        <f>D29*D28*D27</f>
        <v>-3949.2595488581433</v>
      </c>
      <c r="E30" s="37">
        <f>E29*E28*E27</f>
        <v>-2318.6389204551965</v>
      </c>
      <c r="F30" s="38">
        <f>F29*F28*F27</f>
        <v>-688.01829205224999</v>
      </c>
    </row>
    <row r="31" spans="1:18" x14ac:dyDescent="0.5">
      <c r="B31" s="8"/>
      <c r="C31" s="6" t="s">
        <v>22</v>
      </c>
      <c r="D31" s="39">
        <f>(SUMIFS(Data!$V$4:$V$21,Data!$E$4:$E$21,"NOT_PURE",Data!$G$4:$G$21,"DIRTY",Data!$F$4:$F$21,"A")+SUMIFS(Data!$V$4:$V$21,Data!$E$4:$E$21,"NOT_PURE",Data!$G$4:$G$21,"LOW_CONVERTING",Data!$F$4:$F$21,"A"))/(SUMIFS(Data!$L$4:$L$21,Data!$E$4:$E$21,"NOT_PURE",Data!$G$4:$G$21,"DIRTY",Data!$F$4:$F$21,"A")+SUMIFS(Data!$L$4:$L$21,Data!$E$4:$E$21,"NOT_PURE",Data!$G$4:$G$21,"LOW_CONVERTING",Data!$F$4:$F$21,"A"))</f>
        <v>8.814448190503926</v>
      </c>
      <c r="E31" s="28">
        <f>D31</f>
        <v>8.814448190503926</v>
      </c>
      <c r="F31" s="29">
        <f>D31</f>
        <v>8.814448190503926</v>
      </c>
    </row>
    <row r="32" spans="1:18" x14ac:dyDescent="0.5">
      <c r="B32" s="8"/>
      <c r="C32" s="6" t="s">
        <v>125</v>
      </c>
      <c r="D32" s="73">
        <f>D31*D30</f>
        <v>-34810.543684263015</v>
      </c>
      <c r="E32" s="40">
        <f>E31*E30</f>
        <v>-20437.522636838283</v>
      </c>
      <c r="F32" s="41">
        <f>F31*F30</f>
        <v>-6064.5015894135568</v>
      </c>
    </row>
    <row r="33" spans="1:18" ht="16.25" thickBot="1" x14ac:dyDescent="0.55000000000000004">
      <c r="B33" s="19" t="str">
        <f>CONCATENATE(C2, " Net Profit Impact - Flights only")</f>
        <v>Expedia Net Profit Impact - Flights only</v>
      </c>
      <c r="C33" s="20"/>
      <c r="D33" s="92">
        <f>D26+D32</f>
        <v>35688.802006988451</v>
      </c>
      <c r="E33" s="93">
        <f>E26+E32</f>
        <v>50061.82305441318</v>
      </c>
      <c r="F33" s="94">
        <f>F26+F32</f>
        <v>64434.844101837909</v>
      </c>
    </row>
    <row r="34" spans="1:18" hidden="1" outlineLevel="1" x14ac:dyDescent="0.5">
      <c r="B34" s="2" t="s">
        <v>46</v>
      </c>
      <c r="D34" s="42">
        <f>-D$26/D32</f>
        <v>2.0252296640549878</v>
      </c>
      <c r="E34" s="42">
        <f>-E$26/E32</f>
        <v>3.4495054485800352</v>
      </c>
      <c r="F34" s="42">
        <f>-F$26/F32</f>
        <v>11.624919979296902</v>
      </c>
    </row>
    <row r="35" spans="1:18" ht="16.25" collapsed="1" thickBot="1" x14ac:dyDescent="0.55000000000000004"/>
    <row r="36" spans="1:18" x14ac:dyDescent="0.5">
      <c r="A36" s="4"/>
      <c r="B36" s="43" t="s">
        <v>36</v>
      </c>
      <c r="C36" s="25" t="s">
        <v>23</v>
      </c>
      <c r="D36" s="67">
        <f>(SUMIFS(Data!$AB$4:$AB$21,Data!$E$4:$E$21,"NOT_PURE",Data!$G$4:$G$21,"DIRTY",Data!$F$4:$F$21,"A")+SUMIFS(Data!$AB$4:$AB$21,Data!$E$4:$E$21,"NOT_PURE",Data!$G$4:$G$21,"LOW_CONVERTING",Data!$F$4:$F$21,"A"))/(SUMIFS(Data!$L$4:$L$21,Data!$E$4:$E$21,"NOT_PURE",Data!$G$4:$G$21,"DIRTY",Data!$F$4:$F$21,"A")+SUMIFS(Data!$L$4:$L$21,Data!$E$4:$E$21,"NOT_PURE",Data!$G$4:$G$21,"LOW_CONVERTING",Data!$F$4:$F$21,"A"))</f>
        <v>4.1846346845282767E-2</v>
      </c>
      <c r="E36" s="44">
        <f>D36</f>
        <v>4.1846346845282767E-2</v>
      </c>
      <c r="F36" s="45">
        <f>D36</f>
        <v>4.1846346845282767E-2</v>
      </c>
    </row>
    <row r="37" spans="1:18" x14ac:dyDescent="0.5">
      <c r="B37" s="8"/>
      <c r="C37" s="6" t="s">
        <v>24</v>
      </c>
      <c r="D37" s="46">
        <f>D36*D$30</f>
        <v>-165.26208486356282</v>
      </c>
      <c r="E37" s="47">
        <f>E36*E$30</f>
        <v>-97.026568474340152</v>
      </c>
      <c r="F37" s="48">
        <f>F36*F$30</f>
        <v>-28.79105208511751</v>
      </c>
    </row>
    <row r="38" spans="1:18" x14ac:dyDescent="0.5">
      <c r="B38" s="8"/>
      <c r="C38" s="6" t="s">
        <v>25</v>
      </c>
      <c r="D38" s="27">
        <f>(SUMIFS(Data!$W$4:$W$21,Data!$E$4:$E$21,"NOT_PURE",Data!$G$4:$G$21,"DIRTY",Data!$F$4:$F$21,"A")+SUMIFS(Data!$W$4:$W$21,Data!$E$4:$E$21,"NOT_PURE",Data!$G$4:$G$21,"LOW_CONVERTING",Data!$F$4:$F$21,"A"))/(SUMIFS(Data!$R$4:$R$21,Data!$E$4:$E$21,"NOT_PURE",Data!$G$4:$G$21,"DIRTY",Data!$F$4:$F$21,"A")+SUMIFS(Data!$R$4:$R$21,Data!$E$4:$E$21,"NOT_PURE",Data!$G$4:$G$21,"LOW_CONVERTING",Data!$F$4:$F$21,"A"))</f>
        <v>55.633064121927781</v>
      </c>
      <c r="E38" s="28">
        <f>D38</f>
        <v>55.633064121927781</v>
      </c>
      <c r="F38" s="49">
        <f>E38</f>
        <v>55.633064121927781</v>
      </c>
    </row>
    <row r="39" spans="1:18" ht="16.25" thickBot="1" x14ac:dyDescent="0.55000000000000004">
      <c r="B39" s="19"/>
      <c r="C39" s="20" t="s">
        <v>124</v>
      </c>
      <c r="D39" s="69">
        <f>D38*D37</f>
        <v>-9194.0361641380605</v>
      </c>
      <c r="E39" s="70">
        <f>E38*E37</f>
        <v>-5397.885305463582</v>
      </c>
      <c r="F39" s="71">
        <f>F38*F37</f>
        <v>-1601.734446789105</v>
      </c>
    </row>
    <row r="40" spans="1:18" s="64" customFormat="1" ht="16.25" thickBot="1" x14ac:dyDescent="0.55000000000000004">
      <c r="A40"/>
      <c r="B40" s="19" t="str">
        <f>CONCATENATE(C2," Net Profit Impact w/ Hotel Attach")</f>
        <v>Expedia Net Profit Impact w/ Hotel Attach</v>
      </c>
      <c r="C40" s="20"/>
      <c r="D40" s="95">
        <f>D33+D39</f>
        <v>26494.765842850393</v>
      </c>
      <c r="E40" s="96">
        <f>E33+E39</f>
        <v>44663.937748949596</v>
      </c>
      <c r="F40" s="97">
        <f>F33+F39</f>
        <v>62833.109655048807</v>
      </c>
      <c r="G40"/>
      <c r="H40"/>
      <c r="I40"/>
      <c r="J40"/>
      <c r="K40"/>
      <c r="L40"/>
      <c r="M40"/>
      <c r="N40"/>
      <c r="O40"/>
      <c r="P40"/>
      <c r="Q40"/>
      <c r="R40"/>
    </row>
    <row r="41" spans="1:18" hidden="1" outlineLevel="1" x14ac:dyDescent="0.5">
      <c r="B41" s="2" t="s">
        <v>44</v>
      </c>
      <c r="D41" s="50">
        <f>-D$26/SUM(D32,D39)</f>
        <v>1.602091099020301</v>
      </c>
      <c r="E41" s="50">
        <f>-E$26/SUM(E32,E39)</f>
        <v>2.7287877880116094</v>
      </c>
      <c r="F41" s="50">
        <f>-F$26/SUM(F32,F39)</f>
        <v>9.1960833658563033</v>
      </c>
    </row>
    <row r="42" spans="1:18" ht="16.25" collapsed="1" thickBot="1" x14ac:dyDescent="0.55000000000000004">
      <c r="B42" s="2"/>
      <c r="D42" s="50"/>
      <c r="E42" s="50"/>
      <c r="F42" s="50"/>
    </row>
    <row r="43" spans="1:18" x14ac:dyDescent="0.5">
      <c r="B43" s="43" t="s">
        <v>42</v>
      </c>
      <c r="C43" s="104" t="s">
        <v>43</v>
      </c>
      <c r="D43" s="107">
        <f>(SUMIFS(Data!$AO$4:$AO$21,Data!$E$4:$E$21,"NOT_PURE",Data!$G$4:$G$21,"DIRTY",Data!$F$4:$F$21,"A")+SUMIFS(Data!$AO$4:$AO$21,Data!$E$4:$E$21,"NOT_PURE",Data!$G$4:$G$21,"LOW_CONVERTING",Data!$F$4:$F$21,"A"))/(SUMIFS(Data!$L$4:$L$21,Data!$E$4:$E$21,"NOT_PURE",Data!$G$4:$G$21,"DIRTY",Data!$F$4:$F$21,"A")+SUMIFS(Data!$L$4:$L$21,Data!$E$4:$E$21,"NOT_PURE",Data!$G$4:$G$21,"LOW_CONVERTING",Data!$F$4:$F$21,"A"))</f>
        <v>0.10159163969130479</v>
      </c>
      <c r="E43" s="107">
        <f>D43</f>
        <v>0.10159163969130479</v>
      </c>
      <c r="F43" s="108">
        <f>D43</f>
        <v>0.10159163969130479</v>
      </c>
    </row>
    <row r="44" spans="1:18" x14ac:dyDescent="0.5">
      <c r="B44" s="8"/>
      <c r="C44" s="105" t="s">
        <v>122</v>
      </c>
      <c r="D44" s="109">
        <f>D$43*D30</f>
        <v>-401.21175313504136</v>
      </c>
      <c r="E44" s="109">
        <f>E$43*E30</f>
        <v>-235.55432978112023</v>
      </c>
      <c r="F44" s="110">
        <f>F$43*F30</f>
        <v>-69.896906427199085</v>
      </c>
    </row>
    <row r="45" spans="1:18" x14ac:dyDescent="0.5">
      <c r="B45" s="8"/>
      <c r="C45" s="105" t="s">
        <v>126</v>
      </c>
      <c r="D45" s="114">
        <f>(SUMIFS(Data!$AY$4:$AY$21,Data!$E$4:$E$21,"NOT_PURE",Data!$G$4:$G$21,"DIRTY",Data!$F$4:$F$21,"A")+SUMIFS(Data!$AY$4:$AY$21,Data!$E$4:$E$21,"NOT_PURE",Data!$G$4:$G$21,"LOW_CONVERTING",Data!$F$4:$F$21,"A"))/(SUMIFS(Data!$AT$4:$AT$21,Data!$E$4:$E$21,"NOT_PURE",Data!$G$4:$G$21,"DIRTY",Data!$F$4:$F$21,"A")+SUMIFS(Data!$AT$4:$AT$21,Data!$E$4:$E$21,"NOT_PURE",Data!$G$4:$G$21,"LOW_CONVERTING",Data!$F$4:$F$21,"A"))</f>
        <v>34.686148938352652</v>
      </c>
      <c r="E45" s="114">
        <f>D45</f>
        <v>34.686148938352652</v>
      </c>
      <c r="F45" s="115">
        <f>D45</f>
        <v>34.686148938352652</v>
      </c>
    </row>
    <row r="46" spans="1:18" ht="16.25" thickBot="1" x14ac:dyDescent="0.55000000000000004">
      <c r="B46" s="19"/>
      <c r="C46" s="106" t="s">
        <v>127</v>
      </c>
      <c r="D46" s="70">
        <f>D45*D44</f>
        <v>-13916.490625059621</v>
      </c>
      <c r="E46" s="70">
        <f>E45*E44</f>
        <v>-8170.4725658617735</v>
      </c>
      <c r="F46" s="71">
        <f>F45*F44</f>
        <v>-2424.4545066639262</v>
      </c>
    </row>
    <row r="47" spans="1:18" ht="16.25" outlineLevel="1" thickBot="1" x14ac:dyDescent="0.55000000000000004">
      <c r="B47" s="19" t="s">
        <v>120</v>
      </c>
      <c r="C47" s="20"/>
      <c r="D47" s="101">
        <f>D33+D46</f>
        <v>21772.31138192883</v>
      </c>
      <c r="E47" s="103">
        <f>E33+E46</f>
        <v>41891.350488551405</v>
      </c>
      <c r="F47" s="102">
        <f>F33+F46</f>
        <v>62010.389595173983</v>
      </c>
    </row>
    <row r="48" spans="1:18" ht="16.25" thickBot="1" x14ac:dyDescent="0.55000000000000004">
      <c r="B48" s="19" t="s">
        <v>121</v>
      </c>
      <c r="C48" s="20"/>
      <c r="D48" s="91">
        <f>D40+D46</f>
        <v>12578.275217790771</v>
      </c>
      <c r="E48" s="89">
        <f>E40+E46</f>
        <v>36493.465183087821</v>
      </c>
      <c r="F48" s="90">
        <f>F40+F46</f>
        <v>60408.655148384882</v>
      </c>
    </row>
    <row r="49" spans="1:17" x14ac:dyDescent="0.5">
      <c r="B49" s="2" t="s">
        <v>47</v>
      </c>
      <c r="D49" s="50">
        <f>-D$26/SUM(D$32,D$46)</f>
        <v>1.4468220093945521</v>
      </c>
      <c r="E49" s="50">
        <f>-E$26/SUM(E$32,E$46)</f>
        <v>2.4643231792977112</v>
      </c>
      <c r="F49" s="50">
        <f>-F$26/SUM(F$32,F$46)</f>
        <v>8.3048309937457798</v>
      </c>
      <c r="Q49" s="4"/>
    </row>
    <row r="50" spans="1:17" x14ac:dyDescent="0.5">
      <c r="B50" s="2" t="s">
        <v>48</v>
      </c>
      <c r="D50" s="50">
        <f>-D$26/SUM(D$32,D$39,D$46)</f>
        <v>1.2171623403188674</v>
      </c>
      <c r="E50" s="50">
        <f>-E$26/SUM(E$32,E$39,E$46)</f>
        <v>2.0731516031272004</v>
      </c>
      <c r="F50" s="50">
        <f>-F$26/SUM(F$32,F$39,F$46)</f>
        <v>6.986572959676141</v>
      </c>
      <c r="G50" s="111"/>
      <c r="Q50" s="4"/>
    </row>
    <row r="51" spans="1:17" x14ac:dyDescent="0.5">
      <c r="P51" s="4"/>
    </row>
    <row r="52" spans="1:17" x14ac:dyDescent="0.5">
      <c r="P52" s="64"/>
      <c r="Q52" s="64"/>
    </row>
    <row r="53" spans="1:17" x14ac:dyDescent="0.5">
      <c r="A53" s="52"/>
    </row>
    <row r="54" spans="1:17" x14ac:dyDescent="0.5">
      <c r="A54" s="52"/>
    </row>
    <row r="55" spans="1:17" x14ac:dyDescent="0.5">
      <c r="A55" s="52"/>
    </row>
    <row r="56" spans="1:17" x14ac:dyDescent="0.5">
      <c r="A56" s="52"/>
    </row>
    <row r="57" spans="1:17" x14ac:dyDescent="0.5">
      <c r="A57" s="68"/>
    </row>
    <row r="58" spans="1:17" x14ac:dyDescent="0.5">
      <c r="A58" s="68"/>
    </row>
    <row r="65" spans="1:1" ht="15.75" customHeight="1" x14ac:dyDescent="0.5"/>
    <row r="72" spans="1:1" x14ac:dyDescent="0.5">
      <c r="A72" s="52"/>
    </row>
  </sheetData>
  <conditionalFormatting sqref="K17">
    <cfRule type="cellIs" dxfId="2" priority="3" operator="equal">
      <formula>"Yes"</formula>
    </cfRule>
  </conditionalFormatting>
  <conditionalFormatting sqref="K19">
    <cfRule type="cellIs" dxfId="1" priority="2" operator="equal">
      <formula>"Yes"</formula>
    </cfRule>
  </conditionalFormatting>
  <conditionalFormatting sqref="K21">
    <cfRule type="cellIs" dxfId="0" priority="1" operator="equal">
      <formula>"Yes"</formula>
    </cfRule>
  </conditionalFormatting>
  <pageMargins left="0.7" right="0.5" top="1" bottom="1" header="1" footer="0.5"/>
  <pageSetup scale="65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workbookViewId="0">
      <selection activeCell="A2" sqref="A2"/>
    </sheetView>
  </sheetViews>
  <sheetFormatPr defaultColWidth="8.875" defaultRowHeight="15.85" x14ac:dyDescent="0.5"/>
  <cols>
    <col min="3" max="4" width="11.125" customWidth="1"/>
    <col min="8" max="8" width="9.625" customWidth="1"/>
    <col min="9" max="9" width="8.5" customWidth="1"/>
    <col min="11" max="11" width="10.125" customWidth="1"/>
    <col min="14" max="14" width="8.875" customWidth="1"/>
    <col min="16" max="16" width="9.125" bestFit="1" customWidth="1"/>
    <col min="17" max="17" width="10.5" bestFit="1" customWidth="1"/>
    <col min="19" max="19" width="9.875" bestFit="1" customWidth="1"/>
  </cols>
  <sheetData>
    <row r="1" spans="1:51" x14ac:dyDescent="0.5">
      <c r="A1" s="154" t="s">
        <v>132</v>
      </c>
    </row>
    <row r="3" spans="1:51" x14ac:dyDescent="0.5">
      <c r="A3" t="s">
        <v>52</v>
      </c>
      <c r="B3" t="s">
        <v>53</v>
      </c>
      <c r="C3" s="122" t="s">
        <v>54</v>
      </c>
      <c r="D3" s="122" t="s">
        <v>55</v>
      </c>
      <c r="E3" t="s">
        <v>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</row>
    <row r="4" spans="1:51" x14ac:dyDescent="0.5">
      <c r="A4" t="s">
        <v>133</v>
      </c>
      <c r="B4" t="s">
        <v>40</v>
      </c>
      <c r="C4" s="122">
        <v>41620</v>
      </c>
      <c r="D4" s="122">
        <v>41653</v>
      </c>
      <c r="E4" t="s">
        <v>103</v>
      </c>
      <c r="F4" t="s">
        <v>129</v>
      </c>
      <c r="G4" t="s">
        <v>51</v>
      </c>
      <c r="H4" s="1">
        <v>146551</v>
      </c>
      <c r="I4" s="1">
        <v>1649105</v>
      </c>
      <c r="J4" s="123">
        <v>7699.8959999999997</v>
      </c>
      <c r="K4" s="1">
        <v>937726</v>
      </c>
      <c r="L4" s="1">
        <v>43851</v>
      </c>
      <c r="M4" s="1">
        <v>4915</v>
      </c>
      <c r="N4" s="1">
        <v>1803</v>
      </c>
      <c r="O4" s="1">
        <v>2755</v>
      </c>
      <c r="P4" s="1">
        <v>49298</v>
      </c>
      <c r="Q4" s="1">
        <v>55644</v>
      </c>
      <c r="R4" s="1">
        <v>6625</v>
      </c>
      <c r="S4" s="1">
        <v>2071</v>
      </c>
      <c r="T4" s="1">
        <v>2897</v>
      </c>
      <c r="U4" s="1">
        <v>67237</v>
      </c>
      <c r="V4" s="123">
        <v>430927.32</v>
      </c>
      <c r="W4" s="123">
        <v>385171.53600000002</v>
      </c>
      <c r="X4" s="123">
        <v>54243.226999999999</v>
      </c>
      <c r="Y4" s="123">
        <v>333127.23</v>
      </c>
      <c r="Z4" s="123">
        <v>1203469.3130000001</v>
      </c>
      <c r="AA4" s="1">
        <v>11793</v>
      </c>
      <c r="AB4" s="1">
        <v>2547</v>
      </c>
      <c r="AC4">
        <v>969</v>
      </c>
      <c r="AD4">
        <v>280</v>
      </c>
      <c r="AE4" s="1">
        <v>15589</v>
      </c>
      <c r="AF4" s="1">
        <v>1102</v>
      </c>
      <c r="AG4" s="1">
        <v>1710</v>
      </c>
      <c r="AH4">
        <v>276</v>
      </c>
      <c r="AI4">
        <v>97</v>
      </c>
      <c r="AJ4" s="1">
        <v>3185</v>
      </c>
      <c r="AK4" s="1">
        <v>4169</v>
      </c>
      <c r="AL4">
        <v>0</v>
      </c>
      <c r="AM4">
        <v>0</v>
      </c>
      <c r="AN4">
        <v>0</v>
      </c>
      <c r="AO4" s="1">
        <v>4169</v>
      </c>
      <c r="AP4" s="1">
        <v>4824</v>
      </c>
      <c r="AQ4">
        <v>0</v>
      </c>
      <c r="AR4">
        <v>0</v>
      </c>
      <c r="AS4">
        <v>0</v>
      </c>
      <c r="AT4" s="1">
        <v>4824</v>
      </c>
      <c r="AU4" s="123">
        <v>164607.51</v>
      </c>
      <c r="AV4">
        <v>0</v>
      </c>
      <c r="AW4">
        <v>0</v>
      </c>
      <c r="AX4">
        <v>0</v>
      </c>
      <c r="AY4" s="123">
        <v>164607.51</v>
      </c>
    </row>
    <row r="5" spans="1:51" x14ac:dyDescent="0.5">
      <c r="A5" t="s">
        <v>133</v>
      </c>
      <c r="B5" t="s">
        <v>40</v>
      </c>
      <c r="C5" s="122">
        <v>41620</v>
      </c>
      <c r="D5" s="122">
        <v>41653</v>
      </c>
      <c r="E5" t="s">
        <v>103</v>
      </c>
      <c r="F5" t="s">
        <v>129</v>
      </c>
      <c r="G5" t="s">
        <v>50</v>
      </c>
      <c r="H5" s="1">
        <v>217571</v>
      </c>
      <c r="I5" s="1">
        <v>1327028</v>
      </c>
      <c r="J5" t="s">
        <v>107</v>
      </c>
      <c r="K5" t="s">
        <v>107</v>
      </c>
      <c r="L5" s="1">
        <v>32537</v>
      </c>
      <c r="M5" s="1">
        <v>8190</v>
      </c>
      <c r="N5" s="1">
        <v>3280</v>
      </c>
      <c r="O5" s="1">
        <v>3180</v>
      </c>
      <c r="P5" s="1">
        <v>41414</v>
      </c>
      <c r="Q5" s="1">
        <v>45323</v>
      </c>
      <c r="R5" s="1">
        <v>12572</v>
      </c>
      <c r="S5" s="1">
        <v>4179</v>
      </c>
      <c r="T5" s="1">
        <v>3409</v>
      </c>
      <c r="U5" s="1">
        <v>65483</v>
      </c>
      <c r="V5" s="123">
        <v>332366.94</v>
      </c>
      <c r="W5" s="123">
        <v>746624.87</v>
      </c>
      <c r="X5" s="123">
        <v>109912.53599999999</v>
      </c>
      <c r="Y5" s="123">
        <v>399233.41200000001</v>
      </c>
      <c r="Z5" s="123">
        <v>1588137.7579999999</v>
      </c>
      <c r="AA5" s="1">
        <v>12786</v>
      </c>
      <c r="AB5" s="1">
        <v>4550</v>
      </c>
      <c r="AC5" s="1">
        <v>1643</v>
      </c>
      <c r="AD5">
        <v>388</v>
      </c>
      <c r="AE5" s="1">
        <v>19367</v>
      </c>
      <c r="AF5" s="1">
        <v>2557</v>
      </c>
      <c r="AG5" s="1">
        <v>4386</v>
      </c>
      <c r="AH5">
        <v>721</v>
      </c>
      <c r="AI5">
        <v>190</v>
      </c>
      <c r="AJ5" s="1">
        <v>7854</v>
      </c>
      <c r="AK5" s="1">
        <v>2827</v>
      </c>
      <c r="AL5">
        <v>0</v>
      </c>
      <c r="AM5">
        <v>0</v>
      </c>
      <c r="AN5">
        <v>0</v>
      </c>
      <c r="AO5" s="1">
        <v>2827</v>
      </c>
      <c r="AP5" s="1">
        <v>3199</v>
      </c>
      <c r="AQ5">
        <v>0</v>
      </c>
      <c r="AR5">
        <v>0</v>
      </c>
      <c r="AS5">
        <v>0</v>
      </c>
      <c r="AT5" s="1">
        <v>3199</v>
      </c>
      <c r="AU5" s="123">
        <v>116320.81200000001</v>
      </c>
      <c r="AV5">
        <v>0</v>
      </c>
      <c r="AW5">
        <v>0</v>
      </c>
      <c r="AX5">
        <v>0</v>
      </c>
      <c r="AY5" s="123">
        <v>116320.81200000001</v>
      </c>
    </row>
    <row r="6" spans="1:51" x14ac:dyDescent="0.5">
      <c r="A6" t="s">
        <v>133</v>
      </c>
      <c r="B6" t="s">
        <v>40</v>
      </c>
      <c r="C6" s="122">
        <v>41620</v>
      </c>
      <c r="D6" s="122">
        <v>41653</v>
      </c>
      <c r="E6" t="s">
        <v>103</v>
      </c>
      <c r="F6" t="s">
        <v>129</v>
      </c>
      <c r="G6" t="s">
        <v>3</v>
      </c>
      <c r="H6" s="1">
        <v>2207184</v>
      </c>
      <c r="I6" s="1">
        <v>5942191</v>
      </c>
      <c r="J6" s="123">
        <v>57918.476000000002</v>
      </c>
      <c r="K6" s="1">
        <v>5940934</v>
      </c>
      <c r="L6" s="1">
        <v>45428</v>
      </c>
      <c r="M6" s="1">
        <v>6769</v>
      </c>
      <c r="N6" s="1">
        <v>2101</v>
      </c>
      <c r="O6" s="1">
        <v>4600</v>
      </c>
      <c r="P6" s="1">
        <v>56856</v>
      </c>
      <c r="Q6" s="1">
        <v>45911</v>
      </c>
      <c r="R6" s="1">
        <v>7941</v>
      </c>
      <c r="S6" s="1">
        <v>2244</v>
      </c>
      <c r="T6" s="1">
        <v>4684</v>
      </c>
      <c r="U6" s="1">
        <v>60780</v>
      </c>
      <c r="V6" s="123">
        <v>356017.8</v>
      </c>
      <c r="W6" s="123">
        <v>425179.67599999998</v>
      </c>
      <c r="X6" s="123">
        <v>61181.902999999998</v>
      </c>
      <c r="Y6" s="123">
        <v>604166.93900000001</v>
      </c>
      <c r="Z6" s="123">
        <v>1446546.318</v>
      </c>
      <c r="AA6">
        <v>483</v>
      </c>
      <c r="AB6" s="1">
        <v>1189</v>
      </c>
      <c r="AC6">
        <v>546</v>
      </c>
      <c r="AD6">
        <v>53</v>
      </c>
      <c r="AE6" s="1">
        <v>2271</v>
      </c>
      <c r="AF6">
        <v>37</v>
      </c>
      <c r="AG6" s="1">
        <v>1172</v>
      </c>
      <c r="AH6">
        <v>161</v>
      </c>
      <c r="AI6">
        <v>22</v>
      </c>
      <c r="AJ6" s="1">
        <v>1392</v>
      </c>
      <c r="AK6" s="1">
        <v>4901</v>
      </c>
      <c r="AL6">
        <v>0</v>
      </c>
      <c r="AM6">
        <v>0</v>
      </c>
      <c r="AN6">
        <v>0</v>
      </c>
      <c r="AO6" s="1">
        <v>4901</v>
      </c>
      <c r="AP6" s="1">
        <v>4925</v>
      </c>
      <c r="AQ6">
        <v>0</v>
      </c>
      <c r="AR6">
        <v>0</v>
      </c>
      <c r="AS6">
        <v>0</v>
      </c>
      <c r="AT6" s="1">
        <v>4925</v>
      </c>
      <c r="AU6" s="123">
        <v>173547.75599999999</v>
      </c>
      <c r="AV6">
        <v>0</v>
      </c>
      <c r="AW6">
        <v>0</v>
      </c>
      <c r="AX6">
        <v>0</v>
      </c>
      <c r="AY6" s="123">
        <v>173547.75599999999</v>
      </c>
    </row>
    <row r="7" spans="1:51" x14ac:dyDescent="0.5">
      <c r="A7" t="s">
        <v>133</v>
      </c>
      <c r="B7" t="s">
        <v>40</v>
      </c>
      <c r="C7" s="122">
        <v>41620</v>
      </c>
      <c r="D7" s="122">
        <v>41653</v>
      </c>
      <c r="E7" t="s">
        <v>103</v>
      </c>
      <c r="F7" t="s">
        <v>130</v>
      </c>
      <c r="G7" t="s">
        <v>51</v>
      </c>
      <c r="H7" s="1">
        <v>145574</v>
      </c>
      <c r="I7" s="1">
        <v>1640364</v>
      </c>
      <c r="J7" s="123">
        <v>9420.2440000000006</v>
      </c>
      <c r="K7" s="1">
        <v>931558</v>
      </c>
      <c r="L7" s="1">
        <v>43503</v>
      </c>
      <c r="M7" s="1">
        <v>4952</v>
      </c>
      <c r="N7" s="1">
        <v>1742</v>
      </c>
      <c r="O7" s="1">
        <v>2791</v>
      </c>
      <c r="P7" s="1">
        <v>49124</v>
      </c>
      <c r="Q7" s="1">
        <v>55123</v>
      </c>
      <c r="R7" s="1">
        <v>6564</v>
      </c>
      <c r="S7" s="1">
        <v>2031</v>
      </c>
      <c r="T7" s="1">
        <v>2964</v>
      </c>
      <c r="U7" s="1">
        <v>66682</v>
      </c>
      <c r="V7" s="123">
        <v>424465.91999999998</v>
      </c>
      <c r="W7" s="123">
        <v>386837.13199999998</v>
      </c>
      <c r="X7" s="123">
        <v>53809.129000000001</v>
      </c>
      <c r="Y7" s="123">
        <v>351000.83299999998</v>
      </c>
      <c r="Z7" s="123">
        <v>1216113.014</v>
      </c>
      <c r="AA7" s="1">
        <v>11620</v>
      </c>
      <c r="AB7" s="1">
        <v>2478</v>
      </c>
      <c r="AC7">
        <v>923</v>
      </c>
      <c r="AD7">
        <v>228</v>
      </c>
      <c r="AE7" s="1">
        <v>15249</v>
      </c>
      <c r="AF7" s="1">
        <v>1091</v>
      </c>
      <c r="AG7" s="1">
        <v>1612</v>
      </c>
      <c r="AH7">
        <v>267</v>
      </c>
      <c r="AI7">
        <v>82</v>
      </c>
      <c r="AJ7" s="1">
        <v>3052</v>
      </c>
      <c r="AK7" s="1">
        <v>4147</v>
      </c>
      <c r="AL7">
        <v>0</v>
      </c>
      <c r="AM7">
        <v>0</v>
      </c>
      <c r="AN7">
        <v>0</v>
      </c>
      <c r="AO7" s="1">
        <v>4147</v>
      </c>
      <c r="AP7" s="1">
        <v>4780</v>
      </c>
      <c r="AQ7">
        <v>0</v>
      </c>
      <c r="AR7">
        <v>0</v>
      </c>
      <c r="AS7">
        <v>0</v>
      </c>
      <c r="AT7" s="1">
        <v>4780</v>
      </c>
      <c r="AU7" s="123">
        <v>172101.12</v>
      </c>
      <c r="AV7">
        <v>0</v>
      </c>
      <c r="AW7">
        <v>0</v>
      </c>
      <c r="AX7">
        <v>0</v>
      </c>
      <c r="AY7" s="123">
        <v>172101.12</v>
      </c>
    </row>
    <row r="8" spans="1:51" x14ac:dyDescent="0.5">
      <c r="A8" t="s">
        <v>133</v>
      </c>
      <c r="B8" t="s">
        <v>40</v>
      </c>
      <c r="C8" s="122">
        <v>41620</v>
      </c>
      <c r="D8" s="122">
        <v>41653</v>
      </c>
      <c r="E8" t="s">
        <v>103</v>
      </c>
      <c r="F8" t="s">
        <v>130</v>
      </c>
      <c r="G8" t="s">
        <v>50</v>
      </c>
      <c r="H8" s="1">
        <v>216804</v>
      </c>
      <c r="I8" s="1">
        <v>1316472</v>
      </c>
      <c r="J8" s="123" t="s">
        <v>107</v>
      </c>
      <c r="K8" s="1" t="s">
        <v>107</v>
      </c>
      <c r="L8" s="1">
        <v>32571</v>
      </c>
      <c r="M8" s="1">
        <v>8078</v>
      </c>
      <c r="N8" s="1">
        <v>3345</v>
      </c>
      <c r="O8" s="1">
        <v>3204</v>
      </c>
      <c r="P8" s="1">
        <v>41444</v>
      </c>
      <c r="Q8" s="1">
        <v>45479</v>
      </c>
      <c r="R8" s="1">
        <v>12842</v>
      </c>
      <c r="S8" s="1">
        <v>4170</v>
      </c>
      <c r="T8" s="1">
        <v>3497</v>
      </c>
      <c r="U8" s="1">
        <v>65988</v>
      </c>
      <c r="V8" s="123">
        <v>333007.74</v>
      </c>
      <c r="W8" s="123">
        <v>755878.71</v>
      </c>
      <c r="X8" s="123">
        <v>107280.795</v>
      </c>
      <c r="Y8" s="123">
        <v>415798.63400000002</v>
      </c>
      <c r="Z8" s="123">
        <v>1611965.879</v>
      </c>
      <c r="AA8" s="1">
        <v>12908</v>
      </c>
      <c r="AB8" s="1">
        <v>4724</v>
      </c>
      <c r="AC8" s="1">
        <v>1731</v>
      </c>
      <c r="AD8">
        <v>381</v>
      </c>
      <c r="AE8" s="1">
        <v>19744</v>
      </c>
      <c r="AF8" s="1">
        <v>2711</v>
      </c>
      <c r="AG8" s="1">
        <v>4766</v>
      </c>
      <c r="AH8">
        <v>637</v>
      </c>
      <c r="AI8">
        <v>204</v>
      </c>
      <c r="AJ8" s="1">
        <v>8318</v>
      </c>
      <c r="AK8" s="1">
        <v>2736</v>
      </c>
      <c r="AL8">
        <v>0</v>
      </c>
      <c r="AM8">
        <v>0</v>
      </c>
      <c r="AN8">
        <v>0</v>
      </c>
      <c r="AO8" s="1">
        <v>2736</v>
      </c>
      <c r="AP8" s="1">
        <v>3157</v>
      </c>
      <c r="AQ8">
        <v>0</v>
      </c>
      <c r="AR8">
        <v>0</v>
      </c>
      <c r="AS8">
        <v>0</v>
      </c>
      <c r="AT8" s="1">
        <v>3157</v>
      </c>
      <c r="AU8" s="123">
        <v>115357.704</v>
      </c>
      <c r="AV8">
        <v>0</v>
      </c>
      <c r="AW8">
        <v>0</v>
      </c>
      <c r="AX8">
        <v>0</v>
      </c>
      <c r="AY8" s="123">
        <v>115357.704</v>
      </c>
    </row>
    <row r="9" spans="1:51" x14ac:dyDescent="0.5">
      <c r="A9" t="s">
        <v>133</v>
      </c>
      <c r="B9" t="s">
        <v>40</v>
      </c>
      <c r="C9" s="122">
        <v>41620</v>
      </c>
      <c r="D9" s="122">
        <v>41653</v>
      </c>
      <c r="E9" t="s">
        <v>103</v>
      </c>
      <c r="F9" t="s">
        <v>130</v>
      </c>
      <c r="G9" t="s">
        <v>3</v>
      </c>
      <c r="H9" s="1">
        <v>2208189</v>
      </c>
      <c r="I9" s="1">
        <v>5921895</v>
      </c>
      <c r="J9" s="123">
        <v>72345.652000000002</v>
      </c>
      <c r="K9" s="1">
        <v>5920787</v>
      </c>
      <c r="L9" s="1">
        <v>45403</v>
      </c>
      <c r="M9" s="1">
        <v>6725</v>
      </c>
      <c r="N9" s="1">
        <v>2079</v>
      </c>
      <c r="O9" s="1">
        <v>4397</v>
      </c>
      <c r="P9" s="1">
        <v>56665</v>
      </c>
      <c r="Q9" s="1">
        <v>45899</v>
      </c>
      <c r="R9" s="1">
        <v>7870</v>
      </c>
      <c r="S9" s="1">
        <v>2241</v>
      </c>
      <c r="T9" s="1">
        <v>4478</v>
      </c>
      <c r="U9" s="1">
        <v>60488</v>
      </c>
      <c r="V9" s="123">
        <v>353839.08</v>
      </c>
      <c r="W9" s="123">
        <v>417676.712</v>
      </c>
      <c r="X9" s="123">
        <v>58404.771999999997</v>
      </c>
      <c r="Y9" s="123">
        <v>575106.37899999996</v>
      </c>
      <c r="Z9" s="123">
        <v>1405026.9439999999</v>
      </c>
      <c r="AA9" s="1">
        <v>496</v>
      </c>
      <c r="AB9" s="1">
        <v>1138</v>
      </c>
      <c r="AC9">
        <v>516</v>
      </c>
      <c r="AD9">
        <v>51</v>
      </c>
      <c r="AE9" s="1">
        <v>2201</v>
      </c>
      <c r="AF9">
        <v>35</v>
      </c>
      <c r="AG9" s="1">
        <v>1145</v>
      </c>
      <c r="AH9">
        <v>155</v>
      </c>
      <c r="AI9">
        <v>27</v>
      </c>
      <c r="AJ9" s="1">
        <v>1362</v>
      </c>
      <c r="AK9" s="1">
        <v>4973</v>
      </c>
      <c r="AL9">
        <v>0</v>
      </c>
      <c r="AM9">
        <v>0</v>
      </c>
      <c r="AN9">
        <v>0</v>
      </c>
      <c r="AO9" s="1">
        <v>4973</v>
      </c>
      <c r="AP9" s="1">
        <v>5012</v>
      </c>
      <c r="AQ9">
        <v>0</v>
      </c>
      <c r="AR9">
        <v>0</v>
      </c>
      <c r="AS9">
        <v>0</v>
      </c>
      <c r="AT9" s="1">
        <v>5012</v>
      </c>
      <c r="AU9" s="123">
        <v>172393.66800000001</v>
      </c>
      <c r="AV9">
        <v>0</v>
      </c>
      <c r="AW9">
        <v>0</v>
      </c>
      <c r="AX9">
        <v>0</v>
      </c>
      <c r="AY9" s="123">
        <v>172393.66800000001</v>
      </c>
    </row>
    <row r="10" spans="1:51" x14ac:dyDescent="0.5">
      <c r="A10" t="s">
        <v>133</v>
      </c>
      <c r="B10" t="s">
        <v>40</v>
      </c>
      <c r="C10" s="122">
        <v>41620</v>
      </c>
      <c r="D10" s="122">
        <v>41653</v>
      </c>
      <c r="E10" t="s">
        <v>103</v>
      </c>
      <c r="F10" t="s">
        <v>131</v>
      </c>
      <c r="G10" t="s">
        <v>51</v>
      </c>
      <c r="H10" s="1">
        <v>290289</v>
      </c>
      <c r="I10" s="1">
        <v>3284090</v>
      </c>
      <c r="J10" s="123">
        <v>22564.155999999999</v>
      </c>
      <c r="K10" s="1">
        <v>1869076</v>
      </c>
      <c r="L10" s="1">
        <v>86644</v>
      </c>
      <c r="M10" s="1">
        <v>10055</v>
      </c>
      <c r="N10" s="1">
        <v>3610</v>
      </c>
      <c r="O10" s="1">
        <v>5539</v>
      </c>
      <c r="P10" s="1">
        <v>97856</v>
      </c>
      <c r="Q10" s="1">
        <v>109704</v>
      </c>
      <c r="R10" s="1">
        <v>13651</v>
      </c>
      <c r="S10" s="1">
        <v>4199</v>
      </c>
      <c r="T10" s="1">
        <v>5812</v>
      </c>
      <c r="U10" s="1">
        <v>133366</v>
      </c>
      <c r="V10" s="123">
        <v>845877.36</v>
      </c>
      <c r="W10" s="123">
        <v>770553.21499999997</v>
      </c>
      <c r="X10" s="123">
        <v>110655.673</v>
      </c>
      <c r="Y10" s="123">
        <v>682975.86300000001</v>
      </c>
      <c r="Z10" s="123">
        <v>2410062.111</v>
      </c>
      <c r="AA10" s="1">
        <v>23060</v>
      </c>
      <c r="AB10" s="1">
        <v>5287</v>
      </c>
      <c r="AC10" s="1">
        <v>1889</v>
      </c>
      <c r="AD10">
        <v>507</v>
      </c>
      <c r="AE10" s="1">
        <v>30743</v>
      </c>
      <c r="AF10" s="1">
        <v>2186</v>
      </c>
      <c r="AG10" s="1">
        <v>3596</v>
      </c>
      <c r="AH10">
        <v>569</v>
      </c>
      <c r="AI10">
        <v>189</v>
      </c>
      <c r="AJ10" s="1">
        <v>6540</v>
      </c>
      <c r="AK10" s="1">
        <v>8334</v>
      </c>
      <c r="AL10">
        <v>0</v>
      </c>
      <c r="AM10">
        <v>0</v>
      </c>
      <c r="AN10">
        <v>0</v>
      </c>
      <c r="AO10" s="1">
        <v>8334</v>
      </c>
      <c r="AP10" s="1">
        <v>9601</v>
      </c>
      <c r="AQ10">
        <v>0</v>
      </c>
      <c r="AR10">
        <v>0</v>
      </c>
      <c r="AS10">
        <v>0</v>
      </c>
      <c r="AT10" s="1">
        <v>9601</v>
      </c>
      <c r="AU10" s="123">
        <v>333939.94799999997</v>
      </c>
      <c r="AV10">
        <v>0</v>
      </c>
      <c r="AW10">
        <v>0</v>
      </c>
      <c r="AX10">
        <v>0</v>
      </c>
      <c r="AY10" s="123">
        <v>333939.94799999997</v>
      </c>
    </row>
    <row r="11" spans="1:51" x14ac:dyDescent="0.5">
      <c r="A11" t="s">
        <v>133</v>
      </c>
      <c r="B11" t="s">
        <v>40</v>
      </c>
      <c r="C11" s="122">
        <v>41620</v>
      </c>
      <c r="D11" s="122">
        <v>41653</v>
      </c>
      <c r="E11" t="s">
        <v>103</v>
      </c>
      <c r="F11" t="s">
        <v>131</v>
      </c>
      <c r="G11" t="s">
        <v>50</v>
      </c>
      <c r="H11" s="1">
        <v>435322</v>
      </c>
      <c r="I11" s="1">
        <v>2641839</v>
      </c>
      <c r="J11" s="123" t="s">
        <v>107</v>
      </c>
      <c r="K11" s="1" t="s">
        <v>107</v>
      </c>
      <c r="L11" s="1">
        <v>64931</v>
      </c>
      <c r="M11" s="1">
        <v>16445</v>
      </c>
      <c r="N11" s="1">
        <v>6446</v>
      </c>
      <c r="O11" s="1">
        <v>6333</v>
      </c>
      <c r="P11" s="1">
        <v>82623</v>
      </c>
      <c r="Q11" s="1">
        <v>90192</v>
      </c>
      <c r="R11" s="1">
        <v>25200</v>
      </c>
      <c r="S11" s="1">
        <v>8116</v>
      </c>
      <c r="T11" s="1">
        <v>6835</v>
      </c>
      <c r="U11" s="1">
        <v>130343</v>
      </c>
      <c r="V11" s="123">
        <v>664093.07999999996</v>
      </c>
      <c r="W11" s="123">
        <v>1464346.6270000001</v>
      </c>
      <c r="X11" s="123">
        <v>216022.63099999999</v>
      </c>
      <c r="Y11" s="123">
        <v>827497.01300000004</v>
      </c>
      <c r="Z11" s="123">
        <v>3171959.3509999998</v>
      </c>
      <c r="AA11" s="1">
        <v>25263</v>
      </c>
      <c r="AB11" s="1">
        <v>8956</v>
      </c>
      <c r="AC11" s="1">
        <v>3159</v>
      </c>
      <c r="AD11">
        <v>809</v>
      </c>
      <c r="AE11" s="1">
        <v>38187</v>
      </c>
      <c r="AF11" s="1">
        <v>5222</v>
      </c>
      <c r="AG11" s="1">
        <v>8770</v>
      </c>
      <c r="AH11" s="1">
        <v>1287</v>
      </c>
      <c r="AI11">
        <v>369</v>
      </c>
      <c r="AJ11" s="1">
        <v>15648</v>
      </c>
      <c r="AK11" s="1">
        <v>5601</v>
      </c>
      <c r="AL11">
        <v>0</v>
      </c>
      <c r="AM11">
        <v>0</v>
      </c>
      <c r="AN11">
        <v>0</v>
      </c>
      <c r="AO11" s="1">
        <v>5601</v>
      </c>
      <c r="AP11" s="1">
        <v>6450</v>
      </c>
      <c r="AQ11">
        <v>0</v>
      </c>
      <c r="AR11">
        <v>0</v>
      </c>
      <c r="AS11">
        <v>0</v>
      </c>
      <c r="AT11" s="1">
        <v>6450</v>
      </c>
      <c r="AU11" s="123">
        <v>234757.72200000001</v>
      </c>
      <c r="AV11">
        <v>0</v>
      </c>
      <c r="AW11">
        <v>0</v>
      </c>
      <c r="AX11">
        <v>0</v>
      </c>
      <c r="AY11" s="123">
        <v>234757.72200000001</v>
      </c>
    </row>
    <row r="12" spans="1:51" x14ac:dyDescent="0.5">
      <c r="A12" t="s">
        <v>133</v>
      </c>
      <c r="B12" t="s">
        <v>40</v>
      </c>
      <c r="C12" s="122">
        <v>41620</v>
      </c>
      <c r="D12" s="122">
        <v>41653</v>
      </c>
      <c r="E12" t="s">
        <v>103</v>
      </c>
      <c r="F12" t="s">
        <v>131</v>
      </c>
      <c r="G12" t="s">
        <v>3</v>
      </c>
      <c r="H12" s="1">
        <v>4417310</v>
      </c>
      <c r="I12" s="1">
        <v>11823356</v>
      </c>
      <c r="J12" s="123">
        <v>178529.62599999999</v>
      </c>
      <c r="K12" s="1">
        <v>11820912</v>
      </c>
      <c r="L12" s="1">
        <v>89753</v>
      </c>
      <c r="M12" s="1">
        <v>13381</v>
      </c>
      <c r="N12" s="1">
        <v>4139</v>
      </c>
      <c r="O12" s="1">
        <v>9148</v>
      </c>
      <c r="P12" s="1">
        <v>112523</v>
      </c>
      <c r="Q12" s="1">
        <v>90750</v>
      </c>
      <c r="R12" s="1">
        <v>15638</v>
      </c>
      <c r="S12" s="1">
        <v>4443</v>
      </c>
      <c r="T12" s="1">
        <v>9312</v>
      </c>
      <c r="U12" s="1">
        <v>120143</v>
      </c>
      <c r="V12" s="123">
        <v>700939.08</v>
      </c>
      <c r="W12" s="123">
        <v>870469.80099999998</v>
      </c>
      <c r="X12" s="123">
        <v>122724.20600000001</v>
      </c>
      <c r="Y12" s="123">
        <v>1217739.0109999999</v>
      </c>
      <c r="Z12" s="123">
        <v>2911872.0980000002</v>
      </c>
      <c r="AA12" s="1">
        <v>997</v>
      </c>
      <c r="AB12" s="1">
        <v>2451</v>
      </c>
      <c r="AC12" s="1">
        <v>1025</v>
      </c>
      <c r="AD12">
        <v>110</v>
      </c>
      <c r="AE12" s="1">
        <v>4583</v>
      </c>
      <c r="AF12" s="1">
        <v>86</v>
      </c>
      <c r="AG12" s="1">
        <v>2257</v>
      </c>
      <c r="AH12">
        <v>292</v>
      </c>
      <c r="AI12">
        <v>44</v>
      </c>
      <c r="AJ12" s="1">
        <v>2679</v>
      </c>
      <c r="AK12" s="1">
        <v>9799</v>
      </c>
      <c r="AL12">
        <v>0</v>
      </c>
      <c r="AM12">
        <v>0</v>
      </c>
      <c r="AN12">
        <v>0</v>
      </c>
      <c r="AO12" s="1">
        <v>9799</v>
      </c>
      <c r="AP12" s="1">
        <v>9859</v>
      </c>
      <c r="AQ12">
        <v>0</v>
      </c>
      <c r="AR12">
        <v>0</v>
      </c>
      <c r="AS12">
        <v>0</v>
      </c>
      <c r="AT12" s="1">
        <v>9859</v>
      </c>
      <c r="AU12" s="123">
        <v>344195.94</v>
      </c>
      <c r="AV12">
        <v>0</v>
      </c>
      <c r="AW12">
        <v>0</v>
      </c>
      <c r="AX12">
        <v>0</v>
      </c>
      <c r="AY12" s="123">
        <v>344195.94</v>
      </c>
    </row>
    <row r="13" spans="1:51" x14ac:dyDescent="0.5">
      <c r="A13" t="s">
        <v>133</v>
      </c>
      <c r="B13" t="s">
        <v>40</v>
      </c>
      <c r="C13" s="122">
        <v>41620</v>
      </c>
      <c r="D13" s="122">
        <v>41653</v>
      </c>
      <c r="E13" t="s">
        <v>102</v>
      </c>
      <c r="F13" t="s">
        <v>129</v>
      </c>
      <c r="G13" t="s">
        <v>51</v>
      </c>
      <c r="H13" s="1">
        <v>7918</v>
      </c>
      <c r="I13" s="1">
        <v>93915</v>
      </c>
      <c r="J13" t="s">
        <v>107</v>
      </c>
      <c r="K13" t="s">
        <v>107</v>
      </c>
      <c r="L13" s="1">
        <v>2376</v>
      </c>
      <c r="M13">
        <v>282</v>
      </c>
      <c r="N13">
        <v>104</v>
      </c>
      <c r="O13">
        <v>129</v>
      </c>
      <c r="P13" s="1">
        <v>2669</v>
      </c>
      <c r="Q13" s="1">
        <v>2961</v>
      </c>
      <c r="R13">
        <v>366</v>
      </c>
      <c r="S13">
        <v>115</v>
      </c>
      <c r="T13">
        <v>139</v>
      </c>
      <c r="U13" s="1">
        <v>3581</v>
      </c>
      <c r="V13" s="123">
        <v>23052.78</v>
      </c>
      <c r="W13" s="123">
        <v>19758.302</v>
      </c>
      <c r="X13" s="123">
        <v>3674.9659999999999</v>
      </c>
      <c r="Y13" s="123">
        <v>16851.204000000002</v>
      </c>
      <c r="Z13" s="123">
        <v>63337.252999999997</v>
      </c>
      <c r="AA13">
        <v>585</v>
      </c>
      <c r="AB13">
        <v>132</v>
      </c>
      <c r="AC13">
        <v>55</v>
      </c>
      <c r="AD13">
        <v>8</v>
      </c>
      <c r="AE13" s="1">
        <v>780</v>
      </c>
      <c r="AF13">
        <v>68</v>
      </c>
      <c r="AG13">
        <v>84</v>
      </c>
      <c r="AH13">
        <v>13</v>
      </c>
      <c r="AI13">
        <v>2</v>
      </c>
      <c r="AJ13">
        <v>167</v>
      </c>
      <c r="AK13">
        <v>220</v>
      </c>
      <c r="AL13">
        <v>0</v>
      </c>
      <c r="AM13">
        <v>0</v>
      </c>
      <c r="AN13">
        <v>0</v>
      </c>
      <c r="AO13">
        <v>220</v>
      </c>
      <c r="AP13">
        <v>247</v>
      </c>
      <c r="AQ13">
        <v>0</v>
      </c>
      <c r="AR13">
        <v>0</v>
      </c>
      <c r="AS13">
        <v>0</v>
      </c>
      <c r="AT13">
        <v>247</v>
      </c>
      <c r="AU13" s="123">
        <v>8649.3359999999993</v>
      </c>
      <c r="AV13">
        <v>0</v>
      </c>
      <c r="AW13">
        <v>0</v>
      </c>
      <c r="AX13">
        <v>0</v>
      </c>
      <c r="AY13" s="123">
        <v>8649.3359999999993</v>
      </c>
    </row>
    <row r="14" spans="1:51" x14ac:dyDescent="0.5">
      <c r="A14" t="s">
        <v>133</v>
      </c>
      <c r="B14" t="s">
        <v>40</v>
      </c>
      <c r="C14" s="122">
        <v>41620</v>
      </c>
      <c r="D14" s="122">
        <v>41653</v>
      </c>
      <c r="E14" t="s">
        <v>102</v>
      </c>
      <c r="F14" t="s">
        <v>129</v>
      </c>
      <c r="G14" t="s">
        <v>50</v>
      </c>
      <c r="H14" s="1">
        <v>11540</v>
      </c>
      <c r="I14" s="1">
        <v>70007</v>
      </c>
      <c r="J14" t="s">
        <v>107</v>
      </c>
      <c r="K14" t="s">
        <v>107</v>
      </c>
      <c r="L14" s="1">
        <v>1710</v>
      </c>
      <c r="M14">
        <v>403</v>
      </c>
      <c r="N14">
        <v>181</v>
      </c>
      <c r="O14">
        <v>176</v>
      </c>
      <c r="P14" s="1">
        <v>2170</v>
      </c>
      <c r="Q14" s="1">
        <v>2391</v>
      </c>
      <c r="R14">
        <v>611</v>
      </c>
      <c r="S14">
        <v>224</v>
      </c>
      <c r="T14">
        <v>191</v>
      </c>
      <c r="U14" s="1">
        <v>3417</v>
      </c>
      <c r="V14" s="123">
        <v>17605.98</v>
      </c>
      <c r="W14" s="123">
        <v>33290.355000000003</v>
      </c>
      <c r="X14" s="123">
        <v>5654.2479999999996</v>
      </c>
      <c r="Y14" s="123">
        <v>23135.456999999999</v>
      </c>
      <c r="Z14" s="123">
        <v>79686.039999999994</v>
      </c>
      <c r="AA14">
        <v>681</v>
      </c>
      <c r="AB14">
        <v>237</v>
      </c>
      <c r="AC14">
        <v>87</v>
      </c>
      <c r="AD14">
        <v>11</v>
      </c>
      <c r="AE14" s="1">
        <v>1016</v>
      </c>
      <c r="AF14">
        <v>124</v>
      </c>
      <c r="AG14">
        <v>208</v>
      </c>
      <c r="AH14">
        <v>42</v>
      </c>
      <c r="AI14">
        <v>11</v>
      </c>
      <c r="AJ14">
        <v>385</v>
      </c>
      <c r="AK14">
        <v>158</v>
      </c>
      <c r="AL14">
        <v>0</v>
      </c>
      <c r="AM14">
        <v>0</v>
      </c>
      <c r="AN14">
        <v>0</v>
      </c>
      <c r="AO14">
        <v>158</v>
      </c>
      <c r="AP14">
        <v>175</v>
      </c>
      <c r="AQ14">
        <v>0</v>
      </c>
      <c r="AR14">
        <v>0</v>
      </c>
      <c r="AS14">
        <v>0</v>
      </c>
      <c r="AT14">
        <v>175</v>
      </c>
      <c r="AU14" s="123">
        <v>6446.2619999999997</v>
      </c>
      <c r="AV14">
        <v>0</v>
      </c>
      <c r="AW14">
        <v>0</v>
      </c>
      <c r="AX14">
        <v>0</v>
      </c>
      <c r="AY14" s="123">
        <v>6446.2619999999997</v>
      </c>
    </row>
    <row r="15" spans="1:51" x14ac:dyDescent="0.5">
      <c r="A15" t="s">
        <v>133</v>
      </c>
      <c r="B15" t="s">
        <v>40</v>
      </c>
      <c r="C15" s="122">
        <v>41620</v>
      </c>
      <c r="D15" s="122">
        <v>41653</v>
      </c>
      <c r="E15" t="s">
        <v>102</v>
      </c>
      <c r="F15" t="s">
        <v>129</v>
      </c>
      <c r="G15" t="s">
        <v>3</v>
      </c>
      <c r="H15" s="1">
        <v>115932</v>
      </c>
      <c r="I15" s="1">
        <v>315777</v>
      </c>
      <c r="J15" t="s">
        <v>107</v>
      </c>
      <c r="K15" t="s">
        <v>107</v>
      </c>
      <c r="L15" s="1">
        <v>2441</v>
      </c>
      <c r="M15">
        <v>384</v>
      </c>
      <c r="N15">
        <v>105</v>
      </c>
      <c r="O15">
        <v>269</v>
      </c>
      <c r="P15" s="1">
        <v>3075</v>
      </c>
      <c r="Q15" s="1">
        <v>2464</v>
      </c>
      <c r="R15">
        <v>455</v>
      </c>
      <c r="S15">
        <v>121</v>
      </c>
      <c r="T15">
        <v>274</v>
      </c>
      <c r="U15" s="1">
        <v>3314</v>
      </c>
      <c r="V15" s="123">
        <v>19063.8</v>
      </c>
      <c r="W15" s="123">
        <v>24384.350999999999</v>
      </c>
      <c r="X15" s="123">
        <v>3256.8690000000001</v>
      </c>
      <c r="Y15" s="123">
        <v>34744.216999999997</v>
      </c>
      <c r="Z15" s="123">
        <v>81449.236999999994</v>
      </c>
      <c r="AA15">
        <v>23</v>
      </c>
      <c r="AB15">
        <v>79</v>
      </c>
      <c r="AC15">
        <v>26</v>
      </c>
      <c r="AD15">
        <v>1</v>
      </c>
      <c r="AE15">
        <v>129</v>
      </c>
      <c r="AF15">
        <v>1</v>
      </c>
      <c r="AG15">
        <v>71</v>
      </c>
      <c r="AH15">
        <v>10</v>
      </c>
      <c r="AI15">
        <v>5</v>
      </c>
      <c r="AJ15">
        <v>87</v>
      </c>
      <c r="AK15">
        <v>272</v>
      </c>
      <c r="AL15">
        <v>0</v>
      </c>
      <c r="AM15">
        <v>0</v>
      </c>
      <c r="AN15">
        <v>0</v>
      </c>
      <c r="AO15">
        <v>272</v>
      </c>
      <c r="AP15">
        <v>276</v>
      </c>
      <c r="AQ15">
        <v>0</v>
      </c>
      <c r="AR15">
        <v>0</v>
      </c>
      <c r="AS15">
        <v>0</v>
      </c>
      <c r="AT15">
        <v>276</v>
      </c>
      <c r="AU15" s="123">
        <v>10294.152</v>
      </c>
      <c r="AV15">
        <v>0</v>
      </c>
      <c r="AW15">
        <v>0</v>
      </c>
      <c r="AX15">
        <v>0</v>
      </c>
      <c r="AY15" s="123">
        <v>10294.152</v>
      </c>
    </row>
    <row r="16" spans="1:51" x14ac:dyDescent="0.5">
      <c r="A16" t="s">
        <v>133</v>
      </c>
      <c r="B16" t="s">
        <v>40</v>
      </c>
      <c r="C16" s="122">
        <v>41620</v>
      </c>
      <c r="D16" s="122">
        <v>41653</v>
      </c>
      <c r="E16" t="s">
        <v>102</v>
      </c>
      <c r="F16" t="s">
        <v>130</v>
      </c>
      <c r="G16" t="s">
        <v>51</v>
      </c>
      <c r="H16" s="1">
        <v>7814</v>
      </c>
      <c r="I16" s="1">
        <v>88786</v>
      </c>
      <c r="J16" t="s">
        <v>107</v>
      </c>
      <c r="K16" t="s">
        <v>107</v>
      </c>
      <c r="L16" s="1">
        <v>2328</v>
      </c>
      <c r="M16" s="1">
        <v>253</v>
      </c>
      <c r="N16" s="1">
        <v>87</v>
      </c>
      <c r="O16" s="1">
        <v>136</v>
      </c>
      <c r="P16" s="1">
        <v>2604</v>
      </c>
      <c r="Q16" s="1">
        <v>2920</v>
      </c>
      <c r="R16" s="1">
        <v>373</v>
      </c>
      <c r="S16" s="1">
        <v>101</v>
      </c>
      <c r="T16" s="1">
        <v>142</v>
      </c>
      <c r="U16" s="1">
        <v>3536</v>
      </c>
      <c r="V16" s="123">
        <v>22230.42</v>
      </c>
      <c r="W16" s="123">
        <v>22296.947</v>
      </c>
      <c r="X16" s="123">
        <v>2714.5659999999998</v>
      </c>
      <c r="Y16" s="123">
        <v>16458.856</v>
      </c>
      <c r="Z16" s="123">
        <v>63700.788</v>
      </c>
      <c r="AA16" s="1">
        <v>592</v>
      </c>
      <c r="AB16" s="1">
        <v>163</v>
      </c>
      <c r="AC16" s="1">
        <v>43</v>
      </c>
      <c r="AD16">
        <v>8</v>
      </c>
      <c r="AE16" s="1">
        <v>806</v>
      </c>
      <c r="AF16" s="1">
        <v>78</v>
      </c>
      <c r="AG16" s="1">
        <v>120</v>
      </c>
      <c r="AH16">
        <v>14</v>
      </c>
      <c r="AI16">
        <v>1</v>
      </c>
      <c r="AJ16" s="1">
        <v>213</v>
      </c>
      <c r="AK16" s="1">
        <v>222</v>
      </c>
      <c r="AL16">
        <v>0</v>
      </c>
      <c r="AM16">
        <v>0</v>
      </c>
      <c r="AN16">
        <v>0</v>
      </c>
      <c r="AO16" s="1">
        <v>222</v>
      </c>
      <c r="AP16" s="1">
        <v>266</v>
      </c>
      <c r="AQ16">
        <v>0</v>
      </c>
      <c r="AR16">
        <v>0</v>
      </c>
      <c r="AS16">
        <v>0</v>
      </c>
      <c r="AT16" s="1">
        <v>266</v>
      </c>
      <c r="AU16" s="123">
        <v>9591.0300000000007</v>
      </c>
      <c r="AV16">
        <v>0</v>
      </c>
      <c r="AW16">
        <v>0</v>
      </c>
      <c r="AX16">
        <v>0</v>
      </c>
      <c r="AY16" s="123">
        <v>9591.0300000000007</v>
      </c>
    </row>
    <row r="17" spans="1:51" x14ac:dyDescent="0.5">
      <c r="A17" t="s">
        <v>133</v>
      </c>
      <c r="B17" t="s">
        <v>40</v>
      </c>
      <c r="C17" s="122">
        <v>41620</v>
      </c>
      <c r="D17" s="122">
        <v>41653</v>
      </c>
      <c r="E17" t="s">
        <v>102</v>
      </c>
      <c r="F17" t="s">
        <v>130</v>
      </c>
      <c r="G17" t="s">
        <v>50</v>
      </c>
      <c r="H17" s="1">
        <v>11641</v>
      </c>
      <c r="I17" s="1">
        <v>69501</v>
      </c>
      <c r="J17" t="s">
        <v>107</v>
      </c>
      <c r="K17" t="s">
        <v>107</v>
      </c>
      <c r="L17" s="1">
        <v>1714</v>
      </c>
      <c r="M17">
        <v>432</v>
      </c>
      <c r="N17">
        <v>175</v>
      </c>
      <c r="O17">
        <v>179</v>
      </c>
      <c r="P17" s="1">
        <v>2198</v>
      </c>
      <c r="Q17" s="1">
        <v>2453</v>
      </c>
      <c r="R17">
        <v>660</v>
      </c>
      <c r="S17">
        <v>227</v>
      </c>
      <c r="T17">
        <v>206</v>
      </c>
      <c r="U17" s="1">
        <v>3546</v>
      </c>
      <c r="V17" s="123">
        <v>17814.240000000002</v>
      </c>
      <c r="W17" s="123">
        <v>35376.819000000003</v>
      </c>
      <c r="X17" s="123">
        <v>5662.8609999999999</v>
      </c>
      <c r="Y17" s="123">
        <v>22799.621999999999</v>
      </c>
      <c r="Z17" s="123">
        <v>81653.542000000001</v>
      </c>
      <c r="AA17">
        <v>739</v>
      </c>
      <c r="AB17">
        <v>230</v>
      </c>
      <c r="AC17">
        <v>97</v>
      </c>
      <c r="AD17">
        <v>22</v>
      </c>
      <c r="AE17" s="1">
        <v>1088</v>
      </c>
      <c r="AF17">
        <v>155</v>
      </c>
      <c r="AG17">
        <v>228</v>
      </c>
      <c r="AH17">
        <v>26</v>
      </c>
      <c r="AI17">
        <v>6</v>
      </c>
      <c r="AJ17">
        <v>415</v>
      </c>
      <c r="AK17">
        <v>157</v>
      </c>
      <c r="AL17">
        <v>0</v>
      </c>
      <c r="AM17">
        <v>0</v>
      </c>
      <c r="AN17">
        <v>0</v>
      </c>
      <c r="AO17">
        <v>157</v>
      </c>
      <c r="AP17">
        <v>178</v>
      </c>
      <c r="AQ17">
        <v>0</v>
      </c>
      <c r="AR17">
        <v>0</v>
      </c>
      <c r="AS17">
        <v>0</v>
      </c>
      <c r="AT17">
        <v>178</v>
      </c>
      <c r="AU17" s="123">
        <v>6283.2420000000002</v>
      </c>
      <c r="AV17">
        <v>0</v>
      </c>
      <c r="AW17">
        <v>0</v>
      </c>
      <c r="AX17">
        <v>0</v>
      </c>
      <c r="AY17" s="123">
        <v>6283.2420000000002</v>
      </c>
    </row>
    <row r="18" spans="1:51" x14ac:dyDescent="0.5">
      <c r="A18" t="s">
        <v>133</v>
      </c>
      <c r="B18" t="s">
        <v>40</v>
      </c>
      <c r="C18" s="122">
        <v>41620</v>
      </c>
      <c r="D18" s="122">
        <v>41653</v>
      </c>
      <c r="E18" t="s">
        <v>102</v>
      </c>
      <c r="F18" t="s">
        <v>130</v>
      </c>
      <c r="G18" t="s">
        <v>3</v>
      </c>
      <c r="H18" s="1">
        <v>116104</v>
      </c>
      <c r="I18" s="1">
        <v>317618</v>
      </c>
      <c r="J18" t="s">
        <v>107</v>
      </c>
      <c r="K18" t="s">
        <v>107</v>
      </c>
      <c r="L18" s="1">
        <v>2433</v>
      </c>
      <c r="M18">
        <v>366</v>
      </c>
      <c r="N18">
        <v>106</v>
      </c>
      <c r="O18">
        <v>240</v>
      </c>
      <c r="P18" s="1">
        <v>3039</v>
      </c>
      <c r="Q18" s="1">
        <v>2461</v>
      </c>
      <c r="R18">
        <v>454</v>
      </c>
      <c r="S18">
        <v>109</v>
      </c>
      <c r="T18">
        <v>245</v>
      </c>
      <c r="U18" s="1">
        <v>3269</v>
      </c>
      <c r="V18" s="123">
        <v>18775.439999999999</v>
      </c>
      <c r="W18" s="123">
        <v>24200.516</v>
      </c>
      <c r="X18" s="123">
        <v>3042.0810000000001</v>
      </c>
      <c r="Y18" s="123">
        <v>31631.264999999999</v>
      </c>
      <c r="Z18" s="123">
        <v>77649.303</v>
      </c>
      <c r="AA18">
        <v>28</v>
      </c>
      <c r="AB18">
        <v>77</v>
      </c>
      <c r="AC18">
        <v>17</v>
      </c>
      <c r="AD18">
        <v>5</v>
      </c>
      <c r="AE18">
        <v>127</v>
      </c>
      <c r="AF18">
        <v>3</v>
      </c>
      <c r="AG18">
        <v>88</v>
      </c>
      <c r="AH18">
        <v>7</v>
      </c>
      <c r="AI18">
        <v>3</v>
      </c>
      <c r="AJ18">
        <v>101</v>
      </c>
      <c r="AK18">
        <v>259</v>
      </c>
      <c r="AL18">
        <v>0</v>
      </c>
      <c r="AM18">
        <v>0</v>
      </c>
      <c r="AN18">
        <v>0</v>
      </c>
      <c r="AO18">
        <v>259</v>
      </c>
      <c r="AP18">
        <v>261</v>
      </c>
      <c r="AQ18">
        <v>0</v>
      </c>
      <c r="AR18">
        <v>0</v>
      </c>
      <c r="AS18">
        <v>0</v>
      </c>
      <c r="AT18">
        <v>261</v>
      </c>
      <c r="AU18" s="123">
        <v>8200.4580000000005</v>
      </c>
      <c r="AV18">
        <v>0</v>
      </c>
      <c r="AW18">
        <v>0</v>
      </c>
      <c r="AX18">
        <v>0</v>
      </c>
      <c r="AY18" s="123">
        <v>8200.4580000000005</v>
      </c>
    </row>
    <row r="19" spans="1:51" x14ac:dyDescent="0.5">
      <c r="A19" t="s">
        <v>133</v>
      </c>
      <c r="B19" t="s">
        <v>40</v>
      </c>
      <c r="C19" s="122">
        <v>41620</v>
      </c>
      <c r="D19" s="122">
        <v>41653</v>
      </c>
      <c r="E19" t="s">
        <v>102</v>
      </c>
      <c r="F19" t="s">
        <v>131</v>
      </c>
      <c r="G19" t="s">
        <v>51</v>
      </c>
      <c r="H19" s="1">
        <v>15732</v>
      </c>
      <c r="I19" s="1">
        <v>180443</v>
      </c>
      <c r="J19" t="s">
        <v>107</v>
      </c>
      <c r="K19" t="s">
        <v>107</v>
      </c>
      <c r="L19" s="1">
        <v>4737</v>
      </c>
      <c r="M19">
        <v>551</v>
      </c>
      <c r="N19">
        <v>188</v>
      </c>
      <c r="O19">
        <v>322</v>
      </c>
      <c r="P19" s="1">
        <v>5351</v>
      </c>
      <c r="Q19" s="1">
        <v>5949</v>
      </c>
      <c r="R19">
        <v>720</v>
      </c>
      <c r="S19">
        <v>223</v>
      </c>
      <c r="T19">
        <v>347</v>
      </c>
      <c r="U19" s="1">
        <v>7239</v>
      </c>
      <c r="V19" s="123">
        <v>45822.54</v>
      </c>
      <c r="W19" s="123">
        <v>40933.718999999997</v>
      </c>
      <c r="X19" s="123">
        <v>5454.4030000000002</v>
      </c>
      <c r="Y19" s="123">
        <v>42497.307000000001</v>
      </c>
      <c r="Z19" s="123">
        <v>134707.96900000001</v>
      </c>
      <c r="AA19" s="1">
        <v>1212</v>
      </c>
      <c r="AB19">
        <v>266</v>
      </c>
      <c r="AC19">
        <v>100</v>
      </c>
      <c r="AD19">
        <v>32</v>
      </c>
      <c r="AE19" s="1">
        <v>1610</v>
      </c>
      <c r="AF19">
        <v>125</v>
      </c>
      <c r="AG19">
        <v>169</v>
      </c>
      <c r="AH19">
        <v>32</v>
      </c>
      <c r="AI19">
        <v>12</v>
      </c>
      <c r="AJ19">
        <v>338</v>
      </c>
      <c r="AK19">
        <v>441</v>
      </c>
      <c r="AL19">
        <v>0</v>
      </c>
      <c r="AM19">
        <v>0</v>
      </c>
      <c r="AN19">
        <v>0</v>
      </c>
      <c r="AO19">
        <v>441</v>
      </c>
      <c r="AP19">
        <v>486</v>
      </c>
      <c r="AQ19">
        <v>0</v>
      </c>
      <c r="AR19">
        <v>0</v>
      </c>
      <c r="AS19">
        <v>0</v>
      </c>
      <c r="AT19">
        <v>486</v>
      </c>
      <c r="AU19" s="123">
        <v>16779.666000000001</v>
      </c>
      <c r="AV19">
        <v>0</v>
      </c>
      <c r="AW19">
        <v>0</v>
      </c>
      <c r="AX19">
        <v>0</v>
      </c>
      <c r="AY19" s="123">
        <v>16779.666000000001</v>
      </c>
    </row>
    <row r="20" spans="1:51" x14ac:dyDescent="0.5">
      <c r="A20" t="s">
        <v>133</v>
      </c>
      <c r="B20" t="s">
        <v>40</v>
      </c>
      <c r="C20" s="122">
        <v>41620</v>
      </c>
      <c r="D20" s="122">
        <v>41653</v>
      </c>
      <c r="E20" t="s">
        <v>102</v>
      </c>
      <c r="F20" t="s">
        <v>131</v>
      </c>
      <c r="G20" t="s">
        <v>50</v>
      </c>
      <c r="H20" s="1">
        <v>23190</v>
      </c>
      <c r="I20" s="1">
        <v>142574</v>
      </c>
      <c r="J20" t="s">
        <v>107</v>
      </c>
      <c r="K20" t="s">
        <v>107</v>
      </c>
      <c r="L20" s="1">
        <v>3528</v>
      </c>
      <c r="M20">
        <v>875</v>
      </c>
      <c r="N20">
        <v>327</v>
      </c>
      <c r="O20">
        <v>330</v>
      </c>
      <c r="P20" s="1">
        <v>4432</v>
      </c>
      <c r="Q20" s="1">
        <v>4909</v>
      </c>
      <c r="R20" s="1">
        <v>1343</v>
      </c>
      <c r="S20">
        <v>390</v>
      </c>
      <c r="T20">
        <v>358</v>
      </c>
      <c r="U20" s="1">
        <v>7000</v>
      </c>
      <c r="V20" s="123">
        <v>35553.72</v>
      </c>
      <c r="W20" s="123">
        <v>87858.516000000003</v>
      </c>
      <c r="X20" s="123">
        <v>10373.776</v>
      </c>
      <c r="Y20" s="123">
        <v>44486.716</v>
      </c>
      <c r="Z20" s="123">
        <v>178272.728</v>
      </c>
      <c r="AA20" s="1">
        <v>1381</v>
      </c>
      <c r="AB20">
        <v>496</v>
      </c>
      <c r="AC20">
        <v>179</v>
      </c>
      <c r="AD20">
        <v>53</v>
      </c>
      <c r="AE20" s="1">
        <v>2109</v>
      </c>
      <c r="AF20">
        <v>328</v>
      </c>
      <c r="AG20">
        <v>468</v>
      </c>
      <c r="AH20">
        <v>71</v>
      </c>
      <c r="AI20">
        <v>23</v>
      </c>
      <c r="AJ20">
        <v>890</v>
      </c>
      <c r="AK20">
        <v>278</v>
      </c>
      <c r="AL20">
        <v>0</v>
      </c>
      <c r="AM20">
        <v>0</v>
      </c>
      <c r="AN20">
        <v>0</v>
      </c>
      <c r="AO20">
        <v>278</v>
      </c>
      <c r="AP20">
        <v>303</v>
      </c>
      <c r="AQ20">
        <v>0</v>
      </c>
      <c r="AR20">
        <v>0</v>
      </c>
      <c r="AS20">
        <v>0</v>
      </c>
      <c r="AT20">
        <v>303</v>
      </c>
      <c r="AU20" s="123">
        <v>9969.6360000000004</v>
      </c>
      <c r="AV20">
        <v>0</v>
      </c>
      <c r="AW20">
        <v>0</v>
      </c>
      <c r="AX20">
        <v>0</v>
      </c>
      <c r="AY20" s="123">
        <v>9969.6360000000004</v>
      </c>
    </row>
    <row r="21" spans="1:51" x14ac:dyDescent="0.5">
      <c r="A21" t="s">
        <v>133</v>
      </c>
      <c r="B21" t="s">
        <v>40</v>
      </c>
      <c r="C21" s="122">
        <v>41620</v>
      </c>
      <c r="D21" s="122">
        <v>41653</v>
      </c>
      <c r="E21" t="s">
        <v>102</v>
      </c>
      <c r="F21" t="s">
        <v>131</v>
      </c>
      <c r="G21" t="s">
        <v>3</v>
      </c>
      <c r="H21" s="1">
        <v>231365</v>
      </c>
      <c r="I21" s="1">
        <v>635236</v>
      </c>
      <c r="J21" t="s">
        <v>107</v>
      </c>
      <c r="K21" t="s">
        <v>107</v>
      </c>
      <c r="L21" s="1">
        <v>4845</v>
      </c>
      <c r="M21">
        <v>708</v>
      </c>
      <c r="N21">
        <v>200</v>
      </c>
      <c r="O21">
        <v>504</v>
      </c>
      <c r="P21" s="1">
        <v>6052</v>
      </c>
      <c r="Q21" s="1">
        <v>4885</v>
      </c>
      <c r="R21">
        <v>860</v>
      </c>
      <c r="S21">
        <v>216</v>
      </c>
      <c r="T21">
        <v>511</v>
      </c>
      <c r="U21" s="1">
        <v>6472</v>
      </c>
      <c r="V21" s="123">
        <v>37679.040000000001</v>
      </c>
      <c r="W21" s="123">
        <v>47892.775999999998</v>
      </c>
      <c r="X21" s="123">
        <v>6126.5829999999996</v>
      </c>
      <c r="Y21" s="123">
        <v>64007.775999999998</v>
      </c>
      <c r="Z21" s="123">
        <v>155706.17499999999</v>
      </c>
      <c r="AA21">
        <v>40</v>
      </c>
      <c r="AB21">
        <v>125</v>
      </c>
      <c r="AC21">
        <v>53</v>
      </c>
      <c r="AD21">
        <v>10</v>
      </c>
      <c r="AE21" s="1">
        <v>228</v>
      </c>
      <c r="AF21">
        <v>6</v>
      </c>
      <c r="AG21">
        <v>152</v>
      </c>
      <c r="AH21">
        <v>17</v>
      </c>
      <c r="AI21">
        <v>2</v>
      </c>
      <c r="AJ21">
        <v>177</v>
      </c>
      <c r="AK21">
        <v>509</v>
      </c>
      <c r="AL21">
        <v>0</v>
      </c>
      <c r="AM21">
        <v>0</v>
      </c>
      <c r="AN21">
        <v>0</v>
      </c>
      <c r="AO21">
        <v>509</v>
      </c>
      <c r="AP21">
        <v>510</v>
      </c>
      <c r="AQ21">
        <v>0</v>
      </c>
      <c r="AR21">
        <v>0</v>
      </c>
      <c r="AS21">
        <v>0</v>
      </c>
      <c r="AT21">
        <v>510</v>
      </c>
      <c r="AU21" s="123">
        <v>17669.946</v>
      </c>
      <c r="AV21">
        <v>0</v>
      </c>
      <c r="AW21">
        <v>0</v>
      </c>
      <c r="AX21">
        <v>0</v>
      </c>
      <c r="AY21" s="123">
        <v>17669.946</v>
      </c>
    </row>
  </sheetData>
  <sortState ref="A2:AY19">
    <sortCondition ref="E2:E19"/>
    <sortCondition ref="F2:F19"/>
    <sortCondition ref="G2:G19"/>
  </sortState>
  <pageMargins left="0.7" right="0.7" top="0.75" bottom="0.75" header="0.3" footer="0.3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Summary</vt:lpstr>
      <vt:lpstr>A vs. pure</vt:lpstr>
      <vt:lpstr>B vs. pure</vt:lpstr>
      <vt:lpstr>C vs. pure</vt:lpstr>
      <vt:lpstr>C vs. A</vt:lpstr>
      <vt:lpstr>Data</vt:lpstr>
      <vt:lpstr>'A vs. pure'!Print_Area</vt:lpstr>
      <vt:lpstr>'B vs. pure'!Print_Area</vt:lpstr>
      <vt:lpstr>'C vs. A'!Print_Area</vt:lpstr>
      <vt:lpstr>'C vs. pure'!Print_Area</vt:lpstr>
      <vt:lpstr>Summary!Print_Area</vt:lpstr>
      <vt:lpstr>'A vs. pure'!Z</vt:lpstr>
      <vt:lpstr>'B vs. pure'!Z</vt:lpstr>
      <vt:lpstr>'C vs. A'!Z</vt:lpstr>
      <vt:lpstr>'C vs. pure'!Z</vt:lpstr>
    </vt:vector>
  </TitlesOfParts>
  <Company>Intent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Starrett</dc:creator>
  <cp:lastModifiedBy>David Peer</cp:lastModifiedBy>
  <cp:lastPrinted>2013-11-17T03:31:03Z</cp:lastPrinted>
  <dcterms:created xsi:type="dcterms:W3CDTF">2012-07-13T13:25:24Z</dcterms:created>
  <dcterms:modified xsi:type="dcterms:W3CDTF">2014-04-21T16:46:55Z</dcterms:modified>
</cp:coreProperties>
</file>